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omments1.xml" ContentType="application/vnd.openxmlformats-officedocument.spreadsheetml.comments+xml"/>
  <Override PartName="/xl/drawings/drawing6.xml" ContentType="application/vnd.openxmlformats-officedocument.drawing+xml"/>
  <Override PartName="/xl/comments2.xml" ContentType="application/vnd.openxmlformats-officedocument.spreadsheetml.comments+xml"/>
  <Override PartName="/xl/drawings/drawing7.xml" ContentType="application/vnd.openxmlformats-officedocument.drawing+xml"/>
  <Override PartName="/xl/comments3.xml" ContentType="application/vnd.openxmlformats-officedocument.spreadsheetml.comments+xml"/>
  <Override PartName="/xl/drawings/drawing8.xml" ContentType="application/vnd.openxmlformats-officedocument.drawing+xml"/>
  <Override PartName="/xl/comments4.xml" ContentType="application/vnd.openxmlformats-officedocument.spreadsheetml.comments+xml"/>
  <Override PartName="/xl/drawings/drawing9.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drawings/drawing10.xml" ContentType="application/vnd.openxmlformats-officedocument.drawing+xml"/>
  <Override PartName="/xl/charts/chart1.xml" ContentType="application/vnd.openxmlformats-officedocument.drawingml.chart+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e4faab06e54d497c" Type="http://schemas.microsoft.com/office/2007/relationships/ui/extensibility" Target="customUI/customUI14.xml"/><Relationship Id="rId2" Type="http://schemas.openxmlformats.org/package/2006/relationships/metadata/core-properties" Target="docProps/core.xml"/><Relationship Id="rId1" Type="http://schemas.openxmlformats.org/officeDocument/2006/relationships/officeDocument" Target="xl/workbook.xml"/><Relationship Id="R64f8551085314da7" Type="http://schemas.microsoft.com/office/2006/relationships/ui/extensibility" Target="customUI/customUI.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601" codeName="{8C4F1C90-05EB-6A55-5F09-09C24B55AC0B}"/>
  <workbookPr codeName="ThisWorkbook" defaultThemeVersion="124226"/>
  <mc:AlternateContent xmlns:mc="http://schemas.openxmlformats.org/markup-compatibility/2006">
    <mc:Choice Requires="x15">
      <x15ac:absPath xmlns:x15ac="http://schemas.microsoft.com/office/spreadsheetml/2010/11/ac" url="C:\Users\B046804\Desktop\"/>
    </mc:Choice>
  </mc:AlternateContent>
  <xr:revisionPtr revIDLastSave="0" documentId="13_ncr:1_{CA56EDDF-6525-48FA-83E7-F335BA419A26}" xr6:coauthVersionLast="47" xr6:coauthVersionMax="47" xr10:uidLastSave="{00000000-0000-0000-0000-000000000000}"/>
  <bookViews>
    <workbookView xWindow="-120" yWindow="-120" windowWidth="29040" windowHeight="15720" tabRatio="849" firstSheet="1" activeTab="1" xr2:uid="{00000000-000D-0000-FFFF-FFFF00000000}"/>
  </bookViews>
  <sheets>
    <sheet name="PictureStore" sheetId="3" state="hidden" r:id="rId1"/>
    <sheet name="No Macros" sheetId="988" r:id="rId2"/>
    <sheet name="Startside" sheetId="3936" state="hidden" r:id="rId3"/>
    <sheet name="Forside" sheetId="3956" state="hidden" r:id="rId4"/>
    <sheet name="Konfiguration" sheetId="3937" state="hidden" r:id="rId5"/>
    <sheet name="Projektudgifter" sheetId="3939" state="hidden" r:id="rId6"/>
    <sheet name="Programudgifter" sheetId="3940" state="hidden" r:id="rId7"/>
    <sheet name="Drift - fremtidig uden projekt" sheetId="3941" state="hidden" r:id="rId8"/>
    <sheet name="Drift - med projekt" sheetId="3942" state="hidden" r:id="rId9"/>
    <sheet name="Drift - før projekt" sheetId="3943" state="hidden" r:id="rId10"/>
    <sheet name="MasterSheet" sheetId="3957" state="hidden" r:id="rId11"/>
    <sheet name="Business casen" sheetId="3944" state="hidden" r:id="rId12"/>
    <sheet name="ProjektudgifterC" sheetId="3945" state="hidden" r:id="rId13"/>
    <sheet name="ProgramudgifterC" sheetId="3946" state="hidden" r:id="rId14"/>
    <sheet name="Drift - fremtidig uden projektC" sheetId="3947" state="hidden" r:id="rId15"/>
    <sheet name="Drift - fremtidig uden projektD" sheetId="3948" state="hidden" r:id="rId16"/>
    <sheet name="Drift - fremtidig uden projektE" sheetId="3949" state="hidden" r:id="rId17"/>
    <sheet name="Drift - med projektC" sheetId="3950" state="hidden" r:id="rId18"/>
    <sheet name="Drift - med projektD" sheetId="3951" state="hidden" r:id="rId19"/>
    <sheet name="Drift - med projektE" sheetId="3952" state="hidden" r:id="rId20"/>
    <sheet name="Drift - før projektC" sheetId="3953" state="hidden" r:id="rId21"/>
    <sheet name="Drift - før projektF" sheetId="3958" state="hidden" r:id="rId22"/>
    <sheet name="Drift - med projektF" sheetId="3959" state="hidden" r:id="rId23"/>
    <sheet name="Drift - fremtidig uden projektF" sheetId="3960" state="hidden" r:id="rId24"/>
    <sheet name="ProjektudgifterF" sheetId="3961" state="hidden" r:id="rId25"/>
    <sheet name="ProgramudgifterF" sheetId="3962" state="hidden" r:id="rId26"/>
  </sheets>
  <functionGroups builtInGroupCount="19"/>
  <definedNames>
    <definedName name="Businesscasen_f_BCM_HolderH1_end">'Business casen'!$A$15</definedName>
    <definedName name="Businesscasen_f_BCM_HolderH1_start">'Business casen'!$A$12</definedName>
    <definedName name="Businesscasen_f_BCM_HolderH13_1_end">'Business casen'!$A$200</definedName>
    <definedName name="Businesscasen_f_BCM_HolderH13_1_start">'Business casen'!$A$200</definedName>
    <definedName name="Businesscasen_f_BCM_HolderH1a_end">'Business casen'!$U$15</definedName>
    <definedName name="Businesscasen_f_BCM_HolderH1a_start">'Business casen'!$U$12</definedName>
    <definedName name="Businesscasen_f_BCM_HolderH1b_end">'Business casen'!$U$22</definedName>
    <definedName name="Businesscasen_f_BCM_HolderH1b_start">'Business casen'!$U$22</definedName>
    <definedName name="Businesscasen_f_BCM_HolderH1c_end">'Business casen'!$U$28</definedName>
    <definedName name="Businesscasen_f_BCM_HolderH1c_start">'Business casen'!$U$24</definedName>
    <definedName name="Businesscasen_f_BCM_HolderH1d_end">'Business casen'!$U$62</definedName>
    <definedName name="Businesscasen_f_BCM_HolderH1d_start">'Business casen'!$U$47</definedName>
    <definedName name="Businesscasen_f_BCM_HolderH1e_end">'Business casen'!$U$72</definedName>
    <definedName name="Businesscasen_f_BCM_HolderH1e_start">'Business casen'!$U$63</definedName>
    <definedName name="Businesscasen_f_BCM_HolderH1f_end">'Business casen'!$U$82</definedName>
    <definedName name="Businesscasen_f_BCM_HolderH1f_start">'Business casen'!$U$73</definedName>
    <definedName name="Businesscasen_f_BCM_HolderH1g_end">'Business casen'!$U$106</definedName>
    <definedName name="Businesscasen_f_BCM_HolderH1g_start">'Business casen'!$U$83</definedName>
    <definedName name="Businesscasen_f_BCM_HolderH1h_end">'Business casen'!$U$193</definedName>
    <definedName name="Businesscasen_f_BCM_HolderH1h_start">'Business casen'!$U$183</definedName>
    <definedName name="Businesscasen_f_BCM_HolderH1i_end">'Business casen'!$U$226</definedName>
    <definedName name="Businesscasen_f_BCM_HolderH1i_start">'Business casen'!$U$226</definedName>
    <definedName name="Businesscasen_f_BCM_HolderH1j_end">'Business casen'!$U$232</definedName>
    <definedName name="Businesscasen_f_BCM_HolderH1j_start">'Business casen'!$U$228</definedName>
    <definedName name="Businesscasen_f_BCM_HolderH1k_end">'Business casen'!$U$286</definedName>
    <definedName name="Businesscasen_f_BCM_HolderH1k_start">'Business casen'!$U$236</definedName>
    <definedName name="Businesscasen_f_BCM_HolderH1l_end">'Business casen'!$U$303</definedName>
    <definedName name="Businesscasen_f_BCM_HolderH1l_start">'Business casen'!$U$287</definedName>
    <definedName name="Businesscasen_f_BCM_HolderH1m_end">'Business casen'!$U$343</definedName>
    <definedName name="Businesscasen_f_BCM_HolderH1m_start">'Business casen'!$U$304</definedName>
    <definedName name="Businesscasen_f_BCM_HolderH1n_end">'Business casen'!$U$385</definedName>
    <definedName name="Businesscasen_f_BCM_HolderH1n_start">'Business casen'!$U$365</definedName>
    <definedName name="Businesscasen_f_BCM_PIPTextHide_end">'Business casen'!$S$11</definedName>
    <definedName name="Businesscasen_f_BCM_PIPTextHide_start">'Business casen'!$G$8</definedName>
    <definedName name="Businesscasen_f_BCM_subca11_Chart1_end">'Business casen'!$F$166</definedName>
    <definedName name="Businesscasen_f_BCM_subca11_Chart1_start">'Business casen'!$B$156</definedName>
    <definedName name="Businesscasen_f_BCM_subcat10_Holder1_end">'Business casen'!$A$153</definedName>
    <definedName name="Businesscasen_f_BCM_subcat10_Holder1_start">'Business casen'!$A$145</definedName>
    <definedName name="Businesscasen_f_BCM_subcat10_Table1_end">'Business casen'!$BK$151</definedName>
    <definedName name="Businesscasen_f_BCM_subcat10_Table1_start">'Business casen'!$B$147</definedName>
    <definedName name="Businesscasen_f_BCM_subcat11_Table1_end">'Business casen'!$W$163</definedName>
    <definedName name="Businesscasen_f_BCM_subcat11_Table1_start">'Business casen'!$H$156</definedName>
    <definedName name="Businesscasen_f_BCM_subcat12_Table1_end">'Business casen'!$K$177</definedName>
    <definedName name="Businesscasen_f_BCM_subcat12_Table1_start">'Business casen'!$B$171</definedName>
    <definedName name="Businesscasen_f_BCM_subcat13_Table1_end">'Business casen'!$S$189</definedName>
    <definedName name="Businesscasen_f_BCM_subcat13_Table1_start">'Business casen'!$B$183</definedName>
    <definedName name="Businesscasen_f_BCM_subcat13_Table2_end">'Business casen'!$S$201</definedName>
    <definedName name="Businesscasen_f_BCM_subcat13_Table2_start">'Business casen'!$B$194</definedName>
    <definedName name="Businesscasen_f_BCM_subcat14_Holder1_end">'Business casen'!$A$221</definedName>
    <definedName name="Businesscasen_f_BCM_subcat14_Holder1_start">'Business casen'!$A$204</definedName>
    <definedName name="Businesscasen_f_BCM_subcat14_Table1_end">'Business casen'!$BK$219</definedName>
    <definedName name="Businesscasen_f_BCM_subcat14_Table1_start">'Business casen'!$B$206</definedName>
    <definedName name="Businesscasen_f_BCM_subcat15_Table1_end">'Business casen'!$K$224</definedName>
    <definedName name="Businesscasen_f_BCM_subcat15_Table1_start">'Business casen'!$B$224</definedName>
    <definedName name="Businesscasen_f_BCM_subcat16_Table1_end">'Business casen'!$BK$284</definedName>
    <definedName name="Businesscasen_f_BCM_subcat16_Table1_start">'Business casen'!$B$238</definedName>
    <definedName name="Businesscasen_f_BCM_subcat17_Table1_end">'Business casen'!$K$289</definedName>
    <definedName name="Businesscasen_f_BCM_subcat17_Table1_start">'Business casen'!$B$289</definedName>
    <definedName name="Businesscasen_f_BCM_subcat18_Table1_end">'Business casen'!$BK$364</definedName>
    <definedName name="Businesscasen_f_BCM_subcat18_Table1_start">'Business casen'!$B$306</definedName>
    <definedName name="Businesscasen_f_BCM_subcat19_Table1_end">'Business casen'!$E$367</definedName>
    <definedName name="Businesscasen_f_BCM_subcat19_Table1_start">'Business casen'!$B$367</definedName>
    <definedName name="Businesscasen_f_BCM_subcat19_Table2_end">'Business casen'!$S$367</definedName>
    <definedName name="Businesscasen_f_BCM_subcat19_Table2_start">'Business casen'!$I$367</definedName>
    <definedName name="Businesscasen_f_BCM_subcat2_Holder1_end">'Business casen'!$A$46</definedName>
    <definedName name="Businesscasen_f_BCM_subcat2_Holder1_start">'Business casen'!$A$31</definedName>
    <definedName name="Businesscasen_f_BCM_subcat2_Holder2_end">'Business casen'!$A$40</definedName>
    <definedName name="Businesscasen_f_BCM_subcat2_Holder2_start">'Business casen'!$A$40</definedName>
    <definedName name="Businesscasen_f_BCM_subcat2_Holder3_end">'Business casen'!$A$44</definedName>
    <definedName name="Businesscasen_f_BCM_subcat2_Holder3_start">'Business casen'!$A$42</definedName>
    <definedName name="Businesscasen_f_BCM_subcat2_Table1_end">'Business casen'!$BK$44</definedName>
    <definedName name="Businesscasen_f_BCM_subcat2_Table1_start">'Business casen'!$B$33</definedName>
    <definedName name="Businesscasen_f_BCM_subcat3_Holder1_end">'Business casen'!$A$62</definedName>
    <definedName name="Businesscasen_f_BCM_subcat3_Holder1_start">'Business casen'!$A$47</definedName>
    <definedName name="Businesscasen_f_BCM_subcat3_Holder2_end">'Business casen'!$A$56</definedName>
    <definedName name="Businesscasen_f_BCM_subcat3_Holder2_start">'Business casen'!$A$56</definedName>
    <definedName name="Businesscasen_f_BCM_subcat3_Holder3_end">'Business casen'!$A$60</definedName>
    <definedName name="Businesscasen_f_BCM_subcat3_Holder3_start">'Business casen'!$A$59</definedName>
    <definedName name="Businesscasen_f_BCM_subcat3_Table1_end">'Business casen'!$BK$60</definedName>
    <definedName name="Businesscasen_f_BCM_subcat3_Table1_start">'Business casen'!$B$50</definedName>
    <definedName name="Businesscasen_f_BCM_subcat4_Holder1_end">'Business casen'!$A$72</definedName>
    <definedName name="Businesscasen_f_BCM_subcat4_Holder1_start">'Business casen'!$A$63</definedName>
    <definedName name="Businesscasen_f_BCM_subcat4_Table1_end">'Business casen'!$BK$70</definedName>
    <definedName name="Businesscasen_f_BCM_subcat4_Table1_start">'Business casen'!$B$65</definedName>
    <definedName name="Businesscasen_f_BCM_subcat5_Table1_end">'Business casen'!$BK$80</definedName>
    <definedName name="Businesscasen_f_BCM_subcat5_Table1_start">'Business casen'!$B$75</definedName>
    <definedName name="Businesscasen_f_BCM_subcat6a_Table1_end">'Business casen'!$H$85</definedName>
    <definedName name="Businesscasen_f_BCM_subcat6a_Table1_start">'Business casen'!$B$85</definedName>
    <definedName name="Businesscasen_f_BCM_subcat6b_Table1_end">'Business casen'!$G$104</definedName>
    <definedName name="Businesscasen_f_BCM_subcat6b_Table1_start">'Business casen'!$B$96</definedName>
    <definedName name="Businesscasen_f_BCM_subcat7_AtRiskF1_start">'Business casen'!$B$111</definedName>
    <definedName name="Businesscasen_f_BCM_subcat7_AtRiskF2_start">'Business casen'!$J$111</definedName>
    <definedName name="Businesscasen_f_BCM_subcat7_Holder1_end">'Business casen'!$A$130</definedName>
    <definedName name="Businesscasen_f_BCM_subcat7_Holder1_start">'Business casen'!$A$107</definedName>
    <definedName name="Businesscasen_f_BCM_subcat7_Table1_end">'Business casen'!$E$110</definedName>
    <definedName name="Businesscasen_f_BCM_subcat7_Table1_start">'Business casen'!$B$109</definedName>
    <definedName name="Businesscasen_f_BCM_subcat7_Table2_end">'Business casen'!$S$110</definedName>
    <definedName name="Businesscasen_f_BCM_subcat7_Table2_start">'Business casen'!$J$109</definedName>
    <definedName name="Businesscasen_f_BCM_subcat8_Holder2_end">'Business casen'!$A$138</definedName>
    <definedName name="Businesscasen_f_BCM_subcat8_Holder2_start">'Business casen'!$A$138</definedName>
    <definedName name="Businesscasen_f_BCM_subcat8_Holder3_end">'Business casen'!$A$142</definedName>
    <definedName name="Businesscasen_f_BCM_subcat8_Holder3_start">'Business casen'!$A$140</definedName>
    <definedName name="Businesscasen_f_BCM_subcat8_Table1_end">'Business casen'!$BK$142</definedName>
    <definedName name="Businesscasen_f_BCM_subcat8_Table1_start">'Business casen'!$B$133</definedName>
    <definedName name="Businesscasen_f_BCM_Table1_end">'Business casen'!$S$2</definedName>
    <definedName name="Businesscasen_f_BCM_Table1_H1_start">'Business casen'!$B$2</definedName>
    <definedName name="Businesscasen_f_BCM_Table1_H2_start">'Business casen'!$S$2</definedName>
    <definedName name="Businesscasen_f_BCM_Table1_start">'Business casen'!$B$2</definedName>
    <definedName name="Businesscasen_f_BCM_Table2_end">'Business casen'!$S$16</definedName>
    <definedName name="Businesscasen_f_BCM_Table2_start">'Business casen'!$B$6</definedName>
    <definedName name="Businesscasen_f_BCM_Table4_end">'Business casen'!$K$28</definedName>
    <definedName name="Businesscasen_f_BCM_Table4_start">'Business casen'!$B$21</definedName>
    <definedName name="Businesscasen_f_BCM_Text1_end">'Business casen'!$K$11</definedName>
    <definedName name="Businesscasen_f_BCM_Text1_start">'Business casen'!$G$9</definedName>
    <definedName name="Businesscasen_f_BCM_Text2_end">'Business casen'!$K$15</definedName>
    <definedName name="Businesscasen_f_BCM_Text2_start">'Business casen'!$G$13</definedName>
    <definedName name="Businesscasen_f_BCM_Text3_end">'Business casen'!$K$18</definedName>
    <definedName name="Businesscasen_f_BCM_Text3_start">'Business casen'!$G$17</definedName>
    <definedName name="Businesscasen_f_BCM_Text4_end">'Business casen'!$D$18</definedName>
    <definedName name="Businesscasen_f_BCM_Text4_start">'Business casen'!$B$17</definedName>
    <definedName name="Businesscasen_f_Gevinstejerno1_End">'Business casen'!$A$78</definedName>
    <definedName name="Businesscasen_f_Hoveds1no1_End">'Business casen'!$A$187</definedName>
    <definedName name="Businesscasen_f_Hoveds2no1_End">'Business casen'!$A$198</definedName>
    <definedName name="Businesscasen_f_IOKVarno3_End">'Business casen'!$A$89</definedName>
    <definedName name="Businesscasen_f_Projekterno1_End">'Business casen'!$A$54</definedName>
    <definedName name="Businesscasen_f_Riscino2_End">'Business casen'!$A$175</definedName>
    <definedName name="Businesscasen_f_subcat1_end">'Business casen'!$S$30</definedName>
    <definedName name="Businesscasen_f_subcat1_start">'Business casen'!$B$19</definedName>
    <definedName name="Businesscasen_f_subcat10_end">'Business casen'!$S$153</definedName>
    <definedName name="Businesscasen_f_subcat10_start">'Business casen'!$B$145</definedName>
    <definedName name="Businesscasen_f_subcat11_end">'Business casen'!$S$168</definedName>
    <definedName name="Businesscasen_f_subcat11_start">'Business casen'!$B$154</definedName>
    <definedName name="Businesscasen_f_subcat12_end">'Business casen'!$S$180</definedName>
    <definedName name="Businesscasen_f_subcat12_start">'Business casen'!$B$169</definedName>
    <definedName name="Businesscasen_f_subcat13_end">'Business casen'!$S$203</definedName>
    <definedName name="Businesscasen_f_subcat13_start">'Business casen'!$B$181</definedName>
    <definedName name="Businesscasen_f_subcat14_end">'Business casen'!$S$221</definedName>
    <definedName name="Businesscasen_f_subcat14_start">'Business casen'!$B$204</definedName>
    <definedName name="Businesscasen_f_subcat15_end">'Business casen'!$S$235</definedName>
    <definedName name="Businesscasen_f_subcat15_start">'Business casen'!$B$222</definedName>
    <definedName name="Businesscasen_f_subcat16_end">'Business casen'!$S$286</definedName>
    <definedName name="Businesscasen_f_subcat16_start">'Business casen'!$B$236</definedName>
    <definedName name="Businesscasen_f_subcat17_end">'Business casen'!$S$303</definedName>
    <definedName name="Businesscasen_f_subcat17_start">'Business casen'!$B$287</definedName>
    <definedName name="Businesscasen_f_subcat18_end">'Business casen'!$S$364</definedName>
    <definedName name="Businesscasen_f_subcat18_start">'Business casen'!$B$304</definedName>
    <definedName name="Businesscasen_f_subcat19_end">'Business casen'!$S$385</definedName>
    <definedName name="Businesscasen_f_subcat19_start">'Business casen'!$B$365</definedName>
    <definedName name="Businesscasen_f_subcat2_end">'Business casen'!$S$46</definedName>
    <definedName name="Businesscasen_f_subcat2_start">'Business casen'!$B$31</definedName>
    <definedName name="Businesscasen_f_subcat3_end">'Business casen'!$S$62</definedName>
    <definedName name="Businesscasen_f_subcat3_start">'Business casen'!$B$47</definedName>
    <definedName name="Businesscasen_f_subcat4_end">'Business casen'!$S$72</definedName>
    <definedName name="Businesscasen_f_subcat4_start">'Business casen'!$B$63</definedName>
    <definedName name="Businesscasen_f_subcat5_end">'Business casen'!$S$82</definedName>
    <definedName name="Businesscasen_f_subcat5_start">'Business casen'!$B$73</definedName>
    <definedName name="Businesscasen_f_subcat6a_end">'Business casen'!$S$93</definedName>
    <definedName name="Businesscasen_f_subcat6a_start">'Business casen'!$B$83</definedName>
    <definedName name="Businesscasen_f_subcat6b_end">'Business casen'!$S$106</definedName>
    <definedName name="Businesscasen_f_subcat6b_start">'Business casen'!$B$94</definedName>
    <definedName name="Businesscasen_f_subcat7_end">'Business casen'!$S$130</definedName>
    <definedName name="Businesscasen_f_subcat7_start">'Business casen'!$B$107</definedName>
    <definedName name="Businesscasen_f_subcat8_end">'Business casen'!$S$144</definedName>
    <definedName name="Businesscasen_f_subcat8_start">'Business casen'!$B$131</definedName>
    <definedName name="Businesscasen_f_Udgiftsno1_End">'Business casen'!$A$136</definedName>
    <definedName name="Businesscasen_rng_HighRiskPool">'Business casen'!$R$26:$S$26</definedName>
    <definedName name="Businesscasen_rng_RiskPool">'Business casen'!$R$24:$S$24</definedName>
    <definedName name="Driftfremtidigudenprojekt_f_DriftfremtidigudenprojektHeader1_end">'Drift - fremtidig uden projekt'!$H$2</definedName>
    <definedName name="Driftfremtidigudenprojekt_f_DriftfremtidigudenprojektHeader1_start">'Drift - fremtidig uden projekt'!$C$2</definedName>
    <definedName name="Driftfremtidigudenprojekt_f_DriftfremtidigudenprojektHeader2_end">'Drift - fremtidig uden projekt'!$R$3</definedName>
    <definedName name="Driftfremtidigudenprojekt_f_DriftfremtidigudenprojektHeader2_start">'Drift - fremtidig uden projekt'!$O$2</definedName>
    <definedName name="Driftfremtidigudenprojekt_f_DriftfremtidigudenprojektHeader3_end">'Drift - fremtidig uden projekt'!$H$3</definedName>
    <definedName name="Driftfremtidigudenprojekt_f_DriftfremtidigudenprojektHeader3_start">'Drift - fremtidig uden projekt'!$C$3</definedName>
    <definedName name="Driftfremtidigudenprojekt_f_DriftfremtidigudenprojektMain1_end">'Drift - fremtidig uden projekt'!$AL$6</definedName>
    <definedName name="Driftfremtidigudenprojekt_f_DriftfremtidigudenprojektMain1_start">'Drift - fremtidig uden projekt'!$C$6</definedName>
    <definedName name="Driftfremtidigudenprojekt_f_DriftfremtidigudenprojektMain1T1_end">'Drift - fremtidig uden projekt'!$AL$10</definedName>
    <definedName name="Driftfremtidigudenprojekt_f_DriftfremtidigudenprojektMain1T1_start">'Drift - fremtidig uden projekt'!$B$8</definedName>
    <definedName name="Driftfremtidigudenprojekt_f_DriftfremtidigudenprojektMain2_end">'Drift - fremtidig uden projekt'!$AL$12</definedName>
    <definedName name="Driftfremtidigudenprojekt_f_DriftfremtidigudenprojektMain2_start">'Drift - fremtidig uden projekt'!$C$12</definedName>
    <definedName name="Driftfremtidigudenprojekt_f_DriftfremtidigudenprojektMain2S1_start">'Drift - fremtidig uden projekt'!$C$14</definedName>
    <definedName name="Driftfremtidigudenprojekt_f_DriftfremtidigudenprojektMain2T1_end">'Drift - fremtidig uden projekt'!$AL$18</definedName>
    <definedName name="Driftfremtidigudenprojekt_f_DriftfremtidigudenprojektMain2T1_start">'Drift - fremtidig uden projekt'!$B$16</definedName>
    <definedName name="Driftfremtidigudenprojekt_f_DriftfremtidigudenprojektMain3S1_start">'Drift - fremtidig uden projekt'!$C$19</definedName>
    <definedName name="Driftfremtidigudenprojekt_f_DriftfremtidigudenprojektMain3T1_end">'Drift - fremtidig uden projekt'!$AL$23</definedName>
    <definedName name="Driftfremtidigudenprojekt_f_DriftfremtidigudenprojektMain3T1_start">'Drift - fremtidig uden projekt'!$B$21</definedName>
    <definedName name="Driftfremtidigudenprojekt_f_IOKVarno1_End">'Drift - fremtidig uden projekt'!$A$17</definedName>
    <definedName name="DriftfremtidigudenprojektC_f_DriftfremtidigudenprojektCHeader_end">'Drift - fremtidig uden projektC'!$M$2</definedName>
    <definedName name="DriftfremtidigudenprojektC_f_DriftfremtidigudenprojektCHeader_start">'Drift - fremtidig uden projektC'!$B$2</definedName>
    <definedName name="DriftfremtidigudenprojektD_f_DriftfremtidigudenprojektDHeader_end">'Drift - fremtidig uden projektD'!$M$2</definedName>
    <definedName name="DriftfremtidigudenprojektD_f_DriftfremtidigudenprojektDHeader_start">'Drift - fremtidig uden projektD'!$B$2</definedName>
    <definedName name="DriftfremtidigudenprojektE_f_DriftfremtidigudenprojektEHeader_end">'Drift - fremtidig uden projektE'!$M$2</definedName>
    <definedName name="DriftfremtidigudenprojektE_f_DriftfremtidigudenprojektEHeader_start">'Drift - fremtidig uden projektE'!$B$2</definedName>
    <definedName name="DriftfremtidigudenprojektF_f_DriftfremtidigudenprojektFHeader_end">'Drift - fremtidig uden projektF'!$M$2</definedName>
    <definedName name="DriftfremtidigudenprojektF_f_DriftfremtidigudenprojektFHeader_start">'Drift - fremtidig uden projektF'!$B$2</definedName>
    <definedName name="Driftfrprojekt_f_DriftfprojektHeader2_end">'Drift - før projekt'!$H$2</definedName>
    <definedName name="Driftfrprojekt_f_DriftfprojektHeader2_start">'Drift - før projekt'!$C$2</definedName>
    <definedName name="Driftfrprojekt_f_DriftfprojektHeader2H1_end">'Drift - før projekt'!$R$3</definedName>
    <definedName name="Driftfrprojekt_f_DriftfprojektHeader2H1_start">'Drift - før projekt'!$O$2</definedName>
    <definedName name="Driftfrprojekt_f_DriftfprojektHeader2R1_end">'Drift - før projekt'!$H$3</definedName>
    <definedName name="Driftfrprojekt_f_DriftfprojektHeader2R1_start">'Drift - før projekt'!$C$3</definedName>
    <definedName name="Driftfrprojekt_f_DriftfprojektMain1_end">'Drift - før projekt'!$Y$6</definedName>
    <definedName name="Driftfrprojekt_f_DriftfprojektMain1_start">'Drift - før projekt'!$C$6</definedName>
    <definedName name="Driftfrprojekt_f_DriftfprojektMain1T1_end">'Drift - før projekt'!$AL$10</definedName>
    <definedName name="Driftfrprojekt_f_DriftfprojektMain1T1_start">'Drift - før projekt'!$B$8</definedName>
    <definedName name="DriftfrprojektC_f_DriftfprojektCHeader_end">'Drift - før projektC'!$M$2</definedName>
    <definedName name="DriftfrprojektC_f_DriftfprojektCHeader_start">'Drift - før projektC'!$B$2</definedName>
    <definedName name="DriftfrprojektF_f_DriftfprojektFHeader_end">'Drift - før projektF'!$M$2</definedName>
    <definedName name="DriftfrprojektF_f_DriftfprojektFHeader_start">'Drift - før projektF'!$B$2</definedName>
    <definedName name="Driftmedprojekt_f_DriftmedprojektHeader1_end">'Drift - med projekt'!$H$2</definedName>
    <definedName name="Driftmedprojekt_f_DriftmedprojektHeader1_start">'Drift - med projekt'!$C$2</definedName>
    <definedName name="Driftmedprojekt_f_DriftmedprojektHeader2_end">'Drift - med projekt'!$R$3</definedName>
    <definedName name="Driftmedprojekt_f_DriftmedprojektHeader2_start">'Drift - med projekt'!$O$2</definedName>
    <definedName name="Driftmedprojekt_f_DriftmedprojektHeader3_end">'Drift - med projekt'!$H$3</definedName>
    <definedName name="Driftmedprojekt_f_DriftmedprojektHeader3_start">'Drift - med projekt'!$C$3</definedName>
    <definedName name="Driftmedprojekt_f_DriftmedprojektMain1_end">'Drift - med projekt'!$AL$6</definedName>
    <definedName name="Driftmedprojekt_f_DriftmedprojektMain1_start">'Drift - med projekt'!$C$6</definedName>
    <definedName name="Driftmedprojekt_f_DriftmedprojektMain1T1_end">'Drift - med projekt'!$AL$10</definedName>
    <definedName name="Driftmedprojekt_f_DriftmedprojektMain1T1_start">'Drift - med projekt'!$B$8</definedName>
    <definedName name="Driftmedprojekt_f_DriftmedprojektMain2_end">'Drift - med projekt'!$AJ$12</definedName>
    <definedName name="Driftmedprojekt_f_DriftmedprojektMain2_start">'Drift - med projekt'!$C$12</definedName>
    <definedName name="Driftmedprojekt_f_DriftmedprojektMain2S1_start">'Drift - med projekt'!$C$14</definedName>
    <definedName name="Driftmedprojekt_f_DriftmedprojektMain2T1_end">'Drift - med projekt'!$AL$18</definedName>
    <definedName name="Driftmedprojekt_f_DriftmedprojektMain2T1_start">'Drift - med projekt'!$B$16</definedName>
    <definedName name="Driftmedprojekt_f_DriftmedprojektMain3S1_start">'Drift - med projekt'!$C$19</definedName>
    <definedName name="Driftmedprojekt_f_DriftmedprojektMain3T1_end">'Drift - med projekt'!$AL$23</definedName>
    <definedName name="Driftmedprojekt_f_DriftmedprojektMain3T1_start">'Drift - med projekt'!$B$21</definedName>
    <definedName name="Driftmedprojekt_f_IOKVarno2_End">'Drift - med projekt'!$A$17</definedName>
    <definedName name="DriftmedprojektC_f_DriftmedprojektCHeader_end">'Drift - med projektC'!$M$2</definedName>
    <definedName name="DriftmedprojektC_f_DriftmedprojektCHeader_start">'Drift - med projektC'!$B$2</definedName>
    <definedName name="DriftmedprojektD_f_DriftmedprojektDHeader_end">'Drift - med projektD'!$M$2</definedName>
    <definedName name="DriftmedprojektD_f_DriftmedprojektDHeader_start">'Drift - med projektD'!$B$2</definedName>
    <definedName name="DriftmedprojektE_f_DriftmedprojektEHeader_end">'Drift - med projektE'!$M$2</definedName>
    <definedName name="DriftmedprojektE_f_DriftmedprojektEHeader_start">'Drift - med projektE'!$B$2</definedName>
    <definedName name="DriftmedprojektF_f_DriftmedprojektFHeader_end">'Drift - med projektF'!$M$2</definedName>
    <definedName name="DriftmedprojektF_f_DriftmedprojektFHeader_start">'Drift - med projektF'!$B$2</definedName>
    <definedName name="Forside_f_BCM_subcat10_Holder1_end">Forside!$O$194</definedName>
    <definedName name="Forside_f_BCM_subcat10_Holder1_start">Forside!$O$165</definedName>
    <definedName name="Forside_f_Finanskonti_End">Forside!$A$103</definedName>
    <definedName name="Forside_f_FP_Cfg1Text4b_end">Forside!$M$75</definedName>
    <definedName name="Forside_f_FP_Cfg1Text4b_start">Forside!$D$75</definedName>
    <definedName name="Forside_f_FP_CfgText1a_end">Forside!$E$41</definedName>
    <definedName name="Forside_f_FP_CfgText1a_start">Forside!$B$41</definedName>
    <definedName name="Forside_f_FP_CfgText1b_end">Forside!$M$43</definedName>
    <definedName name="Forside_f_FP_CfgText1b_start">Forside!$D$43</definedName>
    <definedName name="Forside_f_FP_CfgText2a_end">Forside!$E$53</definedName>
    <definedName name="Forside_f_FP_CfgText2a_start">Forside!$B$53</definedName>
    <definedName name="Forside_f_FP_CfgText2b_end">Forside!$M$55</definedName>
    <definedName name="Forside_f_FP_CfgText2b_start">Forside!$D$55</definedName>
    <definedName name="Forside_f_FP_CfgText3a_end">Forside!$E$63</definedName>
    <definedName name="Forside_f_FP_CfgText3a_start">Forside!$B$63</definedName>
    <definedName name="Forside_f_FP_CfgText3b_end">Forside!$M$65</definedName>
    <definedName name="Forside_f_FP_CfgText3b_start">Forside!$D$65</definedName>
    <definedName name="Forside_f_FP_CfgText4a_end">Forside!$E$73</definedName>
    <definedName name="Forside_f_FP_CfgText4a_start">Forside!$B$73</definedName>
    <definedName name="Forside_f_FP_Finanskonti_1_start">Forside!$D$77</definedName>
    <definedName name="Forside_f_FP_Finanskonti_2_start">Forside!$D$80</definedName>
    <definedName name="Forside_f_FP_Finanskonti_3_start">Forside!$D$83</definedName>
    <definedName name="Forside_f_FP_Finanskonti_4_start">Forside!$D$86</definedName>
    <definedName name="Forside_f_FP_Finanskonti_5_start">Forside!$D$89</definedName>
    <definedName name="Forside_f_FP_Finanskonti_6_start">Forside!$D$92</definedName>
    <definedName name="Forside_f_FP_Finanskonti_7_start">Forside!$D$95</definedName>
    <definedName name="Forside_f_FP_Finanskonti_8_start">Forside!$D$98</definedName>
    <definedName name="Forside_f_FP_Finanskonti_9_start">Forside!$D$101</definedName>
    <definedName name="Forside_f_FP_Gevinstejer_1_start">Forside!$D$136</definedName>
    <definedName name="Forside_f_FP_GevinstejerTxt1_end">Forside!$E$134</definedName>
    <definedName name="Forside_f_FP_GevinstejerTxt1_start">Forside!$B$134</definedName>
    <definedName name="Forside_f_FP_Main1_end">Forside!$N$206</definedName>
    <definedName name="Forside_f_FP_Main1_start">Forside!$B$8</definedName>
    <definedName name="Forside_f_FP_Main1BCtype_end">Forside!$M$105</definedName>
    <definedName name="Forside_f_FP_Main1BCtype_start">Forside!$B$39</definedName>
    <definedName name="Forside_f_FP_Main1Gevinstejere_end">Forside!$M$140</definedName>
    <definedName name="Forside_f_FP_Main1Gevinstejere_start">Forside!$B$132</definedName>
    <definedName name="Forside_f_FP_Main1IOKVar_end">Forside!$M$131</definedName>
    <definedName name="Forside_f_FP_Main1IOKVar_start">Forside!$B$125</definedName>
    <definedName name="Forside_f_FP_Main1IOKVarTable_end">Forside!$I$128</definedName>
    <definedName name="Forside_f_FP_Main1IOKVarTable_start">Forside!$B$127</definedName>
    <definedName name="Forside_f_FP_Main1Omkost_end">Forside!$M$195</definedName>
    <definedName name="Forside_f_FP_Main1Omkost_start">Forside!$B$162</definedName>
    <definedName name="Forside_f_FP_Main1OmkostEY_1_start">Forside!$D$175</definedName>
    <definedName name="Forside_f_FP_Main1OmkostIY_1_start">Forside!$D$171</definedName>
    <definedName name="Forside_f_FP_Main1OmkostQ1_end">Forside!$I$164</definedName>
    <definedName name="Forside_f_FP_Main1OmkostQ1_start">Forside!$B$164</definedName>
    <definedName name="Forside_f_FP_Main1OmkostSY_1_start">Forside!$D$167</definedName>
    <definedName name="Forside_f_FP_Main1OmkostTable_1_end">Forside!$BK$193</definedName>
    <definedName name="Forside_f_FP_Main1OmkostTable_1_start">Forside!$B$180</definedName>
    <definedName name="Forside_f_FP_Main1PloY_end">Forside!$M$199</definedName>
    <definedName name="Forside_f_FP_Main1PloY_start">Forside!$B$196</definedName>
    <definedName name="Forside_f_FP_Main1Projecter_end">Forside!$M$152</definedName>
    <definedName name="Forside_f_FP_Main1Projecter_start">Forside!$B$141</definedName>
    <definedName name="Forside_f_FP_Main1RisciTable_end">Forside!$K$121</definedName>
    <definedName name="Forside_f_FP_Main1RisciTable_start">Forside!$B$119</definedName>
    <definedName name="Forside_f_FP_Main1Risici_end">Forside!$M$124</definedName>
    <definedName name="Forside_f_FP_Main1Risici_start">Forside!$B$117</definedName>
    <definedName name="Forside_f_FP_Main1Tidsplan_end">Forside!$M$116</definedName>
    <definedName name="Forside_f_FP_Main1Tidsplan_start">Forside!$B$106</definedName>
    <definedName name="Forside_f_FP_Main1TidsplanTable_1_end">Forside!$K$115</definedName>
    <definedName name="Forside_f_FP_Main1TidsplanTable_1_start">Forside!$B$108</definedName>
    <definedName name="Forside_f_FP_Main1Udgift_end">Forside!$M$161</definedName>
    <definedName name="Forside_f_FP_Main1Udgift_start">Forside!$B$153</definedName>
    <definedName name="Forside_f_FP_Main1Version_end">Forside!$M$206</definedName>
    <definedName name="Forside_f_FP_Main1Version_start">Forside!$B$200</definedName>
    <definedName name="Forside_f_FP_Main1VersionTable_end">Forside!$K$203</definedName>
    <definedName name="Forside_f_FP_Main1VersionTable_start">Forside!$B$202</definedName>
    <definedName name="Forside_f_FP_Main2_end">Forside!$N$258</definedName>
    <definedName name="Forside_f_FP_Main2_start">Forside!$B$207</definedName>
    <definedName name="Forside_f_FP_Main2Sub1_end">Forside!$M$238</definedName>
    <definedName name="Forside_f_FP_Main2Sub1_start">Forside!$B$211</definedName>
    <definedName name="Forside_f_FP_Main2Sub1Pic1_end">Forside!$M$235</definedName>
    <definedName name="Forside_f_FP_Main2Sub1Pic1_start">Forside!$D$215</definedName>
    <definedName name="Forside_f_FP_Main2Sub1Text1_end">Forside!$M$213</definedName>
    <definedName name="Forside_f_FP_Main2Sub1Text1_start">Forside!$D$213</definedName>
    <definedName name="Forside_f_FP_Main2Sub1Text2_end">Forside!$M$237</definedName>
    <definedName name="Forside_f_FP_Main2Sub1Text2_start">Forside!$D$237</definedName>
    <definedName name="Forside_f_FP_Main2Sub2_end">Forside!$M$242</definedName>
    <definedName name="Forside_f_FP_Main2Sub2_start">Forside!$B$239</definedName>
    <definedName name="Forside_f_FP_Main2Sub2Text0_end">Forside!$M$245</definedName>
    <definedName name="Forside_f_FP_Main2Sub2Text0_start">Forside!$D$245</definedName>
    <definedName name="Forside_f_FP_Main2Sub2Text1_end">Forside!$M$241</definedName>
    <definedName name="Forside_f_FP_Main2Sub2Text1_start">Forside!$D$241</definedName>
    <definedName name="Forside_f_FP_Main2Sub3_end">Forside!$M$246</definedName>
    <definedName name="Forside_f_FP_Main2Sub3_start">Forside!$B$243</definedName>
    <definedName name="Forside_f_FP_Main2Sub4_end">Forside!$M$250</definedName>
    <definedName name="Forside_f_FP_Main2Sub4_start">Forside!$B$247</definedName>
    <definedName name="Forside_f_FP_Main2Sub4Text1_end">Forside!$M$249</definedName>
    <definedName name="Forside_f_FP_Main2Sub4Text1_start">Forside!$D$249</definedName>
    <definedName name="Forside_f_FP_Main2Sub5_end">Forside!$M$254</definedName>
    <definedName name="Forside_f_FP_Main2Sub5_start">Forside!$B$251</definedName>
    <definedName name="Forside_f_FP_Main2Sub5Text1_end">Forside!$M$253</definedName>
    <definedName name="Forside_f_FP_Main2Sub5Text1_start">Forside!$D$253</definedName>
    <definedName name="Forside_f_FP_Main2Sub6_end">Forside!$M$258</definedName>
    <definedName name="Forside_f_FP_Main2Sub6_start">Forside!$B$255</definedName>
    <definedName name="Forside_f_FP_Main2Sub6Text1_end">Forside!$M$257</definedName>
    <definedName name="Forside_f_FP_Main2Sub6Text1_start">Forside!$D$257</definedName>
    <definedName name="Forside_f_FP_Main2Text1_end">Forside!$M$209</definedName>
    <definedName name="Forside_f_FP_Main2Text1_start">Forside!$D$209</definedName>
    <definedName name="Forside_f_FP_OmkostTxt1_end">Forside!$E$166</definedName>
    <definedName name="Forside_f_FP_OmkostTxt1_start">Forside!$B$166</definedName>
    <definedName name="Forside_f_FP_OmkostTxt2_end">Forside!$E$170</definedName>
    <definedName name="Forside_f_FP_OmkostTxt2_start">Forside!$B$170</definedName>
    <definedName name="Forside_f_FP_OmkostTxt3_end">Forside!$E$174</definedName>
    <definedName name="Forside_f_FP_OmkostTxt3_start">Forside!$B$174</definedName>
    <definedName name="Forside_f_FP_PloYRepY_1_start">Forside!$D$198</definedName>
    <definedName name="Forside_f_FP_Projekter_1_start">Forside!$D$145</definedName>
    <definedName name="Forside_f_FP_Projekter_2_start">Forside!$D$148</definedName>
    <definedName name="Forside_f_FP_ProjekterTxt1_end">Forside!$E$143</definedName>
    <definedName name="Forside_f_FP_ProjekterTxt1_start">Forside!$B$143</definedName>
    <definedName name="Forside_f_FP_StamdataMain1_end">Forside!$M$38</definedName>
    <definedName name="Forside_f_FP_StamdataMain1_start">Forside!$B$10</definedName>
    <definedName name="Forside_f_FP_StamdataT1_1_start">Forside!$D$12</definedName>
    <definedName name="Forside_f_FP_StamdataT1Rep_End">Forside!$A$12</definedName>
    <definedName name="Forside_f_FP_StamdataT2_1_start">Forside!$D$15</definedName>
    <definedName name="Forside_f_FP_StamdataT2Obs_1_end">Forside!$K$15</definedName>
    <definedName name="Forside_f_FP_StamdataT2Obs_1_start">Forside!$J$15</definedName>
    <definedName name="Forside_f_FP_StamdataT2Rep_End">Forside!$A$15</definedName>
    <definedName name="Forside_f_FP_StamdataT3_1_start">Forside!$D$18</definedName>
    <definedName name="Forside_f_FP_StamdataT3Rep_End">Forside!$A$18</definedName>
    <definedName name="Forside_f_FP_StamdataT4_end">Forside!$G$21</definedName>
    <definedName name="Forside_f_FP_StamdataT4_start">Forside!$B$21</definedName>
    <definedName name="Forside_f_FP_StamdataT5_end">Forside!$G$29</definedName>
    <definedName name="Forside_f_FP_StamdataT5_start">Forside!$B$29</definedName>
    <definedName name="Forside_f_FP_StamdataT5Obs_end">Forside!$M$29</definedName>
    <definedName name="Forside_f_FP_StamdataT5Obs_start">Forside!$J$29</definedName>
    <definedName name="Forside_f_FP_Udgifts_1_start">Forside!$D$157</definedName>
    <definedName name="Forside_f_FP_UdgiftTxt1_end">Forside!$E$155</definedName>
    <definedName name="Forside_f_FP_UdgiftTxt1_start">Forside!$B$155</definedName>
    <definedName name="Forside_f_Gevinstejer_End">Forside!$A$138</definedName>
    <definedName name="Forside_f_IOKVar_End">Forside!$A$128</definedName>
    <definedName name="Forside_f_Ok_end">Forside!$Q$8</definedName>
    <definedName name="Forside_f_Ok_start">Forside!$P$8</definedName>
    <definedName name="Forside_f_Old_end">Forside!$Q$8</definedName>
    <definedName name="Forside_f_Old_start">Forside!$P$8</definedName>
    <definedName name="Forside_f_OmkosEY_End">Forside!$A$177</definedName>
    <definedName name="Forside_f_OmkostIY_End">Forside!$A$173</definedName>
    <definedName name="Forside_f_OmkostSY_End">Forside!$A$169</definedName>
    <definedName name="Forside_f_OmkostTable_End">Forside!$A$193</definedName>
    <definedName name="Forside_f_PloYRep_End">Forside!$A$198</definedName>
    <definedName name="Forside_f_ProjectsFS_Holder_end">Forside!$A$152</definedName>
    <definedName name="Forside_f_ProjectsFS_Holder_start">Forside!$A$141</definedName>
    <definedName name="Forside_f_Projekter_End">Forside!$A$150</definedName>
    <definedName name="Forside_f_ProjInProgrFP_Holder_end">Forside!$A$140</definedName>
    <definedName name="Forside_f_ProjInProgrFP_Holder_start">Forside!$A$132</definedName>
    <definedName name="Forside_f_Risci_End">Forside!$A$121</definedName>
    <definedName name="Forside_f_StartsideBackup_end">Forside!$Q$8</definedName>
    <definedName name="Forside_f_StartsideBackup_start">Forside!$P$8</definedName>
    <definedName name="Forside_f_StartsideTitle_end">Forside!$N$6</definedName>
    <definedName name="Forside_f_StartsideTitle_start">Forside!$B$6</definedName>
    <definedName name="Forside_f_TidsPlan_End">Forside!$A$115</definedName>
    <definedName name="Forside_f_Udgifts_End">Forside!$A$159</definedName>
    <definedName name="Forside_f_Unknown_end">Forside!$Q$8</definedName>
    <definedName name="Forside_f_Unknown_start">Forside!$P$8</definedName>
    <definedName name="Forside_f_Version_End">Forside!$A$203</definedName>
    <definedName name="Konfiguration_f_CFG_Finanskonti_End">Konfiguration!$A$68</definedName>
    <definedName name="Konfiguration_f_CFG_FinanskontiV_1_start">Konfiguration!$D$42</definedName>
    <definedName name="Konfiguration_f_CFG_FinanskontiV_2_start">Konfiguration!$D$45</definedName>
    <definedName name="Konfiguration_f_CFG_FinanskontiV_3_start">Konfiguration!$D$48</definedName>
    <definedName name="Konfiguration_f_CFG_FinanskontiV_4_start">Konfiguration!$D$51</definedName>
    <definedName name="Konfiguration_f_CFG_FinanskontiV_5_start">Konfiguration!$D$54</definedName>
    <definedName name="Konfiguration_f_CFG_FinanskontiV_6_start">Konfiguration!$D$57</definedName>
    <definedName name="Konfiguration_f_CFG_FinanskontiV_7_start">Konfiguration!$D$60</definedName>
    <definedName name="Konfiguration_f_CFG_FinanskontiV_8_start">Konfiguration!$D$63</definedName>
    <definedName name="Konfiguration_f_CFG_FinanskontiV_9_start">Konfiguration!$D$66</definedName>
    <definedName name="Konfiguration_f_Cfg_Main1_end">Konfiguration!$N$70</definedName>
    <definedName name="Konfiguration_f_Cfg_Main1_start">Konfiguration!$B$5</definedName>
    <definedName name="Konfiguration_f_Cfg_Main1Title_end">Konfiguration!$N$3</definedName>
    <definedName name="Konfiguration_f_Cfg_Main1Title_start">Konfiguration!$B$3</definedName>
    <definedName name="Konfiguration_f_Cfg1Text1a_end">Konfiguration!$E$7</definedName>
    <definedName name="Konfiguration_f_Cfg1Text1a_start">Konfiguration!$B$7</definedName>
    <definedName name="Konfiguration_f_Cfg1Text1b_end">Konfiguration!$M$9</definedName>
    <definedName name="Konfiguration_f_Cfg1Text1b_start">Konfiguration!$D$9</definedName>
    <definedName name="Konfiguration_f_Cfg1Text2a_end">Konfiguration!$E$18</definedName>
    <definedName name="Konfiguration_f_Cfg1Text2a_start">Konfiguration!$B$18</definedName>
    <definedName name="Konfiguration_f_Cfg1Text2b_end">Konfiguration!$M$20</definedName>
    <definedName name="Konfiguration_f_Cfg1Text2b_start">Konfiguration!$D$20</definedName>
    <definedName name="Konfiguration_f_Cfg1Text3a_end">Konfiguration!$E$28</definedName>
    <definedName name="Konfiguration_f_Cfg1Text3a_start">Konfiguration!$B$28</definedName>
    <definedName name="Konfiguration_f_Cfg1Text3b_end">Konfiguration!$M$30</definedName>
    <definedName name="Konfiguration_f_Cfg1Text3b_start">Konfiguration!$D$30</definedName>
    <definedName name="Konfiguration_f_Cfg1Text4a_end">Konfiguration!$E$38</definedName>
    <definedName name="Konfiguration_f_Cfg1Text4a_start">Konfiguration!$B$38</definedName>
    <definedName name="Konfiguration_f_Cfg1Text4b_end">Konfiguration!$M$40</definedName>
    <definedName name="Konfiguration_f_Cfg1Text4b_start">Konfiguration!$D$40</definedName>
    <definedName name="Konfiguration_f_CfgPicLastBkp_end">Konfiguration!$Q$5</definedName>
    <definedName name="Konfiguration_f_CfgPicLastBkp_start">Konfiguration!$P$5</definedName>
    <definedName name="Konfiguration_f_KonfigurationStartBtn_end">Konfiguration!$M$71</definedName>
    <definedName name="Konfiguration_f_KonfigurationStartBtn_start">Konfiguration!$K$71</definedName>
    <definedName name="Konfiguration_f_Ok_end">Konfiguration!$Q$5</definedName>
    <definedName name="Konfiguration_f_Ok_start">Konfiguration!$P$5</definedName>
    <definedName name="Konfiguration_f_Old_end">Konfiguration!$Q$5</definedName>
    <definedName name="Konfiguration_f_Old_start">Konfiguration!$P$5</definedName>
    <definedName name="Konfiguration_f_Unknown_end">Konfiguration!$Q$5</definedName>
    <definedName name="Konfiguration_f_Unknown_start">Konfiguration!$P$5</definedName>
    <definedName name="MasterSheet_f_BC_Gevinstejer_1_VS">MasterSheet!$H$921</definedName>
    <definedName name="MasterSheet_f_BC_GevinstejerEnd_VS">MasterSheet!$H$937</definedName>
    <definedName name="MasterSheet_f_BC_Hoveds1_1_VS">MasterSheet!$H$1015</definedName>
    <definedName name="MasterSheet_f_BC_Hoveds2_1_VS">MasterSheet!$H$1026</definedName>
    <definedName name="MasterSheet_f_BC_Projekter_1_VS">MasterSheet!$H$892</definedName>
    <definedName name="MasterSheet_f_BC_Projekter_2_VS">MasterSheet!$H$893</definedName>
    <definedName name="MasterSheet_f_BC_Risci2_1_VS">MasterSheet!$H$1001</definedName>
    <definedName name="MasterSheet_f_BC_Risci2_2_VS">MasterSheet!$H$1002</definedName>
    <definedName name="MasterSheet_f_BC_Udgifts_1_VS">MasterSheet!$H$965</definedName>
    <definedName name="MasterSheet_f_BCM_HolderH1_VS">MasterSheet!$H$843</definedName>
    <definedName name="MasterSheet_f_BCM_HolderH13_1_VS">MasterSheet!$H$1031</definedName>
    <definedName name="MasterSheet_f_BCM_HolderH1a_VS">MasterSheet!$H$844</definedName>
    <definedName name="MasterSheet_f_BCM_HolderH1b_VS">MasterSheet!$H$851</definedName>
    <definedName name="MasterSheet_f_BCM_HolderH1c_VS">MasterSheet!$H$852</definedName>
    <definedName name="MasterSheet_f_BCM_HolderH1d_VS">MasterSheet!$H$884</definedName>
    <definedName name="MasterSheet_f_BCM_HolderH1e_VS">MasterSheet!$H$904</definedName>
    <definedName name="MasterSheet_f_BCM_HolderH1f_VS">MasterSheet!$H$914</definedName>
    <definedName name="MasterSheet_f_BCM_HolderH1g_VS">MasterSheet!$H$926</definedName>
    <definedName name="MasterSheet_f_BCM_HolderH1h_VS">MasterSheet!$H$1007</definedName>
    <definedName name="MasterSheet_f_BCM_HolderH1i_VS">MasterSheet!$H$1050</definedName>
    <definedName name="MasterSheet_f_BCM_HolderH1j_VS">MasterSheet!$H$1051</definedName>
    <definedName name="MasterSheet_f_BCM_HolderH1k_VS">MasterSheet!$H$1064</definedName>
    <definedName name="MasterSheet_f_BCM_HolderH1l_VS">MasterSheet!$H$1114</definedName>
    <definedName name="MasterSheet_f_BCM_HolderH1m_VS">MasterSheet!$H$1119</definedName>
    <definedName name="MasterSheet_f_BCM_HolderH1n_VS">MasterSheet!$H$1181</definedName>
    <definedName name="MasterSheet_f_BCM_IOKVar_1_VS">MasterSheet!$H$934</definedName>
    <definedName name="MasterSheet_f_BCM_PIPTextHide_VS">MasterSheet!$H$849</definedName>
    <definedName name="MasterSheet_f_BCM_subca11_Chart1_VS">MasterSheet!$H$993</definedName>
    <definedName name="MasterSheet_f_BCM_subcat10_Holder1_VS">MasterSheet!$H$976</definedName>
    <definedName name="MasterSheet_f_BCM_subcat10_Table1_H1_VS">MasterSheet!$H$978</definedName>
    <definedName name="MasterSheet_f_BCM_subcat10_Table1_H2_VS">MasterSheet!$H$979</definedName>
    <definedName name="MasterSheet_f_BCM_subcat10_Table1_H3_VS">MasterSheet!$H$980</definedName>
    <definedName name="MasterSheet_f_BCM_subcat10_Table1_H4_VS">MasterSheet!$H$981</definedName>
    <definedName name="MasterSheet_f_BCM_subcat10_Table1_H5_VS">MasterSheet!$H$982</definedName>
    <definedName name="MasterSheet_f_BCM_subcat10_Table1_VS">MasterSheet!$H$977</definedName>
    <definedName name="MasterSheet_f_BCM_subcat11_Table1_H1_VS">MasterSheet!$H$985</definedName>
    <definedName name="MasterSheet_f_BCM_subcat11_Table1_H2_VS">MasterSheet!$H$986</definedName>
    <definedName name="MasterSheet_f_BCM_subcat11_Table1_H3_VS">MasterSheet!$H$987</definedName>
    <definedName name="MasterSheet_f_BCM_subcat11_Table1_H4_VS">MasterSheet!$H$988</definedName>
    <definedName name="MasterSheet_f_BCM_subcat11_Table1_H5_VS">MasterSheet!$H$989</definedName>
    <definedName name="MasterSheet_f_BCM_subcat11_Table1_H6_VS">MasterSheet!$H$990</definedName>
    <definedName name="MasterSheet_f_BCM_subcat11_Table1_H7_VS">MasterSheet!$H$991</definedName>
    <definedName name="MasterSheet_f_BCM_subcat11_Table1_H8_VS">MasterSheet!$H$992</definedName>
    <definedName name="MasterSheet_f_BCM_subcat11_Table1_VS">MasterSheet!$H$984</definedName>
    <definedName name="MasterSheet_f_BCM_subcat12_Table1_BL1_VS">MasterSheet!$H$997</definedName>
    <definedName name="MasterSheet_f_BCM_subcat12_Table1_BL2_VS">MasterSheet!$H$998</definedName>
    <definedName name="MasterSheet_f_BCM_subcat12_Table1_H1_VS">MasterSheet!$H$996</definedName>
    <definedName name="MasterSheet_f_BCM_subcat12_Table1_HEnd1_VS">MasterSheet!$H$1004</definedName>
    <definedName name="MasterSheet_f_BCM_subcat12_Table1_HEnd3_VS">MasterSheet!$H$1005</definedName>
    <definedName name="MasterSheet_f_BCM_subcat12_Table1_VS">MasterSheet!$H$995</definedName>
    <definedName name="MasterSheet_f_BCM_subcat13_Table1_BL1_VS">MasterSheet!$H$1011</definedName>
    <definedName name="MasterSheet_f_BCM_subcat13_Table1_BL2_VS">MasterSheet!$H$1012</definedName>
    <definedName name="MasterSheet_f_BCM_subcat13_Table1_BL3_VS">MasterSheet!$H$1017</definedName>
    <definedName name="MasterSheet_f_BCM_subcat13_Table1_H1_VS">MasterSheet!$H$1009</definedName>
    <definedName name="MasterSheet_f_BCM_subcat13_Table1_H3_VS">MasterSheet!$H$1010</definedName>
    <definedName name="MasterSheet_f_BCM_subcat13_Table1_H7_VS">MasterSheet!$H$1018</definedName>
    <definedName name="MasterSheet_f_BCM_subcat13_Table1_VS">MasterSheet!$H$1008</definedName>
    <definedName name="MasterSheet_f_BCM_subcat13_Table2_BL1_VS">MasterSheet!$H$1022</definedName>
    <definedName name="MasterSheet_f_BCM_subcat13_Table2_BL2_VS">MasterSheet!$H$1023</definedName>
    <definedName name="MasterSheet_f_BCM_subcat13_Table2_R1_VS">MasterSheet!$H$1020</definedName>
    <definedName name="MasterSheet_f_BCM_subcat13_Table2_R3_VS">MasterSheet!$H$1021</definedName>
    <definedName name="MasterSheet_f_BCM_subcat13_Table2_R5_VS">MasterSheet!$H$1028</definedName>
    <definedName name="MasterSheet_f_BCM_subcat13_Table2_R6_VS">MasterSheet!$H$1029</definedName>
    <definedName name="MasterSheet_f_BCM_subcat13_Table2_R7_VS">MasterSheet!$H$1030</definedName>
    <definedName name="MasterSheet_f_BCM_subcat13_Table2_VS">MasterSheet!$H$1019</definedName>
    <definedName name="MasterSheet_f_BCM_subcat14_Holder1_VS">MasterSheet!$H$1033</definedName>
    <definedName name="MasterSheet_f_BCM_subcat14_Table1_H1_VS">MasterSheet!$H$1035</definedName>
    <definedName name="MasterSheet_f_BCM_subcat14_Table1_H10_VS">MasterSheet!$H$1044</definedName>
    <definedName name="MasterSheet_f_BCM_subcat14_Table1_H11_VS">MasterSheet!$H$1045</definedName>
    <definedName name="MasterSheet_f_BCM_subcat14_Table1_H12_VS">MasterSheet!$H$1046</definedName>
    <definedName name="MasterSheet_f_BCM_subcat14_Table1_H13_VS">MasterSheet!$H$1047</definedName>
    <definedName name="MasterSheet_f_BCM_subcat14_Table1_H14_VS">MasterSheet!$H$1048</definedName>
    <definedName name="MasterSheet_f_BCM_subcat14_Table1_H2_VS">MasterSheet!$H$1036</definedName>
    <definedName name="MasterSheet_f_BCM_subcat14_Table1_H3_VS">MasterSheet!$H$1037</definedName>
    <definedName name="MasterSheet_f_BCM_subcat14_Table1_H4_VS">MasterSheet!$H$1038</definedName>
    <definedName name="MasterSheet_f_BCM_subcat14_Table1_H5_VS">MasterSheet!$H$1039</definedName>
    <definedName name="MasterSheet_f_BCM_subcat14_Table1_H6_VS">MasterSheet!$H$1040</definedName>
    <definedName name="MasterSheet_f_BCM_subcat14_Table1_H7_VS">MasterSheet!$H$1041</definedName>
    <definedName name="MasterSheet_f_BCM_subcat14_Table1_H8_VS">MasterSheet!$H$1042</definedName>
    <definedName name="MasterSheet_f_BCM_subcat14_Table1_H9_VS">MasterSheet!$H$1043</definedName>
    <definedName name="MasterSheet_f_BCM_subcat14_Table1_VS">MasterSheet!$H$1034</definedName>
    <definedName name="MasterSheet_f_BCM_subcat15_Table1_H1_VS">MasterSheet!$H$1053</definedName>
    <definedName name="MasterSheet_f_BCM_subcat15_Table1_R1_VS">MasterSheet!$H$1054</definedName>
    <definedName name="MasterSheet_f_BCM_subcat15_Table1_R2_VS">MasterSheet!$H$1055</definedName>
    <definedName name="MasterSheet_f_BCM_subcat15_Table1_R3_VS">MasterSheet!$H$1056</definedName>
    <definedName name="MasterSheet_f_BCM_subcat15_Table1_R4_VS">MasterSheet!$H$1057</definedName>
    <definedName name="MasterSheet_f_BCM_subcat15_Table1_R5_VS">MasterSheet!$H$1058</definedName>
    <definedName name="MasterSheet_f_BCM_subcat15_Table1_R6_VS">MasterSheet!$H$1059</definedName>
    <definedName name="MasterSheet_f_BCM_subcat15_Table1_R7_VS">MasterSheet!$H$1060</definedName>
    <definedName name="MasterSheet_f_BCM_subcat15_Table1_R8_VS">MasterSheet!$H$1061</definedName>
    <definedName name="MasterSheet_f_BCM_subcat15_Table1_R9_VS">MasterSheet!$H$1062</definedName>
    <definedName name="MasterSheet_f_BCM_subcat15_Table1_VS">MasterSheet!$H$1052</definedName>
    <definedName name="MasterSheet_f_BCM_subcat16_Table1_H1_VS">MasterSheet!$H$1066</definedName>
    <definedName name="MasterSheet_f_BCM_subcat16_Table1_R1_VS">MasterSheet!$H$1067</definedName>
    <definedName name="MasterSheet_f_BCM_subcat16_Table1_R10_VS">MasterSheet!$H$1076</definedName>
    <definedName name="MasterSheet_f_BCM_subcat16_Table1_R11_VS">MasterSheet!$H$1077</definedName>
    <definedName name="MasterSheet_f_BCM_subcat16_Table1_R12_VS">MasterSheet!$H$1078</definedName>
    <definedName name="MasterSheet_f_BCM_subcat16_Table1_R13_VS">MasterSheet!$H$1079</definedName>
    <definedName name="MasterSheet_f_BCM_subcat16_Table1_R14_VS">MasterSheet!$H$1080</definedName>
    <definedName name="MasterSheet_f_BCM_subcat16_Table1_R15_VS">MasterSheet!$H$1081</definedName>
    <definedName name="MasterSheet_f_BCM_subcat16_Table1_R16_VS">MasterSheet!$H$1082</definedName>
    <definedName name="MasterSheet_f_BCM_subcat16_Table1_R17_VS">MasterSheet!$H$1083</definedName>
    <definedName name="MasterSheet_f_BCM_subcat16_Table1_R18_VS">MasterSheet!$H$1084</definedName>
    <definedName name="MasterSheet_f_BCM_subcat16_Table1_R19_VS">MasterSheet!$H$1085</definedName>
    <definedName name="MasterSheet_f_BCM_subcat16_Table1_R2_VS">MasterSheet!$H$1068</definedName>
    <definedName name="MasterSheet_f_BCM_subcat16_Table1_R20_VS">MasterSheet!$H$1086</definedName>
    <definedName name="MasterSheet_f_BCM_subcat16_Table1_R21_VS">MasterSheet!$H$1087</definedName>
    <definedName name="MasterSheet_f_BCM_subcat16_Table1_R22_VS">MasterSheet!$H$1088</definedName>
    <definedName name="MasterSheet_f_BCM_subcat16_Table1_R23_VS">MasterSheet!$H$1089</definedName>
    <definedName name="MasterSheet_f_BCM_subcat16_Table1_R24_VS">MasterSheet!$H$1090</definedName>
    <definedName name="MasterSheet_f_BCM_subcat16_Table1_R25_VS">MasterSheet!$H$1091</definedName>
    <definedName name="MasterSheet_f_BCM_subcat16_Table1_R26_VS">MasterSheet!$H$1092</definedName>
    <definedName name="MasterSheet_f_BCM_subcat16_Table1_R27_VS">MasterSheet!$H$1093</definedName>
    <definedName name="MasterSheet_f_BCM_subcat16_Table1_R28_VS">MasterSheet!$H$1094</definedName>
    <definedName name="MasterSheet_f_BCM_subcat16_Table1_R29_VS">MasterSheet!$H$1095</definedName>
    <definedName name="MasterSheet_f_BCM_subcat16_Table1_R3_VS">MasterSheet!$H$1069</definedName>
    <definedName name="MasterSheet_f_BCM_subcat16_Table1_R30_VS">MasterSheet!$H$1096</definedName>
    <definedName name="MasterSheet_f_BCM_subcat16_Table1_R31_VS">MasterSheet!$H$1097</definedName>
    <definedName name="MasterSheet_f_BCM_subcat16_Table1_R32_VS">MasterSheet!$H$1098</definedName>
    <definedName name="MasterSheet_f_BCM_subcat16_Table1_R33_VS">MasterSheet!$H$1099</definedName>
    <definedName name="MasterSheet_f_BCM_subcat16_Table1_R34_VS">MasterSheet!$H$1100</definedName>
    <definedName name="MasterSheet_f_BCM_subcat16_Table1_R35_VS">MasterSheet!$H$1101</definedName>
    <definedName name="MasterSheet_f_BCM_subcat16_Table1_R36_VS">MasterSheet!$H$1102</definedName>
    <definedName name="MasterSheet_f_BCM_subcat16_Table1_R37_VS">MasterSheet!$H$1103</definedName>
    <definedName name="MasterSheet_f_BCM_subcat16_Table1_R38_VS">MasterSheet!$H$1104</definedName>
    <definedName name="MasterSheet_f_BCM_subcat16_Table1_R39_VS">MasterSheet!$H$1105</definedName>
    <definedName name="MasterSheet_f_BCM_subcat16_Table1_R4_VS">MasterSheet!$H$1070</definedName>
    <definedName name="MasterSheet_f_BCM_subcat16_Table1_R40_VS">MasterSheet!$H$1106</definedName>
    <definedName name="MasterSheet_f_BCM_subcat16_Table1_R41_VS">MasterSheet!$H$1107</definedName>
    <definedName name="MasterSheet_f_BCM_subcat16_Table1_R42_VS">MasterSheet!$H$1108</definedName>
    <definedName name="MasterSheet_f_BCM_subcat16_Table1_R43_VS">MasterSheet!$H$1109</definedName>
    <definedName name="MasterSheet_f_BCM_subcat16_Table1_R44_VS">MasterSheet!$H$1110</definedName>
    <definedName name="MasterSheet_f_BCM_subcat16_Table1_R45_VS">MasterSheet!$H$1111</definedName>
    <definedName name="MasterSheet_f_BCM_subcat16_Table1_R46_VS">MasterSheet!$H$1112</definedName>
    <definedName name="MasterSheet_f_BCM_subcat16_Table1_R5_VS">MasterSheet!$H$1071</definedName>
    <definedName name="MasterSheet_f_BCM_subcat16_Table1_R6_VS">MasterSheet!$H$1072</definedName>
    <definedName name="MasterSheet_f_BCM_subcat16_Table1_R7_VS">MasterSheet!$H$1073</definedName>
    <definedName name="MasterSheet_f_BCM_subcat16_Table1_R8_VS">MasterSheet!$H$1074</definedName>
    <definedName name="MasterSheet_f_BCM_subcat16_Table1_R9_VS">MasterSheet!$H$1075</definedName>
    <definedName name="MasterSheet_f_BCM_subcat16_Table1_VS">MasterSheet!$H$1065</definedName>
    <definedName name="MasterSheet_f_BCM_subcat17_Table1_H1_VS">MasterSheet!$H$1116</definedName>
    <definedName name="MasterSheet_f_BCM_subcat17_Table1_VS">MasterSheet!$H$1115</definedName>
    <definedName name="MasterSheet_f_BCM_subcat18_Table1_H1_VS">MasterSheet!$H$1121</definedName>
    <definedName name="MasterSheet_f_BCM_subcat18_Table1_R1_VS">MasterSheet!$H$1122</definedName>
    <definedName name="MasterSheet_f_BCM_subcat18_Table1_R10_VS">MasterSheet!$H$1131</definedName>
    <definedName name="MasterSheet_f_BCM_subcat18_Table1_R11_VS">MasterSheet!$H$1132</definedName>
    <definedName name="MasterSheet_f_BCM_subcat18_Table1_R12_VS">MasterSheet!$H$1133</definedName>
    <definedName name="MasterSheet_f_BCM_subcat18_Table1_R13_VS">MasterSheet!$H$1134</definedName>
    <definedName name="MasterSheet_f_BCM_subcat18_Table1_R14_VS">MasterSheet!$H$1135</definedName>
    <definedName name="MasterSheet_f_BCM_subcat18_Table1_R15_VS">MasterSheet!$H$1136</definedName>
    <definedName name="MasterSheet_f_BCM_subcat18_Table1_R16_VS">MasterSheet!$H$1137</definedName>
    <definedName name="MasterSheet_f_BCM_subcat18_Table1_R17_VS">MasterSheet!$H$1138</definedName>
    <definedName name="MasterSheet_f_BCM_subcat18_Table1_R18_VS">MasterSheet!$H$1139</definedName>
    <definedName name="MasterSheet_f_BCM_subcat18_Table1_R19_VS">MasterSheet!$H$1140</definedName>
    <definedName name="MasterSheet_f_BCM_subcat18_Table1_R2_VS">MasterSheet!$H$1123</definedName>
    <definedName name="MasterSheet_f_BCM_subcat18_Table1_R20_VS">MasterSheet!$H$1141</definedName>
    <definedName name="MasterSheet_f_BCM_subcat18_Table1_R21_VS">MasterSheet!$H$1142</definedName>
    <definedName name="MasterSheet_f_BCM_subcat18_Table1_R22_VS">MasterSheet!$H$1143</definedName>
    <definedName name="MasterSheet_f_BCM_subcat18_Table1_R23_VS">MasterSheet!$H$1144</definedName>
    <definedName name="MasterSheet_f_BCM_subcat18_Table1_R24_VS">MasterSheet!$H$1145</definedName>
    <definedName name="MasterSheet_f_BCM_subcat18_Table1_R25_VS">MasterSheet!$H$1146</definedName>
    <definedName name="MasterSheet_f_BCM_subcat18_Table1_R26_VS">MasterSheet!$H$1147</definedName>
    <definedName name="MasterSheet_f_BCM_subcat18_Table1_R27_VS">MasterSheet!$H$1148</definedName>
    <definedName name="MasterSheet_f_BCM_subcat18_Table1_R28_VS">MasterSheet!$H$1149</definedName>
    <definedName name="MasterSheet_f_BCM_subcat18_Table1_R29_VS">MasterSheet!$H$1150</definedName>
    <definedName name="MasterSheet_f_BCM_subcat18_Table1_R3_VS">MasterSheet!$H$1124</definedName>
    <definedName name="MasterSheet_f_BCM_subcat18_Table1_R30_VS">MasterSheet!$H$1151</definedName>
    <definedName name="MasterSheet_f_BCM_subcat18_Table1_R31_VS">MasterSheet!$H$1152</definedName>
    <definedName name="MasterSheet_f_BCM_subcat18_Table1_R32_VS">MasterSheet!$H$1153</definedName>
    <definedName name="MasterSheet_f_BCM_subcat18_Table1_R33_VS">MasterSheet!$H$1154</definedName>
    <definedName name="MasterSheet_f_BCM_subcat18_Table1_R34_VS">MasterSheet!$H$1155</definedName>
    <definedName name="MasterSheet_f_BCM_subcat18_Table1_R35_VS">MasterSheet!$H$1156</definedName>
    <definedName name="MasterSheet_f_BCM_subcat18_Table1_R36_VS">MasterSheet!$H$1157</definedName>
    <definedName name="MasterSheet_f_BCM_subcat18_Table1_R37_VS">MasterSheet!$H$1158</definedName>
    <definedName name="MasterSheet_f_BCM_subcat18_Table1_R38_VS">MasterSheet!$H$1159</definedName>
    <definedName name="MasterSheet_f_BCM_subcat18_Table1_R39_VS">MasterSheet!$H$1160</definedName>
    <definedName name="MasterSheet_f_BCM_subcat18_Table1_R4_VS">MasterSheet!$H$1125</definedName>
    <definedName name="MasterSheet_f_BCM_subcat18_Table1_R40_VS">MasterSheet!$H$1161</definedName>
    <definedName name="MasterSheet_f_BCM_subcat18_Table1_R41_VS">MasterSheet!$H$1162</definedName>
    <definedName name="MasterSheet_f_BCM_subcat18_Table1_R42_VS">MasterSheet!$H$1163</definedName>
    <definedName name="MasterSheet_f_BCM_subcat18_Table1_R43_VS">MasterSheet!$H$1164</definedName>
    <definedName name="MasterSheet_f_BCM_subcat18_Table1_R44_VS">MasterSheet!$H$1165</definedName>
    <definedName name="MasterSheet_f_BCM_subcat18_Table1_R45_VS">MasterSheet!$H$1166</definedName>
    <definedName name="MasterSheet_f_BCM_subcat18_Table1_R46_VS">MasterSheet!$H$1167</definedName>
    <definedName name="MasterSheet_f_BCM_subcat18_Table1_R47_VS">MasterSheet!$H$1168</definedName>
    <definedName name="MasterSheet_f_BCM_subcat18_Table1_R48_VS">MasterSheet!$H$1169</definedName>
    <definedName name="MasterSheet_f_BCM_subcat18_Table1_R49_VS">MasterSheet!$H$1170</definedName>
    <definedName name="MasterSheet_f_BCM_subcat18_Table1_R5_VS">MasterSheet!$H$1126</definedName>
    <definedName name="MasterSheet_f_BCM_subcat18_Table1_R50_VS">MasterSheet!$H$1171</definedName>
    <definedName name="MasterSheet_f_BCM_subcat18_Table1_R51_VS">MasterSheet!$H$1172</definedName>
    <definedName name="MasterSheet_f_BCM_subcat18_Table1_R52_VS">MasterSheet!$H$1173</definedName>
    <definedName name="MasterSheet_f_BCM_subcat18_Table1_R53_VS">MasterSheet!$H$1174</definedName>
    <definedName name="MasterSheet_f_BCM_subcat18_Table1_R54_VS">MasterSheet!$H$1175</definedName>
    <definedName name="MasterSheet_f_BCM_subcat18_Table1_R55_VS">MasterSheet!$H$1176</definedName>
    <definedName name="MasterSheet_f_BCM_subcat18_Table1_R56_VS">MasterSheet!$H$1177</definedName>
    <definedName name="MasterSheet_f_BCM_subcat18_Table1_R57_VS">MasterSheet!$H$1178</definedName>
    <definedName name="MasterSheet_f_BCM_subcat18_Table1_R58_VS">MasterSheet!$H$1179</definedName>
    <definedName name="MasterSheet_f_BCM_subcat18_Table1_R6_VS">MasterSheet!$H$1127</definedName>
    <definedName name="MasterSheet_f_BCM_subcat18_Table1_R7_VS">MasterSheet!$H$1128</definedName>
    <definedName name="MasterSheet_f_BCM_subcat18_Table1_R8_VS">MasterSheet!$H$1129</definedName>
    <definedName name="MasterSheet_f_BCM_subcat18_Table1_R9_VS">MasterSheet!$H$1130</definedName>
    <definedName name="MasterSheet_f_BCM_subcat18_Table1_VS">MasterSheet!$H$1120</definedName>
    <definedName name="MasterSheet_f_BCM_subcat19_Table1_H1_VS">MasterSheet!$H$1183</definedName>
    <definedName name="MasterSheet_f_BCM_subcat19_Table1_VS">MasterSheet!$H$1182</definedName>
    <definedName name="MasterSheet_f_BCM_subcat19_Table2_H1_VS">MasterSheet!$H$1186</definedName>
    <definedName name="MasterSheet_f_BCM_subcat19_Table2_VS">MasterSheet!$H$1185</definedName>
    <definedName name="MasterSheet_f_BCM_subcat2_Holder1_VS">MasterSheet!$H$867</definedName>
    <definedName name="MasterSheet_f_BCM_subcat2_Holder2_VS">MasterSheet!$H$868</definedName>
    <definedName name="MasterSheet_f_BCM_subcat2_Holder3_VS">MasterSheet!$H$869</definedName>
    <definedName name="MasterSheet_f_BCM_subcat2_Table1_H1_VS">MasterSheet!$H$871</definedName>
    <definedName name="MasterSheet_f_BCM_subcat2_Table1_R1_VS">MasterSheet!$H$872</definedName>
    <definedName name="MasterSheet_f_BCM_subcat2_Table1_R10_VS">MasterSheet!$H$879</definedName>
    <definedName name="MasterSheet_f_BCM_subcat2_Table1_R11_VS">MasterSheet!$H$880</definedName>
    <definedName name="MasterSheet_f_BCM_subcat2_Table1_R12_VS">MasterSheet!$H$881</definedName>
    <definedName name="MasterSheet_f_BCM_subcat2_Table1_R13_VS">MasterSheet!$H$882</definedName>
    <definedName name="MasterSheet_f_BCM_subcat2_Table1_R2_VS">MasterSheet!$H$873</definedName>
    <definedName name="MasterSheet_f_BCM_subcat2_Table1_R3_VS">MasterSheet!$H$874</definedName>
    <definedName name="MasterSheet_f_BCM_subcat2_Table1_R6_VS">MasterSheet!$H$875</definedName>
    <definedName name="MasterSheet_f_BCM_subcat2_Table1_R7_VS">MasterSheet!$H$876</definedName>
    <definedName name="MasterSheet_f_BCM_subcat2_Table1_R8_VS">MasterSheet!$H$877</definedName>
    <definedName name="MasterSheet_f_BCM_subcat2_Table1_R9_VS">MasterSheet!$H$878</definedName>
    <definedName name="MasterSheet_f_BCM_subcat2_Table1_VS">MasterSheet!$H$870</definedName>
    <definedName name="MasterSheet_f_BCM_subcat3_Holder1_VS">MasterSheet!$H$885</definedName>
    <definedName name="MasterSheet_f_BCM_subcat3_Holder2_VS">MasterSheet!$H$901</definedName>
    <definedName name="MasterSheet_f_BCM_subcat3_Holder3_VS">MasterSheet!$H$902</definedName>
    <definedName name="MasterSheet_f_BCM_subcat3_Table1_BL1_VS">MasterSheet!$H$888</definedName>
    <definedName name="MasterSheet_f_BCM_subcat3_Table1_BL2_VS">MasterSheet!$H$889</definedName>
    <definedName name="MasterSheet_f_BCM_subcat3_Table1_end2_VS">MasterSheet!$H$895</definedName>
    <definedName name="MasterSheet_f_BCM_subcat3_Table1_end3_VS">MasterSheet!$H$896</definedName>
    <definedName name="MasterSheet_f_BCM_subcat3_Table1_end4_VS">MasterSheet!$H$897</definedName>
    <definedName name="MasterSheet_f_BCM_subcat3_Table1_end5_VS">MasterSheet!$H$898</definedName>
    <definedName name="MasterSheet_f_BCM_subcat3_Table1_end6_VS">MasterSheet!$H$899</definedName>
    <definedName name="MasterSheet_f_BCM_subcat3_Table1_end7_VS">MasterSheet!$H$900</definedName>
    <definedName name="MasterSheet_f_BCM_subcat3_Table1_H1_VS">MasterSheet!$H$887</definedName>
    <definedName name="MasterSheet_f_BCM_subcat3_Table1_VS">MasterSheet!$H$886</definedName>
    <definedName name="MasterSheet_f_BCM_subcat3_Table8_end1_VS">MasterSheet!$H$967</definedName>
    <definedName name="MasterSheet_f_BCM_subcat3_Table8_end2_VS">MasterSheet!$H$968</definedName>
    <definedName name="MasterSheet_f_BCM_subcat3_Table8_end3_VS">MasterSheet!$H$969</definedName>
    <definedName name="MasterSheet_f_BCM_subcat3_Table8_end4_VS">MasterSheet!$H$970</definedName>
    <definedName name="MasterSheet_f_BCM_subcat3_Table8_end5_VS">MasterSheet!$H$971</definedName>
    <definedName name="MasterSheet_f_BCM_subcat3_Table8_end6_VS">MasterSheet!$H$972</definedName>
    <definedName name="MasterSheet_f_BCM_subcat4_Holder1_VS">MasterSheet!$H$905</definedName>
    <definedName name="MasterSheet_f_BCM_subcat4_Table1_H1_VS">MasterSheet!$H$907</definedName>
    <definedName name="MasterSheet_f_BCM_subcat4_Table1_R1_VS">MasterSheet!$H$908</definedName>
    <definedName name="MasterSheet_f_BCM_subcat4_Table1_R2_VS">MasterSheet!$H$909</definedName>
    <definedName name="MasterSheet_f_BCM_subcat4_Table1_R3_VS">MasterSheet!$H$910</definedName>
    <definedName name="MasterSheet_f_BCM_subcat4_Table1_R4_VS">MasterSheet!$H$911</definedName>
    <definedName name="MasterSheet_f_BCM_subcat4_Table1_R5_VS">MasterSheet!$H$912</definedName>
    <definedName name="MasterSheet_f_BCM_subcat4_Table1_VS">MasterSheet!$H$906</definedName>
    <definedName name="MasterSheet_f_BCM_subcat5_Table1_BL1_VS">MasterSheet!$H$917</definedName>
    <definedName name="MasterSheet_f_BCM_subcat5_Table1_BL2_VS">MasterSheet!$H$918</definedName>
    <definedName name="MasterSheet_f_BCM_subcat5_Table1_BL3_VS">MasterSheet!$H$923</definedName>
    <definedName name="MasterSheet_f_BCM_subcat5_Table1_H1_VS">MasterSheet!$H$916</definedName>
    <definedName name="MasterSheet_f_BCM_subcat5_Table1_R8_VS">MasterSheet!$H$924</definedName>
    <definedName name="MasterSheet_f_BCM_subcat5_Table1_VS">MasterSheet!$H$915</definedName>
    <definedName name="MasterSheet_f_BCM_subcat6a_Table1_BL1_VS">MasterSheet!$H$930</definedName>
    <definedName name="MasterSheet_f_BCM_subcat6a_Table1_BL2_VS">MasterSheet!$H$931</definedName>
    <definedName name="MasterSheet_f_BCM_subcat6a_Table1_BL3_VS">MasterSheet!$H$936</definedName>
    <definedName name="MasterSheet_f_BCM_subcat6a_Table1_H1_VS">MasterSheet!$H$928</definedName>
    <definedName name="MasterSheet_f_BCM_subcat6a_Table1_R1_VS">MasterSheet!$H$929</definedName>
    <definedName name="MasterSheet_f_BCM_subcat6a_Table1_VS">MasterSheet!$H$927</definedName>
    <definedName name="MasterSheet_f_BCM_subcat6b_Table1_H1_VS">MasterSheet!$H$940</definedName>
    <definedName name="MasterSheet_f_BCM_subcat6b_Table1_R10_VS">MasterSheet!$H$948</definedName>
    <definedName name="MasterSheet_f_BCM_subcat6b_Table1_R2_VS">MasterSheet!$H$941</definedName>
    <definedName name="MasterSheet_f_BCM_subcat6b_Table1_R3_VS">MasterSheet!$H$942</definedName>
    <definedName name="MasterSheet_f_BCM_subcat6b_Table1_R4_VS">MasterSheet!$H$943</definedName>
    <definedName name="MasterSheet_f_BCM_subcat6b_Table1_R5_VS">MasterSheet!$H$944</definedName>
    <definedName name="MasterSheet_f_BCM_subcat6b_Table1_R6_VS">MasterSheet!$H$945</definedName>
    <definedName name="MasterSheet_f_BCM_subcat6b_Table1_R7_VS">MasterSheet!$H$946</definedName>
    <definedName name="MasterSheet_f_BCM_subcat6b_Table1_R8_VS">MasterSheet!$H$947</definedName>
    <definedName name="MasterSheet_f_BCM_subcat6b_Table1_VS">MasterSheet!$H$939</definedName>
    <definedName name="MasterSheet_f_BCM_subcat7_AtRiskF1_VS">MasterSheet!$H$953</definedName>
    <definedName name="MasterSheet_f_BCM_subcat7_AtRiskF2_VS">MasterSheet!$H$956</definedName>
    <definedName name="MasterSheet_f_BCM_subcat7_Holder1_VS">MasterSheet!$H$950</definedName>
    <definedName name="MasterSheet_f_BCM_subcat7_Table1_H1_VS">MasterSheet!$H$952</definedName>
    <definedName name="MasterSheet_f_BCM_subcat7_Table1_VS">MasterSheet!$H$951</definedName>
    <definedName name="MasterSheet_f_BCM_subcat7_Table2_H1_VS">MasterSheet!$H$955</definedName>
    <definedName name="MasterSheet_f_BCM_subcat7_Table2_VS">MasterSheet!$H$954</definedName>
    <definedName name="MasterSheet_f_BCM_subcat8_Holder2_VS">MasterSheet!$H$973</definedName>
    <definedName name="MasterSheet_f_BCM_subcat8_Holder3_VS">MasterSheet!$H$974</definedName>
    <definedName name="MasterSheet_f_BCM_subcat8_Table1_BL1_VS">MasterSheet!$H$961</definedName>
    <definedName name="MasterSheet_f_BCM_subcat8_Table1_BL2_VS">MasterSheet!$H$962</definedName>
    <definedName name="MasterSheet_f_BCM_subcat8_Table1_H1_VS">MasterSheet!$H$960</definedName>
    <definedName name="MasterSheet_f_BCM_subcat8_Table1_VS">MasterSheet!$H$959</definedName>
    <definedName name="MasterSheet_f_BCM_Table1_H1_VS">MasterSheet!$H$829</definedName>
    <definedName name="MasterSheet_f_BCM_Table1_H2_VS">MasterSheet!$H$830</definedName>
    <definedName name="MasterSheet_f_BCM_Table1_VS">MasterSheet!$H$828</definedName>
    <definedName name="MasterSheet_f_BCM_Table2_R1_VS">MasterSheet!$H$832</definedName>
    <definedName name="MasterSheet_f_BCM_Table2_R2_VS">MasterSheet!$H$833</definedName>
    <definedName name="MasterSheet_f_BCM_Table2_R3_VS">MasterSheet!$H$834</definedName>
    <definedName name="MasterSheet_f_BCM_Table2_R4_VS">MasterSheet!$H$835</definedName>
    <definedName name="MasterSheet_f_BCM_Table2_R5_VS">MasterSheet!$H$836</definedName>
    <definedName name="MasterSheet_f_BCM_Table2_R6_VS">MasterSheet!$H$842</definedName>
    <definedName name="MasterSheet_f_BCM_Table2_VS">MasterSheet!$H$831</definedName>
    <definedName name="MasterSheet_f_BCM_Table4_H1_VS">MasterSheet!$H$854</definedName>
    <definedName name="MasterSheet_f_BCM_Table4_R1_VS">MasterSheet!$H$855</definedName>
    <definedName name="MasterSheet_f_BCM_Table4_R2_VS">MasterSheet!$H$856</definedName>
    <definedName name="MasterSheet_f_BCM_Table4_R3_VS">MasterSheet!$H$857</definedName>
    <definedName name="MasterSheet_f_BCM_Table4_R4_VS">MasterSheet!$H$858</definedName>
    <definedName name="MasterSheet_f_BCM_Table4_R5_VS">MasterSheet!$H$859</definedName>
    <definedName name="MasterSheet_f_BCM_Table4_R6_VS">MasterSheet!$H$860</definedName>
    <definedName name="MasterSheet_f_BCM_Table4_R7_VS">MasterSheet!$H$861</definedName>
    <definedName name="MasterSheet_f_BCM_Table4_R8_VS">MasterSheet!$H$862</definedName>
    <definedName name="MasterSheet_f_BCM_Table4_VS">MasterSheet!$H$853</definedName>
    <definedName name="MasterSheet_f_BCM_Text1_VS">MasterSheet!$H$845</definedName>
    <definedName name="MasterSheet_f_BCM_Text2_VS">MasterSheet!$H$846</definedName>
    <definedName name="MasterSheet_f_BCM_Text3_VS">MasterSheet!$H$847</definedName>
    <definedName name="MasterSheet_f_BCM_Text4_VS">MasterSheet!$H$848</definedName>
    <definedName name="MasterSheet_f_BlankList1">MasterSheet!$AQ$34:$AQ$34</definedName>
    <definedName name="MasterSheet_f_Businesscasen_VS">MasterSheet!$H$827</definedName>
    <definedName name="MasterSheet_f_CFG_FinanskontiV_1_VS">MasterSheet!$H$246</definedName>
    <definedName name="MasterSheet_f_CFG_FinanskontiV_2_VS">MasterSheet!$H$252</definedName>
    <definedName name="MasterSheet_f_CFG_FinanskontiV_3_VS">MasterSheet!$H$258</definedName>
    <definedName name="MasterSheet_f_CFG_FinanskontiV_4_VS">MasterSheet!$H$264</definedName>
    <definedName name="MasterSheet_f_CFG_FinanskontiV_5_VS">MasterSheet!$H$270</definedName>
    <definedName name="MasterSheet_f_CFG_FinanskontiV_6_VS">MasterSheet!$H$276</definedName>
    <definedName name="MasterSheet_f_CFG_FinanskontiV_7_VS">MasterSheet!$H$282</definedName>
    <definedName name="MasterSheet_f_CFG_FinanskontiV_8_VS">MasterSheet!$H$288</definedName>
    <definedName name="MasterSheet_f_CFG_FinanskontiV_9_VS">MasterSheet!$H$294</definedName>
    <definedName name="MasterSheet_f_Cfg_Main1_VS">MasterSheet!$H$213</definedName>
    <definedName name="MasterSheet_f_Cfg_Main1Title_VS">MasterSheet!$H$208</definedName>
    <definedName name="MasterSheet_f_Cfg1Group1_VS">MasterSheet!$H$217</definedName>
    <definedName name="MasterSheet_f_Cfg1Group2_VS">MasterSheet!$H$225</definedName>
    <definedName name="MasterSheet_f_Cfg1Group3_VS">MasterSheet!$H$232</definedName>
    <definedName name="MasterSheet_f_Cfg1Text1a_VS">MasterSheet!$H$214</definedName>
    <definedName name="MasterSheet_f_Cfg1Text1b_VS">MasterSheet!$H$216</definedName>
    <definedName name="MasterSheet_f_Cfg1Text2a_VS">MasterSheet!$H$222</definedName>
    <definedName name="MasterSheet_f_Cfg1Text2b_VS">MasterSheet!$H$224</definedName>
    <definedName name="MasterSheet_f_Cfg1Text3a_VS">MasterSheet!$H$229</definedName>
    <definedName name="MasterSheet_f_Cfg1Text3b_VS">MasterSheet!$H$231</definedName>
    <definedName name="MasterSheet_f_Cfg1Text4a_VS">MasterSheet!$H$236</definedName>
    <definedName name="MasterSheet_f_Cfg1Text4b_VS">MasterSheet!$H$238</definedName>
    <definedName name="MasterSheet_f_CfgGroup1R1_VS">MasterSheet!$H$218</definedName>
    <definedName name="MasterSheet_f_CfgGroup1R2_VS">MasterSheet!$H$219</definedName>
    <definedName name="MasterSheet_f_CfgGroup1R3_VS">MasterSheet!$H$220</definedName>
    <definedName name="MasterSheet_f_CfgGroup2R1_VS">MasterSheet!$H$226</definedName>
    <definedName name="MasterSheet_f_CfgGroup2R2_VS">MasterSheet!$H$227</definedName>
    <definedName name="MasterSheet_f_CfgGroup3R1_VS">MasterSheet!$H$233</definedName>
    <definedName name="MasterSheet_f_CfgGroup3R2_VS">MasterSheet!$H$234</definedName>
    <definedName name="MasterSheet_f_CfgPicLastBkp_VS">MasterSheet!$H$212</definedName>
    <definedName name="MasterSheet_f_currentVersion">MasterSheet!$AQ$19:$AQ$19</definedName>
    <definedName name="MasterSheet_f_debugMode">MasterSheet!$AQ$21:$AQ$21</definedName>
    <definedName name="MasterSheet_f_DriftfprojektCHeader_VS">MasterSheet!$H$1221</definedName>
    <definedName name="MasterSheet_f_DriftfprojektCTable_H1_VS">MasterSheet!$H$1222</definedName>
    <definedName name="MasterSheet_f_DriftfprojektFHeader_VS">MasterSheet!$H$1225</definedName>
    <definedName name="MasterSheet_f_DriftfprojektFTable_H1_VS">MasterSheet!$H$1226</definedName>
    <definedName name="MasterSheet_f_DriftfprojektHeader2_VS">MasterSheet!$H$819</definedName>
    <definedName name="MasterSheet_f_DriftfprojektHeader2H1_VS">MasterSheet!$H$820</definedName>
    <definedName name="MasterSheet_f_DriftfprojektHeader2R1_VS">MasterSheet!$H$821</definedName>
    <definedName name="MasterSheet_f_DriftfprojektMain1_VS">MasterSheet!$H$822</definedName>
    <definedName name="MasterSheet_f_DriftfprojektMain1T1_VS">MasterSheet!$H$823</definedName>
    <definedName name="MasterSheet_f_DriftfprojektMain1T1H1_VS">MasterSheet!$H$824</definedName>
    <definedName name="MasterSheet_f_DriftfprojektMain1T1R1_VS">MasterSheet!$H$826</definedName>
    <definedName name="MasterSheet_f_Driftfremtidigudenprojekt_VS">MasterSheet!$H$772</definedName>
    <definedName name="MasterSheet_f_DriftfremtidigudenprojektC_VS">MasterSheet!$H$1196</definedName>
    <definedName name="MasterSheet_f_DriftfremtidigudenprojektCHeader_VS">MasterSheet!$H$1197</definedName>
    <definedName name="MasterSheet_f_DriftfremtidigudenprojektCTable_H1_VS">MasterSheet!$H$1198</definedName>
    <definedName name="MasterSheet_f_DriftfremtidigudenprojektD_VS">MasterSheet!$H$1200</definedName>
    <definedName name="MasterSheet_f_DriftfremtidigudenprojektDHeader_VS">MasterSheet!$H$1201</definedName>
    <definedName name="MasterSheet_f_DriftfremtidigudenprojektDTable_H1_VS">MasterSheet!$H$1202</definedName>
    <definedName name="MasterSheet_f_DriftfremtidigudenprojektE_VS">MasterSheet!$H$1204</definedName>
    <definedName name="MasterSheet_f_DriftfremtidigudenprojektEHeader_VS">MasterSheet!$H$1205</definedName>
    <definedName name="MasterSheet_f_DriftfremtidigudenprojektETable_H1_VS">MasterSheet!$H$1206</definedName>
    <definedName name="MasterSheet_f_DriftfremtidigudenprojektF_VS">MasterSheet!$H$1232</definedName>
    <definedName name="MasterSheet_f_DriftfremtidigudenprojektFHeader_VS">MasterSheet!$H$1233</definedName>
    <definedName name="MasterSheet_f_DriftfremtidigudenprojektFTable_H1_VS">MasterSheet!$H$1234</definedName>
    <definedName name="MasterSheet_f_DriftfremtidigudenprojektHeader1_VS">MasterSheet!$H$773</definedName>
    <definedName name="MasterSheet_f_DriftfremtidigudenprojektHeader2_VS">MasterSheet!$H$774</definedName>
    <definedName name="MasterSheet_f_DriftfremtidigudenprojektHeader3_VS">MasterSheet!$H$775</definedName>
    <definedName name="MasterSheet_f_DriftfremtidigudenprojektMain1_VS">MasterSheet!$H$776</definedName>
    <definedName name="MasterSheet_f_DriftfremtidigudenprojektMain1T1_VS">MasterSheet!$H$777</definedName>
    <definedName name="MasterSheet_f_DriftfremtidigudenprojektMain1T1H1_VS">MasterSheet!$H$778</definedName>
    <definedName name="MasterSheet_f_DriftfremtidigudenprojektMain1T1R1_VS">MasterSheet!$H$780</definedName>
    <definedName name="MasterSheet_f_DriftfremtidigudenprojektMain2_VS">MasterSheet!$H$781</definedName>
    <definedName name="MasterSheet_f_DriftfremtidigudenprojektMain2S1_VS">MasterSheet!$H$782</definedName>
    <definedName name="MasterSheet_f_DriftfremtidigudenprojektMain2T1_VS">MasterSheet!$H$783</definedName>
    <definedName name="MasterSheet_f_DriftfremtidigudenprojektMain2T1H1_VS">MasterSheet!$H$784</definedName>
    <definedName name="MasterSheet_f_DriftfremtidigudenprojektMain2T1R1_1_VS">MasterSheet!$H$788</definedName>
    <definedName name="MasterSheet_f_DriftfremtidigudenprojektMain3S1_VS">MasterSheet!$H$790</definedName>
    <definedName name="MasterSheet_f_DriftfremtidigudenprojektMain3T1_VS">MasterSheet!$H$791</definedName>
    <definedName name="MasterSheet_f_DriftfremtidigudenprojektMain3T1H1_VS">MasterSheet!$H$792</definedName>
    <definedName name="MasterSheet_f_DriftfremtidigudenprojektMain3T1R1_VS">MasterSheet!$H$794</definedName>
    <definedName name="MasterSheet_f_Driftfrprojekt_VS">MasterSheet!$H$818</definedName>
    <definedName name="MasterSheet_f_DriftfrprojektC_VS">MasterSheet!$H$1220</definedName>
    <definedName name="MasterSheet_f_DriftfrprojektF_VS">MasterSheet!$H$1224</definedName>
    <definedName name="MasterSheet_f_Driftmedprojekt_VS">MasterSheet!$H$795</definedName>
    <definedName name="MasterSheet_f_DriftmedprojektC_VS">MasterSheet!$H$1208</definedName>
    <definedName name="MasterSheet_f_DriftmedprojektCHeader_VS">MasterSheet!$H$1209</definedName>
    <definedName name="MasterSheet_f_DriftmedprojektCTable_H1_VS">MasterSheet!$H$1210</definedName>
    <definedName name="MasterSheet_f_DriftmedprojektD_VS">MasterSheet!$H$1212</definedName>
    <definedName name="MasterSheet_f_DriftmedprojektDHeader_VS">MasterSheet!$H$1213</definedName>
    <definedName name="MasterSheet_f_DriftmedprojektDTable_H1_VS">MasterSheet!$H$1214</definedName>
    <definedName name="MasterSheet_f_DriftmedprojektE_VS">MasterSheet!$H$1216</definedName>
    <definedName name="MasterSheet_f_DriftmedprojektEHeader_VS">MasterSheet!$H$1217</definedName>
    <definedName name="MasterSheet_f_DriftmedprojektETable_H1_VS">MasterSheet!$H$1218</definedName>
    <definedName name="MasterSheet_f_DriftmedprojektF_VS">MasterSheet!$H$1228</definedName>
    <definedName name="MasterSheet_f_DriftmedprojektFHeader_VS">MasterSheet!$H$1229</definedName>
    <definedName name="MasterSheet_f_DriftmedprojektFTable_H1_VS">MasterSheet!$H$1230</definedName>
    <definedName name="MasterSheet_f_DriftmedprojektHeader1_VS">MasterSheet!$H$796</definedName>
    <definedName name="MasterSheet_f_DriftmedprojektHeader2_VS">MasterSheet!$H$797</definedName>
    <definedName name="MasterSheet_f_DriftmedprojektHeader3_VS">MasterSheet!$H$798</definedName>
    <definedName name="MasterSheet_f_DriftmedprojektMain1_VS">MasterSheet!$H$799</definedName>
    <definedName name="MasterSheet_f_DriftmedprojektMain1T1_VS">MasterSheet!$H$800</definedName>
    <definedName name="MasterSheet_f_DriftmedprojektMain1T1H1_VS">MasterSheet!$H$801</definedName>
    <definedName name="MasterSheet_f_DriftmedprojektMain1T1R1_VS">MasterSheet!$H$803</definedName>
    <definedName name="MasterSheet_f_DriftmedprojektMain2_VS">MasterSheet!$H$804</definedName>
    <definedName name="MasterSheet_f_DriftmedprojektMain2S1_VS">MasterSheet!$H$805</definedName>
    <definedName name="MasterSheet_f_DriftmedprojektMain2T1_VS">MasterSheet!$H$806</definedName>
    <definedName name="MasterSheet_f_DriftmedprojektMain2T1H1_VS">MasterSheet!$H$807</definedName>
    <definedName name="MasterSheet_f_DriftmedprojektMain2T1R1_1_VS">MasterSheet!$H$811</definedName>
    <definedName name="MasterSheet_f_DriftmedprojektMain3S1_VS">MasterSheet!$H$813</definedName>
    <definedName name="MasterSheet_f_DriftmedprojektMain3T1_VS">MasterSheet!$H$814</definedName>
    <definedName name="MasterSheet_f_DriftmedprojektMain3T1H1_VS">MasterSheet!$H$815</definedName>
    <definedName name="MasterSheet_f_DriftmedprojektMain3T1R1_VS">MasterSheet!$H$817</definedName>
    <definedName name="MasterSheet_f_Forside_VS">MasterSheet!$H$303</definedName>
    <definedName name="MasterSheet_f_FP_Cfg1Text4b_VS">MasterSheet!$H$391</definedName>
    <definedName name="MasterSheet_f_FP_CfgGroup1_VS">MasterSheet!$H$370</definedName>
    <definedName name="MasterSheet_f_FP_CfgGroup1R1_VS">MasterSheet!$H$371</definedName>
    <definedName name="MasterSheet_f_FP_CfgGroup1R2_VS">MasterSheet!$H$372</definedName>
    <definedName name="MasterSheet_f_FP_CfgGroup1R3_VS">MasterSheet!$H$373</definedName>
    <definedName name="MasterSheet_f_FP_CfgGroup2_VS">MasterSheet!$H$378</definedName>
    <definedName name="MasterSheet_f_FP_CfgGroup2R1_VS">MasterSheet!$H$379</definedName>
    <definedName name="MasterSheet_f_FP_CfgGroup2R2_VS">MasterSheet!$H$380</definedName>
    <definedName name="MasterSheet_f_FP_CfgGroup3_VS">MasterSheet!$H$385</definedName>
    <definedName name="MasterSheet_f_FP_CfgGroup3R1_VS">MasterSheet!$H$386</definedName>
    <definedName name="MasterSheet_f_FP_CfgGroup3R2_VS">MasterSheet!$H$387</definedName>
    <definedName name="MasterSheet_f_FP_CfgText1a_VS">MasterSheet!$H$367</definedName>
    <definedName name="MasterSheet_f_FP_CfgText1b_VS">MasterSheet!$H$369</definedName>
    <definedName name="MasterSheet_f_FP_CfgText2a_VS">MasterSheet!$H$375</definedName>
    <definedName name="MasterSheet_f_FP_CfgText2b_VS">MasterSheet!$H$377</definedName>
    <definedName name="MasterSheet_f_FP_CfgText3a_VS">MasterSheet!$H$382</definedName>
    <definedName name="MasterSheet_f_FP_CfgText3b_VS">MasterSheet!$H$384</definedName>
    <definedName name="MasterSheet_f_FP_CfgText4a_VS">MasterSheet!$H$389</definedName>
    <definedName name="MasterSheet_f_FP_Finanskonti_1_VS">MasterSheet!$H$399</definedName>
    <definedName name="MasterSheet_f_FP_Finanskonti_2_VS">MasterSheet!$H$405</definedName>
    <definedName name="MasterSheet_f_FP_Finanskonti_3_VS">MasterSheet!$H$411</definedName>
    <definedName name="MasterSheet_f_FP_Finanskonti_4_VS">MasterSheet!$H$417</definedName>
    <definedName name="MasterSheet_f_FP_Finanskonti_5_VS">MasterSheet!$H$423</definedName>
    <definedName name="MasterSheet_f_FP_Finanskonti_6_VS">MasterSheet!$H$429</definedName>
    <definedName name="MasterSheet_f_FP_Finanskonti_7_VS">MasterSheet!$H$435</definedName>
    <definedName name="MasterSheet_f_FP_Finanskonti_8_VS">MasterSheet!$H$441</definedName>
    <definedName name="MasterSheet_f_FP_Finanskonti_9_VS">MasterSheet!$H$447</definedName>
    <definedName name="MasterSheet_f_FP_Gevinstejer_1_VS">MasterSheet!$H$531</definedName>
    <definedName name="MasterSheet_f_FP_GevinstejerTxt1_VS">MasterSheet!$H$523</definedName>
    <definedName name="MasterSheet_f_FP_Main1_VS">MasterSheet!$H$309</definedName>
    <definedName name="MasterSheet_f_FP_Main1BCtype_VS">MasterSheet!$H$366</definedName>
    <definedName name="MasterSheet_f_FP_Main1Gevinstejere_VS">MasterSheet!$H$522</definedName>
    <definedName name="MasterSheet_f_FP_Main1IOKVar_VS">MasterSheet!$H$505</definedName>
    <definedName name="MasterSheet_f_FP_Main1IOKVarTable_H1_VS">MasterSheet!$H$507</definedName>
    <definedName name="MasterSheet_f_FP_Main1IOKVarTable_V_1_VS">MasterSheet!$H$514</definedName>
    <definedName name="MasterSheet_f_FP_Main1IOKVarTable_VS">MasterSheet!$H$506</definedName>
    <definedName name="MasterSheet_f_FP_Main1Omkost_VS">MasterSheet!$H$577</definedName>
    <definedName name="MasterSheet_f_FP_Main1OmkostEY_1_VS">MasterSheet!$H$620</definedName>
    <definedName name="MasterSheet_f_FP_Main1OmkostIY_1_VS">MasterSheet!$H$605</definedName>
    <definedName name="MasterSheet_f_FP_Main1OmkostQ1_VS">MasterSheet!$H$578</definedName>
    <definedName name="MasterSheet_f_FP_Main1OmkostSY_1_VS">MasterSheet!$H$590</definedName>
    <definedName name="MasterSheet_f_FP_Main1OmkostTable_1_VS">MasterSheet!$H$647</definedName>
    <definedName name="MasterSheet_f_FP_Main1OmkostTableH1_1_VS">MasterSheet!$H$648</definedName>
    <definedName name="MasterSheet_f_FP_Main1OmkostTableH10_1_VS">MasterSheet!$H$657</definedName>
    <definedName name="MasterSheet_f_FP_Main1OmkostTableH11_1_VS">MasterSheet!$H$658</definedName>
    <definedName name="MasterSheet_f_FP_Main1OmkostTableH12_1_VS">MasterSheet!$H$659</definedName>
    <definedName name="MasterSheet_f_FP_Main1OmkostTableH13_1_VS">MasterSheet!$H$660</definedName>
    <definedName name="MasterSheet_f_FP_Main1OmkostTableH14_1_VS">MasterSheet!$H$661</definedName>
    <definedName name="MasterSheet_f_FP_Main1OmkostTableH2_1_VS">MasterSheet!$H$649</definedName>
    <definedName name="MasterSheet_f_FP_Main1OmkostTableH3_1_VS">MasterSheet!$H$650</definedName>
    <definedName name="MasterSheet_f_FP_Main1OmkostTableH4_1_VS">MasterSheet!$H$651</definedName>
    <definedName name="MasterSheet_f_FP_Main1OmkostTableH5_1_VS">MasterSheet!$H$652</definedName>
    <definedName name="MasterSheet_f_FP_Main1OmkostTableH6_1_VS">MasterSheet!$H$653</definedName>
    <definedName name="MasterSheet_f_FP_Main1OmkostTableH7_1_VS">MasterSheet!$H$654</definedName>
    <definedName name="MasterSheet_f_FP_Main1OmkostTableH8_1_VS">MasterSheet!$H$655</definedName>
    <definedName name="MasterSheet_f_FP_Main1OmkostTableH9_1_VS">MasterSheet!$H$656</definedName>
    <definedName name="MasterSheet_f_FP_Main1PloY_VS">MasterSheet!$H$667</definedName>
    <definedName name="MasterSheet_f_FP_Main1Projecter_VS">MasterSheet!$H$540</definedName>
    <definedName name="MasterSheet_f_FP_Main1RisciTable_H1_VS">MasterSheet!$H$486</definedName>
    <definedName name="MasterSheet_f_FP_Main1RisciTable_V_1_VS">MasterSheet!$H$493</definedName>
    <definedName name="MasterSheet_f_FP_Main1RisciTable_V_2_VS">MasterSheet!$H$498</definedName>
    <definedName name="MasterSheet_f_FP_Main1RisciTable_VS">MasterSheet!$H$485</definedName>
    <definedName name="MasterSheet_f_FP_Main1Risici_VS">MasterSheet!$H$484</definedName>
    <definedName name="MasterSheet_f_FP_Main1Tidsplan_VS">MasterSheet!$H$455</definedName>
    <definedName name="MasterSheet_f_FP_Main1TidsplanTable_1_VS">MasterSheet!$H$470</definedName>
    <definedName name="MasterSheet_f_FP_Main1TidsplanTable_C1_1_VS">MasterSheet!$H$472</definedName>
    <definedName name="MasterSheet_f_FP_Main1TidsplanTable_C2_1_VS">MasterSheet!$H$473</definedName>
    <definedName name="MasterSheet_f_FP_Main1TidsplanTable_C3_1_VS">MasterSheet!$H$474</definedName>
    <definedName name="MasterSheet_f_FP_Main1TidsplanTable_C4_1_VS">MasterSheet!$H$475</definedName>
    <definedName name="MasterSheet_f_FP_Main1TidsplanTable_C5_1_VS">MasterSheet!$H$476</definedName>
    <definedName name="MasterSheet_f_FP_Main1TidsplanTable_C6_1_VS">MasterSheet!$H$477</definedName>
    <definedName name="MasterSheet_f_FP_Main1TidsplanTable_C7_1_VS">MasterSheet!$H$478</definedName>
    <definedName name="MasterSheet_f_FP_Main1TidsplanTable_H1_1_VS">MasterSheet!$H$471</definedName>
    <definedName name="MasterSheet_f_FP_Main1Udgift_VS">MasterSheet!$H$560</definedName>
    <definedName name="MasterSheet_f_FP_Main1Version_H1_VS">MasterSheet!$H$682</definedName>
    <definedName name="MasterSheet_f_FP_Main1Version_VS">MasterSheet!$H$680</definedName>
    <definedName name="MasterSheet_f_FP_Main1VersionTable_V_1_VS">MasterSheet!$H$689</definedName>
    <definedName name="MasterSheet_f_FP_Main1VersionTable_VS">MasterSheet!$H$681</definedName>
    <definedName name="MasterSheet_f_FP_Main2_VS">MasterSheet!$H$696</definedName>
    <definedName name="MasterSheet_f_FP_Main2Sub1_VS">MasterSheet!$H$698</definedName>
    <definedName name="MasterSheet_f_FP_Main2Sub1Pic1_VS">MasterSheet!$H$700</definedName>
    <definedName name="MasterSheet_f_FP_Main2Sub1Text1_VS">MasterSheet!$H$699</definedName>
    <definedName name="MasterSheet_f_FP_Main2Sub1Text2_VS">MasterSheet!$H$701</definedName>
    <definedName name="MasterSheet_f_FP_Main2Sub2_VS">MasterSheet!$H$702</definedName>
    <definedName name="MasterSheet_f_FP_Main2Sub2Text0_VS">MasterSheet!$H$705</definedName>
    <definedName name="MasterSheet_f_FP_Main2Sub2Text1_VS">MasterSheet!$H$703</definedName>
    <definedName name="MasterSheet_f_FP_Main2Sub3_VS">MasterSheet!$H$704</definedName>
    <definedName name="MasterSheet_f_FP_Main2Sub4_VS">MasterSheet!$H$706</definedName>
    <definedName name="MasterSheet_f_FP_Main2Sub4Text1_VS">MasterSheet!$H$707</definedName>
    <definedName name="MasterSheet_f_FP_Main2Sub5_VS">MasterSheet!$H$708</definedName>
    <definedName name="MasterSheet_f_FP_Main2Sub5Text1_VS">MasterSheet!$H$709</definedName>
    <definedName name="MasterSheet_f_FP_Main2Sub6_VS">MasterSheet!$H$710</definedName>
    <definedName name="MasterSheet_f_FP_Main2Sub6Text1_VS">MasterSheet!$H$711</definedName>
    <definedName name="MasterSheet_f_FP_Main2Text1_VS">MasterSheet!$H$697</definedName>
    <definedName name="MasterSheet_f_FP_OmkostGroup1_VS">MasterSheet!$H$579</definedName>
    <definedName name="MasterSheet_f_FP_OmkostGroup1Chk1_VS">MasterSheet!$H$580</definedName>
    <definedName name="MasterSheet_f_FP_OmkostTxt1_VS">MasterSheet!$H$582</definedName>
    <definedName name="MasterSheet_f_FP_OmkostTxt2_VS">MasterSheet!$H$597</definedName>
    <definedName name="MasterSheet_f_FP_OmkostTxt3_VS">MasterSheet!$H$612</definedName>
    <definedName name="MasterSheet_f_FP_PloYRepY_1_VS">MasterSheet!$H$674</definedName>
    <definedName name="MasterSheet_f_FP_Projekter_1_VS">MasterSheet!$H$548</definedName>
    <definedName name="MasterSheet_f_FP_Projekter_2_VS">MasterSheet!$H$553</definedName>
    <definedName name="MasterSheet_f_FP_ProjekterTxt1_VS">MasterSheet!$H$541</definedName>
    <definedName name="MasterSheet_f_FP_StamdataG1_VS">MasterSheet!$H$353</definedName>
    <definedName name="MasterSheet_f_FP_StamdataG1R1_VS">MasterSheet!$H$354</definedName>
    <definedName name="MasterSheet_f_FP_StamdataG1R2_VS">MasterSheet!$H$355</definedName>
    <definedName name="MasterSheet_f_FP_StamdataG1R3_VS">MasterSheet!$H$356</definedName>
    <definedName name="MasterSheet_f_FP_StamdataG2_VS">MasterSheet!$H$360</definedName>
    <definedName name="MasterSheet_f_FP_StamdataG2R1_VS">MasterSheet!$H$361</definedName>
    <definedName name="MasterSheet_f_FP_StamdataG2R2_VS">MasterSheet!$H$362</definedName>
    <definedName name="MasterSheet_f_FP_StamdataG2R3_VS">MasterSheet!$H$363</definedName>
    <definedName name="MasterSheet_f_FP_StamdataG2R4_VS">MasterSheet!$H$364</definedName>
    <definedName name="MasterSheet_f_FP_StamdataG2R5_VS">MasterSheet!$H$365</definedName>
    <definedName name="MasterSheet_f_FP_StamdataMain1_VS">MasterSheet!$H$310</definedName>
    <definedName name="MasterSheet_f_FP_StamdataT1_1_VS">MasterSheet!$H$317</definedName>
    <definedName name="MasterSheet_f_FP_StamdataT2_1_VS">MasterSheet!$H$331</definedName>
    <definedName name="MasterSheet_f_FP_StamdataT2Obs_1_VS">MasterSheet!$H$336</definedName>
    <definedName name="MasterSheet_f_FP_StamdataT3_1_VS">MasterSheet!$H$345</definedName>
    <definedName name="MasterSheet_f_FP_StamdataT4_VS">MasterSheet!$H$352</definedName>
    <definedName name="MasterSheet_f_FP_StamdataT5_VS">MasterSheet!$H$358</definedName>
    <definedName name="MasterSheet_f_FP_StamdataT5Obs_VS">MasterSheet!$H$359</definedName>
    <definedName name="MasterSheet_f_FP_Udgifts_1_VS">MasterSheet!$H$569</definedName>
    <definedName name="MasterSheet_f_FP_UdgiftTxt1_VS">MasterSheet!$H$561</definedName>
    <definedName name="MasterSheet_f_HiddenSheets">MasterSheet!$AQ$45:$AQ$45</definedName>
    <definedName name="MasterSheet_f_IkoName">MasterSheet!$AQ$42:$AQ$42</definedName>
    <definedName name="MasterSheet_f_Konfiguration_VS">MasterSheet!$H$207</definedName>
    <definedName name="MasterSheet_f_KonfigurationStartBtn_VS">MasterSheet!$H$302</definedName>
    <definedName name="MasterSheet_f_lastSaved">MasterSheet!$AQ$23:$AQ$23</definedName>
    <definedName name="MasterSheet_f_Main1_VS">MasterSheet!$H$86</definedName>
    <definedName name="MasterSheet_f_Main1Group1_VS">MasterSheet!$H$89</definedName>
    <definedName name="MasterSheet_f_Main1Group1Chk1_VS">MasterSheet!$H$88</definedName>
    <definedName name="MasterSheet_f_Main1Group1R1_VS">MasterSheet!$H$90</definedName>
    <definedName name="MasterSheet_f_Main1Group1R2_VS">MasterSheet!$H$91</definedName>
    <definedName name="MasterSheet_f_Main1Group2_VS">MasterSheet!$H$95</definedName>
    <definedName name="MasterSheet_f_Main1Group2Chk1_VS">MasterSheet!$H$94</definedName>
    <definedName name="MasterSheet_f_Main1Group2R1_VS">MasterSheet!$H$96</definedName>
    <definedName name="MasterSheet_f_Main1Group2R2_VS">MasterSheet!$H$97</definedName>
    <definedName name="MasterSheet_f_Main1Group3_VS">MasterSheet!$H$101</definedName>
    <definedName name="MasterSheet_f_Main1Group3Chk1_VS">MasterSheet!$H$100</definedName>
    <definedName name="MasterSheet_f_Main1Group3R1_VS">MasterSheet!$H$102</definedName>
    <definedName name="MasterSheet_f_Main1Group3R2_VS">MasterSheet!$H$103</definedName>
    <definedName name="MasterSheet_f_Main1Group4_VS">MasterSheet!$H$107</definedName>
    <definedName name="MasterSheet_f_Main1Group4Chk1_VS">MasterSheet!$H$106</definedName>
    <definedName name="MasterSheet_f_Main1Group4R1_VS">MasterSheet!$H$108</definedName>
    <definedName name="MasterSheet_f_Main1Group4R2_VS">MasterSheet!$H$109</definedName>
    <definedName name="MasterSheet_f_Main1Group5_VS">MasterSheet!$H$113</definedName>
    <definedName name="MasterSheet_f_Main1Group5Chk1_VS">MasterSheet!$H$112</definedName>
    <definedName name="MasterSheet_f_Main1Group5R1_VS">MasterSheet!$H$114</definedName>
    <definedName name="MasterSheet_f_Main1Group5R2_VS">MasterSheet!$H$115</definedName>
    <definedName name="MasterSheet_f_Main1Group6_VS">MasterSheet!$H$119</definedName>
    <definedName name="MasterSheet_f_Main1Group6Chk1_VS">MasterSheet!$H$118</definedName>
    <definedName name="MasterSheet_f_Main1Group6R1_VS">MasterSheet!$H$120</definedName>
    <definedName name="MasterSheet_f_Main1Group6R2_VS">MasterSheet!$H$121</definedName>
    <definedName name="MasterSheet_f_Main1Group7_VS">MasterSheet!$H$125</definedName>
    <definedName name="MasterSheet_f_Main1Group7Chk1_VS">MasterSheet!$H$124</definedName>
    <definedName name="MasterSheet_f_Main1Group7R1_VS">MasterSheet!$H$126</definedName>
    <definedName name="MasterSheet_f_Main1Group7R2_VS">MasterSheet!$H$127</definedName>
    <definedName name="MasterSheet_f_Main1Text1_VS">MasterSheet!$H$87</definedName>
    <definedName name="MasterSheet_f_Main1Text2_VS">MasterSheet!$H$93</definedName>
    <definedName name="MasterSheet_f_Main1Text3_VS">MasterSheet!$H$99</definedName>
    <definedName name="MasterSheet_f_Main1Text4_VS">MasterSheet!$H$105</definedName>
    <definedName name="MasterSheet_f_Main1Text5_VS">MasterSheet!$H$111</definedName>
    <definedName name="MasterSheet_f_Main1Text6_VS">MasterSheet!$H$117</definedName>
    <definedName name="MasterSheet_f_Main1Text7_VS">MasterSheet!$H$123</definedName>
    <definedName name="MasterSheet_f_Main1Title_VS">MasterSheet!$H$81</definedName>
    <definedName name="MasterSheet_f_MainPicLastBkp_VS">MasterSheet!$H$85</definedName>
    <definedName name="MasterSheet_f_NogletalName">MasterSheet!$AQ$44:$AQ$44</definedName>
    <definedName name="MasterSheet_f_NPVDiscount">MasterSheet!$AQ$35:$AQ$35</definedName>
    <definedName name="MasterSheet_f_Ok_VS">MasterSheet!$H$305</definedName>
    <definedName name="MasterSheet_f_OkoName">MasterSheet!$AQ$41:$AQ$41</definedName>
    <definedName name="MasterSheet_f_Old_VS">MasterSheet!$H$306</definedName>
    <definedName name="MasterSheet_f_OvpName">MasterSheet!$AQ$43:$AQ$43</definedName>
    <definedName name="MasterSheet_f_Programudgifter_VS">MasterSheet!$H$746</definedName>
    <definedName name="MasterSheet_f_ProgramudgifterC_VS">MasterSheet!$H$1192</definedName>
    <definedName name="MasterSheet_f_ProgramudgifterCHeader_VS">MasterSheet!$H$1193</definedName>
    <definedName name="MasterSheet_f_ProgramudgifterCTable_H1_VS">MasterSheet!$H$1194</definedName>
    <definedName name="MasterSheet_f_ProgramudgifterF_VS">MasterSheet!$H$1240</definedName>
    <definedName name="MasterSheet_f_ProgramudgifterFHeader_VS">MasterSheet!$H$1241</definedName>
    <definedName name="MasterSheet_f_ProgramudgifterFTable_H1_VS">MasterSheet!$H$1242</definedName>
    <definedName name="MasterSheet_f_ProgramudgifterHeader_VS">MasterSheet!$H$747</definedName>
    <definedName name="MasterSheet_f_ProgramudgifterHeader3_VS">MasterSheet!$H$748</definedName>
    <definedName name="MasterSheet_f_ProgramudgifterMain1_VS">MasterSheet!$H$749</definedName>
    <definedName name="MasterSheet_f_ProgramudgifterMain1T1_VS">MasterSheet!$H$750</definedName>
    <definedName name="MasterSheet_f_ProgramudgifterMain1T1H1_VS">MasterSheet!$H$751</definedName>
    <definedName name="MasterSheet_f_ProgramudgifterMain1T1R1_VS">MasterSheet!$H$753</definedName>
    <definedName name="MasterSheet_f_ProgramudgifterMain2_VS">MasterSheet!$H$754</definedName>
    <definedName name="MasterSheet_f_ProgramudgifterMain3T1_1_VS">MasterSheet!$H$762</definedName>
    <definedName name="MasterSheet_f_ProgramudgifterMain3T1_2_VS">MasterSheet!$H$767</definedName>
    <definedName name="MasterSheet_f_ProgramudgifterMain3T1H1_1_VS">MasterSheet!$H$763</definedName>
    <definedName name="MasterSheet_f_ProgramudgifterMain3T1H1_2_VS">MasterSheet!$H$768</definedName>
    <definedName name="MasterSheet_f_ProgramudgifterMain3T1R1_1_VS">MasterSheet!$H$765</definedName>
    <definedName name="MasterSheet_f_ProgramudgifterMain3T1R1_2_VS">MasterSheet!$H$770</definedName>
    <definedName name="MasterSheet_f_ProjectsFS_Holder_VS">MasterSheet!$H$539</definedName>
    <definedName name="MasterSheet_f_Projektudgifter_VS">MasterSheet!$H$712</definedName>
    <definedName name="MasterSheet_f_ProjektudgifterC_VS">MasterSheet!$H$1188</definedName>
    <definedName name="MasterSheet_f_ProjektudgifterCHeader_VS">MasterSheet!$H$1189</definedName>
    <definedName name="MasterSheet_f_ProjektudgifterCTable_H1_VS">MasterSheet!$H$1190</definedName>
    <definedName name="MasterSheet_f_ProjektudgifterF_VS">MasterSheet!$H$1236</definedName>
    <definedName name="MasterSheet_f_ProjektudgifterFHeader_VS">MasterSheet!$H$1237</definedName>
    <definedName name="MasterSheet_f_ProjektudgifterFTable_H1_VS">MasterSheet!$H$1238</definedName>
    <definedName name="MasterSheet_f_ProjektudgifterHeader_VS">MasterSheet!$H$713</definedName>
    <definedName name="MasterSheet_f_ProjektudgifterHeader3_VS">MasterSheet!$H$714</definedName>
    <definedName name="MasterSheet_f_ProjektudgifterMain1_VS">MasterSheet!$H$715</definedName>
    <definedName name="MasterSheet_f_ProjektudgifterMain1T1_VS">MasterSheet!$H$716</definedName>
    <definedName name="MasterSheet_f_ProjektudgifterMain1T1H1_VS">MasterSheet!$H$717</definedName>
    <definedName name="MasterSheet_f_ProjektudgifterMain1T1R1_VS">MasterSheet!$H$719</definedName>
    <definedName name="MasterSheet_f_ProjektudgifterMain2_VS">MasterSheet!$H$720</definedName>
    <definedName name="MasterSheet_f_ProjektudgifterMain2S1_VS">MasterSheet!$H$721</definedName>
    <definedName name="MasterSheet_f_ProjektudgifterMain2S2_VS">MasterSheet!$H$726</definedName>
    <definedName name="MasterSheet_f_ProjektudgifterMain2S3_VS">MasterSheet!$H$731</definedName>
    <definedName name="MasterSheet_f_ProjektudgifterMain2S4_VS">MasterSheet!$H$736</definedName>
    <definedName name="MasterSheet_f_ProjektudgifterMain2S5_VS">MasterSheet!$H$741</definedName>
    <definedName name="MasterSheet_f_ProjektudgifterMain2T1_VS">MasterSheet!$H$722</definedName>
    <definedName name="MasterSheet_f_ProjektudgifterMain2T1H1_VS">MasterSheet!$H$723</definedName>
    <definedName name="MasterSheet_f_ProjektudgifterMain2T1R1_VS">MasterSheet!$H$725</definedName>
    <definedName name="MasterSheet_f_ProjektudgifterMain2T2_VS">MasterSheet!$H$727</definedName>
    <definedName name="MasterSheet_f_ProjektudgifterMain2T2H1_VS">MasterSheet!$H$728</definedName>
    <definedName name="MasterSheet_f_ProjektudgifterMain2T2R1_VS">MasterSheet!$H$730</definedName>
    <definedName name="MasterSheet_f_ProjektudgifterMain2T3_VS">MasterSheet!$H$732</definedName>
    <definedName name="MasterSheet_f_ProjektudgifterMain2T3H1_VS">MasterSheet!$H$733</definedName>
    <definedName name="MasterSheet_f_ProjektudgifterMain2T3R1_VS">MasterSheet!$H$735</definedName>
    <definedName name="MasterSheet_f_ProjektudgifterMain2T4_VS">MasterSheet!$H$737</definedName>
    <definedName name="MasterSheet_f_ProjektudgifterMain2T4H1_VS">MasterSheet!$H$738</definedName>
    <definedName name="MasterSheet_f_ProjektudgifterMain2T4R1_VS">MasterSheet!$H$740</definedName>
    <definedName name="MasterSheet_f_ProjektudgifterMain2T5_VS">MasterSheet!$H$742</definedName>
    <definedName name="MasterSheet_f_ProjektudgifterMain2T5H1_VS">MasterSheet!$H$743</definedName>
    <definedName name="MasterSheet_f_ProjektudgifterMain2T5R1_VS">MasterSheet!$H$745</definedName>
    <definedName name="MasterSheet_f_ProjInProgrFP_Holder_VS">MasterSheet!$H$521</definedName>
    <definedName name="MasterSheet_f_RibbonPointer">MasterSheet!$AQ$22</definedName>
    <definedName name="MasterSheet_f_RiskPrimaryPercentage">MasterSheet!$AQ$37:$AQ$37</definedName>
    <definedName name="MasterSheet_f_serverVersion">MasterSheet!$AQ$20:$AQ$20</definedName>
    <definedName name="MasterSheet_f_SP_Main1_VS">MasterSheet!$H$144</definedName>
    <definedName name="MasterSheet_f_SP_Main2_VS">MasterSheet!$H$128</definedName>
    <definedName name="MasterSheet_f_SP_Main2Sub1_VS">MasterSheet!$H$130</definedName>
    <definedName name="MasterSheet_f_SP_Main2Sub1Pic1_VS">MasterSheet!$H$132</definedName>
    <definedName name="MasterSheet_f_SP_Main2Sub1Text1_VS">MasterSheet!$H$131</definedName>
    <definedName name="MasterSheet_f_SP_Main2Sub1Text2_VS">MasterSheet!$H$133</definedName>
    <definedName name="MasterSheet_f_SP_Main2Sub2_VS">MasterSheet!$H$134</definedName>
    <definedName name="MasterSheet_f_SP_Main2Sub2Text0_VS">MasterSheet!$H$137</definedName>
    <definedName name="MasterSheet_f_SP_Main2Sub2Text1_VS">MasterSheet!$H$135</definedName>
    <definedName name="MasterSheet_f_SP_Main2Sub3_VS">MasterSheet!$H$136</definedName>
    <definedName name="MasterSheet_f_SP_Main2Sub4_VS">MasterSheet!$H$138</definedName>
    <definedName name="MasterSheet_f_SP_Main2Sub4Text1_VS">MasterSheet!$H$139</definedName>
    <definedName name="MasterSheet_f_SP_Main2Sub5_VS">MasterSheet!$H$140</definedName>
    <definedName name="MasterSheet_f_SP_Main2Sub5Text1_VS">MasterSheet!$H$141</definedName>
    <definedName name="MasterSheet_f_SP_Main2Sub6_VS">MasterSheet!$H$142</definedName>
    <definedName name="MasterSheet_f_SP_Main2Sub6Text1_VS">MasterSheet!$H$143</definedName>
    <definedName name="MasterSheet_f_SP_Main2Text1_VS">MasterSheet!$H$129</definedName>
    <definedName name="MasterSheet_f_SP_Main3Group2_VS">MasterSheet!$H$192</definedName>
    <definedName name="MasterSheet_f_SP_Main3Group3_VS">MasterSheet!$H$199</definedName>
    <definedName name="MasterSheet_f_SP_StamdataMain1_VS">MasterSheet!$H$145</definedName>
    <definedName name="MasterSheet_f_SP_StamdataT1_1_VS">MasterSheet!$H$153</definedName>
    <definedName name="MasterSheet_f_SP_StamdataT1Obs_1_VS">MasterSheet!$H$158</definedName>
    <definedName name="MasterSheet_f_SP_StamdataT2_1_VS">MasterSheet!$H$168</definedName>
    <definedName name="MasterSheet_f_SP_StamdataT2Obs_1_VS">MasterSheet!$H$173</definedName>
    <definedName name="MasterSheet_f_SP_StamdataT3_1_VS">MasterSheet!$H$183</definedName>
    <definedName name="MasterSheet_f_SP_StamdataT3Obs_1_VS">MasterSheet!$H$188</definedName>
    <definedName name="MasterSheet_f_SP_StamdataT4_VS">MasterSheet!$H$191</definedName>
    <definedName name="MasterSheet_f_SP_StamdataT4Chk1_VS">MasterSheet!$H$193</definedName>
    <definedName name="MasterSheet_f_SP_StamdataT4Chk2_VS">MasterSheet!$H$194</definedName>
    <definedName name="MasterSheet_f_SP_StamdataT4Chk3_VS">MasterSheet!$H$195</definedName>
    <definedName name="MasterSheet_f_SP_StamdataT5_VS">MasterSheet!$H$197</definedName>
    <definedName name="MasterSheet_f_SP_StamdataT5Chk1_VS">MasterSheet!$H$200</definedName>
    <definedName name="MasterSheet_f_SP_StamdataT5Chk2_VS">MasterSheet!$H$201</definedName>
    <definedName name="MasterSheet_f_SP_StamdataT5Chk3_VS">MasterSheet!$H$202</definedName>
    <definedName name="MasterSheet_f_SP_StamdataT5Chk4_VS">MasterSheet!$H$203</definedName>
    <definedName name="MasterSheet_f_SP_StamdataT5Chk5_VS">MasterSheet!$H$204</definedName>
    <definedName name="MasterSheet_f_SP_StamdataT5Obs_VS">MasterSheet!$H$198</definedName>
    <definedName name="MasterSheet_f_SP_StartBtn_VS">MasterSheet!$H$206</definedName>
    <definedName name="MasterSheet_f_Startside_VS">MasterSheet!$H$80</definedName>
    <definedName name="MasterSheet_f_StartsideBackup_VS">MasterSheet!$H$308</definedName>
    <definedName name="MasterSheet_f_StartsideTitle_VS">MasterSheet!$H$304</definedName>
    <definedName name="MasterSheet_f_subcat1_VS">MasterSheet!$H$850</definedName>
    <definedName name="MasterSheet_f_subcat10_VS">MasterSheet!$H$975</definedName>
    <definedName name="MasterSheet_f_subcat11_VS">MasterSheet!$H$983</definedName>
    <definedName name="MasterSheet_f_subcat12_VS">MasterSheet!$H$994</definedName>
    <definedName name="MasterSheet_f_subcat13_VS">MasterSheet!$H$1006</definedName>
    <definedName name="MasterSheet_f_subcat14_VS">MasterSheet!$H$1032</definedName>
    <definedName name="MasterSheet_f_subcat15_VS">MasterSheet!$H$1049</definedName>
    <definedName name="MasterSheet_f_subcat16_VS">MasterSheet!$H$1063</definedName>
    <definedName name="MasterSheet_f_subcat17_VS">MasterSheet!$H$1113</definedName>
    <definedName name="MasterSheet_f_subcat18_VS">MasterSheet!$H$1118</definedName>
    <definedName name="MasterSheet_f_subcat19_VS">MasterSheet!$H$1180</definedName>
    <definedName name="MasterSheet_f_subcat2_VS">MasterSheet!$H$866</definedName>
    <definedName name="MasterSheet_f_subcat3_VS">MasterSheet!$H$883</definedName>
    <definedName name="MasterSheet_f_subcat4_VS">MasterSheet!$H$903</definedName>
    <definedName name="MasterSheet_f_subcat5_VS">MasterSheet!$H$913</definedName>
    <definedName name="MasterSheet_f_subcat6a_VS">MasterSheet!$H$925</definedName>
    <definedName name="MasterSheet_f_subcat6b_VS">MasterSheet!$H$938</definedName>
    <definedName name="MasterSheet_f_subcat7_VS">MasterSheet!$H$949</definedName>
    <definedName name="MasterSheet_f_subcat8_VS">MasterSheet!$H$957</definedName>
    <definedName name="MasterSheet_f_Unknown_VS">MasterSheet!$H$307</definedName>
    <definedName name="MasterSheet_Repeater_CFG_Finanskonti">MasterSheet!$AQ$239:$AY$239</definedName>
    <definedName name="MasterSheet_Repeater_Finanskonti">MasterSheet!$AQ$392:$AY$392</definedName>
    <definedName name="MasterSheet_Repeater_FP_StamdataT1Rep">MasterSheet!$AQ$311:$AQ$311</definedName>
    <definedName name="MasterSheet_Repeater_FP_StamdataT2Rep">MasterSheet!$AQ$324:$AQ$324</definedName>
    <definedName name="MasterSheet_Repeater_FP_StamdataT3Rep">MasterSheet!$AQ$339:$AQ$339</definedName>
    <definedName name="MasterSheet_Repeater_Gevinstejer">MasterSheet!$AQ$524:$AQ$524</definedName>
    <definedName name="MasterSheet_Repeater_Hoveds1">MasterSheet!$AQ$1013:$AQ$1013</definedName>
    <definedName name="MasterSheet_Repeater_Hoveds2">MasterSheet!$AQ$1024:$AQ$1024</definedName>
    <definedName name="MasterSheet_Repeater_IOKVar">MasterSheet!$AQ$508:$AQ$508</definedName>
    <definedName name="MasterSheet_Repeater_OmkosEY">MasterSheet!$AQ$613:$AQ$613</definedName>
    <definedName name="MasterSheet_Repeater_OmkostIY">MasterSheet!$AQ$598:$AQ$598</definedName>
    <definedName name="MasterSheet_Repeater_OmkostSY">MasterSheet!$AQ$583:$AQ$583</definedName>
    <definedName name="MasterSheet_Repeater_OmkostTable">MasterSheet!$AQ$627:$AZ$627</definedName>
    <definedName name="MasterSheet_Repeater_PloYRep">MasterSheet!$AQ$668:$AQ$668</definedName>
    <definedName name="MasterSheet_Repeater_Projekter">MasterSheet!$AQ$542:$AR$542</definedName>
    <definedName name="MasterSheet_Repeater_Risci">MasterSheet!$AQ$487:$AR$487</definedName>
    <definedName name="MasterSheet_Repeater_SP_StamdataT1Rep">MasterSheet!$AQ$146:$AQ$146</definedName>
    <definedName name="MasterSheet_Repeater_SP_StamdataT2Rep">MasterSheet!$AQ$161:$AQ$161</definedName>
    <definedName name="MasterSheet_Repeater_SP_StamdataT3Rep">MasterSheet!$AQ$176:$AQ$176</definedName>
    <definedName name="MasterSheet_Repeater_TidsPlan">MasterSheet!$AQ$456:$AR$456</definedName>
    <definedName name="MasterSheet_Repeater_Udgifts">MasterSheet!$AQ$562:$AQ$562</definedName>
    <definedName name="MasterSheet_Repeater_Version">MasterSheet!$AQ$683:$AQ$683</definedName>
    <definedName name="MasterSheet_rng_allObjectsTypesNR">MasterSheet!$AQ$11:$BT$11</definedName>
    <definedName name="MasterSheet_rng_Assumptions">MasterSheet!$AQ$30:$AT$30</definedName>
    <definedName name="MasterSheet_rng_AssumptionsMain">MasterSheet!$AQ$31:$AR$31</definedName>
    <definedName name="MasterSheet_rng_AssumptionsSub">MasterSheet!$AQ$32:$AR$32</definedName>
    <definedName name="MasterSheet_rng_DistType">MasterSheet!$AQ$33:$AT$33</definedName>
    <definedName name="MasterSheet_rng_Estimates">MasterSheet!$AQ$40:$AS$40</definedName>
    <definedName name="MasterSheet_rng_Fasen">MasterSheet!$AQ$39:$AU$39</definedName>
    <definedName name="MasterSheet_rng_FinansKontiEdit">MasterSheet!$AQ$46:$AY$46</definedName>
    <definedName name="MasterSheet_rng_horizontalAlignment">MasterSheet!$AQ$14:$AS$14</definedName>
    <definedName name="MasterSheet_rng_InsertParam">MasterSheet!$AQ$38:$AV$38</definedName>
    <definedName name="MasterSheet_rng_Konsekvens">MasterSheet!$AQ$26:$AZ$26</definedName>
    <definedName name="MasterSheet_rng_placement">MasterSheet!$AQ$17:$AS$17</definedName>
    <definedName name="MasterSheet_rng_PLOYear">MasterSheet!$AQ$27:$AT$27</definedName>
    <definedName name="MasterSheet_rng_PLOYearAdjs">MasterSheet!$AQ$29:$BF$29</definedName>
    <definedName name="MasterSheet_rng_PLOYearAdjsConcat">MasterSheet!$AQ$28:$BF$28</definedName>
    <definedName name="MasterSheet_rng_Prioritering">MasterSheet!$AQ$36:$AR$36</definedName>
    <definedName name="MasterSheet_rng_RisciType">MasterSheet!$AQ$24:$AU$24</definedName>
    <definedName name="MasterSheet_rng_Sandsynlighed">MasterSheet!$AQ$25:$AU$25</definedName>
    <definedName name="MasterSheet_rng_verticalAlignment">MasterSheet!$AQ$13:$AS$13</definedName>
    <definedName name="Programudgifter_f_ProgramudgifterHeader_end">Programudgifter!$H$2</definedName>
    <definedName name="Programudgifter_f_ProgramudgifterHeader_start">Programudgifter!$C$2</definedName>
    <definedName name="Programudgifter_f_ProgramudgifterHeader3_end">Programudgifter!$H$3</definedName>
    <definedName name="Programudgifter_f_ProgramudgifterHeader3_start">Programudgifter!$C$3</definedName>
    <definedName name="Programudgifter_f_ProgramudgifterMain1_end">Programudgifter!$AL$11</definedName>
    <definedName name="Programudgifter_f_ProgramudgifterMain1_start">Programudgifter!$C$6</definedName>
    <definedName name="Programudgifter_f_ProgramudgifterMain1T1_end">Programudgifter!$AL$10</definedName>
    <definedName name="Programudgifter_f_ProgramudgifterMain1T1_start">Programudgifter!$B$8</definedName>
    <definedName name="Programudgifter_f_ProgramudgifterMain2_end">Programudgifter!$AL$26</definedName>
    <definedName name="Programudgifter_f_ProgramudgifterMain2_start">Programudgifter!$C$12</definedName>
    <definedName name="Programudgifter_f_ProgramudgifterMain3T1_1_end">Programudgifter!$AL$18</definedName>
    <definedName name="Programudgifter_f_ProgramudgifterMain3T1_1_start">Programudgifter!$B$16</definedName>
    <definedName name="Programudgifter_f_ProgramudgifterMain3T1_2_end">Programudgifter!$AL$24</definedName>
    <definedName name="Programudgifter_f_ProgramudgifterMain3T1_2_start">Programudgifter!$B$22</definedName>
    <definedName name="Programudgifter_f_Projekter_End">Programudgifter!$A$25</definedName>
    <definedName name="ProgramudgifterC_f_ProgramudgifterCHeader_end">ProgramudgifterC!$M$2</definedName>
    <definedName name="ProgramudgifterC_f_ProgramudgifterCHeader_start">ProgramudgifterC!$B$2</definedName>
    <definedName name="ProgramudgifterF_f_ProgramudgifterFHeader_end">ProgramudgifterF!$M$2</definedName>
    <definedName name="ProgramudgifterF_f_ProgramudgifterFHeader_start">ProgramudgifterF!$B$2</definedName>
    <definedName name="Projektudgifter_f_ProjektudgifterHeader_end">Projektudgifter!$H$2</definedName>
    <definedName name="Projektudgifter_f_ProjektudgifterHeader_start">Projektudgifter!$C$2</definedName>
    <definedName name="Projektudgifter_f_ProjektudgifterHeader3_end">Projektudgifter!$H$3</definedName>
    <definedName name="Projektudgifter_f_ProjektudgifterHeader3_start">Projektudgifter!$C$3</definedName>
    <definedName name="Projektudgifter_f_ProjektudgifterMain1_end">Projektudgifter!$AL$11</definedName>
    <definedName name="Projektudgifter_f_ProjektudgifterMain1_start">Projektudgifter!$C$6</definedName>
    <definedName name="Projektudgifter_f_ProjektudgifterMain1T1_end">Projektudgifter!$AL$10</definedName>
    <definedName name="Projektudgifter_f_ProjektudgifterMain1T1_start">Projektudgifter!$B$8</definedName>
    <definedName name="Projektudgifter_f_ProjektudgifterMain2_end">Projektudgifter!$AL$26</definedName>
    <definedName name="Projektudgifter_f_ProjektudgifterMain2_start">Projektudgifter!$C$12</definedName>
    <definedName name="Projektudgifter_f_ProjektudgifterMain2S1_start">Projektudgifter!$C$14</definedName>
    <definedName name="Projektudgifter_f_ProjektudgifterMain2S2_start">Projektudgifter!$C$19</definedName>
    <definedName name="Projektudgifter_f_ProjektudgifterMain2S3_start">Projektudgifter!$C$24</definedName>
    <definedName name="Projektudgifter_f_ProjektudgifterMain2S4_start">Projektudgifter!$C$29</definedName>
    <definedName name="Projektudgifter_f_ProjektudgifterMain2S5_start">Projektudgifter!$C$34</definedName>
    <definedName name="Projektudgifter_f_ProjektudgifterMain2T1_end">Projektudgifter!$AL$18</definedName>
    <definedName name="Projektudgifter_f_ProjektudgifterMain2T1_start">Projektudgifter!$B$16</definedName>
    <definedName name="Projektudgifter_f_ProjektudgifterMain2T2_end">Projektudgifter!$AL$23</definedName>
    <definedName name="Projektudgifter_f_ProjektudgifterMain2T2_start">Projektudgifter!$B$21</definedName>
    <definedName name="Projektudgifter_f_ProjektudgifterMain2T3_end">Projektudgifter!$AL$28</definedName>
    <definedName name="Projektudgifter_f_ProjektudgifterMain2T3_start">Projektudgifter!$B$26</definedName>
    <definedName name="Projektudgifter_f_ProjektudgifterMain2T4_end">Projektudgifter!$AL$33</definedName>
    <definedName name="Projektudgifter_f_ProjektudgifterMain2T4_start">Projektudgifter!$B$31</definedName>
    <definedName name="Projektudgifter_f_ProjektudgifterMain2T5_end">Projektudgifter!$AL$38</definedName>
    <definedName name="Projektudgifter_f_ProjektudgifterMain2T5_start">Projektudgifter!$B$36</definedName>
    <definedName name="ProjektudgifterC_f_ProjektudgifterCHeader_end">ProjektudgifterC!$M$2</definedName>
    <definedName name="ProjektudgifterC_f_ProjektudgifterCHeader_start">ProjektudgifterC!$B$2</definedName>
    <definedName name="ProjektudgifterF_f_ProjektudgifterFHeader_end">ProjektudgifterF!$M$2</definedName>
    <definedName name="ProjektudgifterF_f_ProjektudgifterFHeader_start">ProjektudgifterF!$B$2</definedName>
    <definedName name="Startside_f_Main1_end">Startside!$N$46</definedName>
    <definedName name="Startside_f_Main1_start">Startside!$B$5</definedName>
    <definedName name="Startside_f_Main1Group1Chk1_end">Startside!$I$7</definedName>
    <definedName name="Startside_f_Main1Group1Chk1_start">Startside!$C$7</definedName>
    <definedName name="Startside_f_Main1Group2Chk1_end">Startside!$I$13</definedName>
    <definedName name="Startside_f_Main1Group2Chk1_start">Startside!$C$13</definedName>
    <definedName name="Startside_f_Main1Group3Chk1_end">Startside!$I$19</definedName>
    <definedName name="Startside_f_Main1Group3Chk1_start">Startside!$C$19</definedName>
    <definedName name="Startside_f_Main1Group4Chk1_end">Startside!$I$25</definedName>
    <definedName name="Startside_f_Main1Group4Chk1_start">Startside!$C$25</definedName>
    <definedName name="Startside_f_Main1Group5Chk1_end">Startside!$I$31</definedName>
    <definedName name="Startside_f_Main1Group5Chk1_start">Startside!$C$31</definedName>
    <definedName name="Startside_f_Main1Group6Chk1_end">Startside!$I$37</definedName>
    <definedName name="Startside_f_Main1Group6Chk1_start">Startside!$C$37</definedName>
    <definedName name="Startside_f_Main1Group7Chk1_end">Startside!$I$43</definedName>
    <definedName name="Startside_f_Main1Group7Chk1_start">Startside!$C$43</definedName>
    <definedName name="Startside_f_Main1Text1_end">Startside!$M$9</definedName>
    <definedName name="Startside_f_Main1Text1_start">Startside!$D$9</definedName>
    <definedName name="Startside_f_Main1Text2_end">Startside!$M$15</definedName>
    <definedName name="Startside_f_Main1Text2_start">Startside!$D$15</definedName>
    <definedName name="Startside_f_Main1Text3_end">Startside!$M$21</definedName>
    <definedName name="Startside_f_Main1Text3_start">Startside!$D$21</definedName>
    <definedName name="Startside_f_Main1Text4_end">Startside!$M$27</definedName>
    <definedName name="Startside_f_Main1Text4_start">Startside!$D$27</definedName>
    <definedName name="Startside_f_Main1Text5_end">Startside!$M$33</definedName>
    <definedName name="Startside_f_Main1Text5_start">Startside!$D$33</definedName>
    <definedName name="Startside_f_Main1Text6_end">Startside!$M$39</definedName>
    <definedName name="Startside_f_Main1Text6_start">Startside!$D$39</definedName>
    <definedName name="Startside_f_Main1Text7_end">Startside!$M$45</definedName>
    <definedName name="Startside_f_Main1Text7_start">Startside!$D$45</definedName>
    <definedName name="Startside_f_Main1Title_end">Startside!$N$3</definedName>
    <definedName name="Startside_f_Main1Title_start">Startside!$B$3</definedName>
    <definedName name="Startside_f_MainPicLastBkp_end">Startside!$Q$5</definedName>
    <definedName name="Startside_f_MainPicLastBkp_start">Startside!$P$5</definedName>
    <definedName name="Startside_f_Ok_end">Startside!$Q$5</definedName>
    <definedName name="Startside_f_Ok_start">Startside!$P$5</definedName>
    <definedName name="Startside_f_Old_end">Startside!$Q$5</definedName>
    <definedName name="Startside_f_Old_start">Startside!$P$5</definedName>
    <definedName name="Startside_f_SP_Main1_end">Startside!$N$131</definedName>
    <definedName name="Startside_f_SP_Main1_start">Startside!$B$99</definedName>
    <definedName name="Startside_f_SP_Main2_end">Startside!$N$98</definedName>
    <definedName name="Startside_f_SP_Main2_start">Startside!$B$47</definedName>
    <definedName name="Startside_f_SP_Main2Sub1_end">Startside!$M$78</definedName>
    <definedName name="Startside_f_SP_Main2Sub1_start">Startside!$B$51</definedName>
    <definedName name="Startside_f_SP_Main2Sub1Pic1_end">Startside!$M$75</definedName>
    <definedName name="Startside_f_SP_Main2Sub1Pic1_start">Startside!$D$55</definedName>
    <definedName name="Startside_f_SP_Main2Sub1Text1_end">Startside!$M$53</definedName>
    <definedName name="Startside_f_SP_Main2Sub1Text1_start">Startside!$D$53</definedName>
    <definedName name="Startside_f_SP_Main2Sub1Text2_end">Startside!$M$77</definedName>
    <definedName name="Startside_f_SP_Main2Sub1Text2_start">Startside!$D$77</definedName>
    <definedName name="Startside_f_SP_Main2Sub2_end">Startside!$M$82</definedName>
    <definedName name="Startside_f_SP_Main2Sub2_start">Startside!$B$79</definedName>
    <definedName name="Startside_f_SP_Main2Sub2Text0_end">Startside!$M$85</definedName>
    <definedName name="Startside_f_SP_Main2Sub2Text0_start">Startside!$D$85</definedName>
    <definedName name="Startside_f_SP_Main2Sub2Text1_end">Startside!$M$81</definedName>
    <definedName name="Startside_f_SP_Main2Sub2Text1_start">Startside!$D$81</definedName>
    <definedName name="Startside_f_SP_Main2Sub3_end">Startside!$M$86</definedName>
    <definedName name="Startside_f_SP_Main2Sub3_start">Startside!$B$83</definedName>
    <definedName name="Startside_f_SP_Main2Sub4_end">Startside!$M$90</definedName>
    <definedName name="Startside_f_SP_Main2Sub4_start">Startside!$B$87</definedName>
    <definedName name="Startside_f_SP_Main2Sub4Text1_end">Startside!$M$89</definedName>
    <definedName name="Startside_f_SP_Main2Sub4Text1_start">Startside!$D$89</definedName>
    <definedName name="Startside_f_SP_Main2Sub5_end">Startside!$M$94</definedName>
    <definedName name="Startside_f_SP_Main2Sub5_start">Startside!$B$91</definedName>
    <definedName name="Startside_f_SP_Main2Sub5Text1_end">Startside!$M$93</definedName>
    <definedName name="Startside_f_SP_Main2Sub5Text1_start">Startside!$D$93</definedName>
    <definedName name="Startside_f_SP_Main2Sub6_end">Startside!$M$98</definedName>
    <definedName name="Startside_f_SP_Main2Sub6_start">Startside!$B$95</definedName>
    <definedName name="Startside_f_SP_Main2Sub6Text1_end">Startside!$M$97</definedName>
    <definedName name="Startside_f_SP_Main2Sub6Text1_start">Startside!$D$97</definedName>
    <definedName name="Startside_f_SP_Main2Text1_end">Startside!$M$49</definedName>
    <definedName name="Startside_f_SP_Main2Text1_start">Startside!$D$49</definedName>
    <definedName name="Startside_f_SP_StamdataMain1_end">Startside!$M$129</definedName>
    <definedName name="Startside_f_SP_StamdataMain1_start">Startside!$B$101</definedName>
    <definedName name="Startside_f_SP_StamdataT1_1_start">Startside!$D$103</definedName>
    <definedName name="Startside_f_SP_StamdataT1Obs_1_end">Startside!$K$103</definedName>
    <definedName name="Startside_f_SP_StamdataT1Obs_1_start">Startside!$J$103</definedName>
    <definedName name="Startside_f_SP_StamdataT1Rep_End">Startside!$A$103</definedName>
    <definedName name="Startside_f_SP_StamdataT2_1_start">Startside!$D$106</definedName>
    <definedName name="Startside_f_SP_StamdataT2Obs_1_end">Startside!$K$106</definedName>
    <definedName name="Startside_f_SP_StamdataT2Obs_1_start">Startside!$J$106</definedName>
    <definedName name="Startside_f_SP_StamdataT2Rep_End">Startside!$A$106</definedName>
    <definedName name="Startside_f_SP_StamdataT3_1_start">Startside!$D$109</definedName>
    <definedName name="Startside_f_SP_StamdataT3Obs_1_end">Startside!$K$109</definedName>
    <definedName name="Startside_f_SP_StamdataT3Obs_1_start">Startside!$J$109</definedName>
    <definedName name="Startside_f_SP_StamdataT3Rep_End">Startside!$A$109</definedName>
    <definedName name="Startside_f_SP_StamdataT4_end">Startside!$G$112</definedName>
    <definedName name="Startside_f_SP_StamdataT4_start">Startside!$B$112</definedName>
    <definedName name="Startside_f_SP_StamdataT5_end">Startside!$G$120</definedName>
    <definedName name="Startside_f_SP_StamdataT5_start">Startside!$B$120</definedName>
    <definedName name="Startside_f_SP_StamdataT5Obs_end">Startside!$M$120</definedName>
    <definedName name="Startside_f_SP_StamdataT5Obs_start">Startside!$J$120</definedName>
    <definedName name="Startside_f_SP_StartBtn_end">Startside!$M$130</definedName>
    <definedName name="Startside_f_SP_StartBtn_start">Startside!$K$130</definedName>
    <definedName name="Startside_f_Unknown_end">Startside!$Q$5</definedName>
    <definedName name="Startside_f_Unknown_start">Startside!$P$5</definedName>
  </definedNames>
  <calcPr calcId="191029" calcMode="manual"/>
  <extLs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N5" i="3958" l="1"/>
  <c r="R5" i="3959"/>
  <c r="Q5" i="3959"/>
  <c r="P5" i="3959"/>
  <c r="O5" i="3959"/>
  <c r="N5" i="3959"/>
  <c r="R5" i="3960"/>
  <c r="Q5" i="3960"/>
  <c r="P5" i="3960"/>
  <c r="O5" i="3960"/>
  <c r="N5" i="3960"/>
  <c r="R9" i="3961"/>
  <c r="Q9" i="3961"/>
  <c r="P9" i="3961"/>
  <c r="O9" i="3961"/>
  <c r="N9" i="3961"/>
  <c r="R8" i="3961"/>
  <c r="Q8" i="3961"/>
  <c r="P8" i="3961"/>
  <c r="O8" i="3961"/>
  <c r="N8" i="3961"/>
  <c r="R7" i="3961"/>
  <c r="Q7" i="3961"/>
  <c r="P7" i="3961"/>
  <c r="O7" i="3961"/>
  <c r="N7" i="3961"/>
  <c r="R6" i="3961"/>
  <c r="Q6" i="3961"/>
  <c r="P6" i="3961"/>
  <c r="O6" i="3961"/>
  <c r="N6" i="3961"/>
  <c r="R5" i="3961"/>
  <c r="Q5" i="3961"/>
  <c r="P5" i="3961"/>
  <c r="O5" i="3961"/>
  <c r="N5" i="3961"/>
  <c r="W9" i="3943"/>
  <c r="N5" i="3953"/>
  <c r="W9" i="3942"/>
  <c r="B17" i="3942"/>
  <c r="C17" i="3942" s="1"/>
  <c r="W17" i="3942" s="1"/>
  <c r="AQ508" i="3957"/>
  <c r="W22" i="3942"/>
  <c r="W9" i="3941"/>
  <c r="B17" i="3941"/>
  <c r="C17" i="3941" s="1"/>
  <c r="W17" i="3941" s="1"/>
  <c r="R5" i="3948" s="1"/>
  <c r="W22" i="3941"/>
  <c r="N5" i="3949"/>
  <c r="R58" i="3947"/>
  <c r="U57" i="3947"/>
  <c r="N55" i="3947"/>
  <c r="S52" i="3947"/>
  <c r="R52" i="3947"/>
  <c r="V51" i="3947"/>
  <c r="U51" i="3947"/>
  <c r="T50" i="3947"/>
  <c r="S50" i="3947"/>
  <c r="O49" i="3947"/>
  <c r="N49" i="3947"/>
  <c r="X47" i="3947"/>
  <c r="W47" i="3947"/>
  <c r="S46" i="3947"/>
  <c r="R46" i="3947"/>
  <c r="V45" i="3947"/>
  <c r="U45" i="3947"/>
  <c r="T44" i="3947"/>
  <c r="S44" i="3947"/>
  <c r="O43" i="3947"/>
  <c r="N43" i="3947"/>
  <c r="X41" i="3947"/>
  <c r="W41" i="3947"/>
  <c r="S40" i="3947"/>
  <c r="R40" i="3947"/>
  <c r="V39" i="3947"/>
  <c r="U39" i="3947"/>
  <c r="T38" i="3947"/>
  <c r="S38" i="3947"/>
  <c r="O37" i="3947"/>
  <c r="N37" i="3947"/>
  <c r="X35" i="3947"/>
  <c r="W35" i="3947"/>
  <c r="S34" i="3947"/>
  <c r="R34" i="3947"/>
  <c r="V33" i="3947"/>
  <c r="U33" i="3947"/>
  <c r="V32" i="3947"/>
  <c r="T32" i="3947"/>
  <c r="S32" i="3947"/>
  <c r="Q31" i="3947"/>
  <c r="O31" i="3947"/>
  <c r="N31" i="3947"/>
  <c r="T30" i="3947"/>
  <c r="X29" i="3947"/>
  <c r="W29" i="3947"/>
  <c r="W28" i="3947"/>
  <c r="U28" i="3947"/>
  <c r="S28" i="3947"/>
  <c r="R28" i="3947"/>
  <c r="Q28" i="3947"/>
  <c r="X27" i="3947"/>
  <c r="W27" i="3947"/>
  <c r="V27" i="3947"/>
  <c r="U27" i="3947"/>
  <c r="T27" i="3947"/>
  <c r="S27" i="3947"/>
  <c r="V26" i="3947"/>
  <c r="U26" i="3947"/>
  <c r="T26" i="3947"/>
  <c r="S26" i="3947"/>
  <c r="W25" i="3947"/>
  <c r="U25" i="3947"/>
  <c r="Q25" i="3947"/>
  <c r="P25" i="3947"/>
  <c r="O25" i="3947"/>
  <c r="N25" i="3947"/>
  <c r="X24" i="3947"/>
  <c r="W24" i="3947"/>
  <c r="U24" i="3947"/>
  <c r="T24" i="3947"/>
  <c r="S24" i="3947"/>
  <c r="X23" i="3947"/>
  <c r="W23" i="3947"/>
  <c r="V23" i="3947"/>
  <c r="U23" i="3947"/>
  <c r="S23" i="3947"/>
  <c r="W22" i="3947"/>
  <c r="U22" i="3947"/>
  <c r="S22" i="3947"/>
  <c r="R22" i="3947"/>
  <c r="Q22" i="3947"/>
  <c r="P22" i="3947"/>
  <c r="N22" i="3947"/>
  <c r="X21" i="3947"/>
  <c r="W21" i="3947"/>
  <c r="V21" i="3947"/>
  <c r="U21" i="3947"/>
  <c r="T21" i="3947"/>
  <c r="S21" i="3947"/>
  <c r="W20" i="3947"/>
  <c r="V20" i="3947"/>
  <c r="U20" i="3947"/>
  <c r="T20" i="3947"/>
  <c r="S20" i="3947"/>
  <c r="W19" i="3947"/>
  <c r="U19" i="3947"/>
  <c r="R19" i="3947"/>
  <c r="Q19" i="3947"/>
  <c r="P19" i="3947"/>
  <c r="O19" i="3947"/>
  <c r="N19" i="3947"/>
  <c r="X18" i="3947"/>
  <c r="W18" i="3947"/>
  <c r="U18" i="3947"/>
  <c r="T18" i="3947"/>
  <c r="S18" i="3947"/>
  <c r="X17" i="3947"/>
  <c r="W17" i="3947"/>
  <c r="V17" i="3947"/>
  <c r="U17" i="3947"/>
  <c r="S17" i="3947"/>
  <c r="W16" i="3947"/>
  <c r="U16" i="3947"/>
  <c r="S16" i="3947"/>
  <c r="R16" i="3947"/>
  <c r="Q16" i="3947"/>
  <c r="P16" i="3947"/>
  <c r="O16" i="3947"/>
  <c r="N16" i="3947"/>
  <c r="X15" i="3947"/>
  <c r="W15" i="3947"/>
  <c r="V15" i="3947"/>
  <c r="U15" i="3947"/>
  <c r="T15" i="3947"/>
  <c r="S15" i="3947"/>
  <c r="X14" i="3947"/>
  <c r="W14" i="3947"/>
  <c r="V14" i="3947"/>
  <c r="U14" i="3947"/>
  <c r="T14" i="3947"/>
  <c r="S14" i="3947"/>
  <c r="W13" i="3947"/>
  <c r="U13" i="3947"/>
  <c r="S13" i="3947"/>
  <c r="R13" i="3947"/>
  <c r="Q13" i="3947"/>
  <c r="P13" i="3947"/>
  <c r="O13" i="3947"/>
  <c r="N13" i="3947"/>
  <c r="X12" i="3947"/>
  <c r="W12" i="3947"/>
  <c r="V12" i="3947"/>
  <c r="U12" i="3947"/>
  <c r="T12" i="3947"/>
  <c r="S12" i="3947"/>
  <c r="X11" i="3947"/>
  <c r="W11" i="3947"/>
  <c r="V11" i="3947"/>
  <c r="U11" i="3947"/>
  <c r="T11" i="3947"/>
  <c r="S11" i="3947"/>
  <c r="W10" i="3947"/>
  <c r="U10" i="3947"/>
  <c r="S10" i="3947"/>
  <c r="R10" i="3947"/>
  <c r="Q10" i="3947"/>
  <c r="P10" i="3947"/>
  <c r="O10" i="3947"/>
  <c r="N10" i="3947"/>
  <c r="X9" i="3947"/>
  <c r="W9" i="3947"/>
  <c r="V9" i="3947"/>
  <c r="U9" i="3947"/>
  <c r="T9" i="3947"/>
  <c r="S9" i="3947"/>
  <c r="X8" i="3947"/>
  <c r="W8" i="3947"/>
  <c r="V8" i="3947"/>
  <c r="U8" i="3947"/>
  <c r="T8" i="3947"/>
  <c r="S8" i="3947"/>
  <c r="W7" i="3947"/>
  <c r="U7" i="3947"/>
  <c r="S7" i="3947"/>
  <c r="R7" i="3947"/>
  <c r="Q7" i="3947"/>
  <c r="P7" i="3947"/>
  <c r="O7" i="3947"/>
  <c r="N7" i="3947"/>
  <c r="X6" i="3947"/>
  <c r="W6" i="3947"/>
  <c r="V6" i="3947"/>
  <c r="U6" i="3947"/>
  <c r="T6" i="3947"/>
  <c r="S6" i="3947"/>
  <c r="X5" i="3947"/>
  <c r="W5" i="3947"/>
  <c r="V5" i="3947"/>
  <c r="U5" i="3947"/>
  <c r="T5" i="3947"/>
  <c r="S5" i="3947"/>
  <c r="W17" i="3939"/>
  <c r="S274" i="3945" s="1"/>
  <c r="W22" i="3939"/>
  <c r="W27" i="3939"/>
  <c r="U274" i="3945" s="1"/>
  <c r="W32" i="3939"/>
  <c r="AF17" i="3939"/>
  <c r="AK17" i="3939" s="1"/>
  <c r="AF22" i="3939"/>
  <c r="AK22" i="3939" s="1"/>
  <c r="AF27" i="3939"/>
  <c r="AK27" i="3939" s="1"/>
  <c r="AF32" i="3939"/>
  <c r="AK32" i="3939" s="1"/>
  <c r="AF37" i="3939"/>
  <c r="AK37" i="3939" s="1"/>
  <c r="W37" i="3939"/>
  <c r="P271" i="3945" s="1"/>
  <c r="N274" i="3945"/>
  <c r="S273" i="3945"/>
  <c r="W272" i="3945"/>
  <c r="U271" i="3945"/>
  <c r="R271" i="3945"/>
  <c r="W270" i="3945"/>
  <c r="U270" i="3945"/>
  <c r="U269" i="3945"/>
  <c r="S269" i="3945"/>
  <c r="P268" i="3945"/>
  <c r="N268" i="3945"/>
  <c r="S267" i="3945"/>
  <c r="W266" i="3945"/>
  <c r="U265" i="3945"/>
  <c r="R265" i="3945"/>
  <c r="W264" i="3945"/>
  <c r="U264" i="3945"/>
  <c r="U263" i="3945"/>
  <c r="S263" i="3945"/>
  <c r="P262" i="3945"/>
  <c r="N262" i="3945"/>
  <c r="S261" i="3945"/>
  <c r="W260" i="3945"/>
  <c r="U259" i="3945"/>
  <c r="R259" i="3945"/>
  <c r="W258" i="3945"/>
  <c r="U258" i="3945"/>
  <c r="U257" i="3945"/>
  <c r="S257" i="3945"/>
  <c r="P256" i="3945"/>
  <c r="N256" i="3945"/>
  <c r="S255" i="3945"/>
  <c r="W254" i="3945"/>
  <c r="U253" i="3945"/>
  <c r="R253" i="3945"/>
  <c r="W252" i="3945"/>
  <c r="U252" i="3945"/>
  <c r="T252" i="3945"/>
  <c r="W251" i="3945"/>
  <c r="U251" i="3945"/>
  <c r="S251" i="3945"/>
  <c r="W250" i="3945"/>
  <c r="R250" i="3945"/>
  <c r="P250" i="3945"/>
  <c r="N250" i="3945"/>
  <c r="G256" i="3944" s="1"/>
  <c r="X249" i="3945"/>
  <c r="U249" i="3945"/>
  <c r="S249" i="3945"/>
  <c r="W248" i="3945"/>
  <c r="V248" i="3945"/>
  <c r="U248" i="3945"/>
  <c r="S248" i="3945"/>
  <c r="U247" i="3945"/>
  <c r="S247" i="3945"/>
  <c r="R247" i="3945"/>
  <c r="Q247" i="3945"/>
  <c r="P247" i="3945"/>
  <c r="N247" i="3945"/>
  <c r="W246" i="3945"/>
  <c r="V246" i="3945"/>
  <c r="U246" i="3945"/>
  <c r="T246" i="3945"/>
  <c r="S246" i="3945"/>
  <c r="W245" i="3945"/>
  <c r="U245" i="3945"/>
  <c r="T245" i="3945"/>
  <c r="S245" i="3945"/>
  <c r="W244" i="3945"/>
  <c r="U244" i="3945"/>
  <c r="R244" i="3945"/>
  <c r="P244" i="3945"/>
  <c r="O244" i="3945"/>
  <c r="N244" i="3945"/>
  <c r="X243" i="3945"/>
  <c r="W243" i="3945"/>
  <c r="U243" i="3945"/>
  <c r="S243" i="3945"/>
  <c r="X242" i="3945"/>
  <c r="W242" i="3945"/>
  <c r="V242" i="3945"/>
  <c r="U242" i="3945"/>
  <c r="T242" i="3945"/>
  <c r="S242" i="3945"/>
  <c r="W241" i="3945"/>
  <c r="U241" i="3945"/>
  <c r="S241" i="3945"/>
  <c r="R241" i="3945"/>
  <c r="Q241" i="3945"/>
  <c r="P241" i="3945"/>
  <c r="O241" i="3945"/>
  <c r="N241" i="3945"/>
  <c r="X240" i="3945"/>
  <c r="W240" i="3945"/>
  <c r="V240" i="3945"/>
  <c r="U240" i="3945"/>
  <c r="T240" i="3945"/>
  <c r="S240" i="3945"/>
  <c r="X239" i="3945"/>
  <c r="W239" i="3945"/>
  <c r="V239" i="3945"/>
  <c r="U239" i="3945"/>
  <c r="T239" i="3945"/>
  <c r="S239" i="3945"/>
  <c r="W238" i="3945"/>
  <c r="U238" i="3945"/>
  <c r="S238" i="3945"/>
  <c r="R238" i="3945"/>
  <c r="Q238" i="3945"/>
  <c r="P238" i="3945"/>
  <c r="O238" i="3945"/>
  <c r="N238" i="3945"/>
  <c r="X237" i="3945"/>
  <c r="W237" i="3945"/>
  <c r="V237" i="3945"/>
  <c r="U237" i="3945"/>
  <c r="T237" i="3945"/>
  <c r="S237" i="3945"/>
  <c r="X236" i="3945"/>
  <c r="W236" i="3945"/>
  <c r="V236" i="3945"/>
  <c r="U236" i="3945"/>
  <c r="T236" i="3945"/>
  <c r="S236" i="3945"/>
  <c r="W235" i="3945"/>
  <c r="U235" i="3945"/>
  <c r="S235" i="3945"/>
  <c r="R235" i="3945"/>
  <c r="Q235" i="3945"/>
  <c r="P235" i="3945"/>
  <c r="O235" i="3945"/>
  <c r="N235" i="3945"/>
  <c r="X234" i="3945"/>
  <c r="W234" i="3945"/>
  <c r="V234" i="3945"/>
  <c r="U234" i="3945"/>
  <c r="T234" i="3945"/>
  <c r="S234" i="3945"/>
  <c r="X233" i="3945"/>
  <c r="W233" i="3945"/>
  <c r="V233" i="3945"/>
  <c r="U233" i="3945"/>
  <c r="T233" i="3945"/>
  <c r="S233" i="3945"/>
  <c r="W232" i="3945"/>
  <c r="U232" i="3945"/>
  <c r="S232" i="3945"/>
  <c r="R232" i="3945"/>
  <c r="Q232" i="3945"/>
  <c r="P232" i="3945"/>
  <c r="O232" i="3945"/>
  <c r="N232" i="3945"/>
  <c r="X231" i="3945"/>
  <c r="W231" i="3945"/>
  <c r="V231" i="3945"/>
  <c r="U231" i="3945"/>
  <c r="T231" i="3945"/>
  <c r="S231" i="3945"/>
  <c r="X230" i="3945"/>
  <c r="W230" i="3945"/>
  <c r="V230" i="3945"/>
  <c r="U230" i="3945"/>
  <c r="T230" i="3945"/>
  <c r="S230" i="3945"/>
  <c r="W229" i="3945"/>
  <c r="U229" i="3945"/>
  <c r="S229" i="3945"/>
  <c r="R229" i="3945"/>
  <c r="Q229" i="3945"/>
  <c r="P229" i="3945"/>
  <c r="O229" i="3945"/>
  <c r="N229" i="3945"/>
  <c r="X228" i="3945"/>
  <c r="W228" i="3945"/>
  <c r="V228" i="3945"/>
  <c r="U228" i="3945"/>
  <c r="T228" i="3945"/>
  <c r="S228" i="3945"/>
  <c r="X227" i="3945"/>
  <c r="W227" i="3945"/>
  <c r="V227" i="3945"/>
  <c r="U227" i="3945"/>
  <c r="T227" i="3945"/>
  <c r="S227" i="3945"/>
  <c r="W226" i="3945"/>
  <c r="U226" i="3945"/>
  <c r="S226" i="3945"/>
  <c r="R226" i="3945"/>
  <c r="Q226" i="3945"/>
  <c r="P226" i="3945"/>
  <c r="O226" i="3945"/>
  <c r="N226" i="3945"/>
  <c r="X225" i="3945"/>
  <c r="W225" i="3945"/>
  <c r="V225" i="3945"/>
  <c r="U225" i="3945"/>
  <c r="T225" i="3945"/>
  <c r="S225" i="3945"/>
  <c r="X224" i="3945"/>
  <c r="W224" i="3945"/>
  <c r="V224" i="3945"/>
  <c r="U224" i="3945"/>
  <c r="T224" i="3945"/>
  <c r="S224" i="3945"/>
  <c r="W223" i="3945"/>
  <c r="U223" i="3945"/>
  <c r="S223" i="3945"/>
  <c r="R223" i="3945"/>
  <c r="Q223" i="3945"/>
  <c r="P223" i="3945"/>
  <c r="O223" i="3945"/>
  <c r="N223" i="3945"/>
  <c r="X222" i="3945"/>
  <c r="W222" i="3945"/>
  <c r="V222" i="3945"/>
  <c r="U222" i="3945"/>
  <c r="T222" i="3945"/>
  <c r="S222" i="3945"/>
  <c r="X221" i="3945"/>
  <c r="W221" i="3945"/>
  <c r="V221" i="3945"/>
  <c r="U221" i="3945"/>
  <c r="T221" i="3945"/>
  <c r="S221" i="3945"/>
  <c r="W220" i="3945"/>
  <c r="U220" i="3945"/>
  <c r="S220" i="3945"/>
  <c r="R220" i="3945"/>
  <c r="Q220" i="3945"/>
  <c r="P220" i="3945"/>
  <c r="O220" i="3945"/>
  <c r="N220" i="3945"/>
  <c r="X219" i="3945"/>
  <c r="W219" i="3945"/>
  <c r="V219" i="3945"/>
  <c r="U219" i="3945"/>
  <c r="T219" i="3945"/>
  <c r="S219" i="3945"/>
  <c r="X218" i="3945"/>
  <c r="W218" i="3945"/>
  <c r="V218" i="3945"/>
  <c r="U218" i="3945"/>
  <c r="T218" i="3945"/>
  <c r="S218" i="3945"/>
  <c r="W217" i="3945"/>
  <c r="U217" i="3945"/>
  <c r="S217" i="3945"/>
  <c r="R217" i="3945"/>
  <c r="Q217" i="3945"/>
  <c r="P217" i="3945"/>
  <c r="O217" i="3945"/>
  <c r="N217" i="3945"/>
  <c r="X216" i="3945"/>
  <c r="W216" i="3945"/>
  <c r="V216" i="3945"/>
  <c r="U216" i="3945"/>
  <c r="T216" i="3945"/>
  <c r="S216" i="3945"/>
  <c r="X215" i="3945"/>
  <c r="W215" i="3945"/>
  <c r="V215" i="3945"/>
  <c r="U215" i="3945"/>
  <c r="T215" i="3945"/>
  <c r="S215" i="3945"/>
  <c r="W214" i="3945"/>
  <c r="U214" i="3945"/>
  <c r="S214" i="3945"/>
  <c r="R214" i="3945"/>
  <c r="Q214" i="3945"/>
  <c r="P214" i="3945"/>
  <c r="O214" i="3945"/>
  <c r="N214" i="3945"/>
  <c r="X213" i="3945"/>
  <c r="W213" i="3945"/>
  <c r="V213" i="3945"/>
  <c r="U213" i="3945"/>
  <c r="T213" i="3945"/>
  <c r="S213" i="3945"/>
  <c r="X212" i="3945"/>
  <c r="W212" i="3945"/>
  <c r="V212" i="3945"/>
  <c r="U212" i="3945"/>
  <c r="T212" i="3945"/>
  <c r="S212" i="3945"/>
  <c r="W211" i="3945"/>
  <c r="U211" i="3945"/>
  <c r="S211" i="3945"/>
  <c r="R211" i="3945"/>
  <c r="Q211" i="3945"/>
  <c r="P211" i="3945"/>
  <c r="O211" i="3945"/>
  <c r="N211" i="3945"/>
  <c r="X210" i="3945"/>
  <c r="W210" i="3945"/>
  <c r="V210" i="3945"/>
  <c r="U210" i="3945"/>
  <c r="T210" i="3945"/>
  <c r="S210" i="3945"/>
  <c r="X209" i="3945"/>
  <c r="W209" i="3945"/>
  <c r="V209" i="3945"/>
  <c r="U209" i="3945"/>
  <c r="T209" i="3945"/>
  <c r="S209" i="3945"/>
  <c r="W208" i="3945"/>
  <c r="U208" i="3945"/>
  <c r="S208" i="3945"/>
  <c r="R208" i="3945"/>
  <c r="Q208" i="3945"/>
  <c r="P208" i="3945"/>
  <c r="O208" i="3945"/>
  <c r="N208" i="3945"/>
  <c r="X207" i="3945"/>
  <c r="W207" i="3945"/>
  <c r="V207" i="3945"/>
  <c r="U207" i="3945"/>
  <c r="T207" i="3945"/>
  <c r="S207" i="3945"/>
  <c r="X206" i="3945"/>
  <c r="W206" i="3945"/>
  <c r="V206" i="3945"/>
  <c r="U206" i="3945"/>
  <c r="T206" i="3945"/>
  <c r="S206" i="3945"/>
  <c r="W205" i="3945"/>
  <c r="U205" i="3945"/>
  <c r="S205" i="3945"/>
  <c r="R205" i="3945"/>
  <c r="Q205" i="3945"/>
  <c r="P205" i="3945"/>
  <c r="O205" i="3945"/>
  <c r="N205" i="3945"/>
  <c r="X204" i="3945"/>
  <c r="W204" i="3945"/>
  <c r="V204" i="3945"/>
  <c r="U204" i="3945"/>
  <c r="T204" i="3945"/>
  <c r="S204" i="3945"/>
  <c r="X203" i="3945"/>
  <c r="W203" i="3945"/>
  <c r="V203" i="3945"/>
  <c r="U203" i="3945"/>
  <c r="T203" i="3945"/>
  <c r="S203" i="3945"/>
  <c r="W202" i="3945"/>
  <c r="U202" i="3945"/>
  <c r="S202" i="3945"/>
  <c r="R202" i="3945"/>
  <c r="Q202" i="3945"/>
  <c r="P202" i="3945"/>
  <c r="O202" i="3945"/>
  <c r="N202" i="3945"/>
  <c r="X201" i="3945"/>
  <c r="W201" i="3945"/>
  <c r="V201" i="3945"/>
  <c r="U201" i="3945"/>
  <c r="T201" i="3945"/>
  <c r="S201" i="3945"/>
  <c r="X200" i="3945"/>
  <c r="W200" i="3945"/>
  <c r="V200" i="3945"/>
  <c r="U200" i="3945"/>
  <c r="T200" i="3945"/>
  <c r="S200" i="3945"/>
  <c r="W199" i="3945"/>
  <c r="U199" i="3945"/>
  <c r="S199" i="3945"/>
  <c r="R199" i="3945"/>
  <c r="Q199" i="3945"/>
  <c r="P199" i="3945"/>
  <c r="O199" i="3945"/>
  <c r="N199" i="3945"/>
  <c r="X198" i="3945"/>
  <c r="W198" i="3945"/>
  <c r="V198" i="3945"/>
  <c r="U198" i="3945"/>
  <c r="T198" i="3945"/>
  <c r="S198" i="3945"/>
  <c r="X197" i="3945"/>
  <c r="W197" i="3945"/>
  <c r="V197" i="3945"/>
  <c r="U197" i="3945"/>
  <c r="T197" i="3945"/>
  <c r="S197" i="3945"/>
  <c r="W196" i="3945"/>
  <c r="U196" i="3945"/>
  <c r="S196" i="3945"/>
  <c r="R196" i="3945"/>
  <c r="Q196" i="3945"/>
  <c r="P196" i="3945"/>
  <c r="O196" i="3945"/>
  <c r="N196" i="3945"/>
  <c r="X195" i="3945"/>
  <c r="W195" i="3945"/>
  <c r="V195" i="3945"/>
  <c r="U195" i="3945"/>
  <c r="T195" i="3945"/>
  <c r="S195" i="3945"/>
  <c r="X194" i="3945"/>
  <c r="W194" i="3945"/>
  <c r="V194" i="3945"/>
  <c r="U194" i="3945"/>
  <c r="T194" i="3945"/>
  <c r="S194" i="3945"/>
  <c r="W193" i="3945"/>
  <c r="U193" i="3945"/>
  <c r="S193" i="3945"/>
  <c r="R193" i="3945"/>
  <c r="Q193" i="3945"/>
  <c r="P193" i="3945"/>
  <c r="O193" i="3945"/>
  <c r="N193" i="3945"/>
  <c r="X192" i="3945"/>
  <c r="W192" i="3945"/>
  <c r="V192" i="3945"/>
  <c r="U192" i="3945"/>
  <c r="T192" i="3945"/>
  <c r="S192" i="3945"/>
  <c r="X191" i="3945"/>
  <c r="W191" i="3945"/>
  <c r="V191" i="3945"/>
  <c r="U191" i="3945"/>
  <c r="T191" i="3945"/>
  <c r="S191" i="3945"/>
  <c r="W190" i="3945"/>
  <c r="U190" i="3945"/>
  <c r="S190" i="3945"/>
  <c r="R190" i="3945"/>
  <c r="Q190" i="3945"/>
  <c r="P190" i="3945"/>
  <c r="O190" i="3945"/>
  <c r="N190" i="3945"/>
  <c r="X189" i="3945"/>
  <c r="W189" i="3945"/>
  <c r="V189" i="3945"/>
  <c r="U189" i="3945"/>
  <c r="T189" i="3945"/>
  <c r="S189" i="3945"/>
  <c r="X188" i="3945"/>
  <c r="W188" i="3945"/>
  <c r="V188" i="3945"/>
  <c r="U188" i="3945"/>
  <c r="T188" i="3945"/>
  <c r="S188" i="3945"/>
  <c r="W187" i="3945"/>
  <c r="U187" i="3945"/>
  <c r="S187" i="3945"/>
  <c r="R187" i="3945"/>
  <c r="Q187" i="3945"/>
  <c r="P187" i="3945"/>
  <c r="O187" i="3945"/>
  <c r="N187" i="3945"/>
  <c r="X186" i="3945"/>
  <c r="W186" i="3945"/>
  <c r="V186" i="3945"/>
  <c r="U186" i="3945"/>
  <c r="T186" i="3945"/>
  <c r="S186" i="3945"/>
  <c r="X185" i="3945"/>
  <c r="W185" i="3945"/>
  <c r="V185" i="3945"/>
  <c r="U185" i="3945"/>
  <c r="T185" i="3945"/>
  <c r="S185" i="3945"/>
  <c r="W184" i="3945"/>
  <c r="U184" i="3945"/>
  <c r="S184" i="3945"/>
  <c r="R184" i="3945"/>
  <c r="Q184" i="3945"/>
  <c r="P184" i="3945"/>
  <c r="O184" i="3945"/>
  <c r="N184" i="3945"/>
  <c r="X183" i="3945"/>
  <c r="W183" i="3945"/>
  <c r="V183" i="3945"/>
  <c r="U183" i="3945"/>
  <c r="T183" i="3945"/>
  <c r="S183" i="3945"/>
  <c r="X182" i="3945"/>
  <c r="W182" i="3945"/>
  <c r="V182" i="3945"/>
  <c r="U182" i="3945"/>
  <c r="T182" i="3945"/>
  <c r="S182" i="3945"/>
  <c r="W181" i="3945"/>
  <c r="U181" i="3945"/>
  <c r="S181" i="3945"/>
  <c r="R181" i="3945"/>
  <c r="Q181" i="3945"/>
  <c r="P181" i="3945"/>
  <c r="O181" i="3945"/>
  <c r="N181" i="3945"/>
  <c r="X180" i="3945"/>
  <c r="W180" i="3945"/>
  <c r="V180" i="3945"/>
  <c r="U180" i="3945"/>
  <c r="T180" i="3945"/>
  <c r="S180" i="3945"/>
  <c r="X179" i="3945"/>
  <c r="W179" i="3945"/>
  <c r="V179" i="3945"/>
  <c r="U179" i="3945"/>
  <c r="T179" i="3945"/>
  <c r="S179" i="3945"/>
  <c r="W178" i="3945"/>
  <c r="U178" i="3945"/>
  <c r="S178" i="3945"/>
  <c r="R178" i="3945"/>
  <c r="Q178" i="3945"/>
  <c r="P178" i="3945"/>
  <c r="O178" i="3945"/>
  <c r="N178" i="3945"/>
  <c r="X177" i="3945"/>
  <c r="W177" i="3945"/>
  <c r="V177" i="3945"/>
  <c r="U177" i="3945"/>
  <c r="T177" i="3945"/>
  <c r="S177" i="3945"/>
  <c r="X176" i="3945"/>
  <c r="W176" i="3945"/>
  <c r="V176" i="3945"/>
  <c r="U176" i="3945"/>
  <c r="T176" i="3945"/>
  <c r="S176" i="3945"/>
  <c r="W175" i="3945"/>
  <c r="U175" i="3945"/>
  <c r="S175" i="3945"/>
  <c r="R175" i="3945"/>
  <c r="Q175" i="3945"/>
  <c r="P175" i="3945"/>
  <c r="O175" i="3945"/>
  <c r="N175" i="3945"/>
  <c r="X174" i="3945"/>
  <c r="W174" i="3945"/>
  <c r="V174" i="3945"/>
  <c r="U174" i="3945"/>
  <c r="T174" i="3945"/>
  <c r="S174" i="3945"/>
  <c r="X173" i="3945"/>
  <c r="W173" i="3945"/>
  <c r="V173" i="3945"/>
  <c r="U173" i="3945"/>
  <c r="T173" i="3945"/>
  <c r="S173" i="3945"/>
  <c r="W172" i="3945"/>
  <c r="U172" i="3945"/>
  <c r="S172" i="3945"/>
  <c r="R172" i="3945"/>
  <c r="Q172" i="3945"/>
  <c r="P172" i="3945"/>
  <c r="O172" i="3945"/>
  <c r="N172" i="3945"/>
  <c r="X171" i="3945"/>
  <c r="W171" i="3945"/>
  <c r="V171" i="3945"/>
  <c r="U171" i="3945"/>
  <c r="T171" i="3945"/>
  <c r="S171" i="3945"/>
  <c r="X170" i="3945"/>
  <c r="W170" i="3945"/>
  <c r="V170" i="3945"/>
  <c r="U170" i="3945"/>
  <c r="T170" i="3945"/>
  <c r="S170" i="3945"/>
  <c r="W169" i="3945"/>
  <c r="U169" i="3945"/>
  <c r="S169" i="3945"/>
  <c r="R169" i="3945"/>
  <c r="Q169" i="3945"/>
  <c r="P169" i="3945"/>
  <c r="O169" i="3945"/>
  <c r="N169" i="3945"/>
  <c r="X168" i="3945"/>
  <c r="W168" i="3945"/>
  <c r="V168" i="3945"/>
  <c r="U168" i="3945"/>
  <c r="T168" i="3945"/>
  <c r="S168" i="3945"/>
  <c r="X167" i="3945"/>
  <c r="W167" i="3945"/>
  <c r="V167" i="3945"/>
  <c r="U167" i="3945"/>
  <c r="T167" i="3945"/>
  <c r="S167" i="3945"/>
  <c r="W166" i="3945"/>
  <c r="U166" i="3945"/>
  <c r="S166" i="3945"/>
  <c r="R166" i="3945"/>
  <c r="Q166" i="3945"/>
  <c r="P166" i="3945"/>
  <c r="O166" i="3945"/>
  <c r="N166" i="3945"/>
  <c r="X165" i="3945"/>
  <c r="W165" i="3945"/>
  <c r="V165" i="3945"/>
  <c r="U165" i="3945"/>
  <c r="T165" i="3945"/>
  <c r="S165" i="3945"/>
  <c r="X164" i="3945"/>
  <c r="W164" i="3945"/>
  <c r="V164" i="3945"/>
  <c r="U164" i="3945"/>
  <c r="T164" i="3945"/>
  <c r="S164" i="3945"/>
  <c r="W163" i="3945"/>
  <c r="U163" i="3945"/>
  <c r="S163" i="3945"/>
  <c r="R163" i="3945"/>
  <c r="Q163" i="3945"/>
  <c r="P163" i="3945"/>
  <c r="O163" i="3945"/>
  <c r="N163" i="3945"/>
  <c r="X162" i="3945"/>
  <c r="W162" i="3945"/>
  <c r="V162" i="3945"/>
  <c r="U162" i="3945"/>
  <c r="T162" i="3945"/>
  <c r="S162" i="3945"/>
  <c r="X161" i="3945"/>
  <c r="W161" i="3945"/>
  <c r="V161" i="3945"/>
  <c r="U161" i="3945"/>
  <c r="T161" i="3945"/>
  <c r="S161" i="3945"/>
  <c r="W160" i="3945"/>
  <c r="U160" i="3945"/>
  <c r="S160" i="3945"/>
  <c r="R160" i="3945"/>
  <c r="Q160" i="3945"/>
  <c r="P160" i="3945"/>
  <c r="O160" i="3945"/>
  <c r="N160" i="3945"/>
  <c r="X159" i="3945"/>
  <c r="W159" i="3945"/>
  <c r="V159" i="3945"/>
  <c r="U159" i="3945"/>
  <c r="T159" i="3945"/>
  <c r="S159" i="3945"/>
  <c r="X158" i="3945"/>
  <c r="W158" i="3945"/>
  <c r="V158" i="3945"/>
  <c r="U158" i="3945"/>
  <c r="T158" i="3945"/>
  <c r="S158" i="3945"/>
  <c r="W157" i="3945"/>
  <c r="U157" i="3945"/>
  <c r="S157" i="3945"/>
  <c r="R157" i="3945"/>
  <c r="Q157" i="3945"/>
  <c r="P157" i="3945"/>
  <c r="O157" i="3945"/>
  <c r="N157" i="3945"/>
  <c r="X156" i="3945"/>
  <c r="W156" i="3945"/>
  <c r="V156" i="3945"/>
  <c r="U156" i="3945"/>
  <c r="T156" i="3945"/>
  <c r="S156" i="3945"/>
  <c r="X155" i="3945"/>
  <c r="W155" i="3945"/>
  <c r="V155" i="3945"/>
  <c r="U155" i="3945"/>
  <c r="T155" i="3945"/>
  <c r="S155" i="3945"/>
  <c r="W154" i="3945"/>
  <c r="U154" i="3945"/>
  <c r="S154" i="3945"/>
  <c r="R154" i="3945"/>
  <c r="Q154" i="3945"/>
  <c r="P154" i="3945"/>
  <c r="O154" i="3945"/>
  <c r="N154" i="3945"/>
  <c r="X153" i="3945"/>
  <c r="W153" i="3945"/>
  <c r="V153" i="3945"/>
  <c r="U153" i="3945"/>
  <c r="T153" i="3945"/>
  <c r="S153" i="3945"/>
  <c r="X152" i="3945"/>
  <c r="W152" i="3945"/>
  <c r="V152" i="3945"/>
  <c r="U152" i="3945"/>
  <c r="T152" i="3945"/>
  <c r="S152" i="3945"/>
  <c r="W151" i="3945"/>
  <c r="U151" i="3945"/>
  <c r="S151" i="3945"/>
  <c r="R151" i="3945"/>
  <c r="Q151" i="3945"/>
  <c r="P151" i="3945"/>
  <c r="O151" i="3945"/>
  <c r="N151" i="3945"/>
  <c r="X150" i="3945"/>
  <c r="W150" i="3945"/>
  <c r="V150" i="3945"/>
  <c r="U150" i="3945"/>
  <c r="T150" i="3945"/>
  <c r="S150" i="3945"/>
  <c r="X149" i="3945"/>
  <c r="W149" i="3945"/>
  <c r="V149" i="3945"/>
  <c r="U149" i="3945"/>
  <c r="T149" i="3945"/>
  <c r="S149" i="3945"/>
  <c r="W148" i="3945"/>
  <c r="U148" i="3945"/>
  <c r="S148" i="3945"/>
  <c r="R148" i="3945"/>
  <c r="Q148" i="3945"/>
  <c r="P148" i="3945"/>
  <c r="O148" i="3945"/>
  <c r="N148" i="3945"/>
  <c r="X147" i="3945"/>
  <c r="W147" i="3945"/>
  <c r="V147" i="3945"/>
  <c r="U147" i="3945"/>
  <c r="T147" i="3945"/>
  <c r="S147" i="3945"/>
  <c r="X146" i="3945"/>
  <c r="W146" i="3945"/>
  <c r="V146" i="3945"/>
  <c r="U146" i="3945"/>
  <c r="T146" i="3945"/>
  <c r="S146" i="3945"/>
  <c r="W145" i="3945"/>
  <c r="U145" i="3945"/>
  <c r="S145" i="3945"/>
  <c r="R145" i="3945"/>
  <c r="Q145" i="3945"/>
  <c r="P145" i="3945"/>
  <c r="O145" i="3945"/>
  <c r="N145" i="3945"/>
  <c r="X144" i="3945"/>
  <c r="W144" i="3945"/>
  <c r="V144" i="3945"/>
  <c r="U144" i="3945"/>
  <c r="T144" i="3945"/>
  <c r="S144" i="3945"/>
  <c r="X143" i="3945"/>
  <c r="W143" i="3945"/>
  <c r="V143" i="3945"/>
  <c r="U143" i="3945"/>
  <c r="T143" i="3945"/>
  <c r="S143" i="3945"/>
  <c r="W142" i="3945"/>
  <c r="U142" i="3945"/>
  <c r="S142" i="3945"/>
  <c r="R142" i="3945"/>
  <c r="Q142" i="3945"/>
  <c r="P142" i="3945"/>
  <c r="O142" i="3945"/>
  <c r="N142" i="3945"/>
  <c r="X141" i="3945"/>
  <c r="W141" i="3945"/>
  <c r="V141" i="3945"/>
  <c r="U141" i="3945"/>
  <c r="T141" i="3945"/>
  <c r="S141" i="3945"/>
  <c r="X140" i="3945"/>
  <c r="W140" i="3945"/>
  <c r="V140" i="3945"/>
  <c r="U140" i="3945"/>
  <c r="T140" i="3945"/>
  <c r="S140" i="3945"/>
  <c r="W139" i="3945"/>
  <c r="U139" i="3945"/>
  <c r="S139" i="3945"/>
  <c r="R139" i="3945"/>
  <c r="Q139" i="3945"/>
  <c r="P139" i="3945"/>
  <c r="O139" i="3945"/>
  <c r="N139" i="3945"/>
  <c r="X138" i="3945"/>
  <c r="W138" i="3945"/>
  <c r="V138" i="3945"/>
  <c r="U138" i="3945"/>
  <c r="T138" i="3945"/>
  <c r="S138" i="3945"/>
  <c r="X137" i="3945"/>
  <c r="W137" i="3945"/>
  <c r="V137" i="3945"/>
  <c r="U137" i="3945"/>
  <c r="T137" i="3945"/>
  <c r="S137" i="3945"/>
  <c r="W136" i="3945"/>
  <c r="U136" i="3945"/>
  <c r="S136" i="3945"/>
  <c r="R136" i="3945"/>
  <c r="Q136" i="3945"/>
  <c r="P136" i="3945"/>
  <c r="O136" i="3945"/>
  <c r="N136" i="3945"/>
  <c r="X135" i="3945"/>
  <c r="W135" i="3945"/>
  <c r="V135" i="3945"/>
  <c r="U135" i="3945"/>
  <c r="T135" i="3945"/>
  <c r="S135" i="3945"/>
  <c r="X134" i="3945"/>
  <c r="W134" i="3945"/>
  <c r="V134" i="3945"/>
  <c r="U134" i="3945"/>
  <c r="T134" i="3945"/>
  <c r="S134" i="3945"/>
  <c r="W133" i="3945"/>
  <c r="U133" i="3945"/>
  <c r="S133" i="3945"/>
  <c r="R133" i="3945"/>
  <c r="Q133" i="3945"/>
  <c r="P133" i="3945"/>
  <c r="O133" i="3945"/>
  <c r="N133" i="3945"/>
  <c r="X132" i="3945"/>
  <c r="W132" i="3945"/>
  <c r="V132" i="3945"/>
  <c r="U132" i="3945"/>
  <c r="T132" i="3945"/>
  <c r="S132" i="3945"/>
  <c r="X131" i="3945"/>
  <c r="W131" i="3945"/>
  <c r="V131" i="3945"/>
  <c r="U131" i="3945"/>
  <c r="T131" i="3945"/>
  <c r="S131" i="3945"/>
  <c r="W130" i="3945"/>
  <c r="U130" i="3945"/>
  <c r="S130" i="3945"/>
  <c r="R130" i="3945"/>
  <c r="Q130" i="3945"/>
  <c r="P130" i="3945"/>
  <c r="O130" i="3945"/>
  <c r="N130" i="3945"/>
  <c r="X129" i="3945"/>
  <c r="W129" i="3945"/>
  <c r="V129" i="3945"/>
  <c r="U129" i="3945"/>
  <c r="T129" i="3945"/>
  <c r="S129" i="3945"/>
  <c r="X128" i="3945"/>
  <c r="W128" i="3945"/>
  <c r="V128" i="3945"/>
  <c r="U128" i="3945"/>
  <c r="T128" i="3945"/>
  <c r="S128" i="3945"/>
  <c r="W127" i="3945"/>
  <c r="U127" i="3945"/>
  <c r="S127" i="3945"/>
  <c r="R127" i="3945"/>
  <c r="Q127" i="3945"/>
  <c r="P127" i="3945"/>
  <c r="O127" i="3945"/>
  <c r="N127" i="3945"/>
  <c r="X126" i="3945"/>
  <c r="W126" i="3945"/>
  <c r="V126" i="3945"/>
  <c r="U126" i="3945"/>
  <c r="T126" i="3945"/>
  <c r="S126" i="3945"/>
  <c r="X125" i="3945"/>
  <c r="W125" i="3945"/>
  <c r="V125" i="3945"/>
  <c r="U125" i="3945"/>
  <c r="T125" i="3945"/>
  <c r="S125" i="3945"/>
  <c r="W124" i="3945"/>
  <c r="U124" i="3945"/>
  <c r="S124" i="3945"/>
  <c r="R124" i="3945"/>
  <c r="Q124" i="3945"/>
  <c r="P124" i="3945"/>
  <c r="O124" i="3945"/>
  <c r="N124" i="3945"/>
  <c r="X123" i="3945"/>
  <c r="W123" i="3945"/>
  <c r="V123" i="3945"/>
  <c r="U123" i="3945"/>
  <c r="T123" i="3945"/>
  <c r="S123" i="3945"/>
  <c r="X122" i="3945"/>
  <c r="W122" i="3945"/>
  <c r="V122" i="3945"/>
  <c r="U122" i="3945"/>
  <c r="T122" i="3945"/>
  <c r="S122" i="3945"/>
  <c r="W121" i="3945"/>
  <c r="U121" i="3945"/>
  <c r="S121" i="3945"/>
  <c r="R121" i="3945"/>
  <c r="Q121" i="3945"/>
  <c r="P121" i="3945"/>
  <c r="O121" i="3945"/>
  <c r="N121" i="3945"/>
  <c r="X120" i="3945"/>
  <c r="W120" i="3945"/>
  <c r="V120" i="3945"/>
  <c r="U120" i="3945"/>
  <c r="T120" i="3945"/>
  <c r="S120" i="3945"/>
  <c r="X119" i="3945"/>
  <c r="W119" i="3945"/>
  <c r="V119" i="3945"/>
  <c r="U119" i="3945"/>
  <c r="T119" i="3945"/>
  <c r="S119" i="3945"/>
  <c r="W118" i="3945"/>
  <c r="U118" i="3945"/>
  <c r="S118" i="3945"/>
  <c r="R118" i="3945"/>
  <c r="Q118" i="3945"/>
  <c r="P118" i="3945"/>
  <c r="O118" i="3945"/>
  <c r="N118" i="3945"/>
  <c r="X117" i="3945"/>
  <c r="W117" i="3945"/>
  <c r="V117" i="3945"/>
  <c r="U117" i="3945"/>
  <c r="T117" i="3945"/>
  <c r="S117" i="3945"/>
  <c r="X116" i="3945"/>
  <c r="W116" i="3945"/>
  <c r="V116" i="3945"/>
  <c r="U116" i="3945"/>
  <c r="T116" i="3945"/>
  <c r="S116" i="3945"/>
  <c r="W115" i="3945"/>
  <c r="U115" i="3945"/>
  <c r="S115" i="3945"/>
  <c r="R115" i="3945"/>
  <c r="Q115" i="3945"/>
  <c r="P115" i="3945"/>
  <c r="O115" i="3945"/>
  <c r="N115" i="3945"/>
  <c r="X114" i="3945"/>
  <c r="W114" i="3945"/>
  <c r="V114" i="3945"/>
  <c r="U114" i="3945"/>
  <c r="T114" i="3945"/>
  <c r="S114" i="3945"/>
  <c r="X113" i="3945"/>
  <c r="W113" i="3945"/>
  <c r="V113" i="3945"/>
  <c r="U113" i="3945"/>
  <c r="T113" i="3945"/>
  <c r="S113" i="3945"/>
  <c r="W112" i="3945"/>
  <c r="U112" i="3945"/>
  <c r="S112" i="3945"/>
  <c r="R112" i="3945"/>
  <c r="Q112" i="3945"/>
  <c r="P112" i="3945"/>
  <c r="O112" i="3945"/>
  <c r="N112" i="3945"/>
  <c r="X111" i="3945"/>
  <c r="W111" i="3945"/>
  <c r="V111" i="3945"/>
  <c r="U111" i="3945"/>
  <c r="T111" i="3945"/>
  <c r="S111" i="3945"/>
  <c r="X110" i="3945"/>
  <c r="W110" i="3945"/>
  <c r="V110" i="3945"/>
  <c r="U110" i="3945"/>
  <c r="T110" i="3945"/>
  <c r="S110" i="3945"/>
  <c r="W109" i="3945"/>
  <c r="U109" i="3945"/>
  <c r="S109" i="3945"/>
  <c r="R109" i="3945"/>
  <c r="Q109" i="3945"/>
  <c r="P109" i="3945"/>
  <c r="O109" i="3945"/>
  <c r="N109" i="3945"/>
  <c r="X108" i="3945"/>
  <c r="W108" i="3945"/>
  <c r="V108" i="3945"/>
  <c r="U108" i="3945"/>
  <c r="T108" i="3945"/>
  <c r="S108" i="3945"/>
  <c r="X107" i="3945"/>
  <c r="W107" i="3945"/>
  <c r="V107" i="3945"/>
  <c r="U107" i="3945"/>
  <c r="T107" i="3945"/>
  <c r="S107" i="3945"/>
  <c r="W106" i="3945"/>
  <c r="U106" i="3945"/>
  <c r="S106" i="3945"/>
  <c r="R106" i="3945"/>
  <c r="Q106" i="3945"/>
  <c r="P106" i="3945"/>
  <c r="O106" i="3945"/>
  <c r="N106" i="3945"/>
  <c r="X105" i="3945"/>
  <c r="W105" i="3945"/>
  <c r="V105" i="3945"/>
  <c r="U105" i="3945"/>
  <c r="T105" i="3945"/>
  <c r="S105" i="3945"/>
  <c r="X104" i="3945"/>
  <c r="W104" i="3945"/>
  <c r="V104" i="3945"/>
  <c r="U104" i="3945"/>
  <c r="T104" i="3945"/>
  <c r="S104" i="3945"/>
  <c r="W103" i="3945"/>
  <c r="U103" i="3945"/>
  <c r="S103" i="3945"/>
  <c r="R103" i="3945"/>
  <c r="Q103" i="3945"/>
  <c r="P103" i="3945"/>
  <c r="O103" i="3945"/>
  <c r="N103" i="3945"/>
  <c r="X102" i="3945"/>
  <c r="W102" i="3945"/>
  <c r="V102" i="3945"/>
  <c r="U102" i="3945"/>
  <c r="T102" i="3945"/>
  <c r="S102" i="3945"/>
  <c r="X101" i="3945"/>
  <c r="W101" i="3945"/>
  <c r="V101" i="3945"/>
  <c r="U101" i="3945"/>
  <c r="T101" i="3945"/>
  <c r="S101" i="3945"/>
  <c r="W100" i="3945"/>
  <c r="U100" i="3945"/>
  <c r="S100" i="3945"/>
  <c r="R100" i="3945"/>
  <c r="Q100" i="3945"/>
  <c r="P100" i="3945"/>
  <c r="O100" i="3945"/>
  <c r="N100" i="3945"/>
  <c r="X99" i="3945"/>
  <c r="W99" i="3945"/>
  <c r="V99" i="3945"/>
  <c r="U99" i="3945"/>
  <c r="T99" i="3945"/>
  <c r="S99" i="3945"/>
  <c r="X98" i="3945"/>
  <c r="W98" i="3945"/>
  <c r="V98" i="3945"/>
  <c r="U98" i="3945"/>
  <c r="T98" i="3945"/>
  <c r="S98" i="3945"/>
  <c r="W97" i="3945"/>
  <c r="U97" i="3945"/>
  <c r="S97" i="3945"/>
  <c r="R97" i="3945"/>
  <c r="Q97" i="3945"/>
  <c r="P97" i="3945"/>
  <c r="O97" i="3945"/>
  <c r="N97" i="3945"/>
  <c r="X96" i="3945"/>
  <c r="W96" i="3945"/>
  <c r="V96" i="3945"/>
  <c r="U96" i="3945"/>
  <c r="T96" i="3945"/>
  <c r="S96" i="3945"/>
  <c r="X95" i="3945"/>
  <c r="W95" i="3945"/>
  <c r="V95" i="3945"/>
  <c r="U95" i="3945"/>
  <c r="T95" i="3945"/>
  <c r="S95" i="3945"/>
  <c r="W94" i="3945"/>
  <c r="U94" i="3945"/>
  <c r="S94" i="3945"/>
  <c r="R94" i="3945"/>
  <c r="Q94" i="3945"/>
  <c r="P94" i="3945"/>
  <c r="O94" i="3945"/>
  <c r="N94" i="3945"/>
  <c r="X93" i="3945"/>
  <c r="W93" i="3945"/>
  <c r="V93" i="3945"/>
  <c r="U93" i="3945"/>
  <c r="T93" i="3945"/>
  <c r="S93" i="3945"/>
  <c r="X92" i="3945"/>
  <c r="W92" i="3945"/>
  <c r="V92" i="3945"/>
  <c r="U92" i="3945"/>
  <c r="T92" i="3945"/>
  <c r="S92" i="3945"/>
  <c r="W91" i="3945"/>
  <c r="U91" i="3945"/>
  <c r="S91" i="3945"/>
  <c r="R91" i="3945"/>
  <c r="Q91" i="3945"/>
  <c r="P91" i="3945"/>
  <c r="O91" i="3945"/>
  <c r="N91" i="3945"/>
  <c r="X90" i="3945"/>
  <c r="W90" i="3945"/>
  <c r="V90" i="3945"/>
  <c r="U90" i="3945"/>
  <c r="T90" i="3945"/>
  <c r="S90" i="3945"/>
  <c r="X89" i="3945"/>
  <c r="W89" i="3945"/>
  <c r="V89" i="3945"/>
  <c r="U89" i="3945"/>
  <c r="T89" i="3945"/>
  <c r="S89" i="3945"/>
  <c r="W88" i="3945"/>
  <c r="U88" i="3945"/>
  <c r="S88" i="3945"/>
  <c r="R88" i="3945"/>
  <c r="Q88" i="3945"/>
  <c r="P88" i="3945"/>
  <c r="O88" i="3945"/>
  <c r="N88" i="3945"/>
  <c r="X87" i="3945"/>
  <c r="W87" i="3945"/>
  <c r="V87" i="3945"/>
  <c r="U87" i="3945"/>
  <c r="T87" i="3945"/>
  <c r="S87" i="3945"/>
  <c r="X86" i="3945"/>
  <c r="W86" i="3945"/>
  <c r="V86" i="3945"/>
  <c r="U86" i="3945"/>
  <c r="T86" i="3945"/>
  <c r="S86" i="3945"/>
  <c r="W85" i="3945"/>
  <c r="U85" i="3945"/>
  <c r="S85" i="3945"/>
  <c r="R85" i="3945"/>
  <c r="Q85" i="3945"/>
  <c r="P85" i="3945"/>
  <c r="O85" i="3945"/>
  <c r="N85" i="3945"/>
  <c r="X84" i="3945"/>
  <c r="W84" i="3945"/>
  <c r="V84" i="3945"/>
  <c r="U84" i="3945"/>
  <c r="T84" i="3945"/>
  <c r="S84" i="3945"/>
  <c r="X83" i="3945"/>
  <c r="W83" i="3945"/>
  <c r="V83" i="3945"/>
  <c r="U83" i="3945"/>
  <c r="T83" i="3945"/>
  <c r="S83" i="3945"/>
  <c r="W82" i="3945"/>
  <c r="U82" i="3945"/>
  <c r="S82" i="3945"/>
  <c r="R82" i="3945"/>
  <c r="Q82" i="3945"/>
  <c r="P82" i="3945"/>
  <c r="O82" i="3945"/>
  <c r="N82" i="3945"/>
  <c r="X81" i="3945"/>
  <c r="W81" i="3945"/>
  <c r="V81" i="3945"/>
  <c r="U81" i="3945"/>
  <c r="T81" i="3945"/>
  <c r="S81" i="3945"/>
  <c r="X80" i="3945"/>
  <c r="W80" i="3945"/>
  <c r="V80" i="3945"/>
  <c r="U80" i="3945"/>
  <c r="T80" i="3945"/>
  <c r="S80" i="3945"/>
  <c r="W79" i="3945"/>
  <c r="U79" i="3945"/>
  <c r="S79" i="3945"/>
  <c r="R79" i="3945"/>
  <c r="Q79" i="3945"/>
  <c r="P79" i="3945"/>
  <c r="O79" i="3945"/>
  <c r="N79" i="3945"/>
  <c r="X78" i="3945"/>
  <c r="W78" i="3945"/>
  <c r="V78" i="3945"/>
  <c r="U78" i="3945"/>
  <c r="T78" i="3945"/>
  <c r="S78" i="3945"/>
  <c r="X77" i="3945"/>
  <c r="W77" i="3945"/>
  <c r="V77" i="3945"/>
  <c r="U77" i="3945"/>
  <c r="T77" i="3945"/>
  <c r="S77" i="3945"/>
  <c r="W76" i="3945"/>
  <c r="U76" i="3945"/>
  <c r="S76" i="3945"/>
  <c r="R76" i="3945"/>
  <c r="Q76" i="3945"/>
  <c r="P76" i="3945"/>
  <c r="O76" i="3945"/>
  <c r="N76" i="3945"/>
  <c r="X75" i="3945"/>
  <c r="W75" i="3945"/>
  <c r="V75" i="3945"/>
  <c r="U75" i="3945"/>
  <c r="T75" i="3945"/>
  <c r="S75" i="3945"/>
  <c r="X74" i="3945"/>
  <c r="W74" i="3945"/>
  <c r="V74" i="3945"/>
  <c r="U74" i="3945"/>
  <c r="T74" i="3945"/>
  <c r="S74" i="3945"/>
  <c r="W73" i="3945"/>
  <c r="U73" i="3945"/>
  <c r="S73" i="3945"/>
  <c r="R73" i="3945"/>
  <c r="Q73" i="3945"/>
  <c r="P73" i="3945"/>
  <c r="O73" i="3945"/>
  <c r="N73" i="3945"/>
  <c r="X72" i="3945"/>
  <c r="W72" i="3945"/>
  <c r="V72" i="3945"/>
  <c r="U72" i="3945"/>
  <c r="T72" i="3945"/>
  <c r="S72" i="3945"/>
  <c r="X71" i="3945"/>
  <c r="W71" i="3945"/>
  <c r="V71" i="3945"/>
  <c r="U71" i="3945"/>
  <c r="T71" i="3945"/>
  <c r="S71" i="3945"/>
  <c r="W70" i="3945"/>
  <c r="U70" i="3945"/>
  <c r="S70" i="3945"/>
  <c r="R70" i="3945"/>
  <c r="Q70" i="3945"/>
  <c r="P70" i="3945"/>
  <c r="O70" i="3945"/>
  <c r="N70" i="3945"/>
  <c r="X69" i="3945"/>
  <c r="W69" i="3945"/>
  <c r="V69" i="3945"/>
  <c r="U69" i="3945"/>
  <c r="T69" i="3945"/>
  <c r="S69" i="3945"/>
  <c r="X68" i="3945"/>
  <c r="W68" i="3945"/>
  <c r="V68" i="3945"/>
  <c r="U68" i="3945"/>
  <c r="T68" i="3945"/>
  <c r="S68" i="3945"/>
  <c r="W67" i="3945"/>
  <c r="U67" i="3945"/>
  <c r="S67" i="3945"/>
  <c r="R67" i="3945"/>
  <c r="Q67" i="3945"/>
  <c r="P67" i="3945"/>
  <c r="O67" i="3945"/>
  <c r="N67" i="3945"/>
  <c r="X66" i="3945"/>
  <c r="W66" i="3945"/>
  <c r="V66" i="3945"/>
  <c r="U66" i="3945"/>
  <c r="T66" i="3945"/>
  <c r="S66" i="3945"/>
  <c r="X65" i="3945"/>
  <c r="W65" i="3945"/>
  <c r="V65" i="3945"/>
  <c r="U65" i="3945"/>
  <c r="T65" i="3945"/>
  <c r="S65" i="3945"/>
  <c r="W64" i="3945"/>
  <c r="U64" i="3945"/>
  <c r="S64" i="3945"/>
  <c r="R64" i="3945"/>
  <c r="Q64" i="3945"/>
  <c r="P64" i="3945"/>
  <c r="O64" i="3945"/>
  <c r="N64" i="3945"/>
  <c r="X63" i="3945"/>
  <c r="W63" i="3945"/>
  <c r="V63" i="3945"/>
  <c r="U63" i="3945"/>
  <c r="T63" i="3945"/>
  <c r="S63" i="3945"/>
  <c r="X62" i="3945"/>
  <c r="W62" i="3945"/>
  <c r="V62" i="3945"/>
  <c r="U62" i="3945"/>
  <c r="T62" i="3945"/>
  <c r="S62" i="3945"/>
  <c r="W61" i="3945"/>
  <c r="U61" i="3945"/>
  <c r="S61" i="3945"/>
  <c r="R61" i="3945"/>
  <c r="Q61" i="3945"/>
  <c r="P61" i="3945"/>
  <c r="O61" i="3945"/>
  <c r="N61" i="3945"/>
  <c r="X60" i="3945"/>
  <c r="W60" i="3945"/>
  <c r="V60" i="3945"/>
  <c r="U60" i="3945"/>
  <c r="T60" i="3945"/>
  <c r="S60" i="3945"/>
  <c r="X59" i="3945"/>
  <c r="W59" i="3945"/>
  <c r="V59" i="3945"/>
  <c r="U59" i="3945"/>
  <c r="T59" i="3945"/>
  <c r="S59" i="3945"/>
  <c r="W58" i="3945"/>
  <c r="U58" i="3945"/>
  <c r="S58" i="3945"/>
  <c r="R58" i="3945"/>
  <c r="Q58" i="3945"/>
  <c r="P58" i="3945"/>
  <c r="O58" i="3945"/>
  <c r="N58" i="3945"/>
  <c r="X57" i="3945"/>
  <c r="W57" i="3945"/>
  <c r="V57" i="3945"/>
  <c r="U57" i="3945"/>
  <c r="T57" i="3945"/>
  <c r="S57" i="3945"/>
  <c r="X56" i="3945"/>
  <c r="W56" i="3945"/>
  <c r="V56" i="3945"/>
  <c r="U56" i="3945"/>
  <c r="T56" i="3945"/>
  <c r="S56" i="3945"/>
  <c r="W55" i="3945"/>
  <c r="U55" i="3945"/>
  <c r="S55" i="3945"/>
  <c r="R55" i="3945"/>
  <c r="Q55" i="3945"/>
  <c r="P55" i="3945"/>
  <c r="O55" i="3945"/>
  <c r="N55" i="3945"/>
  <c r="X54" i="3945"/>
  <c r="W54" i="3945"/>
  <c r="V54" i="3945"/>
  <c r="U54" i="3945"/>
  <c r="T54" i="3945"/>
  <c r="S54" i="3945"/>
  <c r="X53" i="3945"/>
  <c r="W53" i="3945"/>
  <c r="V53" i="3945"/>
  <c r="U53" i="3945"/>
  <c r="T53" i="3945"/>
  <c r="S53" i="3945"/>
  <c r="W52" i="3945"/>
  <c r="U52" i="3945"/>
  <c r="S52" i="3945"/>
  <c r="R52" i="3945"/>
  <c r="Q52" i="3945"/>
  <c r="P52" i="3945"/>
  <c r="O52" i="3945"/>
  <c r="N52" i="3945"/>
  <c r="X51" i="3945"/>
  <c r="W51" i="3945"/>
  <c r="V51" i="3945"/>
  <c r="U51" i="3945"/>
  <c r="T51" i="3945"/>
  <c r="S51" i="3945"/>
  <c r="X50" i="3945"/>
  <c r="W50" i="3945"/>
  <c r="V50" i="3945"/>
  <c r="U50" i="3945"/>
  <c r="T50" i="3945"/>
  <c r="S50" i="3945"/>
  <c r="W49" i="3945"/>
  <c r="U49" i="3945"/>
  <c r="S49" i="3945"/>
  <c r="R49" i="3945"/>
  <c r="Q49" i="3945"/>
  <c r="P49" i="3945"/>
  <c r="O49" i="3945"/>
  <c r="N49" i="3945"/>
  <c r="X48" i="3945"/>
  <c r="W48" i="3945"/>
  <c r="V48" i="3945"/>
  <c r="U48" i="3945"/>
  <c r="T48" i="3945"/>
  <c r="S48" i="3945"/>
  <c r="X47" i="3945"/>
  <c r="W47" i="3945"/>
  <c r="V47" i="3945"/>
  <c r="U47" i="3945"/>
  <c r="T47" i="3945"/>
  <c r="S47" i="3945"/>
  <c r="W46" i="3945"/>
  <c r="U46" i="3945"/>
  <c r="S46" i="3945"/>
  <c r="R46" i="3945"/>
  <c r="Q46" i="3945"/>
  <c r="P46" i="3945"/>
  <c r="O46" i="3945"/>
  <c r="N46" i="3945"/>
  <c r="X45" i="3945"/>
  <c r="W45" i="3945"/>
  <c r="V45" i="3945"/>
  <c r="U45" i="3945"/>
  <c r="T45" i="3945"/>
  <c r="S45" i="3945"/>
  <c r="X44" i="3945"/>
  <c r="W44" i="3945"/>
  <c r="V44" i="3945"/>
  <c r="U44" i="3945"/>
  <c r="T44" i="3945"/>
  <c r="S44" i="3945"/>
  <c r="W43" i="3945"/>
  <c r="U43" i="3945"/>
  <c r="S43" i="3945"/>
  <c r="R43" i="3945"/>
  <c r="Q43" i="3945"/>
  <c r="P43" i="3945"/>
  <c r="O43" i="3945"/>
  <c r="N43" i="3945"/>
  <c r="X42" i="3945"/>
  <c r="W42" i="3945"/>
  <c r="V42" i="3945"/>
  <c r="U42" i="3945"/>
  <c r="T42" i="3945"/>
  <c r="S42" i="3945"/>
  <c r="X41" i="3945"/>
  <c r="W41" i="3945"/>
  <c r="V41" i="3945"/>
  <c r="U41" i="3945"/>
  <c r="T41" i="3945"/>
  <c r="S41" i="3945"/>
  <c r="W40" i="3945"/>
  <c r="U40" i="3945"/>
  <c r="S40" i="3945"/>
  <c r="R40" i="3945"/>
  <c r="Q40" i="3945"/>
  <c r="P40" i="3945"/>
  <c r="O40" i="3945"/>
  <c r="N40" i="3945"/>
  <c r="X39" i="3945"/>
  <c r="W39" i="3945"/>
  <c r="V39" i="3945"/>
  <c r="U39" i="3945"/>
  <c r="T39" i="3945"/>
  <c r="S39" i="3945"/>
  <c r="X38" i="3945"/>
  <c r="W38" i="3945"/>
  <c r="V38" i="3945"/>
  <c r="U38" i="3945"/>
  <c r="T38" i="3945"/>
  <c r="S38" i="3945"/>
  <c r="W37" i="3945"/>
  <c r="U37" i="3945"/>
  <c r="S37" i="3945"/>
  <c r="R37" i="3945"/>
  <c r="Q37" i="3945"/>
  <c r="P37" i="3945"/>
  <c r="O37" i="3945"/>
  <c r="N37" i="3945"/>
  <c r="X36" i="3945"/>
  <c r="W36" i="3945"/>
  <c r="V36" i="3945"/>
  <c r="U36" i="3945"/>
  <c r="T36" i="3945"/>
  <c r="S36" i="3945"/>
  <c r="X35" i="3945"/>
  <c r="W35" i="3945"/>
  <c r="V35" i="3945"/>
  <c r="U35" i="3945"/>
  <c r="T35" i="3945"/>
  <c r="S35" i="3945"/>
  <c r="W34" i="3945"/>
  <c r="U34" i="3945"/>
  <c r="S34" i="3945"/>
  <c r="R34" i="3945"/>
  <c r="Q34" i="3945"/>
  <c r="P34" i="3945"/>
  <c r="O34" i="3945"/>
  <c r="N34" i="3945"/>
  <c r="X33" i="3945"/>
  <c r="W33" i="3945"/>
  <c r="V33" i="3945"/>
  <c r="U33" i="3945"/>
  <c r="T33" i="3945"/>
  <c r="S33" i="3945"/>
  <c r="X32" i="3945"/>
  <c r="W32" i="3945"/>
  <c r="V32" i="3945"/>
  <c r="U32" i="3945"/>
  <c r="T32" i="3945"/>
  <c r="S32" i="3945"/>
  <c r="W31" i="3945"/>
  <c r="U31" i="3945"/>
  <c r="S31" i="3945"/>
  <c r="R31" i="3945"/>
  <c r="Q31" i="3945"/>
  <c r="P31" i="3945"/>
  <c r="O31" i="3945"/>
  <c r="N31" i="3945"/>
  <c r="X30" i="3945"/>
  <c r="W30" i="3945"/>
  <c r="V30" i="3945"/>
  <c r="U30" i="3945"/>
  <c r="T30" i="3945"/>
  <c r="S30" i="3945"/>
  <c r="X29" i="3945"/>
  <c r="W29" i="3945"/>
  <c r="V29" i="3945"/>
  <c r="U29" i="3945"/>
  <c r="T29" i="3945"/>
  <c r="S29" i="3945"/>
  <c r="W28" i="3945"/>
  <c r="U28" i="3945"/>
  <c r="S28" i="3945"/>
  <c r="R28" i="3945"/>
  <c r="Q28" i="3945"/>
  <c r="P28" i="3945"/>
  <c r="O28" i="3945"/>
  <c r="N28" i="3945"/>
  <c r="X27" i="3945"/>
  <c r="W27" i="3945"/>
  <c r="V27" i="3945"/>
  <c r="U27" i="3945"/>
  <c r="T27" i="3945"/>
  <c r="S27" i="3945"/>
  <c r="X26" i="3945"/>
  <c r="W26" i="3945"/>
  <c r="V26" i="3945"/>
  <c r="U26" i="3945"/>
  <c r="T26" i="3945"/>
  <c r="S26" i="3945"/>
  <c r="W25" i="3945"/>
  <c r="U25" i="3945"/>
  <c r="S25" i="3945"/>
  <c r="R25" i="3945"/>
  <c r="Q25" i="3945"/>
  <c r="P25" i="3945"/>
  <c r="O25" i="3945"/>
  <c r="N25" i="3945"/>
  <c r="X24" i="3945"/>
  <c r="W24" i="3945"/>
  <c r="V24" i="3945"/>
  <c r="U24" i="3945"/>
  <c r="T24" i="3945"/>
  <c r="S24" i="3945"/>
  <c r="X23" i="3945"/>
  <c r="W23" i="3945"/>
  <c r="V23" i="3945"/>
  <c r="U23" i="3945"/>
  <c r="T23" i="3945"/>
  <c r="S23" i="3945"/>
  <c r="W22" i="3945"/>
  <c r="U22" i="3945"/>
  <c r="S22" i="3945"/>
  <c r="R22" i="3945"/>
  <c r="Q22" i="3945"/>
  <c r="P22" i="3945"/>
  <c r="O22" i="3945"/>
  <c r="N22" i="3945"/>
  <c r="X21" i="3945"/>
  <c r="W21" i="3945"/>
  <c r="V21" i="3945"/>
  <c r="U21" i="3945"/>
  <c r="T21" i="3945"/>
  <c r="S21" i="3945"/>
  <c r="X20" i="3945"/>
  <c r="W20" i="3945"/>
  <c r="V20" i="3945"/>
  <c r="U20" i="3945"/>
  <c r="T20" i="3945"/>
  <c r="S20" i="3945"/>
  <c r="W19" i="3945"/>
  <c r="U19" i="3945"/>
  <c r="S19" i="3945"/>
  <c r="R19" i="3945"/>
  <c r="Q19" i="3945"/>
  <c r="P19" i="3945"/>
  <c r="O19" i="3945"/>
  <c r="N19" i="3945"/>
  <c r="X18" i="3945"/>
  <c r="W18" i="3945"/>
  <c r="V18" i="3945"/>
  <c r="U18" i="3945"/>
  <c r="T18" i="3945"/>
  <c r="S18" i="3945"/>
  <c r="X17" i="3945"/>
  <c r="W17" i="3945"/>
  <c r="V17" i="3945"/>
  <c r="U17" i="3945"/>
  <c r="T17" i="3945"/>
  <c r="S17" i="3945"/>
  <c r="W16" i="3945"/>
  <c r="U16" i="3945"/>
  <c r="S16" i="3945"/>
  <c r="R16" i="3945"/>
  <c r="Q16" i="3945"/>
  <c r="P16" i="3945"/>
  <c r="O16" i="3945"/>
  <c r="N16" i="3945"/>
  <c r="X15" i="3945"/>
  <c r="W15" i="3945"/>
  <c r="V15" i="3945"/>
  <c r="U15" i="3945"/>
  <c r="T15" i="3945"/>
  <c r="S15" i="3945"/>
  <c r="X14" i="3945"/>
  <c r="W14" i="3945"/>
  <c r="V14" i="3945"/>
  <c r="U14" i="3945"/>
  <c r="T14" i="3945"/>
  <c r="S14" i="3945"/>
  <c r="W13" i="3945"/>
  <c r="U13" i="3945"/>
  <c r="S13" i="3945"/>
  <c r="R13" i="3945"/>
  <c r="Q13" i="3945"/>
  <c r="P13" i="3945"/>
  <c r="O13" i="3945"/>
  <c r="N13" i="3945"/>
  <c r="F149" i="3944" s="1"/>
  <c r="X12" i="3945"/>
  <c r="W12" i="3945"/>
  <c r="V12" i="3945"/>
  <c r="U12" i="3945"/>
  <c r="T12" i="3945"/>
  <c r="S12" i="3945"/>
  <c r="X11" i="3945"/>
  <c r="W11" i="3945"/>
  <c r="V11" i="3945"/>
  <c r="U11" i="3945"/>
  <c r="T11" i="3945"/>
  <c r="S11" i="3945"/>
  <c r="W10" i="3945"/>
  <c r="U10" i="3945"/>
  <c r="S10" i="3945"/>
  <c r="R10" i="3945"/>
  <c r="Q10" i="3945"/>
  <c r="P10" i="3945"/>
  <c r="O10" i="3945"/>
  <c r="G264" i="3944" s="1"/>
  <c r="N10" i="3945"/>
  <c r="X9" i="3945"/>
  <c r="W9" i="3945"/>
  <c r="V9" i="3945"/>
  <c r="U9" i="3945"/>
  <c r="T9" i="3945"/>
  <c r="S9" i="3945"/>
  <c r="X8" i="3945"/>
  <c r="W8" i="3945"/>
  <c r="V8" i="3945"/>
  <c r="U8" i="3945"/>
  <c r="T8" i="3945"/>
  <c r="S8" i="3945"/>
  <c r="W7" i="3945"/>
  <c r="U7" i="3945"/>
  <c r="S7" i="3945"/>
  <c r="R7" i="3945"/>
  <c r="Q7" i="3945"/>
  <c r="P7" i="3945"/>
  <c r="O7" i="3945"/>
  <c r="F264" i="3944" s="1"/>
  <c r="N7" i="3945"/>
  <c r="X6" i="3945"/>
  <c r="W6" i="3945"/>
  <c r="V6" i="3945"/>
  <c r="U6" i="3945"/>
  <c r="T6" i="3945"/>
  <c r="S6" i="3945"/>
  <c r="X5" i="3945"/>
  <c r="W5" i="3945"/>
  <c r="V5" i="3945"/>
  <c r="U5" i="3945"/>
  <c r="T5" i="3945"/>
  <c r="S5" i="3945"/>
  <c r="AQ1013" i="3957"/>
  <c r="J1015" i="3957"/>
  <c r="A828" i="3957"/>
  <c r="A831" i="3957"/>
  <c r="A850" i="3957" s="1"/>
  <c r="A853" i="3957" s="1"/>
  <c r="C198" i="3944"/>
  <c r="AQ1024" i="3957"/>
  <c r="J1026" i="3957"/>
  <c r="AR1026" i="3957"/>
  <c r="I367" i="3944"/>
  <c r="B367" i="3944"/>
  <c r="F348" i="3944"/>
  <c r="G344" i="3944"/>
  <c r="F344" i="3944"/>
  <c r="E344" i="3944" s="1"/>
  <c r="G311" i="3944"/>
  <c r="F309" i="3944"/>
  <c r="B325" i="3944"/>
  <c r="B313" i="3944"/>
  <c r="B307" i="3944"/>
  <c r="B306" i="3944"/>
  <c r="F226" i="3944" s="1"/>
  <c r="G265" i="3944"/>
  <c r="G243" i="3944"/>
  <c r="G245" i="3944"/>
  <c r="G246" i="3944"/>
  <c r="G247" i="3944"/>
  <c r="F265" i="3944"/>
  <c r="F245" i="3944"/>
  <c r="F246" i="3944"/>
  <c r="F247" i="3944"/>
  <c r="D247" i="3944" s="1"/>
  <c r="B240" i="3944"/>
  <c r="B231" i="3944"/>
  <c r="B229" i="3944"/>
  <c r="B228" i="3944"/>
  <c r="H226" i="3944"/>
  <c r="H181" i="3956"/>
  <c r="I181" i="3956" s="1"/>
  <c r="H190" i="3956"/>
  <c r="H183" i="3956"/>
  <c r="I183" i="3956"/>
  <c r="L201" i="3944"/>
  <c r="J201" i="3944"/>
  <c r="H201" i="3944"/>
  <c r="F201" i="3944"/>
  <c r="D201" i="3944"/>
  <c r="C199" i="3944"/>
  <c r="C200" i="3944"/>
  <c r="C201" i="3944"/>
  <c r="B201" i="3944"/>
  <c r="B195" i="3944"/>
  <c r="B194" i="3944"/>
  <c r="L189" i="3944"/>
  <c r="J189" i="3944"/>
  <c r="H189" i="3944"/>
  <c r="F189" i="3944"/>
  <c r="D189" i="3944"/>
  <c r="J184" i="3944"/>
  <c r="F184" i="3944"/>
  <c r="D184" i="3944"/>
  <c r="B171" i="3944"/>
  <c r="T163" i="3944"/>
  <c r="T162" i="3944"/>
  <c r="T161" i="3944"/>
  <c r="T160" i="3944"/>
  <c r="T159" i="3944"/>
  <c r="T158" i="3944"/>
  <c r="T157" i="3944"/>
  <c r="G148" i="3944"/>
  <c r="G149" i="3944"/>
  <c r="F148" i="3944"/>
  <c r="E151" i="3944"/>
  <c r="B147" i="3944"/>
  <c r="F142" i="3944"/>
  <c r="F141" i="3944"/>
  <c r="R26" i="3944"/>
  <c r="D40" i="3944" s="1"/>
  <c r="D139" i="3944"/>
  <c r="C98" i="3944"/>
  <c r="C100" i="3944"/>
  <c r="C101" i="3944"/>
  <c r="C102" i="3944"/>
  <c r="D98" i="3944"/>
  <c r="D100" i="3944"/>
  <c r="D101" i="3944"/>
  <c r="D102" i="3944"/>
  <c r="F102" i="3944"/>
  <c r="F101" i="3944"/>
  <c r="F100" i="3944"/>
  <c r="F98" i="3944"/>
  <c r="H89" i="3944"/>
  <c r="B89" i="3944" s="1"/>
  <c r="D89" i="3944"/>
  <c r="C89" i="3944"/>
  <c r="F70" i="3944"/>
  <c r="F59" i="3944"/>
  <c r="G34" i="3944"/>
  <c r="G35" i="3944"/>
  <c r="G36" i="3944"/>
  <c r="G37" i="3944"/>
  <c r="G38" i="3944"/>
  <c r="F43" i="3944"/>
  <c r="F34" i="3944"/>
  <c r="F35" i="3944"/>
  <c r="F36" i="3944"/>
  <c r="F37" i="3944"/>
  <c r="F38" i="3944"/>
  <c r="R28" i="3944"/>
  <c r="N28" i="3944"/>
  <c r="B27" i="3944"/>
  <c r="N26" i="3944"/>
  <c r="B25" i="3944"/>
  <c r="BB838" i="3957" s="1"/>
  <c r="B24" i="3944"/>
  <c r="B21" i="3944"/>
  <c r="H360" i="3957"/>
  <c r="H353" i="3957"/>
  <c r="AQ176" i="3957"/>
  <c r="B9" i="3944" s="1"/>
  <c r="AQ161" i="3957"/>
  <c r="B8" i="3944"/>
  <c r="AQ146" i="3957"/>
  <c r="AQ668" i="3957"/>
  <c r="X9" i="3942" s="1"/>
  <c r="AC9" i="3942" s="1"/>
  <c r="X9" i="3943"/>
  <c r="AC22" i="3942"/>
  <c r="AB22" i="3942"/>
  <c r="R22" i="3942"/>
  <c r="AA22" i="3942"/>
  <c r="Q22" i="3942"/>
  <c r="Z22" i="3942" s="1"/>
  <c r="Y22" i="3942"/>
  <c r="AC17" i="3942"/>
  <c r="AB17" i="3942"/>
  <c r="R17" i="3942"/>
  <c r="AA17" i="3942"/>
  <c r="Q17" i="3942"/>
  <c r="Z17" i="3942" s="1"/>
  <c r="Y17" i="3942"/>
  <c r="E17" i="3942"/>
  <c r="D17" i="3942"/>
  <c r="AF9" i="3942"/>
  <c r="AJ9" i="3942"/>
  <c r="R9" i="3942"/>
  <c r="Q9" i="3942"/>
  <c r="AC22" i="3941"/>
  <c r="AB22" i="3941"/>
  <c r="R22" i="3941"/>
  <c r="AA22" i="3941" s="1"/>
  <c r="Q22" i="3941"/>
  <c r="Z22" i="3941" s="1"/>
  <c r="Y22" i="3941"/>
  <c r="AC17" i="3941"/>
  <c r="AB17" i="3941"/>
  <c r="R17" i="3941"/>
  <c r="AA17" i="3941" s="1"/>
  <c r="Q17" i="3941"/>
  <c r="Z17" i="3941" s="1"/>
  <c r="Y17" i="3941"/>
  <c r="E17" i="3941"/>
  <c r="D17" i="3941"/>
  <c r="AF9" i="3941"/>
  <c r="AJ9" i="3941" s="1"/>
  <c r="AK9" i="3941"/>
  <c r="R9" i="3941"/>
  <c r="X9" i="3941"/>
  <c r="AA9" i="3941" s="1"/>
  <c r="Q9" i="3941"/>
  <c r="AF23" i="3940"/>
  <c r="AL23" i="3940" s="1"/>
  <c r="R23" i="3940"/>
  <c r="X23" i="3940"/>
  <c r="Z23" i="3940" s="1"/>
  <c r="Q23" i="3940"/>
  <c r="AF17" i="3940"/>
  <c r="R17" i="3940"/>
  <c r="X17" i="3940"/>
  <c r="AC17" i="3940" s="1"/>
  <c r="Q17" i="3940"/>
  <c r="AC9" i="3940"/>
  <c r="AB9" i="3940"/>
  <c r="R9" i="3940"/>
  <c r="AA9" i="3940"/>
  <c r="Q9" i="3940"/>
  <c r="Z9" i="3940"/>
  <c r="Y9" i="3940"/>
  <c r="AL37" i="3939"/>
  <c r="AJ37" i="3939"/>
  <c r="R37" i="3939"/>
  <c r="X37" i="3939"/>
  <c r="AB37" i="3939" s="1"/>
  <c r="AH37" i="3939"/>
  <c r="Q37" i="3939"/>
  <c r="AL32" i="3939"/>
  <c r="AJ32" i="3939"/>
  <c r="R32" i="3939"/>
  <c r="X32" i="3939"/>
  <c r="AC32" i="3939" s="1"/>
  <c r="AH32" i="3939"/>
  <c r="Q32" i="3939"/>
  <c r="AL27" i="3939"/>
  <c r="AJ27" i="3939"/>
  <c r="R27" i="3939"/>
  <c r="X27" i="3939"/>
  <c r="Y27" i="3939" s="1"/>
  <c r="AH27" i="3939"/>
  <c r="Q27" i="3939"/>
  <c r="AL22" i="3939"/>
  <c r="AJ22" i="3939"/>
  <c r="R22" i="3939"/>
  <c r="X22" i="3939"/>
  <c r="AA22" i="3939" s="1"/>
  <c r="AH22" i="3939"/>
  <c r="Q22" i="3939"/>
  <c r="AL17" i="3939"/>
  <c r="AJ17" i="3939"/>
  <c r="R17" i="3939"/>
  <c r="X17" i="3939"/>
  <c r="AH17" i="3939"/>
  <c r="Q17" i="3939"/>
  <c r="AC9" i="3939"/>
  <c r="AB9" i="3939"/>
  <c r="R9" i="3939"/>
  <c r="AA9" i="3939" s="1"/>
  <c r="Q9" i="3939"/>
  <c r="Z9" i="3939" s="1"/>
  <c r="Y9" i="3939"/>
  <c r="AQ683" i="3957"/>
  <c r="AZ627" i="3957"/>
  <c r="AY627" i="3957"/>
  <c r="AX627" i="3957"/>
  <c r="AW627" i="3957"/>
  <c r="AV627" i="3957"/>
  <c r="AU627" i="3957"/>
  <c r="AT627" i="3957"/>
  <c r="AS627" i="3957"/>
  <c r="AR627" i="3957"/>
  <c r="AQ627" i="3957"/>
  <c r="AQ613" i="3957"/>
  <c r="AQ598" i="3957"/>
  <c r="AQ583" i="3957"/>
  <c r="AQ562" i="3957"/>
  <c r="AR542" i="3957"/>
  <c r="AQ542" i="3957"/>
  <c r="AQ524" i="3957"/>
  <c r="J121" i="3956"/>
  <c r="J120" i="3956"/>
  <c r="AR487" i="3957"/>
  <c r="AQ487" i="3957"/>
  <c r="H115" i="3956"/>
  <c r="H109" i="3956"/>
  <c r="H110" i="3956"/>
  <c r="F111" i="3956"/>
  <c r="D111" i="3956"/>
  <c r="H111" i="3956"/>
  <c r="H112" i="3956"/>
  <c r="H113" i="3956"/>
  <c r="J113" i="3956" s="1"/>
  <c r="H114" i="3956"/>
  <c r="AX456" i="3957"/>
  <c r="AW456" i="3957"/>
  <c r="AV456" i="3957"/>
  <c r="AU456" i="3957"/>
  <c r="AT456" i="3957"/>
  <c r="AS456" i="3957"/>
  <c r="AY392" i="3957"/>
  <c r="AX392" i="3957"/>
  <c r="AW392" i="3957"/>
  <c r="AV392" i="3957"/>
  <c r="AU392" i="3957"/>
  <c r="AT392" i="3957"/>
  <c r="AS392" i="3957"/>
  <c r="AR392" i="3957"/>
  <c r="AQ392" i="3957"/>
  <c r="AQ339" i="3957"/>
  <c r="AQ324" i="3957"/>
  <c r="AQ311" i="3957"/>
  <c r="AY239" i="3957"/>
  <c r="AX239" i="3957"/>
  <c r="AW239" i="3957"/>
  <c r="AV239" i="3957"/>
  <c r="AU239" i="3957"/>
  <c r="AT239" i="3957"/>
  <c r="AS239" i="3957"/>
  <c r="AR239" i="3957"/>
  <c r="AQ239" i="3957"/>
  <c r="A1244" i="3957"/>
  <c r="A1243" i="3957"/>
  <c r="A1242" i="3957"/>
  <c r="A1241" i="3957"/>
  <c r="A1239" i="3957"/>
  <c r="A1238" i="3957"/>
  <c r="A1237" i="3957"/>
  <c r="A1235" i="3957"/>
  <c r="A1234" i="3957"/>
  <c r="A1233" i="3957"/>
  <c r="A1231" i="3957"/>
  <c r="A1230" i="3957"/>
  <c r="A1229" i="3957"/>
  <c r="A1227" i="3957"/>
  <c r="A1226" i="3957"/>
  <c r="A1225" i="3957"/>
  <c r="A1223" i="3957"/>
  <c r="A1222" i="3957"/>
  <c r="A1221" i="3957"/>
  <c r="A1219" i="3957"/>
  <c r="A1218" i="3957"/>
  <c r="A1217" i="3957"/>
  <c r="A1215" i="3957"/>
  <c r="A1214" i="3957"/>
  <c r="A1213" i="3957"/>
  <c r="A1211" i="3957"/>
  <c r="A1210" i="3957"/>
  <c r="A1209" i="3957"/>
  <c r="A1207" i="3957"/>
  <c r="A1206" i="3957"/>
  <c r="A1205" i="3957"/>
  <c r="A1203" i="3957"/>
  <c r="A1202" i="3957"/>
  <c r="A1201" i="3957"/>
  <c r="A1199" i="3957"/>
  <c r="A1198" i="3957"/>
  <c r="A1197" i="3957"/>
  <c r="A1195" i="3957"/>
  <c r="A1194" i="3957"/>
  <c r="A1193" i="3957"/>
  <c r="A1191" i="3957"/>
  <c r="A1190" i="3957"/>
  <c r="A1189" i="3957"/>
  <c r="A865" i="3957"/>
  <c r="A864" i="3957"/>
  <c r="A862" i="3957"/>
  <c r="A861" i="3957"/>
  <c r="A860" i="3957"/>
  <c r="A859" i="3957"/>
  <c r="A858" i="3957"/>
  <c r="O858" i="3957" s="1"/>
  <c r="A857" i="3957"/>
  <c r="A856" i="3957"/>
  <c r="P856" i="3957" s="1"/>
  <c r="A854" i="3957"/>
  <c r="A852" i="3957"/>
  <c r="A851" i="3957"/>
  <c r="A849" i="3957"/>
  <c r="A848" i="3957"/>
  <c r="A847" i="3957"/>
  <c r="A846" i="3957"/>
  <c r="A845" i="3957"/>
  <c r="A844" i="3957"/>
  <c r="A843" i="3957"/>
  <c r="A842" i="3957"/>
  <c r="A841" i="3957"/>
  <c r="A840" i="3957"/>
  <c r="A839" i="3957"/>
  <c r="A838" i="3957"/>
  <c r="A837" i="3957"/>
  <c r="A836" i="3957"/>
  <c r="A835" i="3957"/>
  <c r="A834" i="3957"/>
  <c r="A833" i="3957"/>
  <c r="A832" i="3957"/>
  <c r="A830" i="3957"/>
  <c r="A829" i="3957"/>
  <c r="A822" i="3957"/>
  <c r="A823" i="3957"/>
  <c r="A826" i="3957"/>
  <c r="A825" i="3957"/>
  <c r="A824" i="3957"/>
  <c r="A821" i="3957"/>
  <c r="A820" i="3957"/>
  <c r="A819" i="3957"/>
  <c r="A799" i="3957"/>
  <c r="A800" i="3957"/>
  <c r="A804" i="3957" s="1"/>
  <c r="A806" i="3957"/>
  <c r="A809" i="3957" s="1"/>
  <c r="A810" i="3957" s="1"/>
  <c r="A807" i="3957"/>
  <c r="A805" i="3957"/>
  <c r="A803" i="3957"/>
  <c r="A802" i="3957"/>
  <c r="A801" i="3957"/>
  <c r="A798" i="3957"/>
  <c r="A797" i="3957"/>
  <c r="A796" i="3957"/>
  <c r="A776" i="3957"/>
  <c r="A777" i="3957" s="1"/>
  <c r="A783" i="3957" s="1"/>
  <c r="A782" i="3957"/>
  <c r="A775" i="3957"/>
  <c r="A774" i="3957"/>
  <c r="A773" i="3957"/>
  <c r="A749" i="3957"/>
  <c r="A750" i="3957"/>
  <c r="A754" i="3957" s="1"/>
  <c r="A755" i="3957" s="1"/>
  <c r="A756" i="3957" s="1"/>
  <c r="O755" i="3957"/>
  <c r="P755" i="3957" s="1"/>
  <c r="A757" i="3957"/>
  <c r="A752" i="3957"/>
  <c r="A751" i="3957"/>
  <c r="A748" i="3957"/>
  <c r="A747" i="3957"/>
  <c r="A715" i="3957"/>
  <c r="A716" i="3957"/>
  <c r="A717" i="3957"/>
  <c r="A714" i="3957"/>
  <c r="A713" i="3957"/>
  <c r="A80" i="3957"/>
  <c r="A86" i="3957" s="1"/>
  <c r="A92" i="3957" s="1"/>
  <c r="A93" i="3957" s="1"/>
  <c r="A96" i="3957"/>
  <c r="A94" i="3957"/>
  <c r="A87" i="3957"/>
  <c r="A84" i="3957"/>
  <c r="A79" i="3957"/>
  <c r="A78" i="3957"/>
  <c r="A77" i="3957"/>
  <c r="A76" i="3957"/>
  <c r="A75" i="3957"/>
  <c r="A74" i="3957"/>
  <c r="A73" i="3957"/>
  <c r="A72" i="3957"/>
  <c r="A71" i="3957"/>
  <c r="A70" i="3957"/>
  <c r="A69" i="3957"/>
  <c r="A68" i="3957"/>
  <c r="A67" i="3957"/>
  <c r="A66" i="3957"/>
  <c r="A65" i="3957"/>
  <c r="A64" i="3957"/>
  <c r="A63" i="3957"/>
  <c r="A62" i="3957"/>
  <c r="A61" i="3957"/>
  <c r="A60" i="3957"/>
  <c r="A59" i="3957"/>
  <c r="A58" i="3957"/>
  <c r="A57" i="3957"/>
  <c r="A56" i="3957"/>
  <c r="A55" i="3957"/>
  <c r="A54" i="3957"/>
  <c r="A53" i="3957"/>
  <c r="A52" i="3957"/>
  <c r="A51" i="3957"/>
  <c r="A50" i="3957"/>
  <c r="A49" i="3957"/>
  <c r="A48" i="3957"/>
  <c r="A47" i="3957"/>
  <c r="A46" i="3957"/>
  <c r="A45" i="3957"/>
  <c r="A44" i="3957"/>
  <c r="A43" i="3957"/>
  <c r="A42" i="3957"/>
  <c r="A41" i="3957"/>
  <c r="A40" i="3957"/>
  <c r="A39" i="3957"/>
  <c r="A38" i="3957"/>
  <c r="A37" i="3957"/>
  <c r="A36" i="3957"/>
  <c r="A35" i="3957"/>
  <c r="A34" i="3957"/>
  <c r="A33" i="3957"/>
  <c r="A32" i="3957"/>
  <c r="A31" i="3957"/>
  <c r="A30" i="3957"/>
  <c r="A29" i="3957"/>
  <c r="A28" i="3957"/>
  <c r="A27" i="3957"/>
  <c r="A26" i="3957"/>
  <c r="A25" i="3957"/>
  <c r="A24" i="3957"/>
  <c r="A23" i="3957"/>
  <c r="A22" i="3957"/>
  <c r="A21" i="3957"/>
  <c r="A20" i="3957"/>
  <c r="A19" i="3957"/>
  <c r="A18" i="3957"/>
  <c r="A17" i="3957"/>
  <c r="A16" i="3957"/>
  <c r="A15" i="3957"/>
  <c r="A14" i="3957"/>
  <c r="A13" i="3957"/>
  <c r="A12" i="3957"/>
  <c r="AY1055" i="3957"/>
  <c r="AW1055" i="3957"/>
  <c r="AU1055" i="3957"/>
  <c r="AV1162" i="3957"/>
  <c r="AV1168" i="3957"/>
  <c r="AV1123" i="3957"/>
  <c r="AV1141" i="3957"/>
  <c r="AV1165" i="3957"/>
  <c r="AV1171" i="3957"/>
  <c r="AV1164" i="3957"/>
  <c r="AV1170" i="3957"/>
  <c r="AV1163" i="3957"/>
  <c r="AV1169" i="3957"/>
  <c r="AV1159" i="3957"/>
  <c r="AV1126" i="3957"/>
  <c r="AV1132" i="3957"/>
  <c r="AV1144" i="3957"/>
  <c r="AV1125" i="3957"/>
  <c r="AV1131" i="3957"/>
  <c r="AV1143" i="3957"/>
  <c r="AV1124" i="3957"/>
  <c r="AV1130" i="3957"/>
  <c r="AV1142" i="3957"/>
  <c r="AU1171" i="3957"/>
  <c r="AU1170" i="3957"/>
  <c r="AT1170" i="3957" s="1"/>
  <c r="AU1169" i="3957"/>
  <c r="AU1168" i="3957"/>
  <c r="AU1165" i="3957"/>
  <c r="AU1164" i="3957"/>
  <c r="AU1163" i="3957"/>
  <c r="AU1162" i="3957"/>
  <c r="AU1159" i="3957"/>
  <c r="AU1144" i="3957"/>
  <c r="AU1143" i="3957"/>
  <c r="AU1142" i="3957"/>
  <c r="AU1141" i="3957"/>
  <c r="AU1132" i="3957"/>
  <c r="AU1131" i="3957"/>
  <c r="AU1130" i="3957"/>
  <c r="AU1126" i="3957"/>
  <c r="AU1125" i="3957"/>
  <c r="AU1124" i="3957"/>
  <c r="AU1123" i="3957"/>
  <c r="AV979" i="3957"/>
  <c r="AV980" i="3957"/>
  <c r="AU979" i="3957"/>
  <c r="AU980" i="3957"/>
  <c r="J1179" i="3957"/>
  <c r="J1178" i="3957"/>
  <c r="J1177" i="3957"/>
  <c r="J1176" i="3957"/>
  <c r="J1175" i="3957"/>
  <c r="J1174" i="3957"/>
  <c r="J1173" i="3957"/>
  <c r="J1172" i="3957"/>
  <c r="AW478" i="3957"/>
  <c r="AW472" i="3957"/>
  <c r="AW473" i="3957"/>
  <c r="AU474" i="3957"/>
  <c r="AW474" i="3957" s="1"/>
  <c r="AY474" i="3957" s="1"/>
  <c r="AS474" i="3957"/>
  <c r="AW475" i="3957"/>
  <c r="AW476" i="3957"/>
  <c r="AW477" i="3957"/>
  <c r="AY477" i="3957"/>
  <c r="AV1104" i="3957"/>
  <c r="AV1087" i="3957"/>
  <c r="AV1103" i="3957"/>
  <c r="AV1086" i="3957"/>
  <c r="AV1097" i="3957"/>
  <c r="AV1098" i="3957"/>
  <c r="AV1092" i="3957"/>
  <c r="AV1093" i="3957"/>
  <c r="AV1094" i="3957"/>
  <c r="AV1101" i="3957"/>
  <c r="AV1078" i="3957"/>
  <c r="AV1079" i="3957"/>
  <c r="AV1080" i="3957"/>
  <c r="AV1081" i="3957"/>
  <c r="AV1071" i="3957"/>
  <c r="AV1073" i="3957"/>
  <c r="AV1074" i="3957"/>
  <c r="AV1075" i="3957"/>
  <c r="AV1084" i="3957"/>
  <c r="AV972" i="3957"/>
  <c r="AV971" i="3957"/>
  <c r="AV964" i="3957"/>
  <c r="AV965" i="3957"/>
  <c r="AV920" i="3957"/>
  <c r="AV921" i="3957"/>
  <c r="AV899" i="3957"/>
  <c r="AV891" i="3957"/>
  <c r="AV892" i="3957"/>
  <c r="AV893" i="3957"/>
  <c r="AV881" i="3957"/>
  <c r="AV872" i="3957"/>
  <c r="AV873" i="3957"/>
  <c r="AV874" i="3957"/>
  <c r="AV875" i="3957"/>
  <c r="AV876" i="3957"/>
  <c r="AQ854" i="3957"/>
  <c r="J1165" i="3957"/>
  <c r="J1164" i="3957"/>
  <c r="J1163" i="3957"/>
  <c r="AU1104" i="3957"/>
  <c r="AU1087" i="3957"/>
  <c r="J1162" i="3957"/>
  <c r="AU1103" i="3957"/>
  <c r="AU1086" i="3957"/>
  <c r="J1161" i="3957"/>
  <c r="J1160" i="3957"/>
  <c r="AQ811" i="3957"/>
  <c r="AT811" i="3957" s="1"/>
  <c r="AQ810" i="3957"/>
  <c r="AS810" i="3957" s="1"/>
  <c r="AW649" i="3957"/>
  <c r="AX658" i="3957" s="1"/>
  <c r="AW658" i="3957"/>
  <c r="AW651" i="3957"/>
  <c r="AX651" i="3957"/>
  <c r="AX649" i="3957"/>
  <c r="J921" i="3957"/>
  <c r="J536" i="3957"/>
  <c r="J535" i="3957"/>
  <c r="J534" i="3957"/>
  <c r="J533" i="3957"/>
  <c r="J532" i="3957"/>
  <c r="J531" i="3957"/>
  <c r="AU1098" i="3957"/>
  <c r="AU1097" i="3957"/>
  <c r="AU1094" i="3957"/>
  <c r="AU1093" i="3957"/>
  <c r="AU1092" i="3957"/>
  <c r="AU1084" i="3957"/>
  <c r="AU1081" i="3957"/>
  <c r="AU1080" i="3957"/>
  <c r="AU1079" i="3957"/>
  <c r="AU1078" i="3957"/>
  <c r="AU1075" i="3957"/>
  <c r="AU1074" i="3957"/>
  <c r="AU1073" i="3957"/>
  <c r="AU1071" i="3957"/>
  <c r="AW1002" i="3957"/>
  <c r="AU1002" i="3957"/>
  <c r="AS1002" i="3957"/>
  <c r="AW1001" i="3957"/>
  <c r="AU1001" i="3957"/>
  <c r="AS1001" i="3957"/>
  <c r="AW1000" i="3957"/>
  <c r="AU1000" i="3957"/>
  <c r="AS1000" i="3957"/>
  <c r="AU946" i="3957"/>
  <c r="AS946" i="3957"/>
  <c r="AR946" i="3957"/>
  <c r="AU945" i="3957"/>
  <c r="AS945" i="3957"/>
  <c r="AR945" i="3957"/>
  <c r="AU944" i="3957"/>
  <c r="AS944" i="3957"/>
  <c r="AR944" i="3957"/>
  <c r="AU943" i="3957"/>
  <c r="AS943" i="3957"/>
  <c r="AR943" i="3957"/>
  <c r="AU942" i="3957"/>
  <c r="AS942" i="3957"/>
  <c r="AR942" i="3957"/>
  <c r="AU1101" i="3957"/>
  <c r="AQ978" i="3957"/>
  <c r="AT982" i="3957"/>
  <c r="AU921" i="3957"/>
  <c r="AU920" i="3957"/>
  <c r="AU893" i="3957"/>
  <c r="AU892" i="3957"/>
  <c r="AU891" i="3957"/>
  <c r="BG859" i="3957"/>
  <c r="J1054" i="3957"/>
  <c r="BL794" i="3957"/>
  <c r="J934" i="3957"/>
  <c r="AW934" i="3957"/>
  <c r="AS934" i="3957" s="1"/>
  <c r="AU934" i="3957"/>
  <c r="J811" i="3957"/>
  <c r="BR811" i="3957"/>
  <c r="BQ811" i="3957"/>
  <c r="BN811" i="3957"/>
  <c r="BG811" i="3957"/>
  <c r="BP811" i="3957" s="1"/>
  <c r="BF811" i="3957"/>
  <c r="BO811" i="3957"/>
  <c r="J788" i="3957"/>
  <c r="BR788" i="3957"/>
  <c r="BQ788" i="3957"/>
  <c r="BN788" i="3957"/>
  <c r="BG788" i="3957"/>
  <c r="BP788" i="3957" s="1"/>
  <c r="BF788" i="3957"/>
  <c r="BO788" i="3957"/>
  <c r="AQ788" i="3957"/>
  <c r="AR788" i="3957" s="1"/>
  <c r="BL788" i="3957" s="1"/>
  <c r="AT788" i="3957"/>
  <c r="J518" i="3957"/>
  <c r="J517" i="3957"/>
  <c r="J516" i="3957"/>
  <c r="J515" i="3957"/>
  <c r="J514" i="3957"/>
  <c r="B518" i="3957"/>
  <c r="M518" i="3957" s="1"/>
  <c r="B517" i="3957"/>
  <c r="M517" i="3957" s="1"/>
  <c r="B516" i="3957"/>
  <c r="M516" i="3957"/>
  <c r="B515" i="3957"/>
  <c r="M515" i="3957" s="1"/>
  <c r="P45" i="3957"/>
  <c r="O45" i="3957"/>
  <c r="J482" i="3957"/>
  <c r="J481" i="3957"/>
  <c r="J480" i="3957"/>
  <c r="J479" i="3957"/>
  <c r="J478" i="3957"/>
  <c r="J477" i="3957"/>
  <c r="J476" i="3957"/>
  <c r="J475" i="3957"/>
  <c r="J474" i="3957"/>
  <c r="J473" i="3957"/>
  <c r="J472" i="3957"/>
  <c r="J471" i="3957"/>
  <c r="J470" i="3957"/>
  <c r="B482" i="3957"/>
  <c r="M482" i="3957"/>
  <c r="B481" i="3957"/>
  <c r="M481" i="3957" s="1"/>
  <c r="B480" i="3957"/>
  <c r="M480" i="3957" s="1"/>
  <c r="B479" i="3957"/>
  <c r="M479" i="3957"/>
  <c r="P44" i="3957"/>
  <c r="O44" i="3957"/>
  <c r="BK770" i="3957"/>
  <c r="BK765" i="3957"/>
  <c r="BK760" i="3957"/>
  <c r="AT1159" i="3957"/>
  <c r="BC986" i="3957"/>
  <c r="BC987" i="3957"/>
  <c r="BC988" i="3957"/>
  <c r="BC989" i="3957"/>
  <c r="BC990" i="3957"/>
  <c r="BC991" i="3957"/>
  <c r="BC992" i="3957"/>
  <c r="AS969" i="3957"/>
  <c r="AU965" i="3957"/>
  <c r="AU964" i="3957"/>
  <c r="AW933" i="3957"/>
  <c r="AU933" i="3957"/>
  <c r="AU876" i="3957"/>
  <c r="AU875" i="3957"/>
  <c r="AU874" i="3957"/>
  <c r="AU873" i="3957"/>
  <c r="AU872" i="3957"/>
  <c r="BC861" i="3957"/>
  <c r="BC859" i="3957"/>
  <c r="P1242" i="3957"/>
  <c r="P1238" i="3957"/>
  <c r="P1234" i="3957"/>
  <c r="P1230" i="3957"/>
  <c r="P1226" i="3957"/>
  <c r="P1222" i="3957"/>
  <c r="P1218" i="3957"/>
  <c r="P1214" i="3957"/>
  <c r="P1206" i="3957"/>
  <c r="P1202" i="3957"/>
  <c r="J1027" i="3957"/>
  <c r="AU971" i="3957"/>
  <c r="AU972" i="3957"/>
  <c r="AU899" i="3957"/>
  <c r="AU881" i="3957"/>
  <c r="J1024" i="3957"/>
  <c r="J1013" i="3957"/>
  <c r="O829" i="3957"/>
  <c r="J1243" i="3957"/>
  <c r="J1242" i="3957"/>
  <c r="J1241" i="3957"/>
  <c r="J1240" i="3957"/>
  <c r="J1239" i="3957"/>
  <c r="J1238" i="3957"/>
  <c r="J1237" i="3957"/>
  <c r="J1236" i="3957"/>
  <c r="J1235" i="3957"/>
  <c r="J1234" i="3957"/>
  <c r="J1233" i="3957"/>
  <c r="J1232" i="3957"/>
  <c r="J1231" i="3957"/>
  <c r="J1230" i="3957"/>
  <c r="J1229" i="3957"/>
  <c r="J1228" i="3957"/>
  <c r="J1227" i="3957"/>
  <c r="J1226" i="3957"/>
  <c r="J1225" i="3957"/>
  <c r="J1224" i="3957"/>
  <c r="J1223" i="3957"/>
  <c r="P1223" i="3957"/>
  <c r="O1222" i="3957"/>
  <c r="J1222" i="3957"/>
  <c r="J1221" i="3957"/>
  <c r="P1221" i="3957"/>
  <c r="J1220" i="3957"/>
  <c r="P1219" i="3957"/>
  <c r="J1219" i="3957"/>
  <c r="O1219" i="3957"/>
  <c r="O1218" i="3957"/>
  <c r="J1218" i="3957"/>
  <c r="O1217" i="3957"/>
  <c r="J1217" i="3957"/>
  <c r="P1217" i="3957"/>
  <c r="J1216" i="3957"/>
  <c r="P1215" i="3957"/>
  <c r="J1215" i="3957"/>
  <c r="O1215" i="3957"/>
  <c r="J1214" i="3957"/>
  <c r="J1213" i="3957"/>
  <c r="J1212" i="3957"/>
  <c r="J1211" i="3957"/>
  <c r="J1210" i="3957"/>
  <c r="P1209" i="3957"/>
  <c r="J1209" i="3957"/>
  <c r="J1208" i="3957"/>
  <c r="O1207" i="3957"/>
  <c r="J1207" i="3957"/>
  <c r="P1207" i="3957"/>
  <c r="O1206" i="3957"/>
  <c r="J1206" i="3957"/>
  <c r="P1205" i="3957"/>
  <c r="O1205" i="3957"/>
  <c r="J1205" i="3957"/>
  <c r="P1231" i="3957"/>
  <c r="J1204" i="3957"/>
  <c r="P1203" i="3957"/>
  <c r="J1203" i="3957"/>
  <c r="O1203" i="3957"/>
  <c r="O1202" i="3957"/>
  <c r="J1202" i="3957"/>
  <c r="J1201" i="3957"/>
  <c r="P1201" i="3957"/>
  <c r="J1200" i="3957"/>
  <c r="J1199" i="3957"/>
  <c r="O1199" i="3957"/>
  <c r="J1198" i="3957"/>
  <c r="J1197" i="3957"/>
  <c r="J1196" i="3957"/>
  <c r="J1195" i="3957"/>
  <c r="P1194" i="3957"/>
  <c r="J1194" i="3957"/>
  <c r="O1194" i="3957"/>
  <c r="P1193" i="3957"/>
  <c r="J1193" i="3957"/>
  <c r="O1193" i="3957"/>
  <c r="J1192" i="3957"/>
  <c r="O1191" i="3957"/>
  <c r="J1191" i="3957"/>
  <c r="P1191" i="3957"/>
  <c r="J1190" i="3957"/>
  <c r="P1190" i="3957"/>
  <c r="P1189" i="3957"/>
  <c r="O1189" i="3957"/>
  <c r="J1189" i="3957"/>
  <c r="J1188" i="3957"/>
  <c r="P1187" i="3957"/>
  <c r="AQ1186" i="3957"/>
  <c r="J1186" i="3957"/>
  <c r="J1185" i="3957"/>
  <c r="AQ1183" i="3957"/>
  <c r="J1183" i="3957"/>
  <c r="J1182" i="3957"/>
  <c r="U1181" i="3957"/>
  <c r="J1181" i="3957"/>
  <c r="J1180" i="3957"/>
  <c r="J1171" i="3957"/>
  <c r="J1170" i="3957"/>
  <c r="J1169" i="3957"/>
  <c r="J1168" i="3957"/>
  <c r="J1167" i="3957"/>
  <c r="J1166" i="3957"/>
  <c r="J1159" i="3957"/>
  <c r="J1158" i="3957"/>
  <c r="J1157" i="3957"/>
  <c r="J1156" i="3957"/>
  <c r="J1155" i="3957"/>
  <c r="J1154" i="3957"/>
  <c r="J1153" i="3957"/>
  <c r="J1152" i="3957"/>
  <c r="J1151" i="3957"/>
  <c r="J1150" i="3957"/>
  <c r="J1149" i="3957"/>
  <c r="J1148" i="3957"/>
  <c r="J1147" i="3957"/>
  <c r="J1146" i="3957"/>
  <c r="J1145" i="3957"/>
  <c r="J1144" i="3957"/>
  <c r="J1143" i="3957"/>
  <c r="J1142" i="3957"/>
  <c r="J1141" i="3957"/>
  <c r="AQ1140" i="3957"/>
  <c r="J1140" i="3957"/>
  <c r="J1139" i="3957"/>
  <c r="J1138" i="3957"/>
  <c r="J1137" i="3957"/>
  <c r="J1136" i="3957"/>
  <c r="J1135" i="3957"/>
  <c r="J1134" i="3957"/>
  <c r="J1133" i="3957"/>
  <c r="J1132" i="3957"/>
  <c r="J1131" i="3957"/>
  <c r="J1130" i="3957"/>
  <c r="J1129" i="3957"/>
  <c r="AQ1128" i="3957"/>
  <c r="J1128" i="3957"/>
  <c r="J1127" i="3957"/>
  <c r="J1126" i="3957"/>
  <c r="J1125" i="3957"/>
  <c r="J1124" i="3957"/>
  <c r="J1123" i="3957"/>
  <c r="AQ1122" i="3957"/>
  <c r="J1122" i="3957"/>
  <c r="AQ1121" i="3957"/>
  <c r="J1121" i="3957"/>
  <c r="J1120" i="3957"/>
  <c r="U1119" i="3957"/>
  <c r="J1119" i="3957"/>
  <c r="J1118" i="3957"/>
  <c r="J1116" i="3957"/>
  <c r="J1115" i="3957"/>
  <c r="U1114" i="3957"/>
  <c r="J1114" i="3957"/>
  <c r="J1113" i="3957"/>
  <c r="J1112" i="3957"/>
  <c r="J1111" i="3957"/>
  <c r="J1110" i="3957"/>
  <c r="J1109" i="3957"/>
  <c r="J1108" i="3957"/>
  <c r="J1107" i="3957"/>
  <c r="J1106" i="3957"/>
  <c r="J1105" i="3957"/>
  <c r="J1104" i="3957"/>
  <c r="J1103" i="3957"/>
  <c r="J1102" i="3957"/>
  <c r="J1101" i="3957"/>
  <c r="J1100" i="3957"/>
  <c r="J1099" i="3957"/>
  <c r="J1098" i="3957"/>
  <c r="J1097" i="3957"/>
  <c r="J1096" i="3957"/>
  <c r="J1095" i="3957"/>
  <c r="J1094" i="3957"/>
  <c r="J1093" i="3957"/>
  <c r="J1092" i="3957"/>
  <c r="J1091" i="3957"/>
  <c r="J1090" i="3957"/>
  <c r="J1089" i="3957"/>
  <c r="J1088" i="3957"/>
  <c r="J1087" i="3957"/>
  <c r="J1086" i="3957"/>
  <c r="J1085" i="3957"/>
  <c r="J1084" i="3957"/>
  <c r="J1083" i="3957"/>
  <c r="J1082" i="3957"/>
  <c r="J1081" i="3957"/>
  <c r="J1080" i="3957"/>
  <c r="J1079" i="3957"/>
  <c r="J1078" i="3957"/>
  <c r="J1077" i="3957"/>
  <c r="J1076" i="3957"/>
  <c r="J1075" i="3957"/>
  <c r="J1074" i="3957"/>
  <c r="J1073" i="3957"/>
  <c r="J1072" i="3957"/>
  <c r="J1071" i="3957"/>
  <c r="J1070" i="3957"/>
  <c r="J1069" i="3957"/>
  <c r="AQ1068" i="3957"/>
  <c r="J1068" i="3957"/>
  <c r="J1067" i="3957"/>
  <c r="J1066" i="3957"/>
  <c r="J1065" i="3957"/>
  <c r="U1064" i="3957"/>
  <c r="J1064" i="3957"/>
  <c r="J1063" i="3957"/>
  <c r="J1062" i="3957"/>
  <c r="J1061" i="3957"/>
  <c r="AQ1060" i="3957"/>
  <c r="J1060" i="3957"/>
  <c r="J1059" i="3957"/>
  <c r="AQ1058" i="3957"/>
  <c r="J1058" i="3957"/>
  <c r="AQ1057" i="3957"/>
  <c r="J1057" i="3957"/>
  <c r="J1056" i="3957"/>
  <c r="J1055" i="3957"/>
  <c r="J1053" i="3957"/>
  <c r="J1052" i="3957"/>
  <c r="U1051" i="3957"/>
  <c r="J1051" i="3957"/>
  <c r="U1050" i="3957"/>
  <c r="J1050" i="3957"/>
  <c r="J1049" i="3957"/>
  <c r="J1048" i="3957"/>
  <c r="J1047" i="3957"/>
  <c r="J1046" i="3957"/>
  <c r="J1045" i="3957"/>
  <c r="J1044" i="3957"/>
  <c r="J1043" i="3957"/>
  <c r="J1042" i="3957"/>
  <c r="J1041" i="3957"/>
  <c r="J1040" i="3957"/>
  <c r="J1039" i="3957"/>
  <c r="J1038" i="3957"/>
  <c r="J1037" i="3957"/>
  <c r="J1036" i="3957"/>
  <c r="J1035" i="3957"/>
  <c r="J1034" i="3957"/>
  <c r="U1033" i="3957"/>
  <c r="J1033" i="3957"/>
  <c r="J1032" i="3957"/>
  <c r="U1031" i="3957"/>
  <c r="J1031" i="3957"/>
  <c r="BA1030" i="3957"/>
  <c r="AY1030" i="3957"/>
  <c r="AW1030" i="3957"/>
  <c r="AU1030" i="3957"/>
  <c r="AS1030" i="3957"/>
  <c r="AQ1030" i="3957"/>
  <c r="J1030" i="3957"/>
  <c r="AR1029" i="3957"/>
  <c r="J1029" i="3957"/>
  <c r="AR1028" i="3957"/>
  <c r="J1028" i="3957"/>
  <c r="AR1025" i="3957"/>
  <c r="AR1030" i="3957" s="1"/>
  <c r="J1023" i="3957"/>
  <c r="J1022" i="3957"/>
  <c r="AQ1021" i="3957"/>
  <c r="J1021" i="3957"/>
  <c r="AQ1020" i="3957"/>
  <c r="J1020" i="3957"/>
  <c r="J1019" i="3957"/>
  <c r="BA1018" i="3957"/>
  <c r="AY1018" i="3957"/>
  <c r="AW1018" i="3957"/>
  <c r="AU1018" i="3957"/>
  <c r="AS1018" i="3957"/>
  <c r="J1018" i="3957"/>
  <c r="J1017" i="3957"/>
  <c r="J1016" i="3957"/>
  <c r="J1012" i="3957"/>
  <c r="J1011" i="3957"/>
  <c r="AY1010" i="3957"/>
  <c r="AU1010" i="3957"/>
  <c r="AS1010" i="3957"/>
  <c r="J1010" i="3957"/>
  <c r="J1009" i="3957"/>
  <c r="J1008" i="3957"/>
  <c r="U1007" i="3957"/>
  <c r="J1007" i="3957"/>
  <c r="J1006" i="3957"/>
  <c r="J1005" i="3957"/>
  <c r="J1004" i="3957"/>
  <c r="J1003" i="3957"/>
  <c r="J1002" i="3957"/>
  <c r="J1001" i="3957"/>
  <c r="J999" i="3957"/>
  <c r="J998" i="3957"/>
  <c r="J997" i="3957"/>
  <c r="AQ996" i="3957"/>
  <c r="J996" i="3957"/>
  <c r="J995" i="3957"/>
  <c r="J994" i="3957"/>
  <c r="J993" i="3957"/>
  <c r="J992" i="3957"/>
  <c r="J991" i="3957"/>
  <c r="J990" i="3957"/>
  <c r="J989" i="3957"/>
  <c r="J988" i="3957"/>
  <c r="J987" i="3957"/>
  <c r="J986" i="3957"/>
  <c r="J985" i="3957"/>
  <c r="J984" i="3957"/>
  <c r="J983" i="3957"/>
  <c r="J982" i="3957"/>
  <c r="J981" i="3957"/>
  <c r="J980" i="3957"/>
  <c r="J979" i="3957"/>
  <c r="J978" i="3957"/>
  <c r="J977" i="3957"/>
  <c r="U976" i="3957"/>
  <c r="J975" i="3957"/>
  <c r="U974" i="3957"/>
  <c r="J974" i="3957"/>
  <c r="U973" i="3957"/>
  <c r="J973" i="3957"/>
  <c r="J972" i="3957"/>
  <c r="J971" i="3957"/>
  <c r="J970" i="3957"/>
  <c r="J969" i="3957"/>
  <c r="J968" i="3957"/>
  <c r="J967" i="3957"/>
  <c r="J966" i="3957"/>
  <c r="J965" i="3957"/>
  <c r="J963" i="3957"/>
  <c r="J962" i="3957"/>
  <c r="J961" i="3957"/>
  <c r="J960" i="3957"/>
  <c r="J959" i="3957"/>
  <c r="U958" i="3957"/>
  <c r="J957" i="3957"/>
  <c r="J956" i="3957"/>
  <c r="J955" i="3957"/>
  <c r="J954" i="3957"/>
  <c r="J953" i="3957"/>
  <c r="J952" i="3957"/>
  <c r="J951" i="3957"/>
  <c r="U950" i="3957"/>
  <c r="J950" i="3957"/>
  <c r="J949" i="3957"/>
  <c r="J948" i="3957"/>
  <c r="J947" i="3957"/>
  <c r="J946" i="3957"/>
  <c r="J945" i="3957"/>
  <c r="J944" i="3957"/>
  <c r="J943" i="3957"/>
  <c r="J942" i="3957"/>
  <c r="J941" i="3957"/>
  <c r="J940" i="3957"/>
  <c r="J939" i="3957"/>
  <c r="J938" i="3957"/>
  <c r="J937" i="3957"/>
  <c r="J936" i="3957"/>
  <c r="J935" i="3957"/>
  <c r="J932" i="3957"/>
  <c r="J931" i="3957"/>
  <c r="J930" i="3957"/>
  <c r="J929" i="3957"/>
  <c r="J928" i="3957"/>
  <c r="J927" i="3957"/>
  <c r="U926" i="3957"/>
  <c r="J926" i="3957"/>
  <c r="J925" i="3957"/>
  <c r="J924" i="3957"/>
  <c r="J923" i="3957"/>
  <c r="J922" i="3957"/>
  <c r="J919" i="3957"/>
  <c r="J918" i="3957"/>
  <c r="J917" i="3957"/>
  <c r="J916" i="3957"/>
  <c r="J915" i="3957"/>
  <c r="U914" i="3957"/>
  <c r="J914" i="3957"/>
  <c r="J913" i="3957"/>
  <c r="AU912" i="3957"/>
  <c r="J912" i="3957"/>
  <c r="J911" i="3957"/>
  <c r="J910" i="3957"/>
  <c r="J909" i="3957"/>
  <c r="J908" i="3957"/>
  <c r="J907" i="3957"/>
  <c r="J906" i="3957"/>
  <c r="U905" i="3957"/>
  <c r="J905" i="3957"/>
  <c r="U904" i="3957"/>
  <c r="J904" i="3957"/>
  <c r="J903" i="3957"/>
  <c r="U902" i="3957"/>
  <c r="J902" i="3957"/>
  <c r="U901" i="3957"/>
  <c r="J901" i="3957"/>
  <c r="J900" i="3957"/>
  <c r="J899" i="3957"/>
  <c r="J898" i="3957"/>
  <c r="J897" i="3957"/>
  <c r="J896" i="3957"/>
  <c r="J895" i="3957"/>
  <c r="J894" i="3957"/>
  <c r="J893" i="3957"/>
  <c r="J892" i="3957"/>
  <c r="J890" i="3957"/>
  <c r="J889" i="3957"/>
  <c r="J888" i="3957"/>
  <c r="J887" i="3957"/>
  <c r="J886" i="3957"/>
  <c r="U885" i="3957"/>
  <c r="J885" i="3957"/>
  <c r="U884" i="3957"/>
  <c r="J884" i="3957"/>
  <c r="J883" i="3957"/>
  <c r="J882" i="3957"/>
  <c r="J881" i="3957"/>
  <c r="J880" i="3957"/>
  <c r="J879" i="3957"/>
  <c r="J878" i="3957"/>
  <c r="J877" i="3957"/>
  <c r="J876" i="3957"/>
  <c r="J875" i="3957"/>
  <c r="J874" i="3957"/>
  <c r="J873" i="3957"/>
  <c r="J872" i="3957"/>
  <c r="J871" i="3957"/>
  <c r="J870" i="3957"/>
  <c r="U869" i="3957"/>
  <c r="J869" i="3957"/>
  <c r="U868" i="3957"/>
  <c r="J868" i="3957"/>
  <c r="U867" i="3957"/>
  <c r="J867" i="3957"/>
  <c r="J866" i="3957"/>
  <c r="J864" i="3957"/>
  <c r="J863" i="3957"/>
  <c r="J862" i="3957"/>
  <c r="J861" i="3957"/>
  <c r="AQ860" i="3957"/>
  <c r="J860" i="3957"/>
  <c r="J859" i="3957"/>
  <c r="AQ858" i="3957"/>
  <c r="J858" i="3957"/>
  <c r="AQ857" i="3957"/>
  <c r="J857" i="3957"/>
  <c r="J856" i="3957"/>
  <c r="J855" i="3957"/>
  <c r="J854" i="3957"/>
  <c r="J853" i="3957"/>
  <c r="U852" i="3957"/>
  <c r="J852" i="3957"/>
  <c r="U851" i="3957"/>
  <c r="J851" i="3957"/>
  <c r="J850" i="3957"/>
  <c r="J848" i="3957"/>
  <c r="J847" i="3957"/>
  <c r="J846" i="3957"/>
  <c r="J845" i="3957"/>
  <c r="U844" i="3957"/>
  <c r="U843" i="3957"/>
  <c r="J843" i="3957"/>
  <c r="J842" i="3957"/>
  <c r="J841" i="3957"/>
  <c r="J840" i="3957"/>
  <c r="J839" i="3957"/>
  <c r="J838" i="3957"/>
  <c r="J837" i="3957"/>
  <c r="J836" i="3957"/>
  <c r="J835" i="3957"/>
  <c r="J834" i="3957"/>
  <c r="J833" i="3957"/>
  <c r="J832" i="3957"/>
  <c r="J831" i="3957"/>
  <c r="J830" i="3957"/>
  <c r="J829" i="3957"/>
  <c r="J828" i="3957"/>
  <c r="J827" i="3957"/>
  <c r="G827" i="3957"/>
  <c r="BL826" i="3957"/>
  <c r="J826" i="3957"/>
  <c r="J824" i="3957"/>
  <c r="J823" i="3957"/>
  <c r="J822" i="3957"/>
  <c r="J821" i="3957"/>
  <c r="O820" i="3957"/>
  <c r="J820" i="3957"/>
  <c r="P820" i="3957"/>
  <c r="J819" i="3957"/>
  <c r="P819" i="3957"/>
  <c r="J818" i="3957"/>
  <c r="G818" i="3957"/>
  <c r="BR817" i="3957"/>
  <c r="BQ817" i="3957"/>
  <c r="BN817" i="3957"/>
  <c r="BL817" i="3957"/>
  <c r="BG817" i="3957"/>
  <c r="BP817" i="3957" s="1"/>
  <c r="BF817" i="3957"/>
  <c r="BO817" i="3957"/>
  <c r="J817" i="3957"/>
  <c r="J815" i="3957"/>
  <c r="J814" i="3957"/>
  <c r="J813" i="3957"/>
  <c r="J812" i="3957"/>
  <c r="BR810" i="3957"/>
  <c r="BQ810" i="3957"/>
  <c r="BN810" i="3957"/>
  <c r="BG810" i="3957"/>
  <c r="BP810" i="3957" s="1"/>
  <c r="BF810" i="3957"/>
  <c r="BO810" i="3957"/>
  <c r="J809" i="3957"/>
  <c r="J807" i="3957"/>
  <c r="J806" i="3957"/>
  <c r="J805" i="3957"/>
  <c r="J804" i="3957"/>
  <c r="BU803" i="3957"/>
  <c r="CA803" i="3957"/>
  <c r="BL803" i="3957"/>
  <c r="BG803" i="3957"/>
  <c r="BF803" i="3957"/>
  <c r="J803" i="3957"/>
  <c r="J801" i="3957"/>
  <c r="J800" i="3957"/>
  <c r="J799" i="3957"/>
  <c r="P799" i="3957"/>
  <c r="J798" i="3957"/>
  <c r="P798" i="3957"/>
  <c r="J797" i="3957"/>
  <c r="J796" i="3957"/>
  <c r="J795" i="3957"/>
  <c r="G795" i="3957"/>
  <c r="BR794" i="3957"/>
  <c r="BQ794" i="3957"/>
  <c r="BN794" i="3957"/>
  <c r="BG794" i="3957"/>
  <c r="BP794" i="3957"/>
  <c r="BF794" i="3957"/>
  <c r="BO794" i="3957" s="1"/>
  <c r="J794" i="3957"/>
  <c r="J792" i="3957"/>
  <c r="J791" i="3957"/>
  <c r="J790" i="3957"/>
  <c r="J789" i="3957"/>
  <c r="BR787" i="3957"/>
  <c r="BQ787" i="3957"/>
  <c r="BN787" i="3957"/>
  <c r="BG787" i="3957"/>
  <c r="BP787" i="3957" s="1"/>
  <c r="BF787" i="3957"/>
  <c r="BO787" i="3957" s="1"/>
  <c r="AQ787" i="3957"/>
  <c r="J786" i="3957"/>
  <c r="J784" i="3957"/>
  <c r="J783" i="3957"/>
  <c r="J782" i="3957"/>
  <c r="J781" i="3957"/>
  <c r="BU780" i="3957"/>
  <c r="BL780" i="3957"/>
  <c r="BG780" i="3957"/>
  <c r="BF780" i="3957"/>
  <c r="J780" i="3957"/>
  <c r="J778" i="3957"/>
  <c r="J777" i="3957"/>
  <c r="J776" i="3957"/>
  <c r="J775" i="3957"/>
  <c r="J774" i="3957"/>
  <c r="P774" i="3957"/>
  <c r="O773" i="3957"/>
  <c r="J773" i="3957"/>
  <c r="P773" i="3957"/>
  <c r="J772" i="3957"/>
  <c r="G772" i="3957"/>
  <c r="J771" i="3957"/>
  <c r="BU770" i="3957"/>
  <c r="CA770" i="3957" s="1"/>
  <c r="BG770" i="3957"/>
  <c r="BF770" i="3957"/>
  <c r="J770" i="3957"/>
  <c r="J769" i="3957"/>
  <c r="J768" i="3957"/>
  <c r="J767" i="3957"/>
  <c r="AQ766" i="3957"/>
  <c r="BL770" i="3957"/>
  <c r="J766" i="3957"/>
  <c r="BU765" i="3957"/>
  <c r="CA765" i="3957"/>
  <c r="BG765" i="3957"/>
  <c r="BF765" i="3957"/>
  <c r="J765" i="3957"/>
  <c r="J764" i="3957"/>
  <c r="J763" i="3957"/>
  <c r="J762" i="3957"/>
  <c r="AQ761" i="3957"/>
  <c r="BL765" i="3957"/>
  <c r="J761" i="3957"/>
  <c r="BU760" i="3957"/>
  <c r="BG760" i="3957"/>
  <c r="BF760" i="3957"/>
  <c r="AQ756" i="3957"/>
  <c r="BL760" i="3957"/>
  <c r="J755" i="3957"/>
  <c r="J754" i="3957"/>
  <c r="BR753" i="3957"/>
  <c r="BQ753" i="3957"/>
  <c r="BN753" i="3957"/>
  <c r="BG753" i="3957"/>
  <c r="BP753" i="3957" s="1"/>
  <c r="BF753" i="3957"/>
  <c r="BO753" i="3957"/>
  <c r="J753" i="3957"/>
  <c r="J751" i="3957"/>
  <c r="J750" i="3957"/>
  <c r="O749" i="3957"/>
  <c r="J749" i="3957"/>
  <c r="J748" i="3957"/>
  <c r="P748" i="3957"/>
  <c r="J747" i="3957"/>
  <c r="J746" i="3957"/>
  <c r="G746" i="3957"/>
  <c r="BU745" i="3957"/>
  <c r="CA745" i="3957" s="1"/>
  <c r="BL745" i="3957"/>
  <c r="BG745" i="3957"/>
  <c r="BF745" i="3957"/>
  <c r="J745" i="3957"/>
  <c r="J743" i="3957"/>
  <c r="J742" i="3957"/>
  <c r="J741" i="3957"/>
  <c r="BU740" i="3957"/>
  <c r="BL740" i="3957"/>
  <c r="BG740" i="3957"/>
  <c r="BF740" i="3957"/>
  <c r="J740" i="3957"/>
  <c r="J738" i="3957"/>
  <c r="J737" i="3957"/>
  <c r="J736" i="3957"/>
  <c r="BU735" i="3957"/>
  <c r="CA735" i="3957"/>
  <c r="BL735" i="3957"/>
  <c r="BG735" i="3957"/>
  <c r="BF735" i="3957"/>
  <c r="J735" i="3957"/>
  <c r="J733" i="3957"/>
  <c r="J732" i="3957"/>
  <c r="J731" i="3957"/>
  <c r="BU730" i="3957"/>
  <c r="CA730" i="3957" s="1"/>
  <c r="BL730" i="3957"/>
  <c r="BG730" i="3957"/>
  <c r="BF730" i="3957"/>
  <c r="J730" i="3957"/>
  <c r="J728" i="3957"/>
  <c r="J727" i="3957"/>
  <c r="J726" i="3957"/>
  <c r="BU725" i="3957"/>
  <c r="CA725" i="3957" s="1"/>
  <c r="BL725" i="3957"/>
  <c r="BG725" i="3957"/>
  <c r="BF725" i="3957"/>
  <c r="J725" i="3957"/>
  <c r="J723" i="3957"/>
  <c r="J722" i="3957"/>
  <c r="J721" i="3957"/>
  <c r="J720" i="3957"/>
  <c r="BR719" i="3957"/>
  <c r="BQ719" i="3957"/>
  <c r="BN719" i="3957"/>
  <c r="BG719" i="3957"/>
  <c r="BP719" i="3957" s="1"/>
  <c r="BF719" i="3957"/>
  <c r="BO719" i="3957"/>
  <c r="J719" i="3957"/>
  <c r="J717" i="3957"/>
  <c r="J716" i="3957"/>
  <c r="J715" i="3957"/>
  <c r="O715" i="3957"/>
  <c r="J714" i="3957"/>
  <c r="O714" i="3957"/>
  <c r="J713" i="3957"/>
  <c r="J712" i="3957"/>
  <c r="G712" i="3957"/>
  <c r="J711" i="3957"/>
  <c r="M710" i="3957"/>
  <c r="J710" i="3957"/>
  <c r="J709" i="3957"/>
  <c r="M708" i="3957"/>
  <c r="J708" i="3957"/>
  <c r="J707" i="3957"/>
  <c r="M706" i="3957"/>
  <c r="J706" i="3957"/>
  <c r="J705" i="3957"/>
  <c r="M704" i="3957"/>
  <c r="J704" i="3957"/>
  <c r="J703" i="3957"/>
  <c r="M702" i="3957"/>
  <c r="J702" i="3957"/>
  <c r="J701" i="3957"/>
  <c r="J700" i="3957"/>
  <c r="J699" i="3957"/>
  <c r="M698" i="3957"/>
  <c r="J698" i="3957"/>
  <c r="J697" i="3957"/>
  <c r="M696" i="3957"/>
  <c r="J696" i="3957"/>
  <c r="M695" i="3957"/>
  <c r="J695" i="3957"/>
  <c r="J694" i="3957"/>
  <c r="J693" i="3957"/>
  <c r="B693" i="3957"/>
  <c r="M693" i="3957" s="1"/>
  <c r="J692" i="3957"/>
  <c r="B692" i="3957"/>
  <c r="M692" i="3957"/>
  <c r="J691" i="3957"/>
  <c r="B691" i="3957"/>
  <c r="M691" i="3957"/>
  <c r="J690" i="3957"/>
  <c r="B690" i="3957"/>
  <c r="M690" i="3957"/>
  <c r="J689" i="3957"/>
  <c r="B688" i="3957"/>
  <c r="M688" i="3957"/>
  <c r="B687" i="3957"/>
  <c r="M687" i="3957"/>
  <c r="B686" i="3957"/>
  <c r="M686" i="3957" s="1"/>
  <c r="B685" i="3957"/>
  <c r="M685" i="3957" s="1"/>
  <c r="J683" i="3957"/>
  <c r="J682" i="3957"/>
  <c r="J681" i="3957"/>
  <c r="M680" i="3957"/>
  <c r="J680" i="3957"/>
  <c r="J679" i="3957"/>
  <c r="J678" i="3957"/>
  <c r="B678" i="3957"/>
  <c r="M678" i="3957"/>
  <c r="J677" i="3957"/>
  <c r="B677" i="3957"/>
  <c r="M677" i="3957"/>
  <c r="J676" i="3957"/>
  <c r="B676" i="3957"/>
  <c r="M676" i="3957"/>
  <c r="J675" i="3957"/>
  <c r="B675" i="3957"/>
  <c r="M675" i="3957"/>
  <c r="J674" i="3957"/>
  <c r="B673" i="3957"/>
  <c r="M673" i="3957" s="1"/>
  <c r="B672" i="3957"/>
  <c r="M672" i="3957"/>
  <c r="B671" i="3957"/>
  <c r="M671" i="3957"/>
  <c r="B670" i="3957"/>
  <c r="M670" i="3957"/>
  <c r="BM780" i="3957"/>
  <c r="J668" i="3957"/>
  <c r="M667" i="3957"/>
  <c r="J667" i="3957"/>
  <c r="J666" i="3957"/>
  <c r="J665" i="3957"/>
  <c r="B665" i="3957"/>
  <c r="M665" i="3957"/>
  <c r="J664" i="3957"/>
  <c r="B664" i="3957"/>
  <c r="M664" i="3957"/>
  <c r="J663" i="3957"/>
  <c r="B663" i="3957"/>
  <c r="M663" i="3957"/>
  <c r="J662" i="3957"/>
  <c r="B662" i="3957"/>
  <c r="M662" i="3957" s="1"/>
  <c r="J661" i="3957"/>
  <c r="J660" i="3957"/>
  <c r="J659" i="3957"/>
  <c r="J658" i="3957"/>
  <c r="J657" i="3957"/>
  <c r="J656" i="3957"/>
  <c r="J655" i="3957"/>
  <c r="J654" i="3957"/>
  <c r="J653" i="3957"/>
  <c r="J652" i="3957"/>
  <c r="J651" i="3957"/>
  <c r="J650" i="3957"/>
  <c r="J649" i="3957"/>
  <c r="J648" i="3957"/>
  <c r="J647" i="3957"/>
  <c r="B646" i="3957"/>
  <c r="M646" i="3957" s="1"/>
  <c r="B645" i="3957"/>
  <c r="M645" i="3957" s="1"/>
  <c r="B644" i="3957"/>
  <c r="M644" i="3957"/>
  <c r="B643" i="3957"/>
  <c r="M643" i="3957"/>
  <c r="AW639" i="3957"/>
  <c r="AW632" i="3957"/>
  <c r="AX632" i="3957"/>
  <c r="AW630" i="3957"/>
  <c r="AX639" i="3957"/>
  <c r="J627" i="3957"/>
  <c r="J626" i="3957"/>
  <c r="J625" i="3957"/>
  <c r="J624" i="3957"/>
  <c r="B624" i="3957"/>
  <c r="M624" i="3957"/>
  <c r="J623" i="3957"/>
  <c r="B623" i="3957"/>
  <c r="M623" i="3957"/>
  <c r="J622" i="3957"/>
  <c r="B622" i="3957"/>
  <c r="M622" i="3957" s="1"/>
  <c r="J621" i="3957"/>
  <c r="B621" i="3957"/>
  <c r="M621" i="3957" s="1"/>
  <c r="J620" i="3957"/>
  <c r="B618" i="3957"/>
  <c r="M618" i="3957"/>
  <c r="B617" i="3957"/>
  <c r="M617" i="3957" s="1"/>
  <c r="B616" i="3957"/>
  <c r="M616" i="3957"/>
  <c r="B615" i="3957"/>
  <c r="M615" i="3957"/>
  <c r="J613" i="3957"/>
  <c r="J612" i="3957"/>
  <c r="J611" i="3957"/>
  <c r="J610" i="3957"/>
  <c r="J609" i="3957"/>
  <c r="B609" i="3957"/>
  <c r="M609" i="3957" s="1"/>
  <c r="J608" i="3957"/>
  <c r="B608" i="3957"/>
  <c r="M608" i="3957"/>
  <c r="J607" i="3957"/>
  <c r="B607" i="3957"/>
  <c r="M607" i="3957" s="1"/>
  <c r="J606" i="3957"/>
  <c r="B606" i="3957"/>
  <c r="M606" i="3957"/>
  <c r="J605" i="3957"/>
  <c r="B603" i="3957"/>
  <c r="M603" i="3957"/>
  <c r="B602" i="3957"/>
  <c r="M602" i="3957" s="1"/>
  <c r="B601" i="3957"/>
  <c r="M601" i="3957" s="1"/>
  <c r="B600" i="3957"/>
  <c r="M600" i="3957"/>
  <c r="J598" i="3957"/>
  <c r="J597" i="3957"/>
  <c r="J596" i="3957"/>
  <c r="J595" i="3957"/>
  <c r="J594" i="3957"/>
  <c r="B594" i="3957"/>
  <c r="M594" i="3957"/>
  <c r="J593" i="3957"/>
  <c r="B593" i="3957"/>
  <c r="M593" i="3957"/>
  <c r="J592" i="3957"/>
  <c r="B592" i="3957"/>
  <c r="M592" i="3957"/>
  <c r="J591" i="3957"/>
  <c r="B591" i="3957"/>
  <c r="M591" i="3957"/>
  <c r="J590" i="3957"/>
  <c r="B588" i="3957"/>
  <c r="M588" i="3957" s="1"/>
  <c r="B587" i="3957"/>
  <c r="M587" i="3957"/>
  <c r="B586" i="3957"/>
  <c r="M586" i="3957"/>
  <c r="B585" i="3957"/>
  <c r="M585" i="3957"/>
  <c r="J583" i="3957"/>
  <c r="J582" i="3957"/>
  <c r="J581" i="3957"/>
  <c r="M580" i="3957"/>
  <c r="J580" i="3957"/>
  <c r="K579" i="3957"/>
  <c r="J579" i="3957"/>
  <c r="I579" i="3957"/>
  <c r="J578" i="3957"/>
  <c r="M577" i="3957"/>
  <c r="J577" i="3957"/>
  <c r="M576" i="3957"/>
  <c r="J576" i="3957"/>
  <c r="J575" i="3957"/>
  <c r="J574" i="3957"/>
  <c r="J573" i="3957"/>
  <c r="B573" i="3957"/>
  <c r="M573" i="3957" s="1"/>
  <c r="J572" i="3957"/>
  <c r="B572" i="3957"/>
  <c r="M572" i="3957" s="1"/>
  <c r="J571" i="3957"/>
  <c r="B571" i="3957"/>
  <c r="M571" i="3957"/>
  <c r="J570" i="3957"/>
  <c r="B570" i="3957"/>
  <c r="M570" i="3957" s="1"/>
  <c r="J569" i="3957"/>
  <c r="B567" i="3957"/>
  <c r="M567" i="3957"/>
  <c r="B566" i="3957"/>
  <c r="M566" i="3957"/>
  <c r="B565" i="3957"/>
  <c r="M565" i="3957" s="1"/>
  <c r="B564" i="3957"/>
  <c r="M564" i="3957"/>
  <c r="J562" i="3957"/>
  <c r="J561" i="3957"/>
  <c r="M560" i="3957"/>
  <c r="J560" i="3957"/>
  <c r="M559" i="3957"/>
  <c r="J559" i="3957"/>
  <c r="J558" i="3957"/>
  <c r="J557" i="3957"/>
  <c r="J556" i="3957"/>
  <c r="B556" i="3957"/>
  <c r="M556" i="3957"/>
  <c r="J555" i="3957"/>
  <c r="B555" i="3957"/>
  <c r="M555" i="3957" s="1"/>
  <c r="J554" i="3957"/>
  <c r="B554" i="3957"/>
  <c r="M554" i="3957" s="1"/>
  <c r="J553" i="3957"/>
  <c r="J552" i="3957"/>
  <c r="J551" i="3957"/>
  <c r="B551" i="3957"/>
  <c r="M551" i="3957" s="1"/>
  <c r="J550" i="3957"/>
  <c r="B550" i="3957"/>
  <c r="M550" i="3957" s="1"/>
  <c r="J549" i="3957"/>
  <c r="B549" i="3957"/>
  <c r="M549" i="3957"/>
  <c r="J548" i="3957"/>
  <c r="B546" i="3957"/>
  <c r="M546" i="3957" s="1"/>
  <c r="B545" i="3957"/>
  <c r="M545" i="3957" s="1"/>
  <c r="B544" i="3957"/>
  <c r="M544" i="3957"/>
  <c r="J542" i="3957"/>
  <c r="J541" i="3957"/>
  <c r="M540" i="3957"/>
  <c r="J540" i="3957"/>
  <c r="U539" i="3957"/>
  <c r="J539" i="3957"/>
  <c r="M538" i="3957"/>
  <c r="J538" i="3957"/>
  <c r="J537" i="3957"/>
  <c r="B535" i="3957"/>
  <c r="M535" i="3957" s="1"/>
  <c r="B534" i="3957"/>
  <c r="M534" i="3957"/>
  <c r="B533" i="3957"/>
  <c r="M533" i="3957"/>
  <c r="B532" i="3957"/>
  <c r="M532" i="3957"/>
  <c r="B529" i="3957"/>
  <c r="M529" i="3957" s="1"/>
  <c r="B528" i="3957"/>
  <c r="M528" i="3957"/>
  <c r="B527" i="3957"/>
  <c r="M527" i="3957"/>
  <c r="B526" i="3957"/>
  <c r="M526" i="3957"/>
  <c r="J524" i="3957"/>
  <c r="J523" i="3957"/>
  <c r="M522" i="3957"/>
  <c r="J522" i="3957"/>
  <c r="U521" i="3957"/>
  <c r="J521" i="3957"/>
  <c r="M520" i="3957"/>
  <c r="J520" i="3957"/>
  <c r="J519" i="3957"/>
  <c r="B513" i="3957"/>
  <c r="M513" i="3957" s="1"/>
  <c r="B512" i="3957"/>
  <c r="M512" i="3957" s="1"/>
  <c r="B511" i="3957"/>
  <c r="M511" i="3957"/>
  <c r="B510" i="3957"/>
  <c r="M510" i="3957"/>
  <c r="J508" i="3957"/>
  <c r="J507" i="3957"/>
  <c r="J506" i="3957"/>
  <c r="M505" i="3957"/>
  <c r="J505" i="3957"/>
  <c r="M504" i="3957"/>
  <c r="J504" i="3957"/>
  <c r="J503" i="3957"/>
  <c r="J502" i="3957"/>
  <c r="B502" i="3957"/>
  <c r="M502" i="3957"/>
  <c r="J501" i="3957"/>
  <c r="B501" i="3957"/>
  <c r="M501" i="3957"/>
  <c r="J500" i="3957"/>
  <c r="B500" i="3957"/>
  <c r="M500" i="3957" s="1"/>
  <c r="J499" i="3957"/>
  <c r="B499" i="3957"/>
  <c r="M499" i="3957" s="1"/>
  <c r="AY498" i="3957"/>
  <c r="J498" i="3957"/>
  <c r="J497" i="3957"/>
  <c r="B497" i="3957"/>
  <c r="M497" i="3957" s="1"/>
  <c r="J496" i="3957"/>
  <c r="B496" i="3957"/>
  <c r="M496" i="3957" s="1"/>
  <c r="J495" i="3957"/>
  <c r="B495" i="3957"/>
  <c r="M495" i="3957"/>
  <c r="J494" i="3957"/>
  <c r="B494" i="3957"/>
  <c r="M494" i="3957" s="1"/>
  <c r="AY493" i="3957"/>
  <c r="J493" i="3957"/>
  <c r="B492" i="3957"/>
  <c r="M492" i="3957"/>
  <c r="B491" i="3957"/>
  <c r="M491" i="3957"/>
  <c r="B490" i="3957"/>
  <c r="M490" i="3957" s="1"/>
  <c r="B489" i="3957"/>
  <c r="M489" i="3957" s="1"/>
  <c r="AY488" i="3957"/>
  <c r="J487" i="3957"/>
  <c r="J486" i="3957"/>
  <c r="J485" i="3957"/>
  <c r="M484" i="3957"/>
  <c r="J484" i="3957"/>
  <c r="P483" i="3957"/>
  <c r="J483" i="3957"/>
  <c r="B469" i="3957"/>
  <c r="M469" i="3957"/>
  <c r="B468" i="3957"/>
  <c r="M468" i="3957"/>
  <c r="B467" i="3957"/>
  <c r="M467" i="3957" s="1"/>
  <c r="B466" i="3957"/>
  <c r="M466" i="3957" s="1"/>
  <c r="AW465" i="3957"/>
  <c r="AW464" i="3957"/>
  <c r="AW463" i="3957"/>
  <c r="AW462" i="3957"/>
  <c r="AU461" i="3957"/>
  <c r="AS461" i="3957"/>
  <c r="AW460" i="3957"/>
  <c r="AW459" i="3957"/>
  <c r="AY459" i="3957" s="1"/>
  <c r="J456" i="3957"/>
  <c r="M455" i="3957"/>
  <c r="J455" i="3957"/>
  <c r="M454" i="3957"/>
  <c r="J454" i="3957"/>
  <c r="J453" i="3957"/>
  <c r="J452" i="3957"/>
  <c r="J451" i="3957"/>
  <c r="B451" i="3957"/>
  <c r="M451" i="3957"/>
  <c r="J450" i="3957"/>
  <c r="B450" i="3957"/>
  <c r="M450" i="3957" s="1"/>
  <c r="J449" i="3957"/>
  <c r="B449" i="3957"/>
  <c r="M449" i="3957" s="1"/>
  <c r="J448" i="3957"/>
  <c r="B448" i="3957"/>
  <c r="M448" i="3957" s="1"/>
  <c r="J447" i="3957"/>
  <c r="J446" i="3957"/>
  <c r="J445" i="3957"/>
  <c r="B445" i="3957"/>
  <c r="M445" i="3957" s="1"/>
  <c r="J444" i="3957"/>
  <c r="B444" i="3957"/>
  <c r="M444" i="3957"/>
  <c r="J443" i="3957"/>
  <c r="B443" i="3957"/>
  <c r="M443" i="3957" s="1"/>
  <c r="J442" i="3957"/>
  <c r="B442" i="3957"/>
  <c r="M442" i="3957"/>
  <c r="J441" i="3957"/>
  <c r="J440" i="3957"/>
  <c r="J439" i="3957"/>
  <c r="B439" i="3957"/>
  <c r="M439" i="3957" s="1"/>
  <c r="J438" i="3957"/>
  <c r="B438" i="3957"/>
  <c r="M438" i="3957"/>
  <c r="J437" i="3957"/>
  <c r="B437" i="3957"/>
  <c r="M437" i="3957"/>
  <c r="J436" i="3957"/>
  <c r="B436" i="3957"/>
  <c r="M436" i="3957"/>
  <c r="J435" i="3957"/>
  <c r="J434" i="3957"/>
  <c r="J433" i="3957"/>
  <c r="B433" i="3957"/>
  <c r="M433" i="3957"/>
  <c r="J432" i="3957"/>
  <c r="B432" i="3957"/>
  <c r="M432" i="3957"/>
  <c r="J431" i="3957"/>
  <c r="B431" i="3957"/>
  <c r="M431" i="3957"/>
  <c r="J430" i="3957"/>
  <c r="B430" i="3957"/>
  <c r="M430" i="3957" s="1"/>
  <c r="J429" i="3957"/>
  <c r="J428" i="3957"/>
  <c r="J427" i="3957"/>
  <c r="B427" i="3957"/>
  <c r="M427" i="3957"/>
  <c r="J426" i="3957"/>
  <c r="B426" i="3957"/>
  <c r="M426" i="3957" s="1"/>
  <c r="J425" i="3957"/>
  <c r="B425" i="3957"/>
  <c r="M425" i="3957" s="1"/>
  <c r="J424" i="3957"/>
  <c r="B424" i="3957"/>
  <c r="M424" i="3957"/>
  <c r="J423" i="3957"/>
  <c r="J422" i="3957"/>
  <c r="J421" i="3957"/>
  <c r="B421" i="3957"/>
  <c r="M421" i="3957" s="1"/>
  <c r="J420" i="3957"/>
  <c r="B420" i="3957"/>
  <c r="M420" i="3957"/>
  <c r="J419" i="3957"/>
  <c r="B419" i="3957"/>
  <c r="M419" i="3957" s="1"/>
  <c r="J418" i="3957"/>
  <c r="B418" i="3957"/>
  <c r="M418" i="3957"/>
  <c r="J417" i="3957"/>
  <c r="J416" i="3957"/>
  <c r="J415" i="3957"/>
  <c r="B415" i="3957"/>
  <c r="M415" i="3957" s="1"/>
  <c r="J414" i="3957"/>
  <c r="B414" i="3957"/>
  <c r="M414" i="3957"/>
  <c r="J413" i="3957"/>
  <c r="B413" i="3957"/>
  <c r="M413" i="3957" s="1"/>
  <c r="J412" i="3957"/>
  <c r="B412" i="3957"/>
  <c r="M412" i="3957"/>
  <c r="J411" i="3957"/>
  <c r="J410" i="3957"/>
  <c r="J409" i="3957"/>
  <c r="B409" i="3957"/>
  <c r="M409" i="3957" s="1"/>
  <c r="J408" i="3957"/>
  <c r="B408" i="3957"/>
  <c r="M408" i="3957"/>
  <c r="J407" i="3957"/>
  <c r="B407" i="3957"/>
  <c r="M407" i="3957"/>
  <c r="J406" i="3957"/>
  <c r="B406" i="3957"/>
  <c r="M406" i="3957" s="1"/>
  <c r="J405" i="3957"/>
  <c r="J404" i="3957"/>
  <c r="J403" i="3957"/>
  <c r="B403" i="3957"/>
  <c r="M403" i="3957"/>
  <c r="J402" i="3957"/>
  <c r="B402" i="3957"/>
  <c r="M402" i="3957" s="1"/>
  <c r="J401" i="3957"/>
  <c r="B401" i="3957"/>
  <c r="M401" i="3957" s="1"/>
  <c r="J400" i="3957"/>
  <c r="B400" i="3957"/>
  <c r="M400" i="3957"/>
  <c r="J399" i="3957"/>
  <c r="B397" i="3957"/>
  <c r="M397" i="3957" s="1"/>
  <c r="B396" i="3957"/>
  <c r="M396" i="3957" s="1"/>
  <c r="B395" i="3957"/>
  <c r="M395" i="3957"/>
  <c r="B394" i="3957"/>
  <c r="M394" i="3957"/>
  <c r="J392" i="3957"/>
  <c r="J391" i="3957"/>
  <c r="M390" i="3957"/>
  <c r="J390" i="3957"/>
  <c r="I390" i="3957"/>
  <c r="J389" i="3957"/>
  <c r="J388" i="3957"/>
  <c r="M387" i="3957"/>
  <c r="J387" i="3957"/>
  <c r="M386" i="3957"/>
  <c r="J386" i="3957"/>
  <c r="K385" i="3957"/>
  <c r="J385" i="3957"/>
  <c r="I385" i="3957"/>
  <c r="J384" i="3957"/>
  <c r="M383" i="3957"/>
  <c r="J383" i="3957"/>
  <c r="I383" i="3957"/>
  <c r="J382" i="3957"/>
  <c r="J381" i="3957"/>
  <c r="M380" i="3957"/>
  <c r="J380" i="3957"/>
  <c r="M379" i="3957"/>
  <c r="J379" i="3957"/>
  <c r="K378" i="3957"/>
  <c r="J378" i="3957"/>
  <c r="I378" i="3957"/>
  <c r="J377" i="3957"/>
  <c r="M376" i="3957"/>
  <c r="J376" i="3957"/>
  <c r="I376" i="3957"/>
  <c r="J375" i="3957"/>
  <c r="J374" i="3957"/>
  <c r="M373" i="3957"/>
  <c r="J373" i="3957"/>
  <c r="M372" i="3957"/>
  <c r="J372" i="3957"/>
  <c r="M371" i="3957"/>
  <c r="J371" i="3957"/>
  <c r="K370" i="3957"/>
  <c r="J370" i="3957"/>
  <c r="I370" i="3957"/>
  <c r="J369" i="3957"/>
  <c r="M368" i="3957"/>
  <c r="J368" i="3957"/>
  <c r="I368" i="3957"/>
  <c r="J367" i="3957"/>
  <c r="M366" i="3957"/>
  <c r="J366" i="3957"/>
  <c r="M365" i="3957"/>
  <c r="J365" i="3957"/>
  <c r="M364" i="3957"/>
  <c r="J364" i="3957"/>
  <c r="M363" i="3957"/>
  <c r="J363" i="3957"/>
  <c r="M362" i="3957"/>
  <c r="J362" i="3957"/>
  <c r="M361" i="3957"/>
  <c r="J361" i="3957"/>
  <c r="K360" i="3957"/>
  <c r="J360" i="3957"/>
  <c r="J359" i="3957"/>
  <c r="J358" i="3957"/>
  <c r="J357" i="3957"/>
  <c r="M356" i="3957"/>
  <c r="J356" i="3957"/>
  <c r="M355" i="3957"/>
  <c r="J355" i="3957"/>
  <c r="M354" i="3957"/>
  <c r="J354" i="3957"/>
  <c r="K353" i="3957"/>
  <c r="J353" i="3957"/>
  <c r="J352" i="3957"/>
  <c r="J351" i="3957"/>
  <c r="J350" i="3957"/>
  <c r="J349" i="3957"/>
  <c r="B349" i="3957"/>
  <c r="M349" i="3957"/>
  <c r="J348" i="3957"/>
  <c r="B348" i="3957"/>
  <c r="M348" i="3957" s="1"/>
  <c r="J347" i="3957"/>
  <c r="B347" i="3957"/>
  <c r="M347" i="3957"/>
  <c r="J346" i="3957"/>
  <c r="B346" i="3957"/>
  <c r="M346" i="3957"/>
  <c r="J345" i="3957"/>
  <c r="B344" i="3957"/>
  <c r="M344" i="3957" s="1"/>
  <c r="B343" i="3957"/>
  <c r="M343" i="3957"/>
  <c r="B342" i="3957"/>
  <c r="M342" i="3957" s="1"/>
  <c r="B341" i="3957"/>
  <c r="M341" i="3957"/>
  <c r="J339" i="3957"/>
  <c r="J338" i="3957"/>
  <c r="J337" i="3957"/>
  <c r="J336" i="3957"/>
  <c r="J335" i="3957"/>
  <c r="B335" i="3957"/>
  <c r="M335" i="3957" s="1"/>
  <c r="J334" i="3957"/>
  <c r="B334" i="3957"/>
  <c r="M334" i="3957" s="1"/>
  <c r="J333" i="3957"/>
  <c r="B333" i="3957"/>
  <c r="M333" i="3957"/>
  <c r="J332" i="3957"/>
  <c r="B332" i="3957"/>
  <c r="M332" i="3957" s="1"/>
  <c r="J331" i="3957"/>
  <c r="B329" i="3957"/>
  <c r="M329" i="3957"/>
  <c r="B328" i="3957"/>
  <c r="M328" i="3957"/>
  <c r="B327" i="3957"/>
  <c r="M327" i="3957"/>
  <c r="B326" i="3957"/>
  <c r="M326" i="3957" s="1"/>
  <c r="J324" i="3957"/>
  <c r="J323" i="3957"/>
  <c r="J322" i="3957"/>
  <c r="J321" i="3957"/>
  <c r="B321" i="3957"/>
  <c r="M321" i="3957"/>
  <c r="J320" i="3957"/>
  <c r="B320" i="3957"/>
  <c r="M320" i="3957" s="1"/>
  <c r="J319" i="3957"/>
  <c r="B319" i="3957"/>
  <c r="M319" i="3957"/>
  <c r="J318" i="3957"/>
  <c r="B318" i="3957"/>
  <c r="M318" i="3957"/>
  <c r="J317" i="3957"/>
  <c r="B316" i="3957"/>
  <c r="M316" i="3957"/>
  <c r="B315" i="3957"/>
  <c r="M315" i="3957"/>
  <c r="B314" i="3957"/>
  <c r="M314" i="3957"/>
  <c r="B313" i="3957"/>
  <c r="M313" i="3957" s="1"/>
  <c r="J311" i="3957"/>
  <c r="M310" i="3957"/>
  <c r="J310" i="3957"/>
  <c r="M309" i="3957"/>
  <c r="J309" i="3957"/>
  <c r="M308" i="3957"/>
  <c r="J308" i="3957"/>
  <c r="I308" i="3957"/>
  <c r="M307" i="3957"/>
  <c r="J307" i="3957"/>
  <c r="M306" i="3957"/>
  <c r="J306" i="3957"/>
  <c r="M305" i="3957"/>
  <c r="J305" i="3957"/>
  <c r="J304" i="3957"/>
  <c r="J303" i="3957"/>
  <c r="G303" i="3957"/>
  <c r="M302" i="3957"/>
  <c r="J302" i="3957"/>
  <c r="M301" i="3957"/>
  <c r="J301" i="3957"/>
  <c r="J300" i="3957"/>
  <c r="J299" i="3957"/>
  <c r="J298" i="3957"/>
  <c r="B298" i="3957"/>
  <c r="M298" i="3957"/>
  <c r="J297" i="3957"/>
  <c r="B297" i="3957"/>
  <c r="M297" i="3957"/>
  <c r="J296" i="3957"/>
  <c r="B296" i="3957"/>
  <c r="M296" i="3957" s="1"/>
  <c r="J295" i="3957"/>
  <c r="B295" i="3957"/>
  <c r="M295" i="3957" s="1"/>
  <c r="J294" i="3957"/>
  <c r="J293" i="3957"/>
  <c r="J292" i="3957"/>
  <c r="B292" i="3957"/>
  <c r="M292" i="3957" s="1"/>
  <c r="J291" i="3957"/>
  <c r="B291" i="3957"/>
  <c r="M291" i="3957"/>
  <c r="J290" i="3957"/>
  <c r="B290" i="3957"/>
  <c r="M290" i="3957"/>
  <c r="J289" i="3957"/>
  <c r="B289" i="3957"/>
  <c r="M289" i="3957" s="1"/>
  <c r="J288" i="3957"/>
  <c r="J287" i="3957"/>
  <c r="J286" i="3957"/>
  <c r="B286" i="3957"/>
  <c r="M286" i="3957"/>
  <c r="J285" i="3957"/>
  <c r="B285" i="3957"/>
  <c r="M285" i="3957" s="1"/>
  <c r="J284" i="3957"/>
  <c r="B284" i="3957"/>
  <c r="M284" i="3957"/>
  <c r="J283" i="3957"/>
  <c r="B283" i="3957"/>
  <c r="M283" i="3957"/>
  <c r="J282" i="3957"/>
  <c r="J281" i="3957"/>
  <c r="J280" i="3957"/>
  <c r="B280" i="3957"/>
  <c r="M280" i="3957"/>
  <c r="J279" i="3957"/>
  <c r="B279" i="3957"/>
  <c r="M279" i="3957"/>
  <c r="J278" i="3957"/>
  <c r="B278" i="3957"/>
  <c r="M278" i="3957"/>
  <c r="J277" i="3957"/>
  <c r="B277" i="3957"/>
  <c r="M277" i="3957" s="1"/>
  <c r="J276" i="3957"/>
  <c r="J275" i="3957"/>
  <c r="J274" i="3957"/>
  <c r="B274" i="3957"/>
  <c r="M274" i="3957"/>
  <c r="J273" i="3957"/>
  <c r="B273" i="3957"/>
  <c r="M273" i="3957" s="1"/>
  <c r="J272" i="3957"/>
  <c r="B272" i="3957"/>
  <c r="M272" i="3957" s="1"/>
  <c r="J271" i="3957"/>
  <c r="B271" i="3957"/>
  <c r="M271" i="3957" s="1"/>
  <c r="J270" i="3957"/>
  <c r="J269" i="3957"/>
  <c r="J268" i="3957"/>
  <c r="B268" i="3957"/>
  <c r="M268" i="3957" s="1"/>
  <c r="J267" i="3957"/>
  <c r="B267" i="3957"/>
  <c r="M267" i="3957"/>
  <c r="J266" i="3957"/>
  <c r="B266" i="3957"/>
  <c r="M266" i="3957"/>
  <c r="J265" i="3957"/>
  <c r="B265" i="3957"/>
  <c r="M265" i="3957" s="1"/>
  <c r="J264" i="3957"/>
  <c r="J263" i="3957"/>
  <c r="J262" i="3957"/>
  <c r="B262" i="3957"/>
  <c r="M262" i="3957"/>
  <c r="J261" i="3957"/>
  <c r="B261" i="3957"/>
  <c r="M261" i="3957" s="1"/>
  <c r="J260" i="3957"/>
  <c r="B260" i="3957"/>
  <c r="M260" i="3957"/>
  <c r="J259" i="3957"/>
  <c r="B259" i="3957"/>
  <c r="M259" i="3957"/>
  <c r="J258" i="3957"/>
  <c r="J257" i="3957"/>
  <c r="J256" i="3957"/>
  <c r="B256" i="3957"/>
  <c r="M256" i="3957"/>
  <c r="J255" i="3957"/>
  <c r="B255" i="3957"/>
  <c r="M255" i="3957"/>
  <c r="J254" i="3957"/>
  <c r="B254" i="3957"/>
  <c r="M254" i="3957"/>
  <c r="J253" i="3957"/>
  <c r="B253" i="3957"/>
  <c r="M253" i="3957"/>
  <c r="J252" i="3957"/>
  <c r="J251" i="3957"/>
  <c r="J250" i="3957"/>
  <c r="B250" i="3957"/>
  <c r="M250" i="3957"/>
  <c r="J249" i="3957"/>
  <c r="B249" i="3957"/>
  <c r="M249" i="3957"/>
  <c r="J248" i="3957"/>
  <c r="B248" i="3957"/>
  <c r="M248" i="3957" s="1"/>
  <c r="J247" i="3957"/>
  <c r="B247" i="3957"/>
  <c r="M247" i="3957" s="1"/>
  <c r="J246" i="3957"/>
  <c r="B244" i="3957"/>
  <c r="M244" i="3957"/>
  <c r="B243" i="3957"/>
  <c r="M243" i="3957" s="1"/>
  <c r="B242" i="3957"/>
  <c r="M242" i="3957"/>
  <c r="B241" i="3957"/>
  <c r="M241" i="3957" s="1"/>
  <c r="J239" i="3957"/>
  <c r="J238" i="3957"/>
  <c r="M237" i="3957"/>
  <c r="J237" i="3957"/>
  <c r="I237" i="3957"/>
  <c r="J236" i="3957"/>
  <c r="J235" i="3957"/>
  <c r="M234" i="3957"/>
  <c r="J234" i="3957"/>
  <c r="M233" i="3957"/>
  <c r="J233" i="3957"/>
  <c r="K232" i="3957"/>
  <c r="J232" i="3957"/>
  <c r="I232" i="3957"/>
  <c r="J231" i="3957"/>
  <c r="M230" i="3957"/>
  <c r="J230" i="3957"/>
  <c r="I230" i="3957"/>
  <c r="J229" i="3957"/>
  <c r="J228" i="3957"/>
  <c r="M227" i="3957"/>
  <c r="J227" i="3957"/>
  <c r="M226" i="3957"/>
  <c r="J226" i="3957"/>
  <c r="K225" i="3957"/>
  <c r="J225" i="3957"/>
  <c r="I225" i="3957"/>
  <c r="J224" i="3957"/>
  <c r="M223" i="3957"/>
  <c r="J223" i="3957"/>
  <c r="I223" i="3957"/>
  <c r="J222" i="3957"/>
  <c r="J221" i="3957"/>
  <c r="M220" i="3957"/>
  <c r="J220" i="3957"/>
  <c r="M219" i="3957"/>
  <c r="J219" i="3957"/>
  <c r="M218" i="3957"/>
  <c r="J218" i="3957"/>
  <c r="K217" i="3957"/>
  <c r="J217" i="3957"/>
  <c r="I217" i="3957"/>
  <c r="J216" i="3957"/>
  <c r="M215" i="3957"/>
  <c r="J215" i="3957"/>
  <c r="I215" i="3957"/>
  <c r="J214" i="3957"/>
  <c r="M213" i="3957"/>
  <c r="J213" i="3957"/>
  <c r="M212" i="3957"/>
  <c r="J212" i="3957"/>
  <c r="I212" i="3957"/>
  <c r="M211" i="3957"/>
  <c r="J211" i="3957"/>
  <c r="M210" i="3957"/>
  <c r="J210" i="3957"/>
  <c r="M209" i="3957"/>
  <c r="J209" i="3957"/>
  <c r="J208" i="3957"/>
  <c r="J207" i="3957"/>
  <c r="M206" i="3957"/>
  <c r="J206" i="3957"/>
  <c r="J205" i="3957"/>
  <c r="M204" i="3957"/>
  <c r="J204" i="3957"/>
  <c r="M203" i="3957"/>
  <c r="J203" i="3957"/>
  <c r="M202" i="3957"/>
  <c r="J202" i="3957"/>
  <c r="M201" i="3957"/>
  <c r="J201" i="3957"/>
  <c r="M200" i="3957"/>
  <c r="J200" i="3957"/>
  <c r="K199" i="3957"/>
  <c r="J199" i="3957"/>
  <c r="I199" i="3957"/>
  <c r="H199" i="3957"/>
  <c r="J198" i="3957"/>
  <c r="J197" i="3957"/>
  <c r="J196" i="3957"/>
  <c r="M195" i="3957"/>
  <c r="J195" i="3957"/>
  <c r="M194" i="3957"/>
  <c r="J194" i="3957"/>
  <c r="M193" i="3957"/>
  <c r="J193" i="3957"/>
  <c r="K192" i="3957"/>
  <c r="J192" i="3957"/>
  <c r="H192" i="3957"/>
  <c r="J191" i="3957"/>
  <c r="J190" i="3957"/>
  <c r="J189" i="3957"/>
  <c r="J188" i="3957"/>
  <c r="J187" i="3957"/>
  <c r="B187" i="3957"/>
  <c r="M187" i="3957" s="1"/>
  <c r="J186" i="3957"/>
  <c r="B186" i="3957"/>
  <c r="M186" i="3957"/>
  <c r="J185" i="3957"/>
  <c r="B185" i="3957"/>
  <c r="M185" i="3957"/>
  <c r="J184" i="3957"/>
  <c r="B184" i="3957"/>
  <c r="M184" i="3957"/>
  <c r="J183" i="3957"/>
  <c r="B181" i="3957"/>
  <c r="M181" i="3957" s="1"/>
  <c r="B180" i="3957"/>
  <c r="M180" i="3957"/>
  <c r="B179" i="3957"/>
  <c r="M179" i="3957"/>
  <c r="B178" i="3957"/>
  <c r="M178" i="3957"/>
  <c r="AQ835" i="3957"/>
  <c r="J176" i="3957"/>
  <c r="J175" i="3957"/>
  <c r="J174" i="3957"/>
  <c r="J173" i="3957"/>
  <c r="J172" i="3957"/>
  <c r="B172" i="3957"/>
  <c r="M172" i="3957"/>
  <c r="J171" i="3957"/>
  <c r="B171" i="3957"/>
  <c r="M171" i="3957" s="1"/>
  <c r="J170" i="3957"/>
  <c r="B170" i="3957"/>
  <c r="M170" i="3957"/>
  <c r="J169" i="3957"/>
  <c r="B169" i="3957"/>
  <c r="M169" i="3957"/>
  <c r="J168" i="3957"/>
  <c r="B166" i="3957"/>
  <c r="M166" i="3957"/>
  <c r="B165" i="3957"/>
  <c r="M165" i="3957"/>
  <c r="B164" i="3957"/>
  <c r="M164" i="3957" s="1"/>
  <c r="B163" i="3957"/>
  <c r="M163" i="3957" s="1"/>
  <c r="AQ834" i="3957"/>
  <c r="J161" i="3957"/>
  <c r="J160" i="3957"/>
  <c r="J159" i="3957"/>
  <c r="J158" i="3957"/>
  <c r="J157" i="3957"/>
  <c r="B157" i="3957"/>
  <c r="M157" i="3957" s="1"/>
  <c r="J156" i="3957"/>
  <c r="B156" i="3957"/>
  <c r="M156" i="3957"/>
  <c r="J155" i="3957"/>
  <c r="B155" i="3957"/>
  <c r="M155" i="3957"/>
  <c r="J154" i="3957"/>
  <c r="B154" i="3957"/>
  <c r="M154" i="3957" s="1"/>
  <c r="J153" i="3957"/>
  <c r="B151" i="3957"/>
  <c r="M151" i="3957"/>
  <c r="B150" i="3957"/>
  <c r="M150" i="3957"/>
  <c r="B149" i="3957"/>
  <c r="B148" i="3957"/>
  <c r="M148" i="3957"/>
  <c r="AQ830" i="3957"/>
  <c r="J146" i="3957"/>
  <c r="M145" i="3957"/>
  <c r="J145" i="3957"/>
  <c r="M144" i="3957"/>
  <c r="J144" i="3957"/>
  <c r="J143" i="3957"/>
  <c r="M142" i="3957"/>
  <c r="J142" i="3957"/>
  <c r="J141" i="3957"/>
  <c r="M140" i="3957"/>
  <c r="J140" i="3957"/>
  <c r="J139" i="3957"/>
  <c r="M138" i="3957"/>
  <c r="J138" i="3957"/>
  <c r="J137" i="3957"/>
  <c r="M136" i="3957"/>
  <c r="J136" i="3957"/>
  <c r="J135" i="3957"/>
  <c r="M134" i="3957"/>
  <c r="J134" i="3957"/>
  <c r="J133" i="3957"/>
  <c r="J132" i="3957"/>
  <c r="J131" i="3957"/>
  <c r="M130" i="3957"/>
  <c r="J130" i="3957"/>
  <c r="J129" i="3957"/>
  <c r="M128" i="3957"/>
  <c r="J128" i="3957"/>
  <c r="M127" i="3957"/>
  <c r="J127" i="3957"/>
  <c r="M126" i="3957"/>
  <c r="J126" i="3957"/>
  <c r="K125" i="3957"/>
  <c r="J125" i="3957"/>
  <c r="I125" i="3957"/>
  <c r="J124" i="3957"/>
  <c r="J123" i="3957"/>
  <c r="J122" i="3957"/>
  <c r="M121" i="3957"/>
  <c r="J121" i="3957"/>
  <c r="M120" i="3957"/>
  <c r="J120" i="3957"/>
  <c r="K119" i="3957"/>
  <c r="J119" i="3957"/>
  <c r="I119" i="3957"/>
  <c r="J118" i="3957"/>
  <c r="J117" i="3957"/>
  <c r="J116" i="3957"/>
  <c r="M115" i="3957"/>
  <c r="J115" i="3957"/>
  <c r="M114" i="3957"/>
  <c r="J114" i="3957"/>
  <c r="K113" i="3957"/>
  <c r="J113" i="3957"/>
  <c r="I113" i="3957"/>
  <c r="J112" i="3957"/>
  <c r="J111" i="3957"/>
  <c r="J110" i="3957"/>
  <c r="M109" i="3957"/>
  <c r="J109" i="3957"/>
  <c r="M108" i="3957"/>
  <c r="J108" i="3957"/>
  <c r="K107" i="3957"/>
  <c r="J107" i="3957"/>
  <c r="I107" i="3957"/>
  <c r="J106" i="3957"/>
  <c r="J105" i="3957"/>
  <c r="J104" i="3957"/>
  <c r="M103" i="3957"/>
  <c r="J103" i="3957"/>
  <c r="M102" i="3957"/>
  <c r="J102" i="3957"/>
  <c r="K101" i="3957"/>
  <c r="J101" i="3957"/>
  <c r="I101" i="3957"/>
  <c r="J100" i="3957"/>
  <c r="J99" i="3957"/>
  <c r="J98" i="3957"/>
  <c r="M97" i="3957"/>
  <c r="J97" i="3957"/>
  <c r="M96" i="3957"/>
  <c r="J96" i="3957"/>
  <c r="K95" i="3957"/>
  <c r="J95" i="3957"/>
  <c r="I95" i="3957"/>
  <c r="J94" i="3957"/>
  <c r="J93" i="3957"/>
  <c r="J92" i="3957"/>
  <c r="M91" i="3957"/>
  <c r="J91" i="3957"/>
  <c r="M90" i="3957"/>
  <c r="J90" i="3957"/>
  <c r="K89" i="3957"/>
  <c r="J89" i="3957"/>
  <c r="I89" i="3957"/>
  <c r="J88" i="3957"/>
  <c r="J87" i="3957"/>
  <c r="M86" i="3957"/>
  <c r="J86" i="3957"/>
  <c r="M85" i="3957"/>
  <c r="J85" i="3957"/>
  <c r="I85" i="3957"/>
  <c r="M84" i="3957"/>
  <c r="J84" i="3957"/>
  <c r="M83" i="3957"/>
  <c r="J83" i="3957"/>
  <c r="M82" i="3957"/>
  <c r="J82" i="3957"/>
  <c r="J81" i="3957"/>
  <c r="J80" i="3957"/>
  <c r="G80" i="3957"/>
  <c r="J79" i="3957"/>
  <c r="M78" i="3957"/>
  <c r="K78" i="3957"/>
  <c r="J78" i="3957"/>
  <c r="M77" i="3957"/>
  <c r="K77" i="3957"/>
  <c r="J77" i="3957"/>
  <c r="M76" i="3957"/>
  <c r="K76" i="3957"/>
  <c r="J76" i="3957"/>
  <c r="M75" i="3957"/>
  <c r="J75" i="3957"/>
  <c r="J74" i="3957"/>
  <c r="M72" i="3957"/>
  <c r="M71" i="3957"/>
  <c r="M65" i="3957"/>
  <c r="J65" i="3957"/>
  <c r="M64" i="3957"/>
  <c r="J64" i="3957"/>
  <c r="M63" i="3957"/>
  <c r="J63" i="3957"/>
  <c r="J62" i="3957"/>
  <c r="M61" i="3957"/>
  <c r="J61" i="3957"/>
  <c r="M60" i="3957"/>
  <c r="J60" i="3957"/>
  <c r="M59" i="3957"/>
  <c r="J59" i="3957"/>
  <c r="M58" i="3957"/>
  <c r="J58" i="3957"/>
  <c r="M57" i="3957"/>
  <c r="J57" i="3957"/>
  <c r="M56" i="3957"/>
  <c r="J56" i="3957"/>
  <c r="J55" i="3957"/>
  <c r="M54" i="3957"/>
  <c r="J54" i="3957"/>
  <c r="M53" i="3957"/>
  <c r="J53" i="3957"/>
  <c r="M52" i="3957"/>
  <c r="J52" i="3957"/>
  <c r="M51" i="3957"/>
  <c r="J51" i="3957"/>
  <c r="J50" i="3957"/>
  <c r="J49" i="3957"/>
  <c r="M48" i="3957"/>
  <c r="J48" i="3957"/>
  <c r="M47" i="3957"/>
  <c r="J47" i="3957"/>
  <c r="P46" i="3957"/>
  <c r="O46" i="3957"/>
  <c r="P43" i="3957"/>
  <c r="O43" i="3957"/>
  <c r="P42" i="3957"/>
  <c r="O42" i="3957"/>
  <c r="P41" i="3957"/>
  <c r="O41" i="3957"/>
  <c r="P40" i="3957"/>
  <c r="O40" i="3957"/>
  <c r="P39" i="3957"/>
  <c r="O39" i="3957"/>
  <c r="P38" i="3957"/>
  <c r="O38" i="3957"/>
  <c r="P37" i="3957"/>
  <c r="O37" i="3957"/>
  <c r="P36" i="3957"/>
  <c r="O36" i="3957"/>
  <c r="P35" i="3957"/>
  <c r="O35" i="3957"/>
  <c r="P34" i="3957"/>
  <c r="O34" i="3957"/>
  <c r="P33" i="3957"/>
  <c r="O33" i="3957"/>
  <c r="P32" i="3957"/>
  <c r="O32" i="3957"/>
  <c r="P31" i="3957"/>
  <c r="O31" i="3957"/>
  <c r="P30" i="3957"/>
  <c r="O30" i="3957"/>
  <c r="P29" i="3957"/>
  <c r="O29" i="3957"/>
  <c r="P28" i="3957"/>
  <c r="O28" i="3957"/>
  <c r="P27" i="3957"/>
  <c r="O27" i="3957"/>
  <c r="P26" i="3957"/>
  <c r="O26" i="3957"/>
  <c r="P25" i="3957"/>
  <c r="O25" i="3957"/>
  <c r="P24" i="3957"/>
  <c r="O24" i="3957"/>
  <c r="P23" i="3957"/>
  <c r="O23" i="3957"/>
  <c r="P22" i="3957"/>
  <c r="O22" i="3957"/>
  <c r="AQ21" i="3957"/>
  <c r="P21" i="3957"/>
  <c r="O21" i="3957"/>
  <c r="P20" i="3957"/>
  <c r="O20" i="3957"/>
  <c r="P19" i="3957"/>
  <c r="O19" i="3957"/>
  <c r="O18" i="3957"/>
  <c r="P17" i="3957"/>
  <c r="O17" i="3957"/>
  <c r="O16" i="3957"/>
  <c r="O15" i="3957"/>
  <c r="P14" i="3957"/>
  <c r="O14" i="3957"/>
  <c r="P13" i="3957"/>
  <c r="O13" i="3957"/>
  <c r="O11" i="3957"/>
  <c r="AT787" i="3957"/>
  <c r="AS787" i="3957"/>
  <c r="AR787" i="3957"/>
  <c r="BL787" i="3957" s="1"/>
  <c r="BY730" i="3957"/>
  <c r="BY740" i="3957"/>
  <c r="CA740" i="3957"/>
  <c r="BY780" i="3957"/>
  <c r="CA780" i="3957"/>
  <c r="BY760" i="3957"/>
  <c r="CA760" i="3957"/>
  <c r="BW770" i="3957"/>
  <c r="BZ735" i="3957"/>
  <c r="BW735" i="3957"/>
  <c r="BY735" i="3957"/>
  <c r="AW461" i="3957"/>
  <c r="BW740" i="3957"/>
  <c r="BM745" i="3957"/>
  <c r="BR745" i="3957" s="1"/>
  <c r="P830" i="3957"/>
  <c r="P1199" i="3957"/>
  <c r="BW725" i="3957"/>
  <c r="O748" i="3957"/>
  <c r="AQ833" i="3957"/>
  <c r="O799" i="3957"/>
  <c r="O1237" i="3957"/>
  <c r="O1190" i="3957"/>
  <c r="BZ803" i="3957"/>
  <c r="O1201" i="3957"/>
  <c r="O1221" i="3957"/>
  <c r="O1223" i="3957"/>
  <c r="BM760" i="3957"/>
  <c r="BR760" i="3957" s="1"/>
  <c r="O819" i="3957"/>
  <c r="O828" i="3957"/>
  <c r="P828" i="3957"/>
  <c r="BZ740" i="3957"/>
  <c r="O774" i="3957"/>
  <c r="O798" i="3957"/>
  <c r="P1237" i="3957"/>
  <c r="O713" i="3957"/>
  <c r="P713" i="3957"/>
  <c r="I1232" i="3957"/>
  <c r="I1212" i="3957"/>
  <c r="I1196" i="3957"/>
  <c r="I1236" i="3957"/>
  <c r="I1228" i="3957"/>
  <c r="I1224" i="3957"/>
  <c r="I1192" i="3957"/>
  <c r="I1204" i="3957"/>
  <c r="I1200" i="3957"/>
  <c r="I1216" i="3957"/>
  <c r="I1188" i="3957"/>
  <c r="I795" i="3957"/>
  <c r="I746" i="3957"/>
  <c r="I827" i="3957"/>
  <c r="I772" i="3957"/>
  <c r="I303" i="3957"/>
  <c r="I80" i="3957"/>
  <c r="O1211" i="3957"/>
  <c r="P1211" i="3957"/>
  <c r="I207" i="3957"/>
  <c r="BQ780" i="3957"/>
  <c r="P714" i="3957"/>
  <c r="BZ745" i="3957"/>
  <c r="BY745" i="3957"/>
  <c r="BW745" i="3957"/>
  <c r="P747" i="3957"/>
  <c r="O747" i="3957"/>
  <c r="P750" i="3957"/>
  <c r="O750" i="3957"/>
  <c r="BW765" i="3957"/>
  <c r="BY765" i="3957"/>
  <c r="AX630" i="3957"/>
  <c r="BZ770" i="3957"/>
  <c r="BY770" i="3957"/>
  <c r="P796" i="3957"/>
  <c r="O796" i="3957"/>
  <c r="P801" i="3957"/>
  <c r="O801" i="3957"/>
  <c r="P822" i="3957"/>
  <c r="O822" i="3957"/>
  <c r="O830" i="3957"/>
  <c r="BZ725" i="3957"/>
  <c r="BY725" i="3957"/>
  <c r="P775" i="3957"/>
  <c r="O775" i="3957"/>
  <c r="BM725" i="3957"/>
  <c r="BQ725" i="3957" s="1"/>
  <c r="BM730" i="3957"/>
  <c r="BN730" i="3957" s="1"/>
  <c r="BM735" i="3957"/>
  <c r="BZ760" i="3957"/>
  <c r="BW760" i="3957"/>
  <c r="P776" i="3957"/>
  <c r="O776" i="3957"/>
  <c r="BY803" i="3957"/>
  <c r="BW803" i="3957"/>
  <c r="BM740" i="3957"/>
  <c r="BN740" i="3957" s="1"/>
  <c r="BM826" i="3957"/>
  <c r="BM803" i="3957"/>
  <c r="BM770" i="3957"/>
  <c r="BN770" i="3957" s="1"/>
  <c r="BM765" i="3957"/>
  <c r="BN765" i="3957" s="1"/>
  <c r="BO765" i="3957"/>
  <c r="P797" i="3957"/>
  <c r="O797" i="3957"/>
  <c r="P800" i="3957"/>
  <c r="O800" i="3957"/>
  <c r="P821" i="3957"/>
  <c r="O821" i="3957"/>
  <c r="O831" i="3957"/>
  <c r="BW730" i="3957"/>
  <c r="BZ730" i="3957"/>
  <c r="BZ780" i="3957"/>
  <c r="O1197" i="3957"/>
  <c r="P1197" i="3957"/>
  <c r="O1195" i="3957"/>
  <c r="P1195" i="3957"/>
  <c r="O1213" i="3957"/>
  <c r="P1213" i="3957"/>
  <c r="O1198" i="3957"/>
  <c r="P1198" i="3957"/>
  <c r="O1210" i="3957"/>
  <c r="P1210" i="3957"/>
  <c r="O1209" i="3957"/>
  <c r="O1214" i="3957"/>
  <c r="O1231" i="3957"/>
  <c r="AY464" i="3957"/>
  <c r="BN745" i="3957"/>
  <c r="BQ745" i="3957"/>
  <c r="O1238" i="3957"/>
  <c r="O1239" i="3957"/>
  <c r="P1239" i="3957"/>
  <c r="O1242" i="3957"/>
  <c r="P1225" i="3957"/>
  <c r="O1225" i="3957"/>
  <c r="P835" i="3957"/>
  <c r="O835" i="3957"/>
  <c r="P840" i="3957"/>
  <c r="O840" i="3957"/>
  <c r="O834" i="3957"/>
  <c r="P834" i="3957"/>
  <c r="P806" i="3957"/>
  <c r="O806" i="3957"/>
  <c r="BR803" i="3957"/>
  <c r="BQ735" i="3957"/>
  <c r="BN735" i="3957"/>
  <c r="BR735" i="3957"/>
  <c r="BO735" i="3957"/>
  <c r="O1230" i="3957"/>
  <c r="O1235" i="3957"/>
  <c r="P1235" i="3957"/>
  <c r="P1243" i="3957"/>
  <c r="O1243" i="3957"/>
  <c r="O1226" i="3957"/>
  <c r="P844" i="3957"/>
  <c r="O844" i="3957"/>
  <c r="P837" i="3957"/>
  <c r="O837" i="3957"/>
  <c r="P841" i="3957"/>
  <c r="O841" i="3957"/>
  <c r="P836" i="3957"/>
  <c r="O836" i="3957"/>
  <c r="O1229" i="3957"/>
  <c r="P1229" i="3957"/>
  <c r="O1233" i="3957"/>
  <c r="P1233" i="3957"/>
  <c r="P1227" i="3957"/>
  <c r="O1227" i="3957"/>
  <c r="P847" i="3957"/>
  <c r="O847" i="3957"/>
  <c r="O838" i="3957"/>
  <c r="P838" i="3957"/>
  <c r="P842" i="3957"/>
  <c r="O842" i="3957"/>
  <c r="P831" i="3957"/>
  <c r="P843" i="3957"/>
  <c r="O843" i="3957"/>
  <c r="O803" i="3957"/>
  <c r="P803" i="3957"/>
  <c r="O804" i="3957"/>
  <c r="P804" i="3957"/>
  <c r="BP735" i="3957"/>
  <c r="P823" i="3957"/>
  <c r="O823" i="3957"/>
  <c r="P751" i="3957"/>
  <c r="O751" i="3957"/>
  <c r="O716" i="3957"/>
  <c r="P716" i="3957"/>
  <c r="O86" i="3957"/>
  <c r="O1234" i="3957"/>
  <c r="P1241" i="3957"/>
  <c r="O1241" i="3957"/>
  <c r="P839" i="3957"/>
  <c r="O839" i="3957"/>
  <c r="P846" i="3957"/>
  <c r="O846" i="3957"/>
  <c r="O850" i="3957"/>
  <c r="P805" i="3957"/>
  <c r="O805" i="3957"/>
  <c r="P777" i="3957"/>
  <c r="O777" i="3957"/>
  <c r="P749" i="3957"/>
  <c r="O754" i="3957"/>
  <c r="P84" i="3957"/>
  <c r="O84" i="3957"/>
  <c r="BG861" i="3957"/>
  <c r="O832" i="3957"/>
  <c r="P832" i="3957"/>
  <c r="P849" i="3957"/>
  <c r="O849" i="3957"/>
  <c r="P845" i="3957"/>
  <c r="O845" i="3957"/>
  <c r="P833" i="3957"/>
  <c r="O833" i="3957"/>
  <c r="O848" i="3957"/>
  <c r="P848" i="3957"/>
  <c r="O783" i="3957"/>
  <c r="O851" i="3957"/>
  <c r="P851" i="3957"/>
  <c r="P92" i="3957"/>
  <c r="O92" i="3957"/>
  <c r="P807" i="3957"/>
  <c r="O807" i="3957"/>
  <c r="P852" i="3957"/>
  <c r="O852" i="3957"/>
  <c r="O87" i="3957"/>
  <c r="P87" i="3957"/>
  <c r="P824" i="3957"/>
  <c r="O824" i="3957"/>
  <c r="P782" i="3957"/>
  <c r="O782" i="3957"/>
  <c r="O853" i="3957"/>
  <c r="P853" i="3957"/>
  <c r="O717" i="3957"/>
  <c r="P717" i="3957"/>
  <c r="O826" i="3957"/>
  <c r="P826" i="3957"/>
  <c r="P864" i="3957"/>
  <c r="O864" i="3957"/>
  <c r="P858" i="3957"/>
  <c r="P865" i="3957"/>
  <c r="O865" i="3957"/>
  <c r="O96" i="3957"/>
  <c r="P96" i="3957"/>
  <c r="P93" i="3957"/>
  <c r="O93" i="3957"/>
  <c r="O854" i="3957"/>
  <c r="P854" i="3957"/>
  <c r="P756" i="3957"/>
  <c r="O756" i="3957"/>
  <c r="O94" i="3957"/>
  <c r="P94" i="3957"/>
  <c r="P810" i="3957"/>
  <c r="O810" i="3957"/>
  <c r="O859" i="3957"/>
  <c r="P859" i="3957"/>
  <c r="O862" i="3957"/>
  <c r="P862" i="3957"/>
  <c r="O857" i="3957"/>
  <c r="P857" i="3957"/>
  <c r="P757" i="3957"/>
  <c r="O757" i="3957"/>
  <c r="P861" i="3957"/>
  <c r="O861" i="3957"/>
  <c r="P860" i="3957"/>
  <c r="O860" i="3957"/>
  <c r="AR1084" i="3957"/>
  <c r="C256" i="3944"/>
  <c r="C257" i="3944"/>
  <c r="J111" i="3944"/>
  <c r="B111" i="3944"/>
  <c r="AR1085" i="3957"/>
  <c r="AX911" i="3957"/>
  <c r="F1199" i="3957"/>
  <c r="H212" i="3944"/>
  <c r="H69" i="3944"/>
  <c r="AX1040" i="3957"/>
  <c r="N161" i="3944"/>
  <c r="AU990" i="3957"/>
  <c r="AX1048" i="3957"/>
  <c r="AQ1001" i="3957"/>
  <c r="AQ893" i="3957"/>
  <c r="AQ1002" i="3957"/>
  <c r="AW1045" i="3957"/>
  <c r="AX1036" i="3957"/>
  <c r="H209" i="3944"/>
  <c r="F1239" i="3957"/>
  <c r="L160" i="3944"/>
  <c r="AQ892" i="3957"/>
  <c r="AQ1000" i="3957"/>
  <c r="F1235" i="3957"/>
  <c r="F1231" i="3957"/>
  <c r="F1243" i="3957"/>
  <c r="AW1042" i="3957"/>
  <c r="I218" i="3944"/>
  <c r="H207" i="3944"/>
  <c r="L161" i="3944"/>
  <c r="H68" i="3944"/>
  <c r="AW991" i="3957"/>
  <c r="F1211" i="3957"/>
  <c r="H213" i="3944"/>
  <c r="AX1047" i="3957"/>
  <c r="AW1038" i="3957"/>
  <c r="L163" i="3944"/>
  <c r="AQ836" i="3957"/>
  <c r="AX1041" i="3957"/>
  <c r="AW1048" i="3957"/>
  <c r="AQ891" i="3957"/>
  <c r="I68" i="3944"/>
  <c r="AU986" i="3957"/>
  <c r="B78" i="3944"/>
  <c r="AX908" i="3957"/>
  <c r="F1227" i="3957"/>
  <c r="B11" i="3944"/>
  <c r="AQ837" i="3957"/>
  <c r="B175" i="3944"/>
  <c r="B53" i="3944"/>
  <c r="I209" i="3944"/>
  <c r="AW1041" i="3957"/>
  <c r="N158" i="3944"/>
  <c r="C20" i="3940"/>
  <c r="B54" i="3944"/>
  <c r="N157" i="3944"/>
  <c r="AW992" i="3957"/>
  <c r="AU989" i="3957"/>
  <c r="R21" i="3944"/>
  <c r="AU991" i="3957"/>
  <c r="I214" i="3944"/>
  <c r="AQ965" i="3957"/>
  <c r="AX1042" i="3957"/>
  <c r="F1219" i="3957"/>
  <c r="AW908" i="3957"/>
  <c r="L162" i="3944"/>
  <c r="C14" i="3940"/>
  <c r="AW1047" i="3957"/>
  <c r="AW986" i="3957"/>
  <c r="H66" i="3944"/>
  <c r="I212" i="3944"/>
  <c r="H218" i="3944"/>
  <c r="AU992" i="3957"/>
  <c r="I219" i="3944"/>
  <c r="AW987" i="3957"/>
  <c r="F1191" i="3957"/>
  <c r="N162" i="3944"/>
  <c r="AX910" i="3957"/>
  <c r="AU987" i="3957"/>
  <c r="L158" i="3944"/>
  <c r="AX1038" i="3957"/>
  <c r="AQ921" i="3957"/>
  <c r="B136" i="3944"/>
  <c r="H219" i="3944"/>
  <c r="H214" i="3944"/>
  <c r="AQ920" i="3957"/>
  <c r="AX1043" i="3957"/>
  <c r="AW1036" i="3957"/>
  <c r="I69" i="3944"/>
  <c r="AW990" i="3957"/>
  <c r="B10" i="3944"/>
  <c r="AQ964" i="3957"/>
  <c r="I211" i="3944"/>
  <c r="I207" i="3944"/>
  <c r="I213" i="3944"/>
  <c r="BG854" i="3957"/>
  <c r="F1207" i="3957"/>
  <c r="N160" i="3944"/>
  <c r="B174" i="3944"/>
  <c r="AW989" i="3957"/>
  <c r="AW911" i="3957"/>
  <c r="AW910" i="3957"/>
  <c r="L157" i="3944"/>
  <c r="N163" i="3944"/>
  <c r="AW1040" i="3957"/>
  <c r="I66" i="3944"/>
  <c r="F1223" i="3957"/>
  <c r="H216" i="3944"/>
  <c r="F1203" i="3957"/>
  <c r="F1215" i="3957"/>
  <c r="AW1043" i="3957"/>
  <c r="H211" i="3944"/>
  <c r="AX1045" i="3957"/>
  <c r="F1195" i="3957"/>
  <c r="BO745" i="3957" l="1"/>
  <c r="Z27" i="3939"/>
  <c r="AD27" i="3939" s="1"/>
  <c r="AG27" i="3939" s="1"/>
  <c r="Z32" i="3939"/>
  <c r="J226" i="3944"/>
  <c r="AA37" i="3939"/>
  <c r="F328" i="3944"/>
  <c r="BP740" i="3957"/>
  <c r="BP760" i="3957"/>
  <c r="Y32" i="3939"/>
  <c r="G327" i="3944"/>
  <c r="AA32" i="3939"/>
  <c r="D265" i="3944"/>
  <c r="AB27" i="3939"/>
  <c r="AB32" i="3939"/>
  <c r="AB9" i="3942"/>
  <c r="BO770" i="3957"/>
  <c r="BS770" i="3957" s="1"/>
  <c r="BV770" i="3957" s="1"/>
  <c r="BQ730" i="3957"/>
  <c r="BT735" i="3957"/>
  <c r="BX735" i="3957" s="1"/>
  <c r="AU1137" i="3957"/>
  <c r="BT740" i="3957"/>
  <c r="BX740" i="3957" s="1"/>
  <c r="AC37" i="3939"/>
  <c r="AB17" i="3940"/>
  <c r="AC23" i="3940"/>
  <c r="F243" i="3944"/>
  <c r="D243" i="3944" s="1"/>
  <c r="BQ740" i="3957"/>
  <c r="AU1174" i="3957"/>
  <c r="Z37" i="3939"/>
  <c r="AD37" i="3939" s="1"/>
  <c r="AG37" i="3939" s="1"/>
  <c r="Z17" i="3940"/>
  <c r="AB9" i="3941"/>
  <c r="D37" i="3944"/>
  <c r="O55" i="3947"/>
  <c r="F308" i="3944" s="1"/>
  <c r="P6" i="3949"/>
  <c r="BR730" i="3957"/>
  <c r="BP730" i="3957"/>
  <c r="BT730" i="3957" s="1"/>
  <c r="BX730" i="3957" s="1"/>
  <c r="BN760" i="3957"/>
  <c r="BT760" i="3957" s="1"/>
  <c r="BX760" i="3957" s="1"/>
  <c r="BS765" i="3957"/>
  <c r="BP725" i="3957"/>
  <c r="BS745" i="3957"/>
  <c r="BV745" i="3957" s="1"/>
  <c r="BO740" i="3957"/>
  <c r="BS740" i="3957" s="1"/>
  <c r="BV740" i="3957" s="1"/>
  <c r="BN725" i="3957"/>
  <c r="BQ760" i="3957"/>
  <c r="AR979" i="3957"/>
  <c r="AU1175" i="3957"/>
  <c r="AC9" i="3941"/>
  <c r="S56" i="3947"/>
  <c r="Q6" i="3949"/>
  <c r="G350" i="3944" s="1"/>
  <c r="AS788" i="3957"/>
  <c r="BR725" i="3957"/>
  <c r="AQ934" i="3957"/>
  <c r="AU1176" i="3957"/>
  <c r="AA27" i="3939"/>
  <c r="AE27" i="3939" s="1"/>
  <c r="AI27" i="3939" s="1"/>
  <c r="Y37" i="3939"/>
  <c r="Y17" i="3940"/>
  <c r="Z9" i="3941"/>
  <c r="AD9" i="3941" s="1"/>
  <c r="D35" i="3944"/>
  <c r="D56" i="3944"/>
  <c r="T56" i="3947"/>
  <c r="AE37" i="3939"/>
  <c r="AI37" i="3939" s="1"/>
  <c r="Y23" i="3940"/>
  <c r="AD23" i="3940" s="1"/>
  <c r="AG23" i="3940" s="1"/>
  <c r="Y9" i="3941"/>
  <c r="AE9" i="3941" s="1"/>
  <c r="AI9" i="3941" s="1"/>
  <c r="BR740" i="3957"/>
  <c r="AA17" i="3940"/>
  <c r="AA23" i="3940"/>
  <c r="AE23" i="3940" s="1"/>
  <c r="V57" i="3947"/>
  <c r="R5" i="3949"/>
  <c r="F349" i="3944" s="1"/>
  <c r="AU1155" i="3957"/>
  <c r="AB23" i="3940"/>
  <c r="W53" i="3947"/>
  <c r="N6" i="3952"/>
  <c r="G354" i="3944" s="1"/>
  <c r="P5" i="3951"/>
  <c r="P58" i="3950"/>
  <c r="S57" i="3950"/>
  <c r="U55" i="3950"/>
  <c r="W54" i="3950"/>
  <c r="U53" i="3950"/>
  <c r="P52" i="3950"/>
  <c r="S51" i="3950"/>
  <c r="U49" i="3950"/>
  <c r="W48" i="3950"/>
  <c r="U47" i="3950"/>
  <c r="P46" i="3950"/>
  <c r="S45" i="3950"/>
  <c r="U43" i="3950"/>
  <c r="W42" i="3950"/>
  <c r="U41" i="3950"/>
  <c r="P40" i="3950"/>
  <c r="S39" i="3950"/>
  <c r="U37" i="3950"/>
  <c r="W36" i="3950"/>
  <c r="U35" i="3950"/>
  <c r="P34" i="3950"/>
  <c r="S33" i="3950"/>
  <c r="U31" i="3950"/>
  <c r="W30" i="3950"/>
  <c r="U29" i="3950"/>
  <c r="P28" i="3950"/>
  <c r="S27" i="3950"/>
  <c r="U25" i="3950"/>
  <c r="W24" i="3950"/>
  <c r="U23" i="3950"/>
  <c r="P22" i="3950"/>
  <c r="S21" i="3950"/>
  <c r="U19" i="3950"/>
  <c r="W18" i="3950"/>
  <c r="U17" i="3950"/>
  <c r="P16" i="3950"/>
  <c r="S15" i="3950"/>
  <c r="U13" i="3950"/>
  <c r="W12" i="3950"/>
  <c r="U11" i="3950"/>
  <c r="P10" i="3950"/>
  <c r="S9" i="3950"/>
  <c r="U7" i="3950"/>
  <c r="W6" i="3950"/>
  <c r="U5" i="3950"/>
  <c r="R5" i="3952"/>
  <c r="F356" i="3944" s="1"/>
  <c r="O5" i="3951"/>
  <c r="O58" i="3950"/>
  <c r="X56" i="3950"/>
  <c r="S55" i="3950"/>
  <c r="V54" i="3950"/>
  <c r="T53" i="3950"/>
  <c r="O52" i="3950"/>
  <c r="X50" i="3950"/>
  <c r="S49" i="3950"/>
  <c r="V48" i="3950"/>
  <c r="T47" i="3950"/>
  <c r="O46" i="3950"/>
  <c r="X44" i="3950"/>
  <c r="S43" i="3950"/>
  <c r="V42" i="3950"/>
  <c r="T41" i="3950"/>
  <c r="O40" i="3950"/>
  <c r="X38" i="3950"/>
  <c r="S37" i="3950"/>
  <c r="V36" i="3950"/>
  <c r="T35" i="3950"/>
  <c r="O34" i="3950"/>
  <c r="X32" i="3950"/>
  <c r="S31" i="3950"/>
  <c r="V30" i="3950"/>
  <c r="T29" i="3950"/>
  <c r="O28" i="3950"/>
  <c r="X26" i="3950"/>
  <c r="S25" i="3950"/>
  <c r="V24" i="3950"/>
  <c r="P5" i="3952"/>
  <c r="W58" i="3950"/>
  <c r="X57" i="3950"/>
  <c r="V56" i="3950"/>
  <c r="Q55" i="3950"/>
  <c r="T54" i="3950"/>
  <c r="W52" i="3950"/>
  <c r="X51" i="3950"/>
  <c r="V50" i="3950"/>
  <c r="Q49" i="3950"/>
  <c r="T48" i="3950"/>
  <c r="W46" i="3950"/>
  <c r="X45" i="3950"/>
  <c r="V44" i="3950"/>
  <c r="Q43" i="3950"/>
  <c r="T42" i="3950"/>
  <c r="W40" i="3950"/>
  <c r="X39" i="3950"/>
  <c r="V38" i="3950"/>
  <c r="Q37" i="3950"/>
  <c r="T36" i="3950"/>
  <c r="W34" i="3950"/>
  <c r="X33" i="3950"/>
  <c r="V32" i="3950"/>
  <c r="Q31" i="3950"/>
  <c r="T30" i="3950"/>
  <c r="W28" i="3950"/>
  <c r="X27" i="3950"/>
  <c r="V26" i="3950"/>
  <c r="Q25" i="3950"/>
  <c r="T24" i="3950"/>
  <c r="W22" i="3950"/>
  <c r="X21" i="3950"/>
  <c r="V20" i="3950"/>
  <c r="Q19" i="3950"/>
  <c r="T18" i="3950"/>
  <c r="W16" i="3950"/>
  <c r="X15" i="3950"/>
  <c r="V14" i="3950"/>
  <c r="Q13" i="3950"/>
  <c r="T12" i="3950"/>
  <c r="W10" i="3950"/>
  <c r="X9" i="3950"/>
  <c r="V8" i="3950"/>
  <c r="Q7" i="3950"/>
  <c r="T6" i="3950"/>
  <c r="R6" i="3952"/>
  <c r="G356" i="3944" s="1"/>
  <c r="G362" i="3944" s="1"/>
  <c r="O5" i="3952"/>
  <c r="F353" i="3944" s="1"/>
  <c r="U58" i="3950"/>
  <c r="W57" i="3950"/>
  <c r="U56" i="3950"/>
  <c r="P55" i="3950"/>
  <c r="S54" i="3950"/>
  <c r="U52" i="3950"/>
  <c r="W51" i="3950"/>
  <c r="U50" i="3950"/>
  <c r="P49" i="3950"/>
  <c r="S48" i="3950"/>
  <c r="U46" i="3950"/>
  <c r="W45" i="3950"/>
  <c r="U44" i="3950"/>
  <c r="P43" i="3950"/>
  <c r="S42" i="3950"/>
  <c r="U40" i="3950"/>
  <c r="W39" i="3950"/>
  <c r="U38" i="3950"/>
  <c r="P37" i="3950"/>
  <c r="S36" i="3950"/>
  <c r="U34" i="3950"/>
  <c r="W33" i="3950"/>
  <c r="U32" i="3950"/>
  <c r="P31" i="3950"/>
  <c r="S30" i="3950"/>
  <c r="U28" i="3950"/>
  <c r="W27" i="3950"/>
  <c r="U26" i="3950"/>
  <c r="P25" i="3950"/>
  <c r="S24" i="3950"/>
  <c r="U22" i="3950"/>
  <c r="W21" i="3950"/>
  <c r="U20" i="3950"/>
  <c r="P19" i="3950"/>
  <c r="S18" i="3950"/>
  <c r="U16" i="3950"/>
  <c r="W15" i="3950"/>
  <c r="U14" i="3950"/>
  <c r="P13" i="3950"/>
  <c r="S12" i="3950"/>
  <c r="U10" i="3950"/>
  <c r="W9" i="3950"/>
  <c r="U8" i="3950"/>
  <c r="P7" i="3950"/>
  <c r="S6" i="3950"/>
  <c r="Q6" i="3952"/>
  <c r="G355" i="3944" s="1"/>
  <c r="N5" i="3952"/>
  <c r="F354" i="3944" s="1"/>
  <c r="F360" i="3944" s="1"/>
  <c r="S58" i="3950"/>
  <c r="V57" i="3950"/>
  <c r="T56" i="3950"/>
  <c r="O55" i="3950"/>
  <c r="X53" i="3950"/>
  <c r="S52" i="3950"/>
  <c r="V51" i="3950"/>
  <c r="T50" i="3950"/>
  <c r="O49" i="3950"/>
  <c r="X47" i="3950"/>
  <c r="S46" i="3950"/>
  <c r="V45" i="3950"/>
  <c r="T44" i="3950"/>
  <c r="O43" i="3950"/>
  <c r="X41" i="3950"/>
  <c r="S40" i="3950"/>
  <c r="V39" i="3950"/>
  <c r="T38" i="3950"/>
  <c r="O37" i="3950"/>
  <c r="X35" i="3950"/>
  <c r="S34" i="3950"/>
  <c r="V33" i="3950"/>
  <c r="T32" i="3950"/>
  <c r="O31" i="3950"/>
  <c r="X29" i="3950"/>
  <c r="S28" i="3950"/>
  <c r="V27" i="3950"/>
  <c r="T26" i="3950"/>
  <c r="O25" i="3950"/>
  <c r="X23" i="3950"/>
  <c r="S22" i="3950"/>
  <c r="V21" i="3950"/>
  <c r="T20" i="3950"/>
  <c r="O19" i="3950"/>
  <c r="X17" i="3950"/>
  <c r="S16" i="3950"/>
  <c r="V15" i="3950"/>
  <c r="T14" i="3950"/>
  <c r="O13" i="3950"/>
  <c r="X11" i="3950"/>
  <c r="S10" i="3950"/>
  <c r="V9" i="3950"/>
  <c r="T8" i="3950"/>
  <c r="O7" i="3950"/>
  <c r="X5" i="3950"/>
  <c r="P6" i="3952"/>
  <c r="R5" i="3951"/>
  <c r="R58" i="3950"/>
  <c r="U57" i="3950"/>
  <c r="S56" i="3950"/>
  <c r="N55" i="3950"/>
  <c r="W53" i="3950"/>
  <c r="R52" i="3950"/>
  <c r="U51" i="3950"/>
  <c r="S50" i="3950"/>
  <c r="N49" i="3950"/>
  <c r="W47" i="3950"/>
  <c r="R46" i="3950"/>
  <c r="U45" i="3950"/>
  <c r="S44" i="3950"/>
  <c r="N43" i="3950"/>
  <c r="W41" i="3950"/>
  <c r="R40" i="3950"/>
  <c r="U39" i="3950"/>
  <c r="S38" i="3950"/>
  <c r="N37" i="3950"/>
  <c r="W35" i="3950"/>
  <c r="R34" i="3950"/>
  <c r="U33" i="3950"/>
  <c r="S32" i="3950"/>
  <c r="N31" i="3950"/>
  <c r="W29" i="3950"/>
  <c r="R28" i="3950"/>
  <c r="U27" i="3950"/>
  <c r="S26" i="3950"/>
  <c r="N25" i="3950"/>
  <c r="W23" i="3950"/>
  <c r="R22" i="3950"/>
  <c r="U21" i="3950"/>
  <c r="S20" i="3950"/>
  <c r="N19" i="3950"/>
  <c r="W17" i="3950"/>
  <c r="R16" i="3950"/>
  <c r="U15" i="3950"/>
  <c r="S14" i="3950"/>
  <c r="N13" i="3950"/>
  <c r="W11" i="3950"/>
  <c r="R10" i="3950"/>
  <c r="U9" i="3950"/>
  <c r="S8" i="3950"/>
  <c r="N7" i="3950"/>
  <c r="W5" i="3950"/>
  <c r="O6" i="3952"/>
  <c r="G353" i="3944" s="1"/>
  <c r="Q5" i="3951"/>
  <c r="Q58" i="3950"/>
  <c r="T57" i="3950"/>
  <c r="W55" i="3950"/>
  <c r="X54" i="3950"/>
  <c r="V53" i="3950"/>
  <c r="Q52" i="3950"/>
  <c r="T51" i="3950"/>
  <c r="W49" i="3950"/>
  <c r="X48" i="3950"/>
  <c r="V47" i="3950"/>
  <c r="Q46" i="3950"/>
  <c r="T45" i="3950"/>
  <c r="W43" i="3950"/>
  <c r="X42" i="3950"/>
  <c r="V41" i="3950"/>
  <c r="Q40" i="3950"/>
  <c r="T39" i="3950"/>
  <c r="W37" i="3950"/>
  <c r="X36" i="3950"/>
  <c r="V35" i="3950"/>
  <c r="Q34" i="3950"/>
  <c r="T33" i="3950"/>
  <c r="W31" i="3950"/>
  <c r="X30" i="3950"/>
  <c r="V29" i="3950"/>
  <c r="Q28" i="3950"/>
  <c r="T27" i="3950"/>
  <c r="W25" i="3950"/>
  <c r="X24" i="3950"/>
  <c r="V23" i="3950"/>
  <c r="Q22" i="3950"/>
  <c r="T21" i="3950"/>
  <c r="W19" i="3950"/>
  <c r="X18" i="3950"/>
  <c r="V17" i="3950"/>
  <c r="Q16" i="3950"/>
  <c r="T15" i="3950"/>
  <c r="W13" i="3950"/>
  <c r="X12" i="3950"/>
  <c r="V11" i="3950"/>
  <c r="Q10" i="3950"/>
  <c r="T9" i="3950"/>
  <c r="W7" i="3950"/>
  <c r="X6" i="3950"/>
  <c r="V5" i="3950"/>
  <c r="U54" i="3950"/>
  <c r="W44" i="3950"/>
  <c r="S35" i="3950"/>
  <c r="R25" i="3950"/>
  <c r="S19" i="3950"/>
  <c r="X14" i="3950"/>
  <c r="O10" i="3950"/>
  <c r="T5" i="3950"/>
  <c r="S53" i="3950"/>
  <c r="R43" i="3950"/>
  <c r="N34" i="3950"/>
  <c r="U24" i="3950"/>
  <c r="R19" i="3950"/>
  <c r="W14" i="3950"/>
  <c r="N10" i="3950"/>
  <c r="S5" i="3950"/>
  <c r="N52" i="3950"/>
  <c r="U42" i="3950"/>
  <c r="W32" i="3950"/>
  <c r="T23" i="3950"/>
  <c r="V18" i="3950"/>
  <c r="S13" i="3950"/>
  <c r="X8" i="3950"/>
  <c r="Q5" i="3952"/>
  <c r="F355" i="3944" s="1"/>
  <c r="W50" i="3950"/>
  <c r="S41" i="3950"/>
  <c r="R31" i="3950"/>
  <c r="S23" i="3950"/>
  <c r="U18" i="3950"/>
  <c r="R13" i="3950"/>
  <c r="W8" i="3950"/>
  <c r="N5" i="3951"/>
  <c r="R49" i="3950"/>
  <c r="N40" i="3950"/>
  <c r="U30" i="3950"/>
  <c r="O22" i="3950"/>
  <c r="T17" i="3950"/>
  <c r="V12" i="3950"/>
  <c r="S7" i="3950"/>
  <c r="N58" i="3950"/>
  <c r="U48" i="3950"/>
  <c r="W38" i="3950"/>
  <c r="S29" i="3950"/>
  <c r="N22" i="3950"/>
  <c r="S17" i="3950"/>
  <c r="U12" i="3950"/>
  <c r="R7" i="3950"/>
  <c r="W56" i="3950"/>
  <c r="S47" i="3950"/>
  <c r="R37" i="3950"/>
  <c r="N28" i="3950"/>
  <c r="X20" i="3950"/>
  <c r="O16" i="3950"/>
  <c r="T11" i="3950"/>
  <c r="V6" i="3950"/>
  <c r="R55" i="3950"/>
  <c r="N46" i="3950"/>
  <c r="U36" i="3950"/>
  <c r="W26" i="3950"/>
  <c r="W20" i="3950"/>
  <c r="N16" i="3950"/>
  <c r="S11" i="3950"/>
  <c r="U6" i="3950"/>
  <c r="AR933" i="3957"/>
  <c r="AS933" i="3957"/>
  <c r="AQ933" i="3957"/>
  <c r="BR765" i="3957"/>
  <c r="BQ765" i="3957"/>
  <c r="BO803" i="3957"/>
  <c r="BR770" i="3957"/>
  <c r="BQ770" i="3957"/>
  <c r="BP770" i="3957"/>
  <c r="BT770" i="3957" s="1"/>
  <c r="BX770" i="3957" s="1"/>
  <c r="AY463" i="3957"/>
  <c r="AY460" i="3957"/>
  <c r="AY462" i="3957"/>
  <c r="AY461" i="3957"/>
  <c r="BR780" i="3957"/>
  <c r="BP780" i="3957"/>
  <c r="BN780" i="3957"/>
  <c r="BO780" i="3957"/>
  <c r="BP765" i="3957"/>
  <c r="BT765" i="3957" s="1"/>
  <c r="BX765" i="3957" s="1"/>
  <c r="BQ803" i="3957"/>
  <c r="BP803" i="3957"/>
  <c r="BN803" i="3957"/>
  <c r="BS735" i="3957"/>
  <c r="BV735" i="3957" s="1"/>
  <c r="M149" i="3957"/>
  <c r="P12" i="3957"/>
  <c r="BZ765" i="3957"/>
  <c r="BV765" i="3957"/>
  <c r="P15" i="3957"/>
  <c r="P16" i="3957"/>
  <c r="BO725" i="3957"/>
  <c r="BS725" i="3957" s="1"/>
  <c r="BV725" i="3957" s="1"/>
  <c r="BO730" i="3957"/>
  <c r="BS730" i="3957" s="1"/>
  <c r="BV730" i="3957" s="1"/>
  <c r="BO760" i="3957"/>
  <c r="BS760" i="3957" s="1"/>
  <c r="BV760" i="3957" s="1"/>
  <c r="I1240" i="3957"/>
  <c r="I818" i="3957"/>
  <c r="I1208" i="3957"/>
  <c r="I712" i="3957"/>
  <c r="I1220" i="3957"/>
  <c r="AY465" i="3957"/>
  <c r="BP745" i="3957"/>
  <c r="BT745" i="3957" s="1"/>
  <c r="BX745" i="3957" s="1"/>
  <c r="AR934" i="3957"/>
  <c r="BW780" i="3957"/>
  <c r="P18" i="3957"/>
  <c r="AY473" i="3957"/>
  <c r="AY472" i="3957"/>
  <c r="AY478" i="3957"/>
  <c r="AY476" i="3957"/>
  <c r="AR810" i="3957"/>
  <c r="BL810" i="3957" s="1"/>
  <c r="AT810" i="3957"/>
  <c r="AY475" i="3957"/>
  <c r="A785" i="3957"/>
  <c r="A784" i="3957"/>
  <c r="A786" i="3957"/>
  <c r="A85" i="3957"/>
  <c r="A95" i="3957"/>
  <c r="A98" i="3957"/>
  <c r="AL9" i="3942"/>
  <c r="AK9" i="3942"/>
  <c r="BA838" i="3957"/>
  <c r="A760" i="3957"/>
  <c r="A762" i="3957"/>
  <c r="A761" i="3957"/>
  <c r="A759" i="3957"/>
  <c r="J111" i="3956"/>
  <c r="AB17" i="3939"/>
  <c r="Y17" i="3939"/>
  <c r="AK23" i="3940"/>
  <c r="AH23" i="3940"/>
  <c r="AJ23" i="3940"/>
  <c r="B7" i="3944"/>
  <c r="S2" i="3944"/>
  <c r="AR811" i="3957"/>
  <c r="BL811" i="3957" s="1"/>
  <c r="AU1177" i="3957"/>
  <c r="A88" i="3957"/>
  <c r="A97" i="3957"/>
  <c r="A753" i="3957"/>
  <c r="A771" i="3957"/>
  <c r="A778" i="3957"/>
  <c r="O809" i="3957"/>
  <c r="A812" i="3957" s="1"/>
  <c r="AA17" i="3939"/>
  <c r="Y22" i="3939"/>
  <c r="AE22" i="3939" s="1"/>
  <c r="AI22" i="3939" s="1"/>
  <c r="AC22" i="3939"/>
  <c r="AB22" i="3939"/>
  <c r="AI23" i="3940"/>
  <c r="AH9" i="3942"/>
  <c r="AS811" i="3957"/>
  <c r="AT1124" i="3957"/>
  <c r="AT1142" i="3957"/>
  <c r="A89" i="3957"/>
  <c r="A758" i="3957"/>
  <c r="A779" i="3957"/>
  <c r="J109" i="3956"/>
  <c r="AC17" i="3939"/>
  <c r="A81" i="3957"/>
  <c r="A90" i="3957"/>
  <c r="A720" i="3957"/>
  <c r="A718" i="3957"/>
  <c r="A780" i="3957"/>
  <c r="A781" i="3957"/>
  <c r="J112" i="3956"/>
  <c r="AU1138" i="3957"/>
  <c r="AU1156" i="3957" s="1"/>
  <c r="A82" i="3957"/>
  <c r="A91" i="3957"/>
  <c r="A719" i="3957"/>
  <c r="A808" i="3957"/>
  <c r="J115" i="3956"/>
  <c r="J110" i="3956"/>
  <c r="Y9" i="3942"/>
  <c r="AR980" i="3957"/>
  <c r="AS980" i="3957" s="1"/>
  <c r="A83" i="3957"/>
  <c r="A811" i="3957"/>
  <c r="J114" i="3956"/>
  <c r="Z17" i="3939"/>
  <c r="Z22" i="3939"/>
  <c r="AE32" i="3939"/>
  <c r="AI32" i="3939" s="1"/>
  <c r="AD32" i="3939"/>
  <c r="AG32" i="3939" s="1"/>
  <c r="AL17" i="3940"/>
  <c r="AK17" i="3940"/>
  <c r="AH17" i="3940"/>
  <c r="AJ17" i="3940"/>
  <c r="AG9" i="3941"/>
  <c r="AA9" i="3942"/>
  <c r="AH9" i="3941"/>
  <c r="AL9" i="3941"/>
  <c r="A863" i="3957"/>
  <c r="A855" i="3957"/>
  <c r="A866" i="3957"/>
  <c r="Z9" i="3942"/>
  <c r="I190" i="3956"/>
  <c r="F259" i="3944"/>
  <c r="Q253" i="3945"/>
  <c r="V254" i="3945"/>
  <c r="X255" i="3945"/>
  <c r="W256" i="3945"/>
  <c r="T258" i="3945"/>
  <c r="Q259" i="3945"/>
  <c r="V260" i="3945"/>
  <c r="X261" i="3945"/>
  <c r="W262" i="3945"/>
  <c r="T264" i="3945"/>
  <c r="Q265" i="3945"/>
  <c r="V266" i="3945"/>
  <c r="X267" i="3945"/>
  <c r="W268" i="3945"/>
  <c r="T270" i="3945"/>
  <c r="Q271" i="3945"/>
  <c r="V272" i="3945"/>
  <c r="X273" i="3945"/>
  <c r="W274" i="3945"/>
  <c r="X248" i="3945"/>
  <c r="O250" i="3945"/>
  <c r="T251" i="3945"/>
  <c r="V252" i="3945"/>
  <c r="S253" i="3945"/>
  <c r="X254" i="3945"/>
  <c r="O256" i="3945"/>
  <c r="T257" i="3945"/>
  <c r="V258" i="3945"/>
  <c r="S259" i="3945"/>
  <c r="X260" i="3945"/>
  <c r="O262" i="3945"/>
  <c r="T263" i="3945"/>
  <c r="V264" i="3945"/>
  <c r="S265" i="3945"/>
  <c r="X266" i="3945"/>
  <c r="O268" i="3945"/>
  <c r="G253" i="3944" s="1"/>
  <c r="T269" i="3945"/>
  <c r="V270" i="3945"/>
  <c r="S271" i="3945"/>
  <c r="X272" i="3945"/>
  <c r="O274" i="3945"/>
  <c r="G266" i="3944" s="1"/>
  <c r="P274" i="3945"/>
  <c r="AC27" i="3939"/>
  <c r="T243" i="3945"/>
  <c r="Q244" i="3945"/>
  <c r="V245" i="3945"/>
  <c r="X246" i="3945"/>
  <c r="W247" i="3945"/>
  <c r="T249" i="3945"/>
  <c r="Q250" i="3945"/>
  <c r="V251" i="3945"/>
  <c r="X252" i="3945"/>
  <c r="W253" i="3945"/>
  <c r="T255" i="3945"/>
  <c r="Q256" i="3945"/>
  <c r="V257" i="3945"/>
  <c r="X258" i="3945"/>
  <c r="W259" i="3945"/>
  <c r="T261" i="3945"/>
  <c r="Q262" i="3945"/>
  <c r="V263" i="3945"/>
  <c r="X264" i="3945"/>
  <c r="W265" i="3945"/>
  <c r="T267" i="3945"/>
  <c r="Q268" i="3945"/>
  <c r="V269" i="3945"/>
  <c r="X270" i="3945"/>
  <c r="W271" i="3945"/>
  <c r="T273" i="3945"/>
  <c r="Q274" i="3945"/>
  <c r="R6" i="3949"/>
  <c r="G349" i="3944" s="1"/>
  <c r="O5" i="3949"/>
  <c r="F347" i="3944" s="1"/>
  <c r="F359" i="3944" s="1"/>
  <c r="U58" i="3947"/>
  <c r="W57" i="3947"/>
  <c r="U56" i="3947"/>
  <c r="P55" i="3947"/>
  <c r="S54" i="3947"/>
  <c r="U52" i="3947"/>
  <c r="W51" i="3947"/>
  <c r="U50" i="3947"/>
  <c r="P49" i="3947"/>
  <c r="S48" i="3947"/>
  <c r="U46" i="3947"/>
  <c r="W45" i="3947"/>
  <c r="U44" i="3947"/>
  <c r="P43" i="3947"/>
  <c r="S42" i="3947"/>
  <c r="U40" i="3947"/>
  <c r="W39" i="3947"/>
  <c r="U38" i="3947"/>
  <c r="P37" i="3947"/>
  <c r="S36" i="3947"/>
  <c r="U34" i="3947"/>
  <c r="W33" i="3947"/>
  <c r="U32" i="3947"/>
  <c r="P31" i="3947"/>
  <c r="S30" i="3947"/>
  <c r="O6" i="3949"/>
  <c r="G347" i="3944" s="1"/>
  <c r="G359" i="3944" s="1"/>
  <c r="Q5" i="3948"/>
  <c r="Q58" i="3947"/>
  <c r="T57" i="3947"/>
  <c r="W55" i="3947"/>
  <c r="X54" i="3947"/>
  <c r="V53" i="3947"/>
  <c r="Q52" i="3947"/>
  <c r="T51" i="3947"/>
  <c r="W49" i="3947"/>
  <c r="X48" i="3947"/>
  <c r="V47" i="3947"/>
  <c r="Q46" i="3947"/>
  <c r="T45" i="3947"/>
  <c r="W43" i="3947"/>
  <c r="X42" i="3947"/>
  <c r="V41" i="3947"/>
  <c r="Q40" i="3947"/>
  <c r="T39" i="3947"/>
  <c r="W37" i="3947"/>
  <c r="X36" i="3947"/>
  <c r="V35" i="3947"/>
  <c r="Q34" i="3947"/>
  <c r="T33" i="3947"/>
  <c r="W31" i="3947"/>
  <c r="X30" i="3947"/>
  <c r="V29" i="3947"/>
  <c r="N6" i="3949"/>
  <c r="G348" i="3944" s="1"/>
  <c r="E348" i="3944" s="1"/>
  <c r="P5" i="3948"/>
  <c r="P58" i="3947"/>
  <c r="S57" i="3947"/>
  <c r="U55" i="3947"/>
  <c r="W54" i="3947"/>
  <c r="U53" i="3947"/>
  <c r="P52" i="3947"/>
  <c r="S51" i="3947"/>
  <c r="U49" i="3947"/>
  <c r="W48" i="3947"/>
  <c r="U47" i="3947"/>
  <c r="P46" i="3947"/>
  <c r="S45" i="3947"/>
  <c r="U43" i="3947"/>
  <c r="W42" i="3947"/>
  <c r="U41" i="3947"/>
  <c r="P40" i="3947"/>
  <c r="S39" i="3947"/>
  <c r="U37" i="3947"/>
  <c r="W36" i="3947"/>
  <c r="U35" i="3947"/>
  <c r="P34" i="3947"/>
  <c r="S33" i="3947"/>
  <c r="U31" i="3947"/>
  <c r="W30" i="3947"/>
  <c r="U29" i="3947"/>
  <c r="P28" i="3947"/>
  <c r="X56" i="3947"/>
  <c r="S55" i="3947"/>
  <c r="V54" i="3947"/>
  <c r="T53" i="3947"/>
  <c r="O52" i="3947"/>
  <c r="X50" i="3947"/>
  <c r="S49" i="3947"/>
  <c r="V48" i="3947"/>
  <c r="T47" i="3947"/>
  <c r="O46" i="3947"/>
  <c r="X44" i="3947"/>
  <c r="S43" i="3947"/>
  <c r="V42" i="3947"/>
  <c r="T41" i="3947"/>
  <c r="O40" i="3947"/>
  <c r="X38" i="3947"/>
  <c r="S37" i="3947"/>
  <c r="V36" i="3947"/>
  <c r="T35" i="3947"/>
  <c r="O34" i="3947"/>
  <c r="X32" i="3947"/>
  <c r="S31" i="3947"/>
  <c r="V30" i="3947"/>
  <c r="T29" i="3947"/>
  <c r="O28" i="3947"/>
  <c r="X26" i="3947"/>
  <c r="S25" i="3947"/>
  <c r="V24" i="3947"/>
  <c r="T23" i="3947"/>
  <c r="O22" i="3947"/>
  <c r="X20" i="3947"/>
  <c r="S19" i="3947"/>
  <c r="V18" i="3947"/>
  <c r="T17" i="3947"/>
  <c r="N58" i="3947"/>
  <c r="W56" i="3947"/>
  <c r="R55" i="3947"/>
  <c r="U54" i="3947"/>
  <c r="S53" i="3947"/>
  <c r="N52" i="3947"/>
  <c r="W50" i="3947"/>
  <c r="R49" i="3947"/>
  <c r="U48" i="3947"/>
  <c r="S47" i="3947"/>
  <c r="N46" i="3947"/>
  <c r="W44" i="3947"/>
  <c r="R43" i="3947"/>
  <c r="U42" i="3947"/>
  <c r="S41" i="3947"/>
  <c r="N40" i="3947"/>
  <c r="W38" i="3947"/>
  <c r="R37" i="3947"/>
  <c r="U36" i="3947"/>
  <c r="S35" i="3947"/>
  <c r="N34" i="3947"/>
  <c r="W32" i="3947"/>
  <c r="R31" i="3947"/>
  <c r="U30" i="3947"/>
  <c r="S29" i="3947"/>
  <c r="N28" i="3947"/>
  <c r="W26" i="3947"/>
  <c r="R25" i="3947"/>
  <c r="P5" i="3949"/>
  <c r="W58" i="3947"/>
  <c r="X57" i="3947"/>
  <c r="V56" i="3947"/>
  <c r="Q55" i="3947"/>
  <c r="T54" i="3947"/>
  <c r="W52" i="3947"/>
  <c r="X51" i="3947"/>
  <c r="V50" i="3947"/>
  <c r="Q49" i="3947"/>
  <c r="T48" i="3947"/>
  <c r="W46" i="3947"/>
  <c r="X45" i="3947"/>
  <c r="V44" i="3947"/>
  <c r="Q43" i="3947"/>
  <c r="T42" i="3947"/>
  <c r="W40" i="3947"/>
  <c r="X39" i="3947"/>
  <c r="V38" i="3947"/>
  <c r="Q37" i="3947"/>
  <c r="T36" i="3947"/>
  <c r="W34" i="3947"/>
  <c r="X33" i="3947"/>
  <c r="D245" i="3944"/>
  <c r="D264" i="3944"/>
  <c r="N253" i="3945"/>
  <c r="S254" i="3945"/>
  <c r="U255" i="3945"/>
  <c r="R256" i="3945"/>
  <c r="W257" i="3945"/>
  <c r="N259" i="3945"/>
  <c r="S260" i="3945"/>
  <c r="U261" i="3945"/>
  <c r="R262" i="3945"/>
  <c r="W263" i="3945"/>
  <c r="N265" i="3945"/>
  <c r="S266" i="3945"/>
  <c r="U267" i="3945"/>
  <c r="R268" i="3945"/>
  <c r="W269" i="3945"/>
  <c r="N271" i="3945"/>
  <c r="S272" i="3945"/>
  <c r="U273" i="3945"/>
  <c r="R274" i="3945"/>
  <c r="V243" i="3945"/>
  <c r="S244" i="3945"/>
  <c r="X245" i="3945"/>
  <c r="O247" i="3945"/>
  <c r="T248" i="3945"/>
  <c r="V249" i="3945"/>
  <c r="S250" i="3945"/>
  <c r="X251" i="3945"/>
  <c r="O253" i="3945"/>
  <c r="T254" i="3945"/>
  <c r="V255" i="3945"/>
  <c r="S256" i="3945"/>
  <c r="X257" i="3945"/>
  <c r="O259" i="3945"/>
  <c r="T260" i="3945"/>
  <c r="V261" i="3945"/>
  <c r="S262" i="3945"/>
  <c r="X263" i="3945"/>
  <c r="O265" i="3945"/>
  <c r="F253" i="3944" s="1"/>
  <c r="T266" i="3945"/>
  <c r="V267" i="3945"/>
  <c r="S268" i="3945"/>
  <c r="X269" i="3945"/>
  <c r="O271" i="3945"/>
  <c r="F266" i="3944" s="1"/>
  <c r="F263" i="3944" s="1"/>
  <c r="T272" i="3945"/>
  <c r="V273" i="3945"/>
  <c r="X53" i="3947"/>
  <c r="S58" i="3947"/>
  <c r="W249" i="3945"/>
  <c r="U250" i="3945"/>
  <c r="S252" i="3945"/>
  <c r="P253" i="3945"/>
  <c r="U254" i="3945"/>
  <c r="W255" i="3945"/>
  <c r="U256" i="3945"/>
  <c r="S258" i="3945"/>
  <c r="P259" i="3945"/>
  <c r="U260" i="3945"/>
  <c r="W261" i="3945"/>
  <c r="U262" i="3945"/>
  <c r="S264" i="3945"/>
  <c r="P265" i="3945"/>
  <c r="U266" i="3945"/>
  <c r="W267" i="3945"/>
  <c r="U268" i="3945"/>
  <c r="S270" i="3945"/>
  <c r="D175" i="3944" s="1"/>
  <c r="U272" i="3945"/>
  <c r="W273" i="3945"/>
  <c r="N5" i="3948"/>
  <c r="Q5" i="3949"/>
  <c r="F350" i="3944" s="1"/>
  <c r="E350" i="3944" s="1"/>
  <c r="O58" i="3947"/>
  <c r="O5" i="3948"/>
  <c r="F89" i="3944" s="1"/>
  <c r="F91" i="3944" s="1"/>
  <c r="AT1165" i="3957"/>
  <c r="O856" i="3957"/>
  <c r="AT1126" i="3957"/>
  <c r="AS881" i="3957"/>
  <c r="AU1148" i="3957"/>
  <c r="AS878" i="3957"/>
  <c r="AS896" i="3957"/>
  <c r="AU1136" i="3957"/>
  <c r="AU1154" i="3957" s="1"/>
  <c r="AU1150" i="3957"/>
  <c r="AT1144" i="3957"/>
  <c r="L12" i="3944"/>
  <c r="AU1149" i="3957"/>
  <c r="AS1079" i="3957"/>
  <c r="AS899" i="3957"/>
  <c r="AR964" i="3957"/>
  <c r="AR920" i="3957"/>
  <c r="AS1086" i="3957"/>
  <c r="AS1071" i="3957"/>
  <c r="AS1074" i="3957"/>
  <c r="AS1080" i="3957"/>
  <c r="AS1097" i="3957"/>
  <c r="AS1103" i="3957"/>
  <c r="AS1075" i="3957"/>
  <c r="AS1104" i="3957"/>
  <c r="AT1163" i="3957"/>
  <c r="AU1072" i="3957"/>
  <c r="AU1070" i="3957" s="1"/>
  <c r="AU1096" i="3957"/>
  <c r="AT1162" i="3957"/>
  <c r="AS892" i="3957"/>
  <c r="AT1164" i="3957"/>
  <c r="AS1094" i="3957"/>
  <c r="AT1131" i="3957"/>
  <c r="AT1132" i="3957"/>
  <c r="AR971" i="3957"/>
  <c r="AS971" i="3957" s="1"/>
  <c r="AS872" i="3957"/>
  <c r="AS874" i="3957"/>
  <c r="AS876" i="3957"/>
  <c r="AT1123" i="3957"/>
  <c r="AS891" i="3957"/>
  <c r="AS893" i="3957"/>
  <c r="AS1093" i="3957"/>
  <c r="G150" i="3944"/>
  <c r="G151" i="3944" s="1"/>
  <c r="AR965" i="3957"/>
  <c r="AS1092" i="3957"/>
  <c r="AT1169" i="3957"/>
  <c r="AV1177" i="3957"/>
  <c r="AT1177" i="3957" s="1"/>
  <c r="AT1171" i="3957"/>
  <c r="G244" i="3944"/>
  <c r="G242" i="3944" s="1"/>
  <c r="G263" i="3944"/>
  <c r="AU924" i="3957"/>
  <c r="AU879" i="3957"/>
  <c r="AU882" i="3957" s="1"/>
  <c r="AU1077" i="3957"/>
  <c r="AU1091" i="3957"/>
  <c r="AV1111" i="3957"/>
  <c r="AU981" i="3957"/>
  <c r="AU982" i="3957" s="1"/>
  <c r="AV981" i="3957"/>
  <c r="AV982" i="3957" s="1"/>
  <c r="AT1141" i="3957"/>
  <c r="AV1150" i="3957"/>
  <c r="AV1175" i="3957"/>
  <c r="AT1175" i="3957" s="1"/>
  <c r="AV1176" i="3957"/>
  <c r="AT1176" i="3957" s="1"/>
  <c r="G41" i="3944"/>
  <c r="AU937" i="3957"/>
  <c r="AU1109" i="3957"/>
  <c r="AV924" i="3957"/>
  <c r="AV969" i="3957"/>
  <c r="AV1072" i="3957"/>
  <c r="AS1081" i="3957"/>
  <c r="AV1109" i="3957"/>
  <c r="AV1096" i="3957"/>
  <c r="AV1136" i="3957"/>
  <c r="AV1149" i="3957"/>
  <c r="AT1125" i="3957"/>
  <c r="AV1138" i="3957"/>
  <c r="AV1156" i="3957" s="1"/>
  <c r="AV1174" i="3957"/>
  <c r="D36" i="3944"/>
  <c r="D34" i="3944"/>
  <c r="AU969" i="3957"/>
  <c r="AU1112" i="3957"/>
  <c r="D246" i="3944"/>
  <c r="AV1077" i="3957"/>
  <c r="AT1130" i="3957"/>
  <c r="AT1143" i="3957"/>
  <c r="AU897" i="3957"/>
  <c r="AU900" i="3957" s="1"/>
  <c r="AS873" i="3957"/>
  <c r="AS875" i="3957"/>
  <c r="AS1101" i="3957"/>
  <c r="AS1087" i="3957"/>
  <c r="AS1078" i="3957"/>
  <c r="AS1073" i="3957"/>
  <c r="AS1098" i="3957"/>
  <c r="AR921" i="3957"/>
  <c r="AS1084" i="3957"/>
  <c r="AU1111" i="3957"/>
  <c r="AV879" i="3957"/>
  <c r="AV882" i="3957" s="1"/>
  <c r="AV897" i="3957"/>
  <c r="AV900" i="3957" s="1"/>
  <c r="AV1091" i="3957"/>
  <c r="AV1112" i="3957"/>
  <c r="AT1168" i="3957"/>
  <c r="AV1148" i="3957"/>
  <c r="F41" i="3944"/>
  <c r="F44" i="3944" s="1"/>
  <c r="D38" i="3944"/>
  <c r="C138" i="3944"/>
  <c r="AR968" i="3957"/>
  <c r="C149" i="3944"/>
  <c r="D149" i="3944" s="1"/>
  <c r="F244" i="3944"/>
  <c r="AV1137" i="3957"/>
  <c r="AT1137" i="3957" s="1"/>
  <c r="AS911" i="3957"/>
  <c r="AW912" i="3957"/>
  <c r="AS908" i="3957"/>
  <c r="AS912" i="3957" s="1"/>
  <c r="AY989" i="3957"/>
  <c r="BD989" i="3957" s="1"/>
  <c r="BE989" i="3957" s="1"/>
  <c r="AW988" i="3957"/>
  <c r="AY986" i="3957"/>
  <c r="BD986" i="3957" s="1"/>
  <c r="BE986" i="3957" s="1"/>
  <c r="AX912" i="3957"/>
  <c r="I67" i="3944"/>
  <c r="D69" i="3944"/>
  <c r="F78" i="3944"/>
  <c r="AW909" i="3957"/>
  <c r="AS909" i="3957" s="1"/>
  <c r="AS910" i="3957"/>
  <c r="AY992" i="3957"/>
  <c r="AY991" i="3957"/>
  <c r="AY990" i="3957"/>
  <c r="AU988" i="3957"/>
  <c r="AY987" i="3957"/>
  <c r="AX909" i="3957"/>
  <c r="H67" i="3944"/>
  <c r="D68" i="3944"/>
  <c r="H70" i="3944"/>
  <c r="D66" i="3944"/>
  <c r="I70" i="3944"/>
  <c r="P161" i="3944"/>
  <c r="U161" i="3944" s="1"/>
  <c r="P163" i="3944"/>
  <c r="U163" i="3944" s="1"/>
  <c r="G141" i="3944"/>
  <c r="C141" i="3944" s="1"/>
  <c r="G142" i="3944"/>
  <c r="G59" i="3944"/>
  <c r="G43" i="3944"/>
  <c r="G136" i="3944"/>
  <c r="G139" i="3944" s="1"/>
  <c r="F136" i="3944"/>
  <c r="P162" i="3944"/>
  <c r="N159" i="3944"/>
  <c r="P160" i="3944"/>
  <c r="U160" i="3944" s="1"/>
  <c r="P158" i="3944"/>
  <c r="U158" i="3944" s="1"/>
  <c r="P157" i="3944"/>
  <c r="U157" i="3944" s="1"/>
  <c r="L159" i="3944"/>
  <c r="F174" i="3944"/>
  <c r="V23" i="3940"/>
  <c r="W23" i="3940" s="1"/>
  <c r="V17" i="3940"/>
  <c r="M12" i="3944"/>
  <c r="C148" i="3944"/>
  <c r="I216" i="3944"/>
  <c r="F317" i="3944" l="1"/>
  <c r="AE17" i="3940"/>
  <c r="AI17" i="3940" s="1"/>
  <c r="D174" i="3944"/>
  <c r="BT725" i="3957"/>
  <c r="BX725" i="3957" s="1"/>
  <c r="F175" i="3944"/>
  <c r="F177" i="3944" s="1"/>
  <c r="H175" i="3944"/>
  <c r="AD22" i="3939"/>
  <c r="AG22" i="3939" s="1"/>
  <c r="F361" i="3944"/>
  <c r="E356" i="3944"/>
  <c r="G360" i="3944"/>
  <c r="E349" i="3944"/>
  <c r="E354" i="3944"/>
  <c r="D67" i="3944"/>
  <c r="F362" i="3944"/>
  <c r="D253" i="3944"/>
  <c r="E355" i="3944"/>
  <c r="F150" i="3944"/>
  <c r="C150" i="3944" s="1"/>
  <c r="D150" i="3944" s="1"/>
  <c r="G310" i="3944"/>
  <c r="E347" i="3944"/>
  <c r="G317" i="3944"/>
  <c r="H174" i="3944"/>
  <c r="V163" i="3944"/>
  <c r="BS780" i="3957"/>
  <c r="BV780" i="3957" s="1"/>
  <c r="F315" i="3944"/>
  <c r="F321" i="3944" s="1"/>
  <c r="F273" i="3944" s="1"/>
  <c r="AV1155" i="3957"/>
  <c r="AT1155" i="3957" s="1"/>
  <c r="AD17" i="3940"/>
  <c r="AG17" i="3940" s="1"/>
  <c r="G316" i="3944"/>
  <c r="AD9" i="3942"/>
  <c r="AG9" i="3942" s="1"/>
  <c r="AD17" i="3939"/>
  <c r="AG17" i="3939" s="1"/>
  <c r="O758" i="3957"/>
  <c r="P758" i="3957"/>
  <c r="P88" i="3957"/>
  <c r="O88" i="3957"/>
  <c r="P761" i="3957"/>
  <c r="O761" i="3957"/>
  <c r="A104" i="3957"/>
  <c r="A102" i="3957"/>
  <c r="A101" i="3957"/>
  <c r="A100" i="3957"/>
  <c r="A99" i="3957"/>
  <c r="A103" i="3957"/>
  <c r="P98" i="3957"/>
  <c r="O98" i="3957"/>
  <c r="F316" i="3944"/>
  <c r="F103" i="3944"/>
  <c r="J176" i="3944"/>
  <c r="J177" i="3944" s="1"/>
  <c r="AY1004" i="3957"/>
  <c r="AY1005" i="3957" s="1"/>
  <c r="AU947" i="3957"/>
  <c r="G315" i="3944"/>
  <c r="G314" i="3944"/>
  <c r="AV1129" i="3957"/>
  <c r="F311" i="3944"/>
  <c r="AT1156" i="3957"/>
  <c r="G361" i="3944"/>
  <c r="D266" i="3944"/>
  <c r="G328" i="3944"/>
  <c r="G259" i="3944"/>
  <c r="D259" i="3944" s="1"/>
  <c r="D99" i="3944"/>
  <c r="A870" i="3957"/>
  <c r="A867" i="3957"/>
  <c r="O867" i="3957" s="1"/>
  <c r="A869" i="3957"/>
  <c r="A868" i="3957"/>
  <c r="O866" i="3957"/>
  <c r="P850" i="3957"/>
  <c r="O719" i="3957"/>
  <c r="P719" i="3957"/>
  <c r="A721" i="3957"/>
  <c r="A722" i="3957"/>
  <c r="O720" i="3957"/>
  <c r="P715" i="3957"/>
  <c r="P89" i="3957"/>
  <c r="O89" i="3957"/>
  <c r="A767" i="3957"/>
  <c r="A765" i="3957"/>
  <c r="A764" i="3957"/>
  <c r="A763" i="3957"/>
  <c r="A766" i="3957"/>
  <c r="P762" i="3957"/>
  <c r="O762" i="3957"/>
  <c r="P95" i="3957"/>
  <c r="O95" i="3957"/>
  <c r="BT780" i="3957"/>
  <c r="BX780" i="3957" s="1"/>
  <c r="E353" i="3944"/>
  <c r="G308" i="3944"/>
  <c r="G78" i="3944"/>
  <c r="G80" i="3944" s="1"/>
  <c r="F269" i="3944"/>
  <c r="F251" i="3944"/>
  <c r="G309" i="3944"/>
  <c r="AT1150" i="3957"/>
  <c r="C99" i="3944"/>
  <c r="C104" i="3944" s="1"/>
  <c r="F310" i="3944"/>
  <c r="G251" i="3944"/>
  <c r="G269" i="3944"/>
  <c r="O855" i="3957"/>
  <c r="P855" i="3957"/>
  <c r="P811" i="3957"/>
  <c r="O811" i="3957"/>
  <c r="P91" i="3957"/>
  <c r="O91" i="3957"/>
  <c r="O90" i="3957"/>
  <c r="P90" i="3957"/>
  <c r="AE17" i="3939"/>
  <c r="AI17" i="3939" s="1"/>
  <c r="P760" i="3957"/>
  <c r="O760" i="3957"/>
  <c r="O85" i="3957"/>
  <c r="P85" i="3957"/>
  <c r="BS803" i="3957"/>
  <c r="BV803" i="3957" s="1"/>
  <c r="AT1149" i="3957"/>
  <c r="F270" i="3944"/>
  <c r="F252" i="3944"/>
  <c r="O863" i="3957"/>
  <c r="P863" i="3957"/>
  <c r="O83" i="3957"/>
  <c r="P83" i="3957"/>
  <c r="O82" i="3957"/>
  <c r="P82" i="3957"/>
  <c r="P81" i="3957"/>
  <c r="O81" i="3957"/>
  <c r="A813" i="3957"/>
  <c r="A814" i="3957"/>
  <c r="O786" i="3957"/>
  <c r="A789" i="3957" s="1"/>
  <c r="A788" i="3957"/>
  <c r="A787" i="3957"/>
  <c r="H176" i="3944"/>
  <c r="H177" i="3944" s="1"/>
  <c r="D103" i="3944"/>
  <c r="AW1004" i="3957"/>
  <c r="AW1005" i="3957" s="1"/>
  <c r="AS947" i="3957"/>
  <c r="AS948" i="3957" s="1"/>
  <c r="F176" i="3944"/>
  <c r="AU1004" i="3957"/>
  <c r="AU1005" i="3957" s="1"/>
  <c r="F258" i="3944"/>
  <c r="F329" i="3944"/>
  <c r="P778" i="3957"/>
  <c r="O778" i="3957"/>
  <c r="P784" i="3957"/>
  <c r="O784" i="3957"/>
  <c r="BT803" i="3957"/>
  <c r="BX803" i="3957" s="1"/>
  <c r="F250" i="3944"/>
  <c r="F326" i="3944"/>
  <c r="G252" i="3944"/>
  <c r="G270" i="3944"/>
  <c r="O771" i="3957"/>
  <c r="P771" i="3957" s="1"/>
  <c r="P754" i="3957"/>
  <c r="P720" i="3957"/>
  <c r="F256" i="3944"/>
  <c r="D256" i="3944" s="1"/>
  <c r="F327" i="3944"/>
  <c r="AE9" i="3942"/>
  <c r="AI9" i="3942" s="1"/>
  <c r="P781" i="3957"/>
  <c r="O781" i="3957"/>
  <c r="O753" i="3957"/>
  <c r="P753" i="3957"/>
  <c r="F314" i="3944"/>
  <c r="AU1129" i="3957"/>
  <c r="D176" i="3944"/>
  <c r="D177" i="3944" s="1"/>
  <c r="C103" i="3944"/>
  <c r="AS1004" i="3957"/>
  <c r="AS1005" i="3957" s="1"/>
  <c r="AR947" i="3957"/>
  <c r="AR948" i="3957" s="1"/>
  <c r="G329" i="3944"/>
  <c r="G335" i="3944" s="1"/>
  <c r="G258" i="3944"/>
  <c r="G326" i="3944"/>
  <c r="G332" i="3944" s="1"/>
  <c r="G250" i="3944"/>
  <c r="P780" i="3957"/>
  <c r="O780" i="3957"/>
  <c r="O97" i="3957"/>
  <c r="P97" i="3957"/>
  <c r="F99" i="3944"/>
  <c r="AT1148" i="3957"/>
  <c r="AR924" i="3957"/>
  <c r="AV1100" i="3957"/>
  <c r="AV1102" i="3957" s="1"/>
  <c r="AS1072" i="3957"/>
  <c r="AU1083" i="3957"/>
  <c r="AU1085" i="3957" s="1"/>
  <c r="D263" i="3944"/>
  <c r="AS1096" i="3957"/>
  <c r="AS1077" i="3957"/>
  <c r="AS1111" i="3957"/>
  <c r="AU1100" i="3957"/>
  <c r="AU1102" i="3957" s="1"/>
  <c r="AS1091" i="3957"/>
  <c r="E359" i="3944"/>
  <c r="AT1138" i="3957"/>
  <c r="E361" i="3944"/>
  <c r="AT1174" i="3957"/>
  <c r="AS1112" i="3957"/>
  <c r="AV1070" i="3957"/>
  <c r="E360" i="3944"/>
  <c r="E362" i="3944"/>
  <c r="AR981" i="3957"/>
  <c r="AS1109" i="3957"/>
  <c r="V160" i="3944"/>
  <c r="V157" i="3944"/>
  <c r="AV1154" i="3957"/>
  <c r="AT1154" i="3957" s="1"/>
  <c r="AT1136" i="3957"/>
  <c r="V158" i="3944"/>
  <c r="F242" i="3944"/>
  <c r="D244" i="3944"/>
  <c r="Q6" i="3962"/>
  <c r="O6" i="3962"/>
  <c r="R5" i="3962"/>
  <c r="P5" i="3962"/>
  <c r="N5" i="3962"/>
  <c r="R6" i="3962"/>
  <c r="P6" i="3962"/>
  <c r="N6" i="3962"/>
  <c r="Q5" i="3962"/>
  <c r="O5" i="3962"/>
  <c r="W17" i="3940"/>
  <c r="W157" i="3944"/>
  <c r="W160" i="3944"/>
  <c r="W162" i="3944"/>
  <c r="D59" i="3944"/>
  <c r="D141" i="3944"/>
  <c r="U162" i="3944"/>
  <c r="V162" i="3944" s="1"/>
  <c r="BF990" i="3957"/>
  <c r="BF992" i="3957"/>
  <c r="BF986" i="3957"/>
  <c r="AY988" i="3957"/>
  <c r="BA987" i="3957" s="1"/>
  <c r="BD990" i="3957"/>
  <c r="BE990" i="3957" s="1"/>
  <c r="BD992" i="3957"/>
  <c r="BE992" i="3957" s="1"/>
  <c r="W158" i="3944"/>
  <c r="P159" i="3944"/>
  <c r="R163" i="3944" s="1"/>
  <c r="F139" i="3944"/>
  <c r="C136" i="3944"/>
  <c r="D43" i="3944"/>
  <c r="G44" i="3944"/>
  <c r="W163" i="3944"/>
  <c r="V161" i="3944"/>
  <c r="W161" i="3944"/>
  <c r="D70" i="3944"/>
  <c r="BF987" i="3957"/>
  <c r="BF991" i="3957"/>
  <c r="F80" i="3944"/>
  <c r="BD987" i="3957"/>
  <c r="BE987" i="3957" s="1"/>
  <c r="BF989" i="3957"/>
  <c r="BD991" i="3957"/>
  <c r="BE991" i="3957" s="1"/>
  <c r="F151" i="3944" l="1"/>
  <c r="AU948" i="3957"/>
  <c r="F281" i="3944"/>
  <c r="C78" i="3944"/>
  <c r="C80" i="3944" s="1"/>
  <c r="D78" i="3944" s="1"/>
  <c r="D80" i="3944" s="1"/>
  <c r="D252" i="3944"/>
  <c r="BA989" i="3957"/>
  <c r="D258" i="3944"/>
  <c r="G323" i="3944"/>
  <c r="E317" i="3944"/>
  <c r="G322" i="3944"/>
  <c r="P813" i="3957"/>
  <c r="O813" i="3957"/>
  <c r="O765" i="3957"/>
  <c r="P765" i="3957"/>
  <c r="D104" i="3944"/>
  <c r="F104" i="3944" s="1"/>
  <c r="G333" i="3944"/>
  <c r="E315" i="3944"/>
  <c r="D270" i="3944"/>
  <c r="G268" i="3944"/>
  <c r="G272" i="3944" s="1"/>
  <c r="D251" i="3944"/>
  <c r="G334" i="3944"/>
  <c r="E328" i="3944"/>
  <c r="P99" i="3957"/>
  <c r="O99" i="3957"/>
  <c r="A770" i="3957"/>
  <c r="A768" i="3957"/>
  <c r="A769" i="3957"/>
  <c r="O767" i="3957"/>
  <c r="P767" i="3957"/>
  <c r="P103" i="3957"/>
  <c r="O103" i="3957"/>
  <c r="F332" i="3944"/>
  <c r="E332" i="3944" s="1"/>
  <c r="E326" i="3944"/>
  <c r="D269" i="3944"/>
  <c r="F268" i="3944"/>
  <c r="P100" i="3957"/>
  <c r="O100" i="3957"/>
  <c r="G249" i="3944"/>
  <c r="G255" i="3944" s="1"/>
  <c r="G257" i="3944" s="1"/>
  <c r="E327" i="3944"/>
  <c r="F333" i="3944"/>
  <c r="D250" i="3944"/>
  <c r="F249" i="3944"/>
  <c r="F255" i="3944" s="1"/>
  <c r="O787" i="3957"/>
  <c r="P787" i="3957"/>
  <c r="E310" i="3944"/>
  <c r="F322" i="3944"/>
  <c r="P101" i="3957"/>
  <c r="O101" i="3957"/>
  <c r="G320" i="3944"/>
  <c r="E308" i="3944"/>
  <c r="O766" i="3957"/>
  <c r="P766" i="3957"/>
  <c r="O102" i="3957"/>
  <c r="P102" i="3957"/>
  <c r="AT1129" i="3957"/>
  <c r="AU1135" i="3957"/>
  <c r="AU1147" i="3957"/>
  <c r="O788" i="3957"/>
  <c r="P788" i="3957"/>
  <c r="E314" i="3944"/>
  <c r="F320" i="3944"/>
  <c r="A791" i="3957"/>
  <c r="A790" i="3957"/>
  <c r="P783" i="3957"/>
  <c r="F339" i="3944"/>
  <c r="P763" i="3957"/>
  <c r="O763" i="3957"/>
  <c r="A726" i="3957"/>
  <c r="A723" i="3957"/>
  <c r="A724" i="3957"/>
  <c r="A727" i="3957"/>
  <c r="P722" i="3957"/>
  <c r="O722" i="3957"/>
  <c r="A725" i="3957"/>
  <c r="E311" i="3944"/>
  <c r="F323" i="3944"/>
  <c r="F334" i="3944"/>
  <c r="E316" i="3944"/>
  <c r="A109" i="3957"/>
  <c r="A108" i="3957"/>
  <c r="A107" i="3957"/>
  <c r="A106" i="3957"/>
  <c r="A105" i="3957"/>
  <c r="A110" i="3957"/>
  <c r="P104" i="3957"/>
  <c r="O104" i="3957"/>
  <c r="E309" i="3944"/>
  <c r="G321" i="3944"/>
  <c r="F335" i="3944"/>
  <c r="E335" i="3944" s="1"/>
  <c r="E329" i="3944"/>
  <c r="BA991" i="3957"/>
  <c r="BD988" i="3957"/>
  <c r="BE988" i="3957" s="1"/>
  <c r="A816" i="3957"/>
  <c r="A815" i="3957"/>
  <c r="O814" i="3957"/>
  <c r="A817" i="3957"/>
  <c r="P814" i="3957"/>
  <c r="P721" i="3957"/>
  <c r="O721" i="3957"/>
  <c r="A881" i="3957"/>
  <c r="A873" i="3957"/>
  <c r="A883" i="3957"/>
  <c r="A876" i="3957"/>
  <c r="A875" i="3957"/>
  <c r="A882" i="3957"/>
  <c r="A872" i="3957"/>
  <c r="A880" i="3957"/>
  <c r="A879" i="3957"/>
  <c r="A878" i="3957"/>
  <c r="A877" i="3957"/>
  <c r="A874" i="3957"/>
  <c r="A871" i="3957"/>
  <c r="O870" i="3957"/>
  <c r="AV1147" i="3957"/>
  <c r="AV1135" i="3957"/>
  <c r="C151" i="3944"/>
  <c r="D148" i="3944" s="1"/>
  <c r="D151" i="3944" s="1"/>
  <c r="AU1108" i="3957"/>
  <c r="AS1100" i="3957"/>
  <c r="AT1091" i="3957" s="1"/>
  <c r="AS1070" i="3957"/>
  <c r="AV1083" i="3957"/>
  <c r="AS981" i="3957"/>
  <c r="AR982" i="3957"/>
  <c r="AS979" i="3957" s="1"/>
  <c r="D242" i="3944"/>
  <c r="W159" i="3944"/>
  <c r="R159" i="3944"/>
  <c r="BF988" i="3957"/>
  <c r="BA988" i="3957"/>
  <c r="BA986" i="3957"/>
  <c r="BA992" i="3957"/>
  <c r="R162" i="3944"/>
  <c r="R160" i="3944"/>
  <c r="R157" i="3944"/>
  <c r="U112" i="3946"/>
  <c r="R112" i="3946"/>
  <c r="P112" i="3946"/>
  <c r="N112" i="3946"/>
  <c r="W111" i="3946"/>
  <c r="U111" i="3946"/>
  <c r="S111" i="3946"/>
  <c r="W110" i="3946"/>
  <c r="U110" i="3946"/>
  <c r="S110" i="3946"/>
  <c r="U109" i="3946"/>
  <c r="R109" i="3946"/>
  <c r="P109" i="3946"/>
  <c r="N109" i="3946"/>
  <c r="W108" i="3946"/>
  <c r="U108" i="3946"/>
  <c r="S108" i="3946"/>
  <c r="W107" i="3946"/>
  <c r="U107" i="3946"/>
  <c r="S107" i="3946"/>
  <c r="U106" i="3946"/>
  <c r="R106" i="3946"/>
  <c r="P106" i="3946"/>
  <c r="N106" i="3946"/>
  <c r="W105" i="3946"/>
  <c r="U105" i="3946"/>
  <c r="S105" i="3946"/>
  <c r="W104" i="3946"/>
  <c r="U104" i="3946"/>
  <c r="S104" i="3946"/>
  <c r="U103" i="3946"/>
  <c r="R103" i="3946"/>
  <c r="P103" i="3946"/>
  <c r="N103" i="3946"/>
  <c r="W102" i="3946"/>
  <c r="U102" i="3946"/>
  <c r="S102" i="3946"/>
  <c r="W101" i="3946"/>
  <c r="U101" i="3946"/>
  <c r="S101" i="3946"/>
  <c r="U100" i="3946"/>
  <c r="R100" i="3946"/>
  <c r="P100" i="3946"/>
  <c r="N100" i="3946"/>
  <c r="W99" i="3946"/>
  <c r="U99" i="3946"/>
  <c r="S99" i="3946"/>
  <c r="W98" i="3946"/>
  <c r="U98" i="3946"/>
  <c r="S98" i="3946"/>
  <c r="U97" i="3946"/>
  <c r="R97" i="3946"/>
  <c r="P97" i="3946"/>
  <c r="N97" i="3946"/>
  <c r="W96" i="3946"/>
  <c r="U96" i="3946"/>
  <c r="S96" i="3946"/>
  <c r="W95" i="3946"/>
  <c r="U95" i="3946"/>
  <c r="S95" i="3946"/>
  <c r="U94" i="3946"/>
  <c r="R94" i="3946"/>
  <c r="P94" i="3946"/>
  <c r="N94" i="3946"/>
  <c r="W93" i="3946"/>
  <c r="U93" i="3946"/>
  <c r="S93" i="3946"/>
  <c r="W92" i="3946"/>
  <c r="U92" i="3946"/>
  <c r="S92" i="3946"/>
  <c r="U91" i="3946"/>
  <c r="R91" i="3946"/>
  <c r="P91" i="3946"/>
  <c r="N91" i="3946"/>
  <c r="W90" i="3946"/>
  <c r="U90" i="3946"/>
  <c r="S90" i="3946"/>
  <c r="W112" i="3946"/>
  <c r="S112" i="3946"/>
  <c r="Q112" i="3946"/>
  <c r="O112" i="3946"/>
  <c r="X111" i="3946"/>
  <c r="V111" i="3946"/>
  <c r="T111" i="3946"/>
  <c r="X110" i="3946"/>
  <c r="V110" i="3946"/>
  <c r="T110" i="3946"/>
  <c r="W109" i="3946"/>
  <c r="S109" i="3946"/>
  <c r="Q109" i="3946"/>
  <c r="O109" i="3946"/>
  <c r="X108" i="3946"/>
  <c r="V108" i="3946"/>
  <c r="T108" i="3946"/>
  <c r="X107" i="3946"/>
  <c r="V107" i="3946"/>
  <c r="T107" i="3946"/>
  <c r="W106" i="3946"/>
  <c r="S106" i="3946"/>
  <c r="Q106" i="3946"/>
  <c r="O106" i="3946"/>
  <c r="X105" i="3946"/>
  <c r="V105" i="3946"/>
  <c r="T105" i="3946"/>
  <c r="X104" i="3946"/>
  <c r="V104" i="3946"/>
  <c r="T104" i="3946"/>
  <c r="W103" i="3946"/>
  <c r="S103" i="3946"/>
  <c r="Q103" i="3946"/>
  <c r="O103" i="3946"/>
  <c r="X102" i="3946"/>
  <c r="V102" i="3946"/>
  <c r="T102" i="3946"/>
  <c r="X101" i="3946"/>
  <c r="V101" i="3946"/>
  <c r="T101" i="3946"/>
  <c r="W100" i="3946"/>
  <c r="S100" i="3946"/>
  <c r="Q100" i="3946"/>
  <c r="O100" i="3946"/>
  <c r="X99" i="3946"/>
  <c r="V99" i="3946"/>
  <c r="T99" i="3946"/>
  <c r="X98" i="3946"/>
  <c r="V98" i="3946"/>
  <c r="T98" i="3946"/>
  <c r="S97" i="3946"/>
  <c r="O97" i="3946"/>
  <c r="V96" i="3946"/>
  <c r="X95" i="3946"/>
  <c r="T95" i="3946"/>
  <c r="S94" i="3946"/>
  <c r="O94" i="3946"/>
  <c r="V93" i="3946"/>
  <c r="X92" i="3946"/>
  <c r="T92" i="3946"/>
  <c r="S91" i="3946"/>
  <c r="O91" i="3946"/>
  <c r="V90" i="3946"/>
  <c r="X89" i="3946"/>
  <c r="V89" i="3946"/>
  <c r="T89" i="3946"/>
  <c r="W88" i="3946"/>
  <c r="S88" i="3946"/>
  <c r="Q88" i="3946"/>
  <c r="O88" i="3946"/>
  <c r="X87" i="3946"/>
  <c r="V87" i="3946"/>
  <c r="T87" i="3946"/>
  <c r="X86" i="3946"/>
  <c r="V86" i="3946"/>
  <c r="T86" i="3946"/>
  <c r="W85" i="3946"/>
  <c r="S85" i="3946"/>
  <c r="Q85" i="3946"/>
  <c r="O85" i="3946"/>
  <c r="X84" i="3946"/>
  <c r="V84" i="3946"/>
  <c r="T84" i="3946"/>
  <c r="X83" i="3946"/>
  <c r="V83" i="3946"/>
  <c r="T83" i="3946"/>
  <c r="W82" i="3946"/>
  <c r="S82" i="3946"/>
  <c r="Q82" i="3946"/>
  <c r="O82" i="3946"/>
  <c r="X81" i="3946"/>
  <c r="V81" i="3946"/>
  <c r="T81" i="3946"/>
  <c r="X80" i="3946"/>
  <c r="V80" i="3946"/>
  <c r="T80" i="3946"/>
  <c r="W79" i="3946"/>
  <c r="S79" i="3946"/>
  <c r="Q79" i="3946"/>
  <c r="O79" i="3946"/>
  <c r="X78" i="3946"/>
  <c r="V78" i="3946"/>
  <c r="T78" i="3946"/>
  <c r="X77" i="3946"/>
  <c r="V77" i="3946"/>
  <c r="T77" i="3946"/>
  <c r="W76" i="3946"/>
  <c r="S76" i="3946"/>
  <c r="Q76" i="3946"/>
  <c r="O76" i="3946"/>
  <c r="X75" i="3946"/>
  <c r="V75" i="3946"/>
  <c r="T75" i="3946"/>
  <c r="X74" i="3946"/>
  <c r="V74" i="3946"/>
  <c r="T74" i="3946"/>
  <c r="W73" i="3946"/>
  <c r="S73" i="3946"/>
  <c r="Q73" i="3946"/>
  <c r="O73" i="3946"/>
  <c r="X72" i="3946"/>
  <c r="V72" i="3946"/>
  <c r="T72" i="3946"/>
  <c r="X71" i="3946"/>
  <c r="V71" i="3946"/>
  <c r="T71" i="3946"/>
  <c r="W70" i="3946"/>
  <c r="S70" i="3946"/>
  <c r="Q70" i="3946"/>
  <c r="O70" i="3946"/>
  <c r="X69" i="3946"/>
  <c r="V69" i="3946"/>
  <c r="T69" i="3946"/>
  <c r="X68" i="3946"/>
  <c r="V68" i="3946"/>
  <c r="W97" i="3946"/>
  <c r="Q97" i="3946"/>
  <c r="X96" i="3946"/>
  <c r="T96" i="3946"/>
  <c r="V95" i="3946"/>
  <c r="W94" i="3946"/>
  <c r="Q94" i="3946"/>
  <c r="X93" i="3946"/>
  <c r="T93" i="3946"/>
  <c r="V92" i="3946"/>
  <c r="W91" i="3946"/>
  <c r="Q91" i="3946"/>
  <c r="X90" i="3946"/>
  <c r="T90" i="3946"/>
  <c r="W89" i="3946"/>
  <c r="U89" i="3946"/>
  <c r="S89" i="3946"/>
  <c r="U88" i="3946"/>
  <c r="R88" i="3946"/>
  <c r="P88" i="3946"/>
  <c r="N88" i="3946"/>
  <c r="W87" i="3946"/>
  <c r="U87" i="3946"/>
  <c r="S87" i="3946"/>
  <c r="W86" i="3946"/>
  <c r="U86" i="3946"/>
  <c r="S86" i="3946"/>
  <c r="U85" i="3946"/>
  <c r="R85" i="3946"/>
  <c r="P85" i="3946"/>
  <c r="N85" i="3946"/>
  <c r="W84" i="3946"/>
  <c r="U84" i="3946"/>
  <c r="S84" i="3946"/>
  <c r="W83" i="3946"/>
  <c r="U83" i="3946"/>
  <c r="S83" i="3946"/>
  <c r="U82" i="3946"/>
  <c r="R82" i="3946"/>
  <c r="P82" i="3946"/>
  <c r="N82" i="3946"/>
  <c r="W81" i="3946"/>
  <c r="U81" i="3946"/>
  <c r="S81" i="3946"/>
  <c r="W80" i="3946"/>
  <c r="U80" i="3946"/>
  <c r="S80" i="3946"/>
  <c r="U79" i="3946"/>
  <c r="R79" i="3946"/>
  <c r="P79" i="3946"/>
  <c r="N79" i="3946"/>
  <c r="W78" i="3946"/>
  <c r="U78" i="3946"/>
  <c r="S78" i="3946"/>
  <c r="W77" i="3946"/>
  <c r="U77" i="3946"/>
  <c r="S77" i="3946"/>
  <c r="U76" i="3946"/>
  <c r="R76" i="3946"/>
  <c r="P76" i="3946"/>
  <c r="N76" i="3946"/>
  <c r="W75" i="3946"/>
  <c r="U75" i="3946"/>
  <c r="S75" i="3946"/>
  <c r="W74" i="3946"/>
  <c r="U74" i="3946"/>
  <c r="S74" i="3946"/>
  <c r="U73" i="3946"/>
  <c r="R73" i="3946"/>
  <c r="P73" i="3946"/>
  <c r="N73" i="3946"/>
  <c r="W72" i="3946"/>
  <c r="U72" i="3946"/>
  <c r="S72" i="3946"/>
  <c r="W71" i="3946"/>
  <c r="U71" i="3946"/>
  <c r="S71" i="3946"/>
  <c r="U70" i="3946"/>
  <c r="R70" i="3946"/>
  <c r="P70" i="3946"/>
  <c r="N70" i="3946"/>
  <c r="W69" i="3946"/>
  <c r="U69" i="3946"/>
  <c r="S69" i="3946"/>
  <c r="W68" i="3946"/>
  <c r="T68" i="3946"/>
  <c r="W67" i="3946"/>
  <c r="S67" i="3946"/>
  <c r="Q67" i="3946"/>
  <c r="O67" i="3946"/>
  <c r="X66" i="3946"/>
  <c r="V66" i="3946"/>
  <c r="T66" i="3946"/>
  <c r="X65" i="3946"/>
  <c r="V65" i="3946"/>
  <c r="T65" i="3946"/>
  <c r="W64" i="3946"/>
  <c r="S64" i="3946"/>
  <c r="Q64" i="3946"/>
  <c r="O64" i="3946"/>
  <c r="X63" i="3946"/>
  <c r="V63" i="3946"/>
  <c r="T63" i="3946"/>
  <c r="X62" i="3946"/>
  <c r="V62" i="3946"/>
  <c r="T62" i="3946"/>
  <c r="W61" i="3946"/>
  <c r="S61" i="3946"/>
  <c r="Q61" i="3946"/>
  <c r="O61" i="3946"/>
  <c r="X60" i="3946"/>
  <c r="V60" i="3946"/>
  <c r="T60" i="3946"/>
  <c r="X59" i="3946"/>
  <c r="V59" i="3946"/>
  <c r="T59" i="3946"/>
  <c r="W58" i="3946"/>
  <c r="S58" i="3946"/>
  <c r="Q58" i="3946"/>
  <c r="O58" i="3946"/>
  <c r="X57" i="3946"/>
  <c r="V57" i="3946"/>
  <c r="T57" i="3946"/>
  <c r="X56" i="3946"/>
  <c r="V56" i="3946"/>
  <c r="T56" i="3946"/>
  <c r="W55" i="3946"/>
  <c r="S55" i="3946"/>
  <c r="Q55" i="3946"/>
  <c r="O55" i="3946"/>
  <c r="X54" i="3946"/>
  <c r="V54" i="3946"/>
  <c r="T54" i="3946"/>
  <c r="X53" i="3946"/>
  <c r="V53" i="3946"/>
  <c r="T53" i="3946"/>
  <c r="W52" i="3946"/>
  <c r="S52" i="3946"/>
  <c r="Q52" i="3946"/>
  <c r="O52" i="3946"/>
  <c r="X51" i="3946"/>
  <c r="V51" i="3946"/>
  <c r="T51" i="3946"/>
  <c r="X50" i="3946"/>
  <c r="V50" i="3946"/>
  <c r="T50" i="3946"/>
  <c r="W49" i="3946"/>
  <c r="S49" i="3946"/>
  <c r="Q49" i="3946"/>
  <c r="O49" i="3946"/>
  <c r="X48" i="3946"/>
  <c r="V48" i="3946"/>
  <c r="T48" i="3946"/>
  <c r="X47" i="3946"/>
  <c r="V47" i="3946"/>
  <c r="T47" i="3946"/>
  <c r="W46" i="3946"/>
  <c r="S46" i="3946"/>
  <c r="Q46" i="3946"/>
  <c r="O46" i="3946"/>
  <c r="X45" i="3946"/>
  <c r="V45" i="3946"/>
  <c r="T45" i="3946"/>
  <c r="X44" i="3946"/>
  <c r="V44" i="3946"/>
  <c r="T44" i="3946"/>
  <c r="W43" i="3946"/>
  <c r="S43" i="3946"/>
  <c r="Q43" i="3946"/>
  <c r="O43" i="3946"/>
  <c r="X42" i="3946"/>
  <c r="V42" i="3946"/>
  <c r="T42" i="3946"/>
  <c r="X41" i="3946"/>
  <c r="V41" i="3946"/>
  <c r="T41" i="3946"/>
  <c r="W40" i="3946"/>
  <c r="S40" i="3946"/>
  <c r="Q40" i="3946"/>
  <c r="O40" i="3946"/>
  <c r="X39" i="3946"/>
  <c r="V39" i="3946"/>
  <c r="T39" i="3946"/>
  <c r="X38" i="3946"/>
  <c r="V38" i="3946"/>
  <c r="T38" i="3946"/>
  <c r="W37" i="3946"/>
  <c r="S37" i="3946"/>
  <c r="Q37" i="3946"/>
  <c r="O37" i="3946"/>
  <c r="X36" i="3946"/>
  <c r="V36" i="3946"/>
  <c r="T36" i="3946"/>
  <c r="X35" i="3946"/>
  <c r="V35" i="3946"/>
  <c r="T35" i="3946"/>
  <c r="W34" i="3946"/>
  <c r="S34" i="3946"/>
  <c r="Q34" i="3946"/>
  <c r="O34" i="3946"/>
  <c r="X33" i="3946"/>
  <c r="V33" i="3946"/>
  <c r="T33" i="3946"/>
  <c r="X32" i="3946"/>
  <c r="V32" i="3946"/>
  <c r="T32" i="3946"/>
  <c r="W31" i="3946"/>
  <c r="S31" i="3946"/>
  <c r="Q31" i="3946"/>
  <c r="O31" i="3946"/>
  <c r="X30" i="3946"/>
  <c r="V30" i="3946"/>
  <c r="T30" i="3946"/>
  <c r="X29" i="3946"/>
  <c r="V29" i="3946"/>
  <c r="T29" i="3946"/>
  <c r="W28" i="3946"/>
  <c r="S28" i="3946"/>
  <c r="Q28" i="3946"/>
  <c r="O28" i="3946"/>
  <c r="X27" i="3946"/>
  <c r="V27" i="3946"/>
  <c r="T27" i="3946"/>
  <c r="X26" i="3946"/>
  <c r="V26" i="3946"/>
  <c r="T26" i="3946"/>
  <c r="W25" i="3946"/>
  <c r="S25" i="3946"/>
  <c r="Q25" i="3946"/>
  <c r="O25" i="3946"/>
  <c r="X24" i="3946"/>
  <c r="V24" i="3946"/>
  <c r="T24" i="3946"/>
  <c r="X23" i="3946"/>
  <c r="V23" i="3946"/>
  <c r="T23" i="3946"/>
  <c r="W22" i="3946"/>
  <c r="S22" i="3946"/>
  <c r="Q22" i="3946"/>
  <c r="O22" i="3946"/>
  <c r="X21" i="3946"/>
  <c r="V21" i="3946"/>
  <c r="T21" i="3946"/>
  <c r="X20" i="3946"/>
  <c r="V20" i="3946"/>
  <c r="T20" i="3946"/>
  <c r="W19" i="3946"/>
  <c r="S19" i="3946"/>
  <c r="Q19" i="3946"/>
  <c r="O19" i="3946"/>
  <c r="X18" i="3946"/>
  <c r="V18" i="3946"/>
  <c r="T18" i="3946"/>
  <c r="X17" i="3946"/>
  <c r="V17" i="3946"/>
  <c r="U68" i="3946"/>
  <c r="S68" i="3946"/>
  <c r="U67" i="3946"/>
  <c r="R67" i="3946"/>
  <c r="P67" i="3946"/>
  <c r="N67" i="3946"/>
  <c r="W66" i="3946"/>
  <c r="U66" i="3946"/>
  <c r="S66" i="3946"/>
  <c r="W65" i="3946"/>
  <c r="U65" i="3946"/>
  <c r="S65" i="3946"/>
  <c r="U64" i="3946"/>
  <c r="R64" i="3946"/>
  <c r="P64" i="3946"/>
  <c r="N64" i="3946"/>
  <c r="W63" i="3946"/>
  <c r="U63" i="3946"/>
  <c r="S63" i="3946"/>
  <c r="W62" i="3946"/>
  <c r="U62" i="3946"/>
  <c r="S62" i="3946"/>
  <c r="U61" i="3946"/>
  <c r="R61" i="3946"/>
  <c r="P61" i="3946"/>
  <c r="N61" i="3946"/>
  <c r="W60" i="3946"/>
  <c r="U60" i="3946"/>
  <c r="S60" i="3946"/>
  <c r="W59" i="3946"/>
  <c r="U59" i="3946"/>
  <c r="S59" i="3946"/>
  <c r="U58" i="3946"/>
  <c r="R58" i="3946"/>
  <c r="P58" i="3946"/>
  <c r="N58" i="3946"/>
  <c r="W57" i="3946"/>
  <c r="U57" i="3946"/>
  <c r="S57" i="3946"/>
  <c r="W56" i="3946"/>
  <c r="U56" i="3946"/>
  <c r="S56" i="3946"/>
  <c r="U55" i="3946"/>
  <c r="R55" i="3946"/>
  <c r="P55" i="3946"/>
  <c r="N55" i="3946"/>
  <c r="W54" i="3946"/>
  <c r="U54" i="3946"/>
  <c r="S54" i="3946"/>
  <c r="W53" i="3946"/>
  <c r="U53" i="3946"/>
  <c r="S53" i="3946"/>
  <c r="U52" i="3946"/>
  <c r="R52" i="3946"/>
  <c r="P52" i="3946"/>
  <c r="N52" i="3946"/>
  <c r="W51" i="3946"/>
  <c r="U51" i="3946"/>
  <c r="S51" i="3946"/>
  <c r="W50" i="3946"/>
  <c r="U50" i="3946"/>
  <c r="S50" i="3946"/>
  <c r="U49" i="3946"/>
  <c r="R49" i="3946"/>
  <c r="P49" i="3946"/>
  <c r="N49" i="3946"/>
  <c r="W48" i="3946"/>
  <c r="U48" i="3946"/>
  <c r="S48" i="3946"/>
  <c r="W47" i="3946"/>
  <c r="U47" i="3946"/>
  <c r="S47" i="3946"/>
  <c r="U46" i="3946"/>
  <c r="R46" i="3946"/>
  <c r="P46" i="3946"/>
  <c r="N46" i="3946"/>
  <c r="W45" i="3946"/>
  <c r="U45" i="3946"/>
  <c r="S45" i="3946"/>
  <c r="W44" i="3946"/>
  <c r="U44" i="3946"/>
  <c r="S44" i="3946"/>
  <c r="U43" i="3946"/>
  <c r="R43" i="3946"/>
  <c r="P43" i="3946"/>
  <c r="N43" i="3946"/>
  <c r="W42" i="3946"/>
  <c r="U42" i="3946"/>
  <c r="S42" i="3946"/>
  <c r="W41" i="3946"/>
  <c r="U41" i="3946"/>
  <c r="S41" i="3946"/>
  <c r="U40" i="3946"/>
  <c r="R40" i="3946"/>
  <c r="P40" i="3946"/>
  <c r="N40" i="3946"/>
  <c r="W39" i="3946"/>
  <c r="U39" i="3946"/>
  <c r="S39" i="3946"/>
  <c r="W38" i="3946"/>
  <c r="U38" i="3946"/>
  <c r="S38" i="3946"/>
  <c r="U37" i="3946"/>
  <c r="R37" i="3946"/>
  <c r="P37" i="3946"/>
  <c r="N37" i="3946"/>
  <c r="W36" i="3946"/>
  <c r="U36" i="3946"/>
  <c r="S36" i="3946"/>
  <c r="W35" i="3946"/>
  <c r="U35" i="3946"/>
  <c r="S35" i="3946"/>
  <c r="U34" i="3946"/>
  <c r="R34" i="3946"/>
  <c r="P34" i="3946"/>
  <c r="N34" i="3946"/>
  <c r="W33" i="3946"/>
  <c r="U33" i="3946"/>
  <c r="S33" i="3946"/>
  <c r="W32" i="3946"/>
  <c r="U32" i="3946"/>
  <c r="S32" i="3946"/>
  <c r="U31" i="3946"/>
  <c r="R31" i="3946"/>
  <c r="P31" i="3946"/>
  <c r="N31" i="3946"/>
  <c r="W30" i="3946"/>
  <c r="U30" i="3946"/>
  <c r="S30" i="3946"/>
  <c r="W29" i="3946"/>
  <c r="U29" i="3946"/>
  <c r="S29" i="3946"/>
  <c r="U28" i="3946"/>
  <c r="R28" i="3946"/>
  <c r="P28" i="3946"/>
  <c r="N28" i="3946"/>
  <c r="W27" i="3946"/>
  <c r="U27" i="3946"/>
  <c r="S27" i="3946"/>
  <c r="W26" i="3946"/>
  <c r="U26" i="3946"/>
  <c r="S26" i="3946"/>
  <c r="U25" i="3946"/>
  <c r="R25" i="3946"/>
  <c r="P25" i="3946"/>
  <c r="N25" i="3946"/>
  <c r="W24" i="3946"/>
  <c r="U24" i="3946"/>
  <c r="S24" i="3946"/>
  <c r="W23" i="3946"/>
  <c r="U23" i="3946"/>
  <c r="S23" i="3946"/>
  <c r="U22" i="3946"/>
  <c r="R22" i="3946"/>
  <c r="P22" i="3946"/>
  <c r="N22" i="3946"/>
  <c r="W21" i="3946"/>
  <c r="U21" i="3946"/>
  <c r="S21" i="3946"/>
  <c r="W20" i="3946"/>
  <c r="U20" i="3946"/>
  <c r="S20" i="3946"/>
  <c r="U19" i="3946"/>
  <c r="R19" i="3946"/>
  <c r="P19" i="3946"/>
  <c r="N19" i="3946"/>
  <c r="W18" i="3946"/>
  <c r="U18" i="3946"/>
  <c r="S18" i="3946"/>
  <c r="W17" i="3946"/>
  <c r="T17" i="3946"/>
  <c r="W16" i="3946"/>
  <c r="S16" i="3946"/>
  <c r="Q16" i="3946"/>
  <c r="O16" i="3946"/>
  <c r="X15" i="3946"/>
  <c r="V15" i="3946"/>
  <c r="T15" i="3946"/>
  <c r="X14" i="3946"/>
  <c r="V14" i="3946"/>
  <c r="T14" i="3946"/>
  <c r="W13" i="3946"/>
  <c r="S13" i="3946"/>
  <c r="Q13" i="3946"/>
  <c r="O13" i="3946"/>
  <c r="X12" i="3946"/>
  <c r="V12" i="3946"/>
  <c r="T12" i="3946"/>
  <c r="X11" i="3946"/>
  <c r="V11" i="3946"/>
  <c r="T11" i="3946"/>
  <c r="W10" i="3946"/>
  <c r="S10" i="3946"/>
  <c r="Q10" i="3946"/>
  <c r="O10" i="3946"/>
  <c r="X9" i="3946"/>
  <c r="V9" i="3946"/>
  <c r="T9" i="3946"/>
  <c r="X8" i="3946"/>
  <c r="V8" i="3946"/>
  <c r="T8" i="3946"/>
  <c r="W7" i="3946"/>
  <c r="S7" i="3946"/>
  <c r="Q7" i="3946"/>
  <c r="O7" i="3946"/>
  <c r="X6" i="3946"/>
  <c r="V6" i="3946"/>
  <c r="T6" i="3946"/>
  <c r="X5" i="3946"/>
  <c r="V5" i="3946"/>
  <c r="T5" i="3946"/>
  <c r="U17" i="3946"/>
  <c r="S17" i="3946"/>
  <c r="U16" i="3946"/>
  <c r="R16" i="3946"/>
  <c r="P16" i="3946"/>
  <c r="N16" i="3946"/>
  <c r="W15" i="3946"/>
  <c r="U15" i="3946"/>
  <c r="S15" i="3946"/>
  <c r="W14" i="3946"/>
  <c r="U14" i="3946"/>
  <c r="S14" i="3946"/>
  <c r="U13" i="3946"/>
  <c r="R13" i="3946"/>
  <c r="P13" i="3946"/>
  <c r="N13" i="3946"/>
  <c r="W12" i="3946"/>
  <c r="U12" i="3946"/>
  <c r="S12" i="3946"/>
  <c r="W11" i="3946"/>
  <c r="U11" i="3946"/>
  <c r="S11" i="3946"/>
  <c r="U10" i="3946"/>
  <c r="R10" i="3946"/>
  <c r="P10" i="3946"/>
  <c r="N10" i="3946"/>
  <c r="W9" i="3946"/>
  <c r="U9" i="3946"/>
  <c r="S9" i="3946"/>
  <c r="W8" i="3946"/>
  <c r="U8" i="3946"/>
  <c r="S8" i="3946"/>
  <c r="U7" i="3946"/>
  <c r="R7" i="3946"/>
  <c r="P7" i="3946"/>
  <c r="N7" i="3946"/>
  <c r="W6" i="3946"/>
  <c r="U6" i="3946"/>
  <c r="S6" i="3946"/>
  <c r="W5" i="3946"/>
  <c r="U5" i="3946"/>
  <c r="S5" i="3946"/>
  <c r="AT1098" i="3957"/>
  <c r="R161" i="3944"/>
  <c r="R158" i="3944"/>
  <c r="U159" i="3944"/>
  <c r="V159" i="3944" s="1"/>
  <c r="BA990" i="3957"/>
  <c r="AU1110" i="3957"/>
  <c r="AS1102" i="3957"/>
  <c r="E333" i="3944" l="1"/>
  <c r="G276" i="3944"/>
  <c r="G284" i="3944" s="1"/>
  <c r="G340" i="3944"/>
  <c r="H229" i="3944"/>
  <c r="H25" i="3944"/>
  <c r="AW1058" i="3957"/>
  <c r="AW858" i="3957"/>
  <c r="G341" i="3944"/>
  <c r="G275" i="3944"/>
  <c r="G283" i="3944" s="1"/>
  <c r="G280" i="3944"/>
  <c r="O878" i="3957"/>
  <c r="P878" i="3957"/>
  <c r="P868" i="3957"/>
  <c r="O868" i="3957"/>
  <c r="O873" i="3957"/>
  <c r="P873" i="3957"/>
  <c r="E334" i="3944"/>
  <c r="P723" i="3957"/>
  <c r="O723" i="3957"/>
  <c r="E320" i="3944"/>
  <c r="F338" i="3944"/>
  <c r="F364" i="3944"/>
  <c r="F23" i="3944"/>
  <c r="F227" i="3944"/>
  <c r="AU1056" i="3957"/>
  <c r="AU856" i="3957"/>
  <c r="P879" i="3957"/>
  <c r="O879" i="3957"/>
  <c r="O881" i="3957"/>
  <c r="P881" i="3957"/>
  <c r="A116" i="3957"/>
  <c r="A112" i="3957"/>
  <c r="A111" i="3957"/>
  <c r="A115" i="3957"/>
  <c r="A114" i="3957"/>
  <c r="O110" i="3957"/>
  <c r="P110" i="3957"/>
  <c r="A113" i="3957"/>
  <c r="F341" i="3944"/>
  <c r="E323" i="3944"/>
  <c r="F275" i="3944"/>
  <c r="O726" i="3957"/>
  <c r="P726" i="3957"/>
  <c r="D25" i="3944"/>
  <c r="AS858" i="3957"/>
  <c r="D229" i="3944"/>
  <c r="AS1058" i="3957"/>
  <c r="F276" i="3944"/>
  <c r="F340" i="3944"/>
  <c r="E322" i="3944"/>
  <c r="J227" i="3944"/>
  <c r="AY1056" i="3957"/>
  <c r="AY856" i="3957"/>
  <c r="J23" i="3944"/>
  <c r="AV1153" i="3957"/>
  <c r="AV1179" i="3957"/>
  <c r="O880" i="3957"/>
  <c r="O869" i="3957"/>
  <c r="P880" i="3957"/>
  <c r="O105" i="3957"/>
  <c r="P105" i="3957"/>
  <c r="H228" i="3944"/>
  <c r="H230" i="3944" s="1"/>
  <c r="H24" i="3944"/>
  <c r="AW1057" i="3957"/>
  <c r="AW857" i="3957"/>
  <c r="J24" i="3944"/>
  <c r="AY857" i="3957"/>
  <c r="J228" i="3944"/>
  <c r="AY1057" i="3957"/>
  <c r="AT1147" i="3957"/>
  <c r="O872" i="3957"/>
  <c r="P872" i="3957"/>
  <c r="AW856" i="3957"/>
  <c r="AW1056" i="3957"/>
  <c r="H227" i="3944"/>
  <c r="H23" i="3944"/>
  <c r="O106" i="3957"/>
  <c r="P106" i="3957"/>
  <c r="P725" i="3957"/>
  <c r="O725" i="3957"/>
  <c r="P882" i="3957"/>
  <c r="P869" i="3957"/>
  <c r="P870" i="3957"/>
  <c r="O882" i="3957"/>
  <c r="P107" i="3957"/>
  <c r="O107" i="3957"/>
  <c r="D268" i="3944"/>
  <c r="F272" i="3944"/>
  <c r="P871" i="3957"/>
  <c r="O871" i="3957"/>
  <c r="O875" i="3957"/>
  <c r="P875" i="3957"/>
  <c r="O817" i="3957"/>
  <c r="P817" i="3957"/>
  <c r="G273" i="3944"/>
  <c r="G339" i="3944"/>
  <c r="E339" i="3944" s="1"/>
  <c r="E321" i="3944"/>
  <c r="O108" i="3957"/>
  <c r="P108" i="3957"/>
  <c r="AU1153" i="3957"/>
  <c r="AU1179" i="3957"/>
  <c r="AT1135" i="3957"/>
  <c r="D228" i="3944"/>
  <c r="D24" i="3944"/>
  <c r="AS1057" i="3957"/>
  <c r="AS857" i="3957"/>
  <c r="D249" i="3944"/>
  <c r="P768" i="3957"/>
  <c r="O768" i="3957"/>
  <c r="O874" i="3957"/>
  <c r="P874" i="3957"/>
  <c r="P876" i="3957"/>
  <c r="O876" i="3957"/>
  <c r="F24" i="3944"/>
  <c r="F228" i="3944"/>
  <c r="AU1057" i="3957"/>
  <c r="AU857" i="3957"/>
  <c r="P109" i="3957"/>
  <c r="O109" i="3957"/>
  <c r="A730" i="3957"/>
  <c r="A731" i="3957"/>
  <c r="A732" i="3957"/>
  <c r="A729" i="3957"/>
  <c r="A728" i="3957"/>
  <c r="P727" i="3957"/>
  <c r="O727" i="3957"/>
  <c r="P790" i="3957"/>
  <c r="O790" i="3957"/>
  <c r="G338" i="3944"/>
  <c r="G364" i="3944"/>
  <c r="AS856" i="3957"/>
  <c r="D227" i="3944"/>
  <c r="AS1056" i="3957"/>
  <c r="D23" i="3944"/>
  <c r="P770" i="3957"/>
  <c r="O770" i="3957"/>
  <c r="AU1058" i="3957"/>
  <c r="F25" i="3944"/>
  <c r="F229" i="3944"/>
  <c r="AU858" i="3957"/>
  <c r="O877" i="3957"/>
  <c r="P877" i="3957"/>
  <c r="A886" i="3957"/>
  <c r="A885" i="3957"/>
  <c r="O885" i="3957" s="1"/>
  <c r="O883" i="3957"/>
  <c r="P867" i="3957"/>
  <c r="A884" i="3957"/>
  <c r="O884" i="3957" s="1"/>
  <c r="P866" i="3957"/>
  <c r="P815" i="3957"/>
  <c r="O815" i="3957"/>
  <c r="J25" i="3944"/>
  <c r="J229" i="3944"/>
  <c r="AY1058" i="3957"/>
  <c r="AY858" i="3957"/>
  <c r="A792" i="3957"/>
  <c r="A794" i="3957"/>
  <c r="A793" i="3957"/>
  <c r="P791" i="3957"/>
  <c r="O791" i="3957"/>
  <c r="AT1093" i="3957"/>
  <c r="F54" i="3944"/>
  <c r="G54" i="3944"/>
  <c r="AT1102" i="3957"/>
  <c r="AT1100" i="3957"/>
  <c r="AT1092" i="3957"/>
  <c r="AT1094" i="3957"/>
  <c r="AT1096" i="3957"/>
  <c r="F53" i="3944"/>
  <c r="G53" i="3944"/>
  <c r="AV1085" i="3957"/>
  <c r="AV1108" i="3957"/>
  <c r="AS1108" i="3957" s="1"/>
  <c r="AT1108" i="3957" s="1"/>
  <c r="AS1083" i="3957"/>
  <c r="AT1070" i="3957" s="1"/>
  <c r="AS982" i="3957"/>
  <c r="D255" i="3944"/>
  <c r="F257" i="3944"/>
  <c r="AS920" i="3957"/>
  <c r="AS924" i="3957" s="1"/>
  <c r="AS921" i="3957"/>
  <c r="H27" i="3944" l="1"/>
  <c r="AS859" i="3957"/>
  <c r="AS860" i="3957"/>
  <c r="AS1060" i="3957"/>
  <c r="AT1179" i="3957"/>
  <c r="H231" i="3944"/>
  <c r="AW1060" i="3957"/>
  <c r="H232" i="3944"/>
  <c r="D230" i="3944"/>
  <c r="D232" i="3944" s="1"/>
  <c r="H26" i="3944"/>
  <c r="AS1059" i="3957"/>
  <c r="AS1061" i="3957" s="1"/>
  <c r="AW860" i="3957"/>
  <c r="AW859" i="3957"/>
  <c r="AW861" i="3957" s="1"/>
  <c r="F57" i="3944"/>
  <c r="F60" i="3944" s="1"/>
  <c r="J231" i="3944"/>
  <c r="D26" i="3944"/>
  <c r="D28" i="3944" s="1"/>
  <c r="AW1059" i="3957"/>
  <c r="AW1061" i="3957" s="1"/>
  <c r="AU859" i="3957"/>
  <c r="AU861" i="3957" s="1"/>
  <c r="AU860" i="3957"/>
  <c r="G281" i="3944"/>
  <c r="D281" i="3944" s="1"/>
  <c r="D273" i="3944"/>
  <c r="F274" i="3944"/>
  <c r="F282" i="3944" s="1"/>
  <c r="D272" i="3944"/>
  <c r="F284" i="3944"/>
  <c r="D284" i="3944" s="1"/>
  <c r="D276" i="3944"/>
  <c r="O112" i="3957"/>
  <c r="P112" i="3957"/>
  <c r="AU1060" i="3957"/>
  <c r="O16" i="3944"/>
  <c r="BC842" i="3957"/>
  <c r="D27" i="3944"/>
  <c r="BD842" i="3957"/>
  <c r="N16" i="3944"/>
  <c r="H28" i="3944"/>
  <c r="AT1153" i="3957"/>
  <c r="E341" i="3944"/>
  <c r="AW855" i="3957"/>
  <c r="H22" i="3944"/>
  <c r="A122" i="3957"/>
  <c r="A121" i="3957"/>
  <c r="A120" i="3957"/>
  <c r="A119" i="3957"/>
  <c r="A118" i="3957"/>
  <c r="A117" i="3957"/>
  <c r="P116" i="3957"/>
  <c r="O116" i="3957"/>
  <c r="F231" i="3944"/>
  <c r="J27" i="3944"/>
  <c r="P113" i="3957"/>
  <c r="O113" i="3957"/>
  <c r="F27" i="3944"/>
  <c r="O792" i="3957"/>
  <c r="P792" i="3957"/>
  <c r="D231" i="3944"/>
  <c r="O728" i="3957"/>
  <c r="P728" i="3957"/>
  <c r="AU1059" i="3957"/>
  <c r="AU1061" i="3957" s="1"/>
  <c r="AY1059" i="3957"/>
  <c r="AY1061" i="3957" s="1"/>
  <c r="AY860" i="3957"/>
  <c r="D226" i="3944"/>
  <c r="AS1055" i="3957"/>
  <c r="E364" i="3944"/>
  <c r="O794" i="3957"/>
  <c r="P794" i="3957"/>
  <c r="F230" i="3944"/>
  <c r="F232" i="3944" s="1"/>
  <c r="J230" i="3944"/>
  <c r="J232" i="3944" s="1"/>
  <c r="AY1060" i="3957"/>
  <c r="E338" i="3944"/>
  <c r="D22" i="3944"/>
  <c r="P8" i="3944"/>
  <c r="AS855" i="3957"/>
  <c r="BE834" i="3957"/>
  <c r="F280" i="3944"/>
  <c r="D280" i="3944" s="1"/>
  <c r="E280" i="3944" s="1"/>
  <c r="A736" i="3957"/>
  <c r="A734" i="3957"/>
  <c r="A733" i="3957"/>
  <c r="A735" i="3957"/>
  <c r="A737" i="3957"/>
  <c r="O732" i="3957"/>
  <c r="P732" i="3957"/>
  <c r="F26" i="3944"/>
  <c r="F28" i="3944" s="1"/>
  <c r="AS861" i="3957"/>
  <c r="AY859" i="3957"/>
  <c r="AY861" i="3957" s="1"/>
  <c r="O114" i="3957"/>
  <c r="P114" i="3957"/>
  <c r="O731" i="3957"/>
  <c r="P731" i="3957"/>
  <c r="J26" i="3944"/>
  <c r="J28" i="3944" s="1"/>
  <c r="O115" i="3957"/>
  <c r="P115" i="3957"/>
  <c r="AU855" i="3957"/>
  <c r="A890" i="3957"/>
  <c r="A887" i="3957"/>
  <c r="A889" i="3957"/>
  <c r="A888" i="3957"/>
  <c r="O886" i="3957"/>
  <c r="P730" i="3957"/>
  <c r="O730" i="3957"/>
  <c r="G274" i="3944"/>
  <c r="G282" i="3944" s="1"/>
  <c r="E340" i="3944"/>
  <c r="J22" i="3944"/>
  <c r="AY855" i="3957"/>
  <c r="F283" i="3944"/>
  <c r="D283" i="3944" s="1"/>
  <c r="D275" i="3944"/>
  <c r="O111" i="3957"/>
  <c r="P111" i="3957"/>
  <c r="F22" i="3944"/>
  <c r="G57" i="3944"/>
  <c r="G60" i="3944" s="1"/>
  <c r="D54" i="3944"/>
  <c r="D53" i="3944"/>
  <c r="AT1075" i="3957"/>
  <c r="AT1071" i="3957"/>
  <c r="AT1080" i="3957"/>
  <c r="AT1074" i="3957"/>
  <c r="AT1072" i="3957"/>
  <c r="AT1083" i="3957"/>
  <c r="AT1079" i="3957"/>
  <c r="AT1081" i="3957"/>
  <c r="AT1073" i="3957"/>
  <c r="AT1078" i="3957"/>
  <c r="AT1077" i="3957"/>
  <c r="AS1085" i="3957"/>
  <c r="AT1085" i="3957" s="1"/>
  <c r="AV1110" i="3957"/>
  <c r="AS1110" i="3957" s="1"/>
  <c r="AT1097" i="3957" s="1"/>
  <c r="E249" i="3944"/>
  <c r="E243" i="3944"/>
  <c r="E251" i="3944"/>
  <c r="E252" i="3944"/>
  <c r="E253" i="3944"/>
  <c r="E250" i="3944"/>
  <c r="E255" i="3944"/>
  <c r="E245" i="3944"/>
  <c r="E246" i="3944"/>
  <c r="E247" i="3944"/>
  <c r="E244" i="3944"/>
  <c r="E242" i="3944"/>
  <c r="D257" i="3944"/>
  <c r="AT1110" i="3957" l="1"/>
  <c r="D282" i="3944"/>
  <c r="E269" i="3944" s="1"/>
  <c r="L8" i="3944"/>
  <c r="M8" i="3944"/>
  <c r="BA834" i="3957"/>
  <c r="BB834" i="3957"/>
  <c r="O118" i="3957"/>
  <c r="P118" i="3957"/>
  <c r="O890" i="3957"/>
  <c r="A893" i="3957"/>
  <c r="A892" i="3957"/>
  <c r="A891" i="3957"/>
  <c r="P735" i="3957"/>
  <c r="O735" i="3957"/>
  <c r="P736" i="3957"/>
  <c r="O736" i="3957"/>
  <c r="P119" i="3957"/>
  <c r="O119" i="3957"/>
  <c r="O120" i="3957"/>
  <c r="P120" i="3957"/>
  <c r="O888" i="3957"/>
  <c r="P888" i="3957"/>
  <c r="O121" i="3957"/>
  <c r="P121" i="3957"/>
  <c r="O889" i="3957"/>
  <c r="P889" i="3957"/>
  <c r="A128" i="3957"/>
  <c r="A127" i="3957"/>
  <c r="A126" i="3957"/>
  <c r="A125" i="3957"/>
  <c r="A124" i="3957"/>
  <c r="P122" i="3957"/>
  <c r="O122" i="3957"/>
  <c r="A123" i="3957"/>
  <c r="E268" i="3944"/>
  <c r="E265" i="3944"/>
  <c r="E270" i="3944"/>
  <c r="E272" i="3944"/>
  <c r="E264" i="3944"/>
  <c r="E266" i="3944"/>
  <c r="E263" i="3944"/>
  <c r="O887" i="3957"/>
  <c r="P887" i="3957"/>
  <c r="A742" i="3957"/>
  <c r="A741" i="3957"/>
  <c r="A740" i="3957"/>
  <c r="A739" i="3957"/>
  <c r="A738" i="3957"/>
  <c r="O737" i="3957"/>
  <c r="P737" i="3957"/>
  <c r="D274" i="3944"/>
  <c r="E274" i="3944" s="1"/>
  <c r="O733" i="3957"/>
  <c r="P733" i="3957"/>
  <c r="P117" i="3957"/>
  <c r="O117" i="3957"/>
  <c r="R24" i="3944"/>
  <c r="E257" i="3944"/>
  <c r="BG857" i="3957"/>
  <c r="E282" i="3944" l="1"/>
  <c r="O127" i="3957"/>
  <c r="P127" i="3957"/>
  <c r="P123" i="3957"/>
  <c r="O123" i="3957"/>
  <c r="O893" i="3957"/>
  <c r="P893" i="3957"/>
  <c r="A130" i="3957"/>
  <c r="A129" i="3957"/>
  <c r="O128" i="3957"/>
  <c r="P86" i="3957"/>
  <c r="O892" i="3957"/>
  <c r="P892" i="3957"/>
  <c r="P890" i="3957"/>
  <c r="A894" i="3957"/>
  <c r="A745" i="3957"/>
  <c r="A744" i="3957"/>
  <c r="A743" i="3957"/>
  <c r="P742" i="3957"/>
  <c r="O742" i="3957"/>
  <c r="P891" i="3957"/>
  <c r="O891" i="3957"/>
  <c r="O738" i="3957"/>
  <c r="P738" i="3957"/>
  <c r="O124" i="3957"/>
  <c r="P124" i="3957"/>
  <c r="P740" i="3957"/>
  <c r="O740" i="3957"/>
  <c r="P125" i="3957"/>
  <c r="O125" i="3957"/>
  <c r="P741" i="3957"/>
  <c r="O741" i="3957"/>
  <c r="P126" i="3957"/>
  <c r="O126" i="3957"/>
  <c r="C137" i="3944"/>
  <c r="C139" i="3944" s="1"/>
  <c r="C142" i="3944" s="1"/>
  <c r="AS895" i="3957"/>
  <c r="AR967" i="3957"/>
  <c r="AR969" i="3957" s="1"/>
  <c r="AR972" i="3957" s="1"/>
  <c r="D39" i="3944"/>
  <c r="D55" i="3944"/>
  <c r="AS877" i="3957"/>
  <c r="P743" i="3957" l="1"/>
  <c r="O743" i="3957"/>
  <c r="P129" i="3957"/>
  <c r="O129" i="3957"/>
  <c r="O745" i="3957"/>
  <c r="P745" i="3957"/>
  <c r="A134" i="3957"/>
  <c r="A132" i="3957"/>
  <c r="O132" i="3957" s="1"/>
  <c r="A131" i="3957"/>
  <c r="A133" i="3957"/>
  <c r="O130" i="3957"/>
  <c r="A903" i="3957"/>
  <c r="A902" i="3957"/>
  <c r="O902" i="3957" s="1"/>
  <c r="A898" i="3957"/>
  <c r="A900" i="3957"/>
  <c r="A896" i="3957"/>
  <c r="A901" i="3957"/>
  <c r="A895" i="3957"/>
  <c r="A897" i="3957"/>
  <c r="A899" i="3957"/>
  <c r="AS879" i="3957"/>
  <c r="AT877" i="3957" s="1"/>
  <c r="D41" i="3944"/>
  <c r="AS897" i="3957"/>
  <c r="AS900" i="3957" s="1"/>
  <c r="D57" i="3944"/>
  <c r="AT895" i="3957" s="1"/>
  <c r="O131" i="3957" l="1"/>
  <c r="P131" i="3957"/>
  <c r="P896" i="3957"/>
  <c r="P901" i="3957"/>
  <c r="O896" i="3957"/>
  <c r="O901" i="3957"/>
  <c r="P900" i="3957"/>
  <c r="P886" i="3957"/>
  <c r="O900" i="3957"/>
  <c r="A136" i="3957"/>
  <c r="A135" i="3957"/>
  <c r="O134" i="3957"/>
  <c r="P130" i="3957"/>
  <c r="O895" i="3957"/>
  <c r="P895" i="3957"/>
  <c r="P133" i="3957"/>
  <c r="P132" i="3957"/>
  <c r="O133" i="3957"/>
  <c r="P898" i="3957"/>
  <c r="O898" i="3957"/>
  <c r="P899" i="3957"/>
  <c r="O899" i="3957"/>
  <c r="P902" i="3957"/>
  <c r="P884" i="3957"/>
  <c r="A904" i="3957"/>
  <c r="O904" i="3957" s="1"/>
  <c r="P883" i="3957"/>
  <c r="O903" i="3957"/>
  <c r="A905" i="3957"/>
  <c r="O905" i="3957" s="1"/>
  <c r="A906" i="3957"/>
  <c r="P885" i="3957"/>
  <c r="P897" i="3957"/>
  <c r="O897" i="3957"/>
  <c r="E55" i="3944"/>
  <c r="E41" i="3944"/>
  <c r="E35" i="3944"/>
  <c r="E38" i="3944"/>
  <c r="E34" i="3944"/>
  <c r="E37" i="3944"/>
  <c r="E40" i="3944"/>
  <c r="E36" i="3944"/>
  <c r="D44" i="3944"/>
  <c r="E53" i="3944"/>
  <c r="E57" i="3944" s="1"/>
  <c r="AT892" i="3957"/>
  <c r="E56" i="3944"/>
  <c r="D60" i="3944"/>
  <c r="AT896" i="3957"/>
  <c r="AT893" i="3957"/>
  <c r="AT891" i="3957"/>
  <c r="AT897" i="3957" s="1"/>
  <c r="E54" i="3944"/>
  <c r="E39" i="3944"/>
  <c r="AT878" i="3957"/>
  <c r="AT872" i="3957"/>
  <c r="AT874" i="3957"/>
  <c r="AT875" i="3957"/>
  <c r="AT879" i="3957"/>
  <c r="AT876" i="3957"/>
  <c r="AS882" i="3957"/>
  <c r="AT873" i="3957"/>
  <c r="A913" i="3957" l="1"/>
  <c r="A909" i="3957"/>
  <c r="A907" i="3957"/>
  <c r="A910" i="3957"/>
  <c r="A911" i="3957"/>
  <c r="O906" i="3957"/>
  <c r="A912" i="3957"/>
  <c r="A908" i="3957"/>
  <c r="O135" i="3957"/>
  <c r="P135" i="3957"/>
  <c r="A138" i="3957"/>
  <c r="A137" i="3957"/>
  <c r="P134" i="3957"/>
  <c r="O136" i="3957"/>
  <c r="P904" i="3957" l="1"/>
  <c r="P903" i="3957"/>
  <c r="O913" i="3957"/>
  <c r="A915" i="3957"/>
  <c r="A914" i="3957"/>
  <c r="O914" i="3957" s="1"/>
  <c r="P905" i="3957"/>
  <c r="O908" i="3957"/>
  <c r="P908" i="3957"/>
  <c r="P912" i="3957"/>
  <c r="P906" i="3957"/>
  <c r="O912" i="3957"/>
  <c r="O909" i="3957"/>
  <c r="P909" i="3957"/>
  <c r="O911" i="3957"/>
  <c r="P911" i="3957"/>
  <c r="O137" i="3957"/>
  <c r="P137" i="3957"/>
  <c r="P910" i="3957"/>
  <c r="O910" i="3957"/>
  <c r="A140" i="3957"/>
  <c r="A139" i="3957"/>
  <c r="P136" i="3957"/>
  <c r="O138" i="3957"/>
  <c r="O907" i="3957"/>
  <c r="P907" i="3957"/>
  <c r="O139" i="3957" l="1"/>
  <c r="P139" i="3957"/>
  <c r="A919" i="3957"/>
  <c r="A917" i="3957"/>
  <c r="O915" i="3957"/>
  <c r="A916" i="3957"/>
  <c r="A918" i="3957"/>
  <c r="A142" i="3957"/>
  <c r="A141" i="3957"/>
  <c r="O140" i="3957"/>
  <c r="P138" i="3957"/>
  <c r="P917" i="3957" l="1"/>
  <c r="O917" i="3957"/>
  <c r="A920" i="3957"/>
  <c r="A921" i="3957"/>
  <c r="O919" i="3957"/>
  <c r="P919" i="3957" s="1"/>
  <c r="A922" i="3957" s="1"/>
  <c r="O916" i="3957"/>
  <c r="P916" i="3957"/>
  <c r="A143" i="3957"/>
  <c r="A144" i="3957"/>
  <c r="O142" i="3957"/>
  <c r="P140" i="3957"/>
  <c r="O918" i="3957"/>
  <c r="P918" i="3957"/>
  <c r="P141" i="3957"/>
  <c r="O141" i="3957"/>
  <c r="A923" i="3957" l="1"/>
  <c r="A924" i="3957"/>
  <c r="A925" i="3957"/>
  <c r="A145" i="3957"/>
  <c r="P128" i="3957"/>
  <c r="O144" i="3957"/>
  <c r="P143" i="3957"/>
  <c r="O143" i="3957"/>
  <c r="P142" i="3957"/>
  <c r="P921" i="3957"/>
  <c r="O921" i="3957"/>
  <c r="O920" i="3957"/>
  <c r="P920" i="3957"/>
  <c r="A146" i="3957" l="1"/>
  <c r="O145" i="3957"/>
  <c r="P914" i="3957"/>
  <c r="A926" i="3957"/>
  <c r="O926" i="3957" s="1"/>
  <c r="A927" i="3957"/>
  <c r="O925" i="3957"/>
  <c r="P913" i="3957"/>
  <c r="P924" i="3957"/>
  <c r="P915" i="3957"/>
  <c r="O924" i="3957"/>
  <c r="P923" i="3957"/>
  <c r="O923" i="3957"/>
  <c r="O927" i="3957" l="1"/>
  <c r="A932" i="3957"/>
  <c r="A928" i="3957"/>
  <c r="A931" i="3957"/>
  <c r="A929" i="3957"/>
  <c r="P927" i="3957"/>
  <c r="A930" i="3957"/>
  <c r="A156" i="3957"/>
  <c r="A148" i="3957"/>
  <c r="A155" i="3957"/>
  <c r="A147" i="3957"/>
  <c r="A154" i="3957"/>
  <c r="A153" i="3957"/>
  <c r="A152" i="3957"/>
  <c r="A151" i="3957"/>
  <c r="A158" i="3957"/>
  <c r="A150" i="3957"/>
  <c r="O146" i="3957"/>
  <c r="A157" i="3957"/>
  <c r="A149" i="3957"/>
  <c r="O152" i="3957" l="1"/>
  <c r="P152" i="3957"/>
  <c r="O930" i="3957"/>
  <c r="P930" i="3957"/>
  <c r="O153" i="3957"/>
  <c r="P153" i="3957"/>
  <c r="O929" i="3957"/>
  <c r="P929" i="3957"/>
  <c r="P151" i="3957"/>
  <c r="O151" i="3957"/>
  <c r="O931" i="3957"/>
  <c r="P931" i="3957"/>
  <c r="O149" i="3957"/>
  <c r="P149" i="3957"/>
  <c r="O157" i="3957"/>
  <c r="P157" i="3957"/>
  <c r="P147" i="3957"/>
  <c r="O147" i="3957"/>
  <c r="O928" i="3957"/>
  <c r="P928" i="3957"/>
  <c r="O156" i="3957"/>
  <c r="P156" i="3957"/>
  <c r="P154" i="3957"/>
  <c r="O154" i="3957"/>
  <c r="P146" i="3957"/>
  <c r="A159" i="3957" s="1"/>
  <c r="A160" i="3957" s="1"/>
  <c r="O155" i="3957"/>
  <c r="P155" i="3957"/>
  <c r="O932" i="3957"/>
  <c r="P932" i="3957" s="1"/>
  <c r="A935" i="3957" s="1"/>
  <c r="A934" i="3957"/>
  <c r="A933" i="3957"/>
  <c r="P158" i="3957"/>
  <c r="O158" i="3957"/>
  <c r="O150" i="3957"/>
  <c r="P150" i="3957"/>
  <c r="P148" i="3957"/>
  <c r="O148" i="3957"/>
  <c r="A161" i="3957" l="1"/>
  <c r="O160" i="3957"/>
  <c r="P160" i="3957"/>
  <c r="A937" i="3957"/>
  <c r="A936" i="3957"/>
  <c r="A938" i="3957"/>
  <c r="P934" i="3957"/>
  <c r="O934" i="3957"/>
  <c r="P933" i="3957"/>
  <c r="O933" i="3957"/>
  <c r="A939" i="3957" l="1"/>
  <c r="P925" i="3957"/>
  <c r="O938" i="3957"/>
  <c r="O936" i="3957"/>
  <c r="P936" i="3957"/>
  <c r="O937" i="3957"/>
  <c r="P937" i="3957"/>
  <c r="O161" i="3957"/>
  <c r="A167" i="3957"/>
  <c r="A166" i="3957"/>
  <c r="A173" i="3957"/>
  <c r="A165" i="3957"/>
  <c r="A172" i="3957"/>
  <c r="A164" i="3957"/>
  <c r="A171" i="3957"/>
  <c r="A163" i="3957"/>
  <c r="A170" i="3957"/>
  <c r="A162" i="3957"/>
  <c r="A169" i="3957"/>
  <c r="A168" i="3957"/>
  <c r="P172" i="3957" l="1"/>
  <c r="O172" i="3957"/>
  <c r="P161" i="3957"/>
  <c r="A174" i="3957"/>
  <c r="A175" i="3957" s="1"/>
  <c r="P164" i="3957"/>
  <c r="O164" i="3957"/>
  <c r="O163" i="3957"/>
  <c r="P163" i="3957"/>
  <c r="O171" i="3957"/>
  <c r="P171" i="3957"/>
  <c r="P168" i="3957"/>
  <c r="O168" i="3957"/>
  <c r="P165" i="3957"/>
  <c r="O165" i="3957"/>
  <c r="O169" i="3957"/>
  <c r="P169" i="3957"/>
  <c r="P173" i="3957"/>
  <c r="O173" i="3957"/>
  <c r="O162" i="3957"/>
  <c r="P162" i="3957"/>
  <c r="P166" i="3957"/>
  <c r="O166" i="3957"/>
  <c r="P170" i="3957"/>
  <c r="O170" i="3957"/>
  <c r="P167" i="3957"/>
  <c r="O167" i="3957"/>
  <c r="A949" i="3957"/>
  <c r="A940" i="3957"/>
  <c r="A946" i="3957"/>
  <c r="A942" i="3957"/>
  <c r="A944" i="3957"/>
  <c r="A943" i="3957"/>
  <c r="O939" i="3957"/>
  <c r="A945" i="3957"/>
  <c r="A941" i="3957"/>
  <c r="A948" i="3957"/>
  <c r="A947" i="3957"/>
  <c r="O942" i="3957" l="1"/>
  <c r="P942" i="3957"/>
  <c r="O947" i="3957"/>
  <c r="P947" i="3957"/>
  <c r="P946" i="3957"/>
  <c r="O946" i="3957"/>
  <c r="P940" i="3957"/>
  <c r="O940" i="3957"/>
  <c r="A176" i="3957"/>
  <c r="O175" i="3957"/>
  <c r="P175" i="3957"/>
  <c r="P943" i="3957"/>
  <c r="O943" i="3957"/>
  <c r="O941" i="3957"/>
  <c r="P941" i="3957"/>
  <c r="A951" i="3957"/>
  <c r="O949" i="3957"/>
  <c r="P926" i="3957"/>
  <c r="P938" i="3957"/>
  <c r="A950" i="3957"/>
  <c r="O950" i="3957" s="1"/>
  <c r="P944" i="3957"/>
  <c r="O944" i="3957"/>
  <c r="P948" i="3957"/>
  <c r="O948" i="3957"/>
  <c r="P939" i="3957"/>
  <c r="O945" i="3957"/>
  <c r="P945" i="3957"/>
  <c r="O176" i="3957" l="1"/>
  <c r="A186" i="3957"/>
  <c r="A178" i="3957"/>
  <c r="A185" i="3957"/>
  <c r="A177" i="3957"/>
  <c r="A184" i="3957"/>
  <c r="A183" i="3957"/>
  <c r="A182" i="3957"/>
  <c r="A181" i="3957"/>
  <c r="A188" i="3957"/>
  <c r="A180" i="3957"/>
  <c r="A187" i="3957"/>
  <c r="A179" i="3957"/>
  <c r="A953" i="3957"/>
  <c r="O951" i="3957"/>
  <c r="A954" i="3957"/>
  <c r="P951" i="3957"/>
  <c r="A952" i="3957"/>
  <c r="P183" i="3957" l="1"/>
  <c r="O183" i="3957"/>
  <c r="O177" i="3957"/>
  <c r="P177" i="3957"/>
  <c r="P182" i="3957"/>
  <c r="O182" i="3957"/>
  <c r="O185" i="3957"/>
  <c r="P185" i="3957"/>
  <c r="P179" i="3957"/>
  <c r="O179" i="3957"/>
  <c r="P180" i="3957"/>
  <c r="O180" i="3957"/>
  <c r="P178" i="3957"/>
  <c r="O178" i="3957"/>
  <c r="A955" i="3957"/>
  <c r="A957" i="3957"/>
  <c r="AQ953" i="3957" s="1"/>
  <c r="O954" i="3957"/>
  <c r="P954" i="3957"/>
  <c r="A956" i="3957"/>
  <c r="P953" i="3957"/>
  <c r="O953" i="3957"/>
  <c r="O952" i="3957"/>
  <c r="P952" i="3957"/>
  <c r="P188" i="3957"/>
  <c r="O188" i="3957"/>
  <c r="O186" i="3957"/>
  <c r="P186" i="3957"/>
  <c r="O184" i="3957"/>
  <c r="P184" i="3957"/>
  <c r="P187" i="3957"/>
  <c r="O187" i="3957"/>
  <c r="P181" i="3957"/>
  <c r="O181" i="3957"/>
  <c r="P176" i="3957"/>
  <c r="A189" i="3957" s="1"/>
  <c r="A190" i="3957" s="1"/>
  <c r="A196" i="3957" l="1"/>
  <c r="A195" i="3957"/>
  <c r="A194" i="3957"/>
  <c r="A193" i="3957"/>
  <c r="A192" i="3957"/>
  <c r="A191" i="3957"/>
  <c r="O190" i="3957"/>
  <c r="P190" i="3957"/>
  <c r="A959" i="3957"/>
  <c r="P950" i="3957"/>
  <c r="P949" i="3957"/>
  <c r="O957" i="3957"/>
  <c r="A958" i="3957"/>
  <c r="O958" i="3957" s="1"/>
  <c r="P955" i="3957"/>
  <c r="O955" i="3957"/>
  <c r="P956" i="3957"/>
  <c r="O956" i="3957"/>
  <c r="O191" i="3957" l="1"/>
  <c r="P191" i="3957"/>
  <c r="P192" i="3957"/>
  <c r="O192" i="3957"/>
  <c r="P193" i="3957"/>
  <c r="O193" i="3957"/>
  <c r="P194" i="3957"/>
  <c r="O194" i="3957"/>
  <c r="O195" i="3957"/>
  <c r="P195" i="3957"/>
  <c r="A962" i="3957"/>
  <c r="A960" i="3957"/>
  <c r="A961" i="3957"/>
  <c r="O959" i="3957"/>
  <c r="A963" i="3957"/>
  <c r="A197" i="3957"/>
  <c r="A204" i="3957"/>
  <c r="A203" i="3957"/>
  <c r="A202" i="3957"/>
  <c r="A201" i="3957"/>
  <c r="A200" i="3957"/>
  <c r="A205" i="3957"/>
  <c r="A199" i="3957"/>
  <c r="A198" i="3957"/>
  <c r="P196" i="3957"/>
  <c r="O196" i="3957"/>
  <c r="P198" i="3957" l="1"/>
  <c r="O198" i="3957"/>
  <c r="A206" i="3957"/>
  <c r="P205" i="3957"/>
  <c r="O205" i="3957"/>
  <c r="P200" i="3957"/>
  <c r="O200" i="3957"/>
  <c r="P961" i="3957"/>
  <c r="O961" i="3957"/>
  <c r="P201" i="3957"/>
  <c r="O201" i="3957"/>
  <c r="P960" i="3957"/>
  <c r="O960" i="3957"/>
  <c r="AQ956" i="3957"/>
  <c r="P202" i="3957"/>
  <c r="O202" i="3957"/>
  <c r="O962" i="3957"/>
  <c r="P962" i="3957"/>
  <c r="O197" i="3957"/>
  <c r="P197" i="3957"/>
  <c r="O199" i="3957"/>
  <c r="P199" i="3957"/>
  <c r="A965" i="3957"/>
  <c r="A964" i="3957"/>
  <c r="O963" i="3957"/>
  <c r="P963" i="3957" s="1"/>
  <c r="A966" i="3957" s="1"/>
  <c r="O203" i="3957"/>
  <c r="P203" i="3957"/>
  <c r="P204" i="3957"/>
  <c r="O204" i="3957"/>
  <c r="A975" i="3957" l="1"/>
  <c r="A969" i="3957"/>
  <c r="A972" i="3957"/>
  <c r="A968" i="3957"/>
  <c r="A971" i="3957"/>
  <c r="A973" i="3957"/>
  <c r="A967" i="3957"/>
  <c r="A974" i="3957"/>
  <c r="O974" i="3957" s="1"/>
  <c r="A970" i="3957"/>
  <c r="O964" i="3957"/>
  <c r="P964" i="3957"/>
  <c r="O965" i="3957"/>
  <c r="P965" i="3957"/>
  <c r="A207" i="3957"/>
  <c r="P206" i="3957"/>
  <c r="O206" i="3957"/>
  <c r="P145" i="3957"/>
  <c r="P144" i="3957"/>
  <c r="P967" i="3957" l="1"/>
  <c r="O967" i="3957"/>
  <c r="A208" i="3957"/>
  <c r="A213" i="3957"/>
  <c r="A212" i="3957"/>
  <c r="A211" i="3957"/>
  <c r="A210" i="3957"/>
  <c r="A209" i="3957"/>
  <c r="P971" i="3957"/>
  <c r="O971" i="3957"/>
  <c r="O968" i="3957"/>
  <c r="O973" i="3957"/>
  <c r="P968" i="3957"/>
  <c r="P973" i="3957"/>
  <c r="P959" i="3957"/>
  <c r="P974" i="3957"/>
  <c r="O972" i="3957"/>
  <c r="P972" i="3957"/>
  <c r="O969" i="3957"/>
  <c r="P969" i="3957"/>
  <c r="O970" i="3957"/>
  <c r="P970" i="3957"/>
  <c r="P957" i="3957"/>
  <c r="O975" i="3957"/>
  <c r="A976" i="3957"/>
  <c r="O976" i="3957" s="1"/>
  <c r="A977" i="3957"/>
  <c r="P958" i="3957"/>
  <c r="P210" i="3957" l="1"/>
  <c r="O210" i="3957"/>
  <c r="P211" i="3957"/>
  <c r="O211" i="3957"/>
  <c r="P209" i="3957"/>
  <c r="O209" i="3957"/>
  <c r="P212" i="3957"/>
  <c r="O212" i="3957"/>
  <c r="A221" i="3957"/>
  <c r="A217" i="3957"/>
  <c r="A216" i="3957"/>
  <c r="A215" i="3957"/>
  <c r="A214" i="3957"/>
  <c r="A220" i="3957"/>
  <c r="A219" i="3957"/>
  <c r="O213" i="3957"/>
  <c r="A218" i="3957"/>
  <c r="P208" i="3957"/>
  <c r="O208" i="3957"/>
  <c r="O977" i="3957"/>
  <c r="A983" i="3957"/>
  <c r="A979" i="3957"/>
  <c r="A982" i="3957"/>
  <c r="A978" i="3957"/>
  <c r="A981" i="3957"/>
  <c r="A980" i="3957"/>
  <c r="O979" i="3957" l="1"/>
  <c r="P979" i="3957"/>
  <c r="P220" i="3957"/>
  <c r="O220" i="3957"/>
  <c r="P978" i="3957"/>
  <c r="O978" i="3957"/>
  <c r="O982" i="3957"/>
  <c r="P982" i="3957"/>
  <c r="P977" i="3957"/>
  <c r="O215" i="3957"/>
  <c r="P215" i="3957"/>
  <c r="O216" i="3957"/>
  <c r="P216" i="3957"/>
  <c r="P214" i="3957"/>
  <c r="O214" i="3957"/>
  <c r="P980" i="3957"/>
  <c r="O980" i="3957"/>
  <c r="P217" i="3957"/>
  <c r="O217" i="3957"/>
  <c r="P219" i="3957"/>
  <c r="O219" i="3957"/>
  <c r="P976" i="3957"/>
  <c r="P975" i="3957"/>
  <c r="A984" i="3957"/>
  <c r="O983" i="3957"/>
  <c r="P981" i="3957"/>
  <c r="O981" i="3957"/>
  <c r="O218" i="3957"/>
  <c r="P218" i="3957"/>
  <c r="A228" i="3957"/>
  <c r="A226" i="3957"/>
  <c r="A225" i="3957"/>
  <c r="A224" i="3957"/>
  <c r="A223" i="3957"/>
  <c r="A222" i="3957"/>
  <c r="O221" i="3957"/>
  <c r="A227" i="3957"/>
  <c r="P221" i="3957"/>
  <c r="O225" i="3957" l="1"/>
  <c r="P225" i="3957"/>
  <c r="A990" i="3957"/>
  <c r="A988" i="3957"/>
  <c r="P984" i="3957"/>
  <c r="A986" i="3957"/>
  <c r="A992" i="3957"/>
  <c r="A987" i="3957"/>
  <c r="A989" i="3957"/>
  <c r="A991" i="3957"/>
  <c r="A993" i="3957"/>
  <c r="O993" i="3957" s="1"/>
  <c r="A985" i="3957"/>
  <c r="O984" i="3957"/>
  <c r="A994" i="3957"/>
  <c r="O227" i="3957"/>
  <c r="P227" i="3957"/>
  <c r="O222" i="3957"/>
  <c r="P222" i="3957"/>
  <c r="O226" i="3957"/>
  <c r="P226" i="3957"/>
  <c r="A235" i="3957"/>
  <c r="A234" i="3957"/>
  <c r="A233" i="3957"/>
  <c r="A232" i="3957"/>
  <c r="A231" i="3957"/>
  <c r="A230" i="3957"/>
  <c r="A229" i="3957"/>
  <c r="P228" i="3957"/>
  <c r="O228" i="3957"/>
  <c r="O223" i="3957"/>
  <c r="P223" i="3957"/>
  <c r="O224" i="3957"/>
  <c r="P224" i="3957"/>
  <c r="P232" i="3957" l="1"/>
  <c r="O232" i="3957"/>
  <c r="P234" i="3957"/>
  <c r="O234" i="3957"/>
  <c r="O994" i="3957"/>
  <c r="P983" i="3957"/>
  <c r="P993" i="3957"/>
  <c r="A995" i="3957"/>
  <c r="P986" i="3957"/>
  <c r="O986" i="3957"/>
  <c r="P985" i="3957"/>
  <c r="O985" i="3957"/>
  <c r="P988" i="3957"/>
  <c r="O988" i="3957"/>
  <c r="O990" i="3957"/>
  <c r="P990" i="3957"/>
  <c r="O992" i="3957"/>
  <c r="P992" i="3957"/>
  <c r="P991" i="3957"/>
  <c r="O991" i="3957"/>
  <c r="P987" i="3957"/>
  <c r="O987" i="3957"/>
  <c r="P233" i="3957"/>
  <c r="O233" i="3957"/>
  <c r="A236" i="3957"/>
  <c r="A239" i="3957"/>
  <c r="A238" i="3957"/>
  <c r="A237" i="3957"/>
  <c r="O235" i="3957"/>
  <c r="P235" i="3957"/>
  <c r="P229" i="3957"/>
  <c r="O229" i="3957"/>
  <c r="P230" i="3957"/>
  <c r="O230" i="3957"/>
  <c r="P231" i="3957"/>
  <c r="O231" i="3957"/>
  <c r="P989" i="3957"/>
  <c r="O989" i="3957"/>
  <c r="A999" i="3957" l="1"/>
  <c r="A996" i="3957"/>
  <c r="O995" i="3957"/>
  <c r="A998" i="3957"/>
  <c r="A997" i="3957"/>
  <c r="P237" i="3957"/>
  <c r="O237" i="3957"/>
  <c r="O238" i="3957"/>
  <c r="P238" i="3957"/>
  <c r="O239" i="3957"/>
  <c r="A245" i="3957"/>
  <c r="A244" i="3957"/>
  <c r="A243" i="3957"/>
  <c r="A242" i="3957"/>
  <c r="A241" i="3957"/>
  <c r="A240" i="3957"/>
  <c r="O236" i="3957"/>
  <c r="P236" i="3957"/>
  <c r="P241" i="3957" l="1"/>
  <c r="O241" i="3957"/>
  <c r="P242" i="3957"/>
  <c r="O242" i="3957"/>
  <c r="P998" i="3957"/>
  <c r="O998" i="3957"/>
  <c r="A246" i="3957"/>
  <c r="A251" i="3957"/>
  <c r="A250" i="3957"/>
  <c r="A249" i="3957"/>
  <c r="A248" i="3957"/>
  <c r="A247" i="3957"/>
  <c r="P245" i="3957"/>
  <c r="O245" i="3957"/>
  <c r="P239" i="3957"/>
  <c r="A300" i="3957" s="1"/>
  <c r="P996" i="3957"/>
  <c r="O996" i="3957"/>
  <c r="O240" i="3957"/>
  <c r="P240" i="3957"/>
  <c r="O243" i="3957"/>
  <c r="P243" i="3957"/>
  <c r="P997" i="3957"/>
  <c r="O997" i="3957"/>
  <c r="O244" i="3957"/>
  <c r="P244" i="3957"/>
  <c r="O999" i="3957"/>
  <c r="P999" i="3957" s="1"/>
  <c r="A1003" i="3957" s="1"/>
  <c r="A1002" i="3957"/>
  <c r="A1001" i="3957"/>
  <c r="A1000" i="3957"/>
  <c r="A302" i="3957" l="1"/>
  <c r="A301" i="3957"/>
  <c r="A255" i="3957"/>
  <c r="A254" i="3957"/>
  <c r="A257" i="3957"/>
  <c r="A253" i="3957"/>
  <c r="A252" i="3957"/>
  <c r="A256" i="3957"/>
  <c r="P251" i="3957"/>
  <c r="O251" i="3957"/>
  <c r="O1001" i="3957"/>
  <c r="P1001" i="3957"/>
  <c r="O1002" i="3957"/>
  <c r="P1002" i="3957"/>
  <c r="P247" i="3957"/>
  <c r="O247" i="3957"/>
  <c r="P1000" i="3957"/>
  <c r="O1000" i="3957"/>
  <c r="A1004" i="3957"/>
  <c r="A1005" i="3957"/>
  <c r="A1006" i="3957"/>
  <c r="O248" i="3957"/>
  <c r="P248" i="3957"/>
  <c r="O246" i="3957"/>
  <c r="P246" i="3957"/>
  <c r="P249" i="3957"/>
  <c r="O249" i="3957"/>
  <c r="O250" i="3957"/>
  <c r="P250" i="3957"/>
  <c r="P256" i="3957" l="1"/>
  <c r="O256" i="3957"/>
  <c r="O252" i="3957"/>
  <c r="P252" i="3957"/>
  <c r="A263" i="3957"/>
  <c r="A259" i="3957"/>
  <c r="A262" i="3957"/>
  <c r="A261" i="3957"/>
  <c r="A260" i="3957"/>
  <c r="A258" i="3957"/>
  <c r="O257" i="3957"/>
  <c r="P257" i="3957"/>
  <c r="P253" i="3957"/>
  <c r="O253" i="3957"/>
  <c r="P994" i="3957"/>
  <c r="A1008" i="3957"/>
  <c r="A1007" i="3957"/>
  <c r="O1007" i="3957" s="1"/>
  <c r="O1006" i="3957"/>
  <c r="P995" i="3957"/>
  <c r="O1005" i="3957"/>
  <c r="P1005" i="3957"/>
  <c r="O254" i="3957"/>
  <c r="P254" i="3957"/>
  <c r="P1004" i="3957"/>
  <c r="O1004" i="3957"/>
  <c r="O255" i="3957"/>
  <c r="P255" i="3957"/>
  <c r="P301" i="3957"/>
  <c r="O301" i="3957"/>
  <c r="A303" i="3957"/>
  <c r="O302" i="3957"/>
  <c r="P302" i="3957"/>
  <c r="P213" i="3957"/>
  <c r="A1013" i="3957" l="1"/>
  <c r="A1012" i="3957"/>
  <c r="A1011" i="3957"/>
  <c r="A1009" i="3957"/>
  <c r="A1010" i="3957"/>
  <c r="O1008" i="3957"/>
  <c r="P261" i="3957"/>
  <c r="O261" i="3957"/>
  <c r="P262" i="3957"/>
  <c r="O262" i="3957"/>
  <c r="A268" i="3957"/>
  <c r="A266" i="3957"/>
  <c r="A265" i="3957"/>
  <c r="A264" i="3957"/>
  <c r="A269" i="3957"/>
  <c r="A267" i="3957"/>
  <c r="P263" i="3957"/>
  <c r="O263" i="3957"/>
  <c r="A309" i="3957"/>
  <c r="A307" i="3957"/>
  <c r="A308" i="3957"/>
  <c r="A306" i="3957"/>
  <c r="A305" i="3957"/>
  <c r="A304" i="3957"/>
  <c r="O259" i="3957"/>
  <c r="P259" i="3957"/>
  <c r="O258" i="3957"/>
  <c r="P258" i="3957"/>
  <c r="P260" i="3957"/>
  <c r="O260" i="3957"/>
  <c r="A274" i="3957" l="1"/>
  <c r="A273" i="3957"/>
  <c r="A275" i="3957"/>
  <c r="A272" i="3957"/>
  <c r="A271" i="3957"/>
  <c r="A270" i="3957"/>
  <c r="P269" i="3957"/>
  <c r="O269" i="3957"/>
  <c r="P264" i="3957"/>
  <c r="O264" i="3957"/>
  <c r="O308" i="3957"/>
  <c r="P308" i="3957"/>
  <c r="P265" i="3957"/>
  <c r="O265" i="3957"/>
  <c r="P1010" i="3957"/>
  <c r="O1010" i="3957"/>
  <c r="P267" i="3957"/>
  <c r="O267" i="3957"/>
  <c r="P307" i="3957"/>
  <c r="O307" i="3957"/>
  <c r="P266" i="3957"/>
  <c r="O266" i="3957"/>
  <c r="O1009" i="3957"/>
  <c r="P1009" i="3957"/>
  <c r="O304" i="3957"/>
  <c r="P304" i="3957"/>
  <c r="O305" i="3957"/>
  <c r="P305" i="3957"/>
  <c r="P306" i="3957"/>
  <c r="O306" i="3957"/>
  <c r="A310" i="3957"/>
  <c r="O309" i="3957"/>
  <c r="O268" i="3957"/>
  <c r="P268" i="3957"/>
  <c r="O1011" i="3957"/>
  <c r="P1011" i="3957"/>
  <c r="P1012" i="3957"/>
  <c r="O1012" i="3957"/>
  <c r="A1015" i="3957"/>
  <c r="A1014" i="3957"/>
  <c r="O1013" i="3957"/>
  <c r="P1013" i="3957" s="1"/>
  <c r="A1016" i="3957" s="1"/>
  <c r="P270" i="3957" l="1"/>
  <c r="O270" i="3957"/>
  <c r="O271" i="3957"/>
  <c r="P271" i="3957"/>
  <c r="O1014" i="3957"/>
  <c r="P1014" i="3957"/>
  <c r="O1015" i="3957"/>
  <c r="P1015" i="3957"/>
  <c r="P272" i="3957"/>
  <c r="O272" i="3957"/>
  <c r="A311" i="3957"/>
  <c r="O310" i="3957"/>
  <c r="A278" i="3957"/>
  <c r="A277" i="3957"/>
  <c r="A276" i="3957"/>
  <c r="A281" i="3957"/>
  <c r="A280" i="3957"/>
  <c r="A279" i="3957"/>
  <c r="P275" i="3957"/>
  <c r="O275" i="3957"/>
  <c r="O273" i="3957"/>
  <c r="P273" i="3957"/>
  <c r="A1019" i="3957"/>
  <c r="A1017" i="3957"/>
  <c r="A1018" i="3957"/>
  <c r="P274" i="3957"/>
  <c r="O274" i="3957"/>
  <c r="P1007" i="3957" l="1"/>
  <c r="O1019" i="3957"/>
  <c r="A1022" i="3957"/>
  <c r="A1023" i="3957"/>
  <c r="A1020" i="3957"/>
  <c r="A1024" i="3957"/>
  <c r="A1021" i="3957"/>
  <c r="A286" i="3957"/>
  <c r="A285" i="3957"/>
  <c r="A284" i="3957"/>
  <c r="A283" i="3957"/>
  <c r="A282" i="3957"/>
  <c r="A287" i="3957"/>
  <c r="O281" i="3957"/>
  <c r="P281" i="3957"/>
  <c r="P276" i="3957"/>
  <c r="O276" i="3957"/>
  <c r="P277" i="3957"/>
  <c r="O277" i="3957"/>
  <c r="P278" i="3957"/>
  <c r="O278" i="3957"/>
  <c r="P1017" i="3957"/>
  <c r="O1017" i="3957"/>
  <c r="A318" i="3957"/>
  <c r="A314" i="3957"/>
  <c r="A313" i="3957"/>
  <c r="A321" i="3957"/>
  <c r="A312" i="3957"/>
  <c r="A320" i="3957"/>
  <c r="A319" i="3957"/>
  <c r="A317" i="3957"/>
  <c r="A316" i="3957"/>
  <c r="A315" i="3957"/>
  <c r="O311" i="3957"/>
  <c r="P279" i="3957"/>
  <c r="O279" i="3957"/>
  <c r="P1008" i="3957"/>
  <c r="O1018" i="3957"/>
  <c r="P1018" i="3957"/>
  <c r="P280" i="3957"/>
  <c r="O280" i="3957"/>
  <c r="O284" i="3957" l="1"/>
  <c r="P284" i="3957"/>
  <c r="P316" i="3957"/>
  <c r="O316" i="3957"/>
  <c r="O318" i="3957"/>
  <c r="P318" i="3957"/>
  <c r="P286" i="3957"/>
  <c r="O286" i="3957"/>
  <c r="P317" i="3957"/>
  <c r="O317" i="3957"/>
  <c r="P1021" i="3957"/>
  <c r="O1021" i="3957"/>
  <c r="O1024" i="3957"/>
  <c r="P1024" i="3957" s="1"/>
  <c r="A1027" i="3957" s="1"/>
  <c r="A1026" i="3957"/>
  <c r="A1025" i="3957"/>
  <c r="O320" i="3957"/>
  <c r="P320" i="3957"/>
  <c r="A288" i="3957"/>
  <c r="A289" i="3957"/>
  <c r="A292" i="3957"/>
  <c r="A291" i="3957"/>
  <c r="A293" i="3957"/>
  <c r="A290" i="3957"/>
  <c r="P287" i="3957"/>
  <c r="O287" i="3957"/>
  <c r="P1020" i="3957"/>
  <c r="O1020" i="3957"/>
  <c r="P319" i="3957"/>
  <c r="O319" i="3957"/>
  <c r="P312" i="3957"/>
  <c r="O312" i="3957"/>
  <c r="P282" i="3957"/>
  <c r="O282" i="3957"/>
  <c r="P1023" i="3957"/>
  <c r="O1023" i="3957"/>
  <c r="P321" i="3957"/>
  <c r="O321" i="3957"/>
  <c r="P283" i="3957"/>
  <c r="O283" i="3957"/>
  <c r="P1022" i="3957"/>
  <c r="O1022" i="3957"/>
  <c r="P311" i="3957"/>
  <c r="A322" i="3957" s="1"/>
  <c r="A323" i="3957" s="1"/>
  <c r="P313" i="3957"/>
  <c r="O313" i="3957"/>
  <c r="O315" i="3957"/>
  <c r="P315" i="3957"/>
  <c r="O314" i="3957"/>
  <c r="P314" i="3957"/>
  <c r="P285" i="3957"/>
  <c r="O285" i="3957"/>
  <c r="A324" i="3957" l="1"/>
  <c r="O323" i="3957"/>
  <c r="P323" i="3957"/>
  <c r="O290" i="3957"/>
  <c r="P290" i="3957"/>
  <c r="P1025" i="3957"/>
  <c r="O1025" i="3957"/>
  <c r="A297" i="3957"/>
  <c r="A299" i="3957"/>
  <c r="A298" i="3957"/>
  <c r="A296" i="3957"/>
  <c r="A295" i="3957"/>
  <c r="A294" i="3957"/>
  <c r="P293" i="3957"/>
  <c r="O293" i="3957"/>
  <c r="P291" i="3957"/>
  <c r="O291" i="3957"/>
  <c r="A1030" i="3957"/>
  <c r="A1028" i="3957"/>
  <c r="A1032" i="3957"/>
  <c r="A1031" i="3957"/>
  <c r="A1029" i="3957"/>
  <c r="P292" i="3957"/>
  <c r="O292" i="3957"/>
  <c r="O1026" i="3957"/>
  <c r="P1026" i="3957"/>
  <c r="P289" i="3957"/>
  <c r="O289" i="3957"/>
  <c r="P288" i="3957"/>
  <c r="O288" i="3957"/>
  <c r="O297" i="3957" l="1"/>
  <c r="P297" i="3957"/>
  <c r="O1029" i="3957"/>
  <c r="P1031" i="3957"/>
  <c r="O1031" i="3957"/>
  <c r="P1029" i="3957"/>
  <c r="P294" i="3957"/>
  <c r="O294" i="3957"/>
  <c r="A1034" i="3957"/>
  <c r="O1032" i="3957"/>
  <c r="A1033" i="3957"/>
  <c r="O1033" i="3957" s="1"/>
  <c r="P1006" i="3957"/>
  <c r="P295" i="3957"/>
  <c r="O295" i="3957"/>
  <c r="O1028" i="3957"/>
  <c r="P1028" i="3957"/>
  <c r="O296" i="3957"/>
  <c r="P296" i="3957"/>
  <c r="O1030" i="3957"/>
  <c r="P1019" i="3957"/>
  <c r="P1030" i="3957"/>
  <c r="P298" i="3957"/>
  <c r="O298" i="3957"/>
  <c r="P299" i="3957"/>
  <c r="O299" i="3957"/>
  <c r="O324" i="3957"/>
  <c r="A329" i="3957"/>
  <c r="A335" i="3957"/>
  <c r="A326" i="3957"/>
  <c r="A334" i="3957"/>
  <c r="A325" i="3957"/>
  <c r="A333" i="3957"/>
  <c r="A332" i="3957"/>
  <c r="A331" i="3957"/>
  <c r="A330" i="3957"/>
  <c r="A328" i="3957"/>
  <c r="A336" i="3957"/>
  <c r="A327" i="3957"/>
  <c r="P330" i="3957" l="1"/>
  <c r="O330" i="3957"/>
  <c r="P333" i="3957"/>
  <c r="O333" i="3957"/>
  <c r="O327" i="3957"/>
  <c r="P327" i="3957"/>
  <c r="O325" i="3957"/>
  <c r="P325" i="3957"/>
  <c r="P334" i="3957"/>
  <c r="O334" i="3957"/>
  <c r="P336" i="3957"/>
  <c r="O336" i="3957"/>
  <c r="P326" i="3957"/>
  <c r="O326" i="3957"/>
  <c r="P328" i="3957"/>
  <c r="O328" i="3957"/>
  <c r="O335" i="3957"/>
  <c r="P335" i="3957"/>
  <c r="P331" i="3957"/>
  <c r="O331" i="3957"/>
  <c r="A337" i="3957"/>
  <c r="A338" i="3957" s="1"/>
  <c r="P324" i="3957"/>
  <c r="O329" i="3957"/>
  <c r="P329" i="3957"/>
  <c r="P332" i="3957"/>
  <c r="O332" i="3957"/>
  <c r="A1045" i="3957"/>
  <c r="A1044" i="3957"/>
  <c r="A1043" i="3957"/>
  <c r="A1041" i="3957"/>
  <c r="A1040" i="3957"/>
  <c r="A1035" i="3957"/>
  <c r="O1034" i="3957"/>
  <c r="A1039" i="3957"/>
  <c r="A1038" i="3957"/>
  <c r="A1049" i="3957"/>
  <c r="A1037" i="3957"/>
  <c r="A1036" i="3957"/>
  <c r="A1048" i="3957"/>
  <c r="A1047" i="3957"/>
  <c r="A1042" i="3957"/>
  <c r="A1046" i="3957"/>
  <c r="O1047" i="3957" l="1"/>
  <c r="P1047" i="3957"/>
  <c r="P1035" i="3957"/>
  <c r="O1035" i="3957"/>
  <c r="P1034" i="3957"/>
  <c r="O1048" i="3957"/>
  <c r="P1048" i="3957"/>
  <c r="P1040" i="3957"/>
  <c r="O1040" i="3957"/>
  <c r="P1036" i="3957"/>
  <c r="O1036" i="3957"/>
  <c r="O1041" i="3957"/>
  <c r="P1041" i="3957"/>
  <c r="P1043" i="3957"/>
  <c r="O1043" i="3957"/>
  <c r="A339" i="3957"/>
  <c r="P338" i="3957"/>
  <c r="O338" i="3957"/>
  <c r="A1051" i="3957"/>
  <c r="P1033" i="3957"/>
  <c r="O1049" i="3957"/>
  <c r="P1032" i="3957"/>
  <c r="A1050" i="3957"/>
  <c r="A1052" i="3957"/>
  <c r="P1044" i="3957"/>
  <c r="O1044" i="3957"/>
  <c r="O1045" i="3957"/>
  <c r="P1045" i="3957"/>
  <c r="P1037" i="3957"/>
  <c r="O1037" i="3957"/>
  <c r="O1038" i="3957"/>
  <c r="P1038" i="3957"/>
  <c r="P1046" i="3957"/>
  <c r="O1046" i="3957"/>
  <c r="P1039" i="3957"/>
  <c r="O1039" i="3957"/>
  <c r="P1042" i="3957"/>
  <c r="O1042" i="3957"/>
  <c r="A1053" i="3957" l="1"/>
  <c r="A1062" i="3957"/>
  <c r="P1052" i="3957"/>
  <c r="A1060" i="3957"/>
  <c r="A1059" i="3957"/>
  <c r="A1054" i="3957"/>
  <c r="O1052" i="3957"/>
  <c r="A1063" i="3957"/>
  <c r="A1058" i="3957"/>
  <c r="A1055" i="3957"/>
  <c r="A1061" i="3957"/>
  <c r="A1056" i="3957"/>
  <c r="A1057" i="3957"/>
  <c r="A348" i="3957"/>
  <c r="A340" i="3957"/>
  <c r="O339" i="3957"/>
  <c r="A347" i="3957"/>
  <c r="A346" i="3957"/>
  <c r="A345" i="3957"/>
  <c r="A344" i="3957"/>
  <c r="A343" i="3957"/>
  <c r="A342" i="3957"/>
  <c r="A341" i="3957"/>
  <c r="A349" i="3957"/>
  <c r="P349" i="3957" l="1"/>
  <c r="O349" i="3957"/>
  <c r="P339" i="3957"/>
  <c r="A350" i="3957"/>
  <c r="A351" i="3957" s="1"/>
  <c r="P1049" i="3957"/>
  <c r="O1063" i="3957"/>
  <c r="A1064" i="3957"/>
  <c r="O1064" i="3957" s="1"/>
  <c r="A1065" i="3957"/>
  <c r="O341" i="3957"/>
  <c r="P341" i="3957"/>
  <c r="P340" i="3957"/>
  <c r="O340" i="3957"/>
  <c r="O342" i="3957"/>
  <c r="P342" i="3957"/>
  <c r="P348" i="3957"/>
  <c r="O348" i="3957"/>
  <c r="O1054" i="3957"/>
  <c r="P1054" i="3957"/>
  <c r="O343" i="3957"/>
  <c r="P343" i="3957"/>
  <c r="O1051" i="3957"/>
  <c r="P1057" i="3957"/>
  <c r="O1057" i="3957"/>
  <c r="P1059" i="3957"/>
  <c r="O1059" i="3957"/>
  <c r="P344" i="3957"/>
  <c r="O344" i="3957"/>
  <c r="P1056" i="3957"/>
  <c r="O1056" i="3957"/>
  <c r="P1060" i="3957"/>
  <c r="O1060" i="3957"/>
  <c r="P345" i="3957"/>
  <c r="O345" i="3957"/>
  <c r="P1061" i="3957"/>
  <c r="O1061" i="3957"/>
  <c r="P1051" i="3957"/>
  <c r="P346" i="3957"/>
  <c r="O346" i="3957"/>
  <c r="O1055" i="3957"/>
  <c r="P1055" i="3957"/>
  <c r="P1050" i="3957"/>
  <c r="O1050" i="3957"/>
  <c r="O1062" i="3957"/>
  <c r="P1062" i="3957"/>
  <c r="P347" i="3957"/>
  <c r="O347" i="3957"/>
  <c r="P1058" i="3957"/>
  <c r="O1058" i="3957"/>
  <c r="O1053" i="3957"/>
  <c r="P1053" i="3957"/>
  <c r="A1103" i="3957" l="1"/>
  <c r="A1087" i="3957"/>
  <c r="A1071" i="3957"/>
  <c r="A1102" i="3957"/>
  <c r="A1086" i="3957"/>
  <c r="A1070" i="3957"/>
  <c r="A1101" i="3957"/>
  <c r="A1069" i="3957"/>
  <c r="A1100" i="3957"/>
  <c r="A1084" i="3957"/>
  <c r="A1099" i="3957"/>
  <c r="A1083" i="3957"/>
  <c r="A1067" i="3957"/>
  <c r="A1098" i="3957"/>
  <c r="A1082" i="3957"/>
  <c r="A1066" i="3957"/>
  <c r="A1078" i="3957"/>
  <c r="A1113" i="3957"/>
  <c r="A1097" i="3957"/>
  <c r="A1081" i="3957"/>
  <c r="A1112" i="3957"/>
  <c r="A1096" i="3957"/>
  <c r="A1080" i="3957"/>
  <c r="O1065" i="3957"/>
  <c r="A1109" i="3957"/>
  <c r="A1093" i="3957"/>
  <c r="A1077" i="3957"/>
  <c r="A1108" i="3957"/>
  <c r="A1092" i="3957"/>
  <c r="A1076" i="3957"/>
  <c r="A1111" i="3957"/>
  <c r="A1095" i="3957"/>
  <c r="A1079" i="3957"/>
  <c r="A1110" i="3957"/>
  <c r="A1094" i="3957"/>
  <c r="A1107" i="3957"/>
  <c r="A1091" i="3957"/>
  <c r="A1075" i="3957"/>
  <c r="A1106" i="3957"/>
  <c r="A1090" i="3957"/>
  <c r="A1074" i="3957"/>
  <c r="A1072" i="3957"/>
  <c r="A1105" i="3957"/>
  <c r="A1089" i="3957"/>
  <c r="A1073" i="3957"/>
  <c r="A1104" i="3957"/>
  <c r="A1088" i="3957"/>
  <c r="A1085" i="3957"/>
  <c r="A1068" i="3957"/>
  <c r="A356" i="3957"/>
  <c r="A355" i="3957"/>
  <c r="A354" i="3957"/>
  <c r="A353" i="3957"/>
  <c r="A352" i="3957"/>
  <c r="A357" i="3957"/>
  <c r="P351" i="3957"/>
  <c r="O351" i="3957"/>
  <c r="O1066" i="3957" l="1"/>
  <c r="P1066" i="3957"/>
  <c r="O1069" i="3957"/>
  <c r="P1069" i="3957"/>
  <c r="O1111" i="3957"/>
  <c r="P1111" i="3957"/>
  <c r="O1080" i="3957"/>
  <c r="P1080" i="3957"/>
  <c r="O1082" i="3957"/>
  <c r="P1082" i="3957"/>
  <c r="P1101" i="3957"/>
  <c r="O1101" i="3957"/>
  <c r="P1090" i="3957"/>
  <c r="O1090" i="3957"/>
  <c r="P1075" i="3957"/>
  <c r="O1075" i="3957"/>
  <c r="P1096" i="3957"/>
  <c r="O1096" i="3957"/>
  <c r="P1098" i="3957"/>
  <c r="O1098" i="3957"/>
  <c r="P1070" i="3957"/>
  <c r="O1070" i="3957"/>
  <c r="O356" i="3957"/>
  <c r="P356" i="3957"/>
  <c r="P1095" i="3957"/>
  <c r="O1095" i="3957"/>
  <c r="O1076" i="3957"/>
  <c r="P1076" i="3957"/>
  <c r="P1073" i="3957"/>
  <c r="O1073" i="3957"/>
  <c r="P1091" i="3957"/>
  <c r="O1091" i="3957"/>
  <c r="P1092" i="3957"/>
  <c r="O1092" i="3957"/>
  <c r="O1112" i="3957"/>
  <c r="P1112" i="3957"/>
  <c r="O1067" i="3957"/>
  <c r="P1067" i="3957"/>
  <c r="P1086" i="3957"/>
  <c r="O1086" i="3957"/>
  <c r="O1106" i="3957"/>
  <c r="P1106" i="3957"/>
  <c r="P352" i="3957"/>
  <c r="O352" i="3957"/>
  <c r="O354" i="3957"/>
  <c r="P354" i="3957"/>
  <c r="P1089" i="3957"/>
  <c r="O1089" i="3957"/>
  <c r="O1107" i="3957"/>
  <c r="P1107" i="3957"/>
  <c r="O1108" i="3957"/>
  <c r="P1108" i="3957"/>
  <c r="P1081" i="3957"/>
  <c r="O1081" i="3957"/>
  <c r="O1083" i="3957"/>
  <c r="P1083" i="3957"/>
  <c r="O1102" i="3957"/>
  <c r="P1102" i="3957"/>
  <c r="P1085" i="3957"/>
  <c r="O1085" i="3957"/>
  <c r="A359" i="3957"/>
  <c r="A366" i="3957"/>
  <c r="A360" i="3957"/>
  <c r="A358" i="3957"/>
  <c r="A365" i="3957"/>
  <c r="A364" i="3957"/>
  <c r="A363" i="3957"/>
  <c r="A362" i="3957"/>
  <c r="A361" i="3957"/>
  <c r="O357" i="3957"/>
  <c r="P357" i="3957"/>
  <c r="P1088" i="3957"/>
  <c r="O1088" i="3957"/>
  <c r="P1104" i="3957"/>
  <c r="O1104" i="3957"/>
  <c r="P353" i="3957"/>
  <c r="O353" i="3957"/>
  <c r="P355" i="3957"/>
  <c r="O355" i="3957"/>
  <c r="O1105" i="3957"/>
  <c r="P1105" i="3957"/>
  <c r="O1094" i="3957"/>
  <c r="P1094" i="3957"/>
  <c r="O1077" i="3957"/>
  <c r="P1077" i="3957"/>
  <c r="O1097" i="3957"/>
  <c r="P1097" i="3957"/>
  <c r="O1099" i="3957"/>
  <c r="P1099" i="3957"/>
  <c r="P1071" i="3957"/>
  <c r="O1071" i="3957"/>
  <c r="O1072" i="3957"/>
  <c r="P1072" i="3957"/>
  <c r="P1110" i="3957"/>
  <c r="O1110" i="3957"/>
  <c r="P1093" i="3957"/>
  <c r="O1093" i="3957"/>
  <c r="P1064" i="3957"/>
  <c r="P1065" i="3957"/>
  <c r="O1113" i="3957"/>
  <c r="A1114" i="3957"/>
  <c r="O1114" i="3957" s="1"/>
  <c r="P1063" i="3957"/>
  <c r="A1115" i="3957"/>
  <c r="O1084" i="3957"/>
  <c r="P1084" i="3957"/>
  <c r="P1087" i="3957"/>
  <c r="O1087" i="3957"/>
  <c r="O1068" i="3957"/>
  <c r="P1068" i="3957"/>
  <c r="P1074" i="3957"/>
  <c r="O1074" i="3957"/>
  <c r="O1079" i="3957"/>
  <c r="P1079" i="3957"/>
  <c r="P1109" i="3957"/>
  <c r="O1109" i="3957"/>
  <c r="P1078" i="3957"/>
  <c r="O1078" i="3957"/>
  <c r="P1100" i="3957"/>
  <c r="O1100" i="3957"/>
  <c r="P1103" i="3957"/>
  <c r="O1103" i="3957"/>
  <c r="P358" i="3957" l="1"/>
  <c r="O358" i="3957"/>
  <c r="P360" i="3957"/>
  <c r="O360" i="3957"/>
  <c r="A374" i="3957"/>
  <c r="A368" i="3957"/>
  <c r="A370" i="3957"/>
  <c r="A369" i="3957"/>
  <c r="A367" i="3957"/>
  <c r="A373" i="3957"/>
  <c r="A372" i="3957"/>
  <c r="A371" i="3957"/>
  <c r="P310" i="3957"/>
  <c r="O366" i="3957"/>
  <c r="P361" i="3957"/>
  <c r="O361" i="3957"/>
  <c r="O359" i="3957"/>
  <c r="P359" i="3957"/>
  <c r="O362" i="3957"/>
  <c r="P362" i="3957"/>
  <c r="A1116" i="3957"/>
  <c r="P1115" i="3957"/>
  <c r="O1115" i="3957"/>
  <c r="A1118" i="3957"/>
  <c r="A1117" i="3957"/>
  <c r="P363" i="3957"/>
  <c r="O363" i="3957"/>
  <c r="P364" i="3957"/>
  <c r="O364" i="3957"/>
  <c r="P365" i="3957"/>
  <c r="O365" i="3957"/>
  <c r="P369" i="3957" l="1"/>
  <c r="O369" i="3957"/>
  <c r="P1114" i="3957"/>
  <c r="O1118" i="3957"/>
  <c r="P1113" i="3957"/>
  <c r="A1119" i="3957"/>
  <c r="O1119" i="3957" s="1"/>
  <c r="A1120" i="3957"/>
  <c r="O370" i="3957"/>
  <c r="P370" i="3957"/>
  <c r="P368" i="3957"/>
  <c r="O368" i="3957"/>
  <c r="A381" i="3957"/>
  <c r="A377" i="3957"/>
  <c r="A380" i="3957"/>
  <c r="A379" i="3957"/>
  <c r="A378" i="3957"/>
  <c r="A376" i="3957"/>
  <c r="A375" i="3957"/>
  <c r="P374" i="3957"/>
  <c r="O374" i="3957"/>
  <c r="P371" i="3957"/>
  <c r="O371" i="3957"/>
  <c r="O372" i="3957"/>
  <c r="P372" i="3957"/>
  <c r="P1116" i="3957"/>
  <c r="O1116" i="3957"/>
  <c r="P373" i="3957"/>
  <c r="O373" i="3957"/>
  <c r="P1117" i="3957"/>
  <c r="O1117" i="3957"/>
  <c r="O367" i="3957"/>
  <c r="P367" i="3957"/>
  <c r="O379" i="3957" l="1"/>
  <c r="P379" i="3957"/>
  <c r="A1177" i="3957"/>
  <c r="A1161" i="3957"/>
  <c r="A1145" i="3957"/>
  <c r="A1129" i="3957"/>
  <c r="A1172" i="3957"/>
  <c r="A1156" i="3957"/>
  <c r="A1140" i="3957"/>
  <c r="A1124" i="3957"/>
  <c r="A1175" i="3957"/>
  <c r="A1159" i="3957"/>
  <c r="A1143" i="3957"/>
  <c r="A1127" i="3957"/>
  <c r="A1170" i="3957"/>
  <c r="A1154" i="3957"/>
  <c r="A1138" i="3957"/>
  <c r="A1122" i="3957"/>
  <c r="A1173" i="3957"/>
  <c r="A1157" i="3957"/>
  <c r="A1141" i="3957"/>
  <c r="A1125" i="3957"/>
  <c r="A1168" i="3957"/>
  <c r="A1152" i="3957"/>
  <c r="A1136" i="3957"/>
  <c r="O1120" i="3957"/>
  <c r="A1171" i="3957"/>
  <c r="A1155" i="3957"/>
  <c r="A1139" i="3957"/>
  <c r="A1123" i="3957"/>
  <c r="A1166" i="3957"/>
  <c r="A1150" i="3957"/>
  <c r="A1134" i="3957"/>
  <c r="A1169" i="3957"/>
  <c r="A1153" i="3957"/>
  <c r="A1137" i="3957"/>
  <c r="A1121" i="3957"/>
  <c r="A1164" i="3957"/>
  <c r="A1148" i="3957"/>
  <c r="A1132" i="3957"/>
  <c r="A1167" i="3957"/>
  <c r="A1151" i="3957"/>
  <c r="A1135" i="3957"/>
  <c r="A1178" i="3957"/>
  <c r="A1162" i="3957"/>
  <c r="A1146" i="3957"/>
  <c r="A1130" i="3957"/>
  <c r="A1180" i="3957"/>
  <c r="A1165" i="3957"/>
  <c r="A1149" i="3957"/>
  <c r="A1133" i="3957"/>
  <c r="A1176" i="3957"/>
  <c r="A1160" i="3957"/>
  <c r="A1144" i="3957"/>
  <c r="A1128" i="3957"/>
  <c r="A1179" i="3957"/>
  <c r="A1163" i="3957"/>
  <c r="A1147" i="3957"/>
  <c r="A1131" i="3957"/>
  <c r="A1174" i="3957"/>
  <c r="A1158" i="3957"/>
  <c r="A1142" i="3957"/>
  <c r="A1126" i="3957"/>
  <c r="O380" i="3957"/>
  <c r="P380" i="3957"/>
  <c r="P377" i="3957"/>
  <c r="O377" i="3957"/>
  <c r="O378" i="3957"/>
  <c r="P378" i="3957"/>
  <c r="A386" i="3957"/>
  <c r="A388" i="3957"/>
  <c r="A387" i="3957"/>
  <c r="A385" i="3957"/>
  <c r="A384" i="3957"/>
  <c r="A383" i="3957"/>
  <c r="A382" i="3957"/>
  <c r="P381" i="3957"/>
  <c r="O381" i="3957"/>
  <c r="P375" i="3957"/>
  <c r="O375" i="3957"/>
  <c r="P376" i="3957"/>
  <c r="O376" i="3957"/>
  <c r="P1120" i="3957" l="1"/>
  <c r="P1179" i="3957"/>
  <c r="O1179" i="3957"/>
  <c r="A1182" i="3957"/>
  <c r="A1181" i="3957"/>
  <c r="P1180" i="3957"/>
  <c r="P1118" i="3957"/>
  <c r="O1180" i="3957"/>
  <c r="O1132" i="3957"/>
  <c r="P1132" i="3957"/>
  <c r="P1150" i="3957"/>
  <c r="O1150" i="3957"/>
  <c r="P1152" i="3957"/>
  <c r="O1152" i="3957"/>
  <c r="P1154" i="3957"/>
  <c r="O1154" i="3957"/>
  <c r="O1156" i="3957"/>
  <c r="P1156" i="3957"/>
  <c r="A392" i="3957"/>
  <c r="A391" i="3957"/>
  <c r="A390" i="3957"/>
  <c r="A389" i="3957"/>
  <c r="P388" i="3957"/>
  <c r="O388" i="3957"/>
  <c r="P1126" i="3957"/>
  <c r="O1126" i="3957"/>
  <c r="P1130" i="3957"/>
  <c r="O1130" i="3957"/>
  <c r="O1148" i="3957"/>
  <c r="P1148" i="3957"/>
  <c r="P1166" i="3957"/>
  <c r="O1166" i="3957"/>
  <c r="O1168" i="3957"/>
  <c r="P1168" i="3957"/>
  <c r="P1170" i="3957"/>
  <c r="O1170" i="3957"/>
  <c r="O1172" i="3957"/>
  <c r="P1172" i="3957"/>
  <c r="P386" i="3957"/>
  <c r="O386" i="3957"/>
  <c r="O1142" i="3957"/>
  <c r="P1142" i="3957"/>
  <c r="P1144" i="3957"/>
  <c r="O1144" i="3957"/>
  <c r="O1146" i="3957"/>
  <c r="P1146" i="3957"/>
  <c r="P1164" i="3957"/>
  <c r="O1164" i="3957"/>
  <c r="O1123" i="3957"/>
  <c r="P1123" i="3957"/>
  <c r="P1125" i="3957"/>
  <c r="O1125" i="3957"/>
  <c r="O1127" i="3957"/>
  <c r="P1127" i="3957"/>
  <c r="O1129" i="3957"/>
  <c r="P1129" i="3957"/>
  <c r="P387" i="3957"/>
  <c r="O387" i="3957"/>
  <c r="P1158" i="3957"/>
  <c r="P1119" i="3957"/>
  <c r="O1158" i="3957"/>
  <c r="P1160" i="3957"/>
  <c r="O1160" i="3957"/>
  <c r="P1162" i="3957"/>
  <c r="O1162" i="3957"/>
  <c r="O1121" i="3957"/>
  <c r="P1121" i="3957"/>
  <c r="P1139" i="3957"/>
  <c r="O1139" i="3957"/>
  <c r="O1141" i="3957"/>
  <c r="P1141" i="3957"/>
  <c r="P1143" i="3957"/>
  <c r="O1143" i="3957"/>
  <c r="O1145" i="3957"/>
  <c r="P1145" i="3957"/>
  <c r="O382" i="3957"/>
  <c r="P382" i="3957"/>
  <c r="O1174" i="3957"/>
  <c r="P1174" i="3957"/>
  <c r="O1176" i="3957"/>
  <c r="P1176" i="3957"/>
  <c r="P1178" i="3957"/>
  <c r="O1178" i="3957"/>
  <c r="O1137" i="3957"/>
  <c r="P1137" i="3957"/>
  <c r="O1155" i="3957"/>
  <c r="P1155" i="3957"/>
  <c r="P1157" i="3957"/>
  <c r="O1157" i="3957"/>
  <c r="P1159" i="3957"/>
  <c r="O1159" i="3957"/>
  <c r="O1161" i="3957"/>
  <c r="P1161" i="3957"/>
  <c r="O1128" i="3957"/>
  <c r="P1128" i="3957"/>
  <c r="P383" i="3957"/>
  <c r="O383" i="3957"/>
  <c r="O1131" i="3957"/>
  <c r="P1131" i="3957"/>
  <c r="O1133" i="3957"/>
  <c r="P1133" i="3957"/>
  <c r="P1135" i="3957"/>
  <c r="O1135" i="3957"/>
  <c r="O1153" i="3957"/>
  <c r="P1153" i="3957"/>
  <c r="O1171" i="3957"/>
  <c r="P1171" i="3957"/>
  <c r="P1173" i="3957"/>
  <c r="O1173" i="3957"/>
  <c r="P1175" i="3957"/>
  <c r="O1175" i="3957"/>
  <c r="P1177" i="3957"/>
  <c r="O1177" i="3957"/>
  <c r="P384" i="3957"/>
  <c r="O384" i="3957"/>
  <c r="O1147" i="3957"/>
  <c r="P1147" i="3957"/>
  <c r="P1149" i="3957"/>
  <c r="O1149" i="3957"/>
  <c r="O1151" i="3957"/>
  <c r="P1151" i="3957"/>
  <c r="O1169" i="3957"/>
  <c r="P1169" i="3957"/>
  <c r="O1122" i="3957"/>
  <c r="P1122" i="3957"/>
  <c r="O1124" i="3957"/>
  <c r="P1124" i="3957"/>
  <c r="P385" i="3957"/>
  <c r="O385" i="3957"/>
  <c r="P1163" i="3957"/>
  <c r="O1163" i="3957"/>
  <c r="P1165" i="3957"/>
  <c r="O1165" i="3957"/>
  <c r="P1167" i="3957"/>
  <c r="O1167" i="3957"/>
  <c r="O1134" i="3957"/>
  <c r="P1134" i="3957"/>
  <c r="O1136" i="3957"/>
  <c r="P1136" i="3957"/>
  <c r="P1138" i="3957"/>
  <c r="O1138" i="3957"/>
  <c r="P1140" i="3957"/>
  <c r="O1140" i="3957"/>
  <c r="P389" i="3957" l="1"/>
  <c r="O389" i="3957"/>
  <c r="O390" i="3957"/>
  <c r="P390" i="3957"/>
  <c r="P1181" i="3957"/>
  <c r="O1181" i="3957"/>
  <c r="P391" i="3957"/>
  <c r="O391" i="3957"/>
  <c r="O1182" i="3957"/>
  <c r="A1184" i="3957"/>
  <c r="A1183" i="3957"/>
  <c r="P1182" i="3957"/>
  <c r="A1185" i="3957"/>
  <c r="A398" i="3957"/>
  <c r="A396" i="3957"/>
  <c r="O392" i="3957"/>
  <c r="A397" i="3957"/>
  <c r="A395" i="3957"/>
  <c r="A394" i="3957"/>
  <c r="A393" i="3957"/>
  <c r="P392" i="3957" l="1"/>
  <c r="A453" i="3957"/>
  <c r="O393" i="3957"/>
  <c r="P393" i="3957"/>
  <c r="O396" i="3957"/>
  <c r="P396" i="3957"/>
  <c r="A402" i="3957"/>
  <c r="A401" i="3957"/>
  <c r="A400" i="3957"/>
  <c r="A399" i="3957"/>
  <c r="A404" i="3957"/>
  <c r="A403" i="3957"/>
  <c r="O398" i="3957"/>
  <c r="P398" i="3957"/>
  <c r="P1185" i="3957"/>
  <c r="A1187" i="3957"/>
  <c r="O1187" i="3957" s="1"/>
  <c r="A1186" i="3957"/>
  <c r="O1185" i="3957"/>
  <c r="P394" i="3957"/>
  <c r="O394" i="3957"/>
  <c r="O1183" i="3957"/>
  <c r="P1183" i="3957"/>
  <c r="P395" i="3957"/>
  <c r="O395" i="3957"/>
  <c r="P1184" i="3957"/>
  <c r="O1184" i="3957"/>
  <c r="P397" i="3957"/>
  <c r="O397" i="3957"/>
  <c r="O402" i="3957" l="1"/>
  <c r="P402" i="3957"/>
  <c r="O401" i="3957"/>
  <c r="P401" i="3957"/>
  <c r="A406" i="3957"/>
  <c r="A409" i="3957"/>
  <c r="A408" i="3957"/>
  <c r="A410" i="3957"/>
  <c r="A407" i="3957"/>
  <c r="A405" i="3957"/>
  <c r="O404" i="3957"/>
  <c r="P404" i="3957"/>
  <c r="O399" i="3957"/>
  <c r="P399" i="3957"/>
  <c r="A454" i="3957"/>
  <c r="A455" i="3957"/>
  <c r="O403" i="3957"/>
  <c r="P403" i="3957"/>
  <c r="P1186" i="3957"/>
  <c r="O1186" i="3957"/>
  <c r="P400" i="3957"/>
  <c r="O400" i="3957"/>
  <c r="A456" i="3957" l="1"/>
  <c r="O455" i="3957"/>
  <c r="P366" i="3957"/>
  <c r="A415" i="3957"/>
  <c r="A413" i="3957"/>
  <c r="A412" i="3957"/>
  <c r="A411" i="3957"/>
  <c r="A416" i="3957"/>
  <c r="A414" i="3957"/>
  <c r="O410" i="3957"/>
  <c r="P410" i="3957"/>
  <c r="O409" i="3957"/>
  <c r="P409" i="3957"/>
  <c r="P406" i="3957"/>
  <c r="O406" i="3957"/>
  <c r="P408" i="3957"/>
  <c r="O408" i="3957"/>
  <c r="O454" i="3957"/>
  <c r="P454" i="3957"/>
  <c r="O405" i="3957"/>
  <c r="P405" i="3957"/>
  <c r="P407" i="3957"/>
  <c r="O407" i="3957"/>
  <c r="O412" i="3957" l="1"/>
  <c r="P412" i="3957"/>
  <c r="A421" i="3957"/>
  <c r="A420" i="3957"/>
  <c r="A419" i="3957"/>
  <c r="A418" i="3957"/>
  <c r="A417" i="3957"/>
  <c r="A422" i="3957"/>
  <c r="O416" i="3957"/>
  <c r="P416" i="3957"/>
  <c r="O413" i="3957"/>
  <c r="P413" i="3957"/>
  <c r="O415" i="3957"/>
  <c r="P415" i="3957"/>
  <c r="P411" i="3957"/>
  <c r="O411" i="3957"/>
  <c r="P414" i="3957"/>
  <c r="O414" i="3957"/>
  <c r="O456" i="3957"/>
  <c r="A457" i="3957"/>
  <c r="A425" i="3957" l="1"/>
  <c r="A428" i="3957"/>
  <c r="A424" i="3957"/>
  <c r="A423" i="3957"/>
  <c r="A427" i="3957"/>
  <c r="A426" i="3957"/>
  <c r="O422" i="3957"/>
  <c r="P422" i="3957"/>
  <c r="O419" i="3957"/>
  <c r="P419" i="3957"/>
  <c r="O420" i="3957"/>
  <c r="P420" i="3957"/>
  <c r="P456" i="3957"/>
  <c r="A483" i="3957" s="1"/>
  <c r="A484" i="3957" s="1"/>
  <c r="P421" i="3957"/>
  <c r="O421" i="3957"/>
  <c r="P418" i="3957"/>
  <c r="O418" i="3957"/>
  <c r="O417" i="3957"/>
  <c r="P417" i="3957"/>
  <c r="A465" i="3957"/>
  <c r="A464" i="3957"/>
  <c r="A461" i="3957"/>
  <c r="A470" i="3957"/>
  <c r="A460" i="3957"/>
  <c r="A469" i="3957"/>
  <c r="A459" i="3957"/>
  <c r="A468" i="3957"/>
  <c r="A458" i="3957"/>
  <c r="A467" i="3957"/>
  <c r="A466" i="3957"/>
  <c r="A463" i="3957"/>
  <c r="A462" i="3957"/>
  <c r="P457" i="3957"/>
  <c r="O457" i="3957"/>
  <c r="A485" i="3957" l="1"/>
  <c r="O484" i="3957"/>
  <c r="P455" i="3957"/>
  <c r="O464" i="3957"/>
  <c r="P464" i="3957"/>
  <c r="O426" i="3957"/>
  <c r="P426" i="3957"/>
  <c r="O467" i="3957"/>
  <c r="P467" i="3957"/>
  <c r="O458" i="3957"/>
  <c r="P458" i="3957"/>
  <c r="P465" i="3957"/>
  <c r="O465" i="3957"/>
  <c r="O427" i="3957"/>
  <c r="P427" i="3957"/>
  <c r="O423" i="3957"/>
  <c r="P423" i="3957"/>
  <c r="P424" i="3957"/>
  <c r="O424" i="3957"/>
  <c r="P463" i="3957"/>
  <c r="O463" i="3957"/>
  <c r="O459" i="3957"/>
  <c r="P459" i="3957"/>
  <c r="P469" i="3957"/>
  <c r="O469" i="3957"/>
  <c r="A434" i="3957"/>
  <c r="A433" i="3957"/>
  <c r="A432" i="3957"/>
  <c r="A431" i="3957"/>
  <c r="A430" i="3957"/>
  <c r="A429" i="3957"/>
  <c r="O428" i="3957"/>
  <c r="P428" i="3957"/>
  <c r="A482" i="3957"/>
  <c r="A474" i="3957"/>
  <c r="A481" i="3957"/>
  <c r="A473" i="3957"/>
  <c r="A472" i="3957"/>
  <c r="A471" i="3957"/>
  <c r="A480" i="3957"/>
  <c r="A479" i="3957"/>
  <c r="A478" i="3957"/>
  <c r="A477" i="3957"/>
  <c r="A476" i="3957"/>
  <c r="A475" i="3957"/>
  <c r="P470" i="3957"/>
  <c r="O470" i="3957"/>
  <c r="P466" i="3957"/>
  <c r="O466" i="3957"/>
  <c r="P461" i="3957"/>
  <c r="O461" i="3957"/>
  <c r="O468" i="3957"/>
  <c r="P468" i="3957"/>
  <c r="O462" i="3957"/>
  <c r="P462" i="3957"/>
  <c r="P460" i="3957"/>
  <c r="O460" i="3957"/>
  <c r="O425" i="3957"/>
  <c r="P425" i="3957"/>
  <c r="O432" i="3957" l="1"/>
  <c r="P432" i="3957"/>
  <c r="O480" i="3957"/>
  <c r="P480" i="3957"/>
  <c r="P476" i="3957"/>
  <c r="O476" i="3957"/>
  <c r="P481" i="3957"/>
  <c r="O481" i="3957"/>
  <c r="O479" i="3957"/>
  <c r="P479" i="3957"/>
  <c r="O471" i="3957"/>
  <c r="P471" i="3957"/>
  <c r="O429" i="3957"/>
  <c r="P429" i="3957"/>
  <c r="P472" i="3957"/>
  <c r="O472" i="3957"/>
  <c r="O430" i="3957"/>
  <c r="P430" i="3957"/>
  <c r="P475" i="3957"/>
  <c r="O475" i="3957"/>
  <c r="O473" i="3957"/>
  <c r="P473" i="3957"/>
  <c r="O431" i="3957"/>
  <c r="P431" i="3957"/>
  <c r="O477" i="3957"/>
  <c r="P477" i="3957"/>
  <c r="O474" i="3957"/>
  <c r="P474" i="3957"/>
  <c r="O433" i="3957"/>
  <c r="P433" i="3957"/>
  <c r="P478" i="3957"/>
  <c r="O478" i="3957"/>
  <c r="P482" i="3957"/>
  <c r="O482" i="3957"/>
  <c r="A435" i="3957"/>
  <c r="A436" i="3957"/>
  <c r="A440" i="3957"/>
  <c r="A439" i="3957"/>
  <c r="A438" i="3957"/>
  <c r="A437" i="3957"/>
  <c r="O434" i="3957"/>
  <c r="P434" i="3957"/>
  <c r="A487" i="3957"/>
  <c r="A486" i="3957"/>
  <c r="O485" i="3957"/>
  <c r="O437" i="3957" l="1"/>
  <c r="P437" i="3957"/>
  <c r="O438" i="3957"/>
  <c r="P438" i="3957"/>
  <c r="A446" i="3957"/>
  <c r="A444" i="3957"/>
  <c r="A445" i="3957"/>
  <c r="A443" i="3957"/>
  <c r="A442" i="3957"/>
  <c r="A441" i="3957"/>
  <c r="O440" i="3957"/>
  <c r="P440" i="3957"/>
  <c r="P439" i="3957"/>
  <c r="O439" i="3957"/>
  <c r="O486" i="3957"/>
  <c r="P486" i="3957"/>
  <c r="P436" i="3957"/>
  <c r="O436" i="3957"/>
  <c r="A500" i="3957"/>
  <c r="A492" i="3957"/>
  <c r="A499" i="3957"/>
  <c r="A491" i="3957"/>
  <c r="A496" i="3957"/>
  <c r="A495" i="3957"/>
  <c r="O487" i="3957"/>
  <c r="A494" i="3957"/>
  <c r="A493" i="3957"/>
  <c r="A502" i="3957"/>
  <c r="A490" i="3957"/>
  <c r="A501" i="3957"/>
  <c r="A489" i="3957"/>
  <c r="A498" i="3957"/>
  <c r="A488" i="3957"/>
  <c r="A497" i="3957"/>
  <c r="P435" i="3957"/>
  <c r="O435" i="3957"/>
  <c r="O443" i="3957" l="1"/>
  <c r="P443" i="3957"/>
  <c r="O445" i="3957"/>
  <c r="P445" i="3957"/>
  <c r="P501" i="3957"/>
  <c r="O501" i="3957"/>
  <c r="P444" i="3957"/>
  <c r="O444" i="3957"/>
  <c r="P496" i="3957"/>
  <c r="O496" i="3957"/>
  <c r="P499" i="3957"/>
  <c r="O499" i="3957"/>
  <c r="A447" i="3957"/>
  <c r="A452" i="3957"/>
  <c r="A451" i="3957"/>
  <c r="A450" i="3957"/>
  <c r="A449" i="3957"/>
  <c r="A448" i="3957"/>
  <c r="P446" i="3957"/>
  <c r="O446" i="3957"/>
  <c r="O495" i="3957"/>
  <c r="P495" i="3957"/>
  <c r="P489" i="3957"/>
  <c r="O489" i="3957"/>
  <c r="O490" i="3957"/>
  <c r="P490" i="3957"/>
  <c r="O502" i="3957"/>
  <c r="P502" i="3957"/>
  <c r="O491" i="3957"/>
  <c r="P491" i="3957"/>
  <c r="O494" i="3957"/>
  <c r="P494" i="3957"/>
  <c r="O441" i="3957"/>
  <c r="P441" i="3957"/>
  <c r="O498" i="3957"/>
  <c r="P498" i="3957"/>
  <c r="P492" i="3957"/>
  <c r="O492" i="3957"/>
  <c r="O493" i="3957"/>
  <c r="P493" i="3957"/>
  <c r="P500" i="3957"/>
  <c r="O500" i="3957"/>
  <c r="P497" i="3957"/>
  <c r="O497" i="3957"/>
  <c r="P488" i="3957"/>
  <c r="O488" i="3957"/>
  <c r="P487" i="3957"/>
  <c r="A503" i="3957"/>
  <c r="P442" i="3957"/>
  <c r="O442" i="3957"/>
  <c r="O450" i="3957" l="1"/>
  <c r="P450" i="3957"/>
  <c r="O451" i="3957"/>
  <c r="P451" i="3957"/>
  <c r="O452" i="3957"/>
  <c r="P452" i="3957"/>
  <c r="O447" i="3957"/>
  <c r="P447" i="3957"/>
  <c r="A505" i="3957"/>
  <c r="A504" i="3957"/>
  <c r="P485" i="3957"/>
  <c r="O448" i="3957"/>
  <c r="P448" i="3957"/>
  <c r="O449" i="3957"/>
  <c r="P449" i="3957"/>
  <c r="O504" i="3957" l="1"/>
  <c r="P504" i="3957"/>
  <c r="A506" i="3957"/>
  <c r="P484" i="3957"/>
  <c r="O505" i="3957"/>
  <c r="A507" i="3957" l="1"/>
  <c r="A508" i="3957"/>
  <c r="O506" i="3957"/>
  <c r="A512" i="3957" l="1"/>
  <c r="A511" i="3957"/>
  <c r="A510" i="3957"/>
  <c r="A509" i="3957"/>
  <c r="A518" i="3957"/>
  <c r="A517" i="3957"/>
  <c r="A516" i="3957"/>
  <c r="O508" i="3957"/>
  <c r="A515" i="3957"/>
  <c r="A514" i="3957"/>
  <c r="A513" i="3957"/>
  <c r="O507" i="3957"/>
  <c r="P507" i="3957"/>
  <c r="P516" i="3957" l="1"/>
  <c r="O516" i="3957"/>
  <c r="P508" i="3957"/>
  <c r="A519" i="3957"/>
  <c r="P517" i="3957"/>
  <c r="O517" i="3957"/>
  <c r="P518" i="3957"/>
  <c r="O518" i="3957"/>
  <c r="O513" i="3957"/>
  <c r="P513" i="3957"/>
  <c r="P514" i="3957"/>
  <c r="O514" i="3957"/>
  <c r="O509" i="3957"/>
  <c r="P509" i="3957"/>
  <c r="P510" i="3957"/>
  <c r="O510" i="3957"/>
  <c r="P511" i="3957"/>
  <c r="O511" i="3957"/>
  <c r="P515" i="3957"/>
  <c r="O515" i="3957"/>
  <c r="P512" i="3957"/>
  <c r="O512" i="3957"/>
  <c r="A522" i="3957" l="1"/>
  <c r="A521" i="3957"/>
  <c r="O521" i="3957" s="1"/>
  <c r="A520" i="3957"/>
  <c r="P506" i="3957"/>
  <c r="O520" i="3957" l="1"/>
  <c r="P520" i="3957"/>
  <c r="A524" i="3957"/>
  <c r="A523" i="3957"/>
  <c r="O522" i="3957"/>
  <c r="P505" i="3957"/>
  <c r="P523" i="3957" l="1"/>
  <c r="O523" i="3957"/>
  <c r="A530" i="3957"/>
  <c r="A528" i="3957"/>
  <c r="O524" i="3957"/>
  <c r="A525" i="3957"/>
  <c r="A529" i="3957"/>
  <c r="A527" i="3957"/>
  <c r="A526" i="3957"/>
  <c r="P529" i="3957" l="1"/>
  <c r="O529" i="3957"/>
  <c r="P528" i="3957"/>
  <c r="O528" i="3957"/>
  <c r="P527" i="3957"/>
  <c r="O527" i="3957"/>
  <c r="A532" i="3957"/>
  <c r="A531" i="3957"/>
  <c r="A536" i="3957"/>
  <c r="A535" i="3957"/>
  <c r="A534" i="3957"/>
  <c r="A533" i="3957"/>
  <c r="O530" i="3957"/>
  <c r="P530" i="3957"/>
  <c r="P524" i="3957"/>
  <c r="A537" i="3957" s="1"/>
  <c r="P525" i="3957"/>
  <c r="O525" i="3957"/>
  <c r="P526" i="3957"/>
  <c r="O526" i="3957"/>
  <c r="A539" i="3957" l="1"/>
  <c r="O539" i="3957" s="1"/>
  <c r="A538" i="3957"/>
  <c r="A540" i="3957"/>
  <c r="P531" i="3957"/>
  <c r="O531" i="3957"/>
  <c r="O532" i="3957"/>
  <c r="P532" i="3957"/>
  <c r="P533" i="3957"/>
  <c r="O533" i="3957"/>
  <c r="P535" i="3957"/>
  <c r="O535" i="3957"/>
  <c r="P534" i="3957"/>
  <c r="O534" i="3957"/>
  <c r="O536" i="3957"/>
  <c r="P536" i="3957"/>
  <c r="A541" i="3957" l="1"/>
  <c r="A542" i="3957"/>
  <c r="P522" i="3957"/>
  <c r="O540" i="3957"/>
  <c r="P521" i="3957"/>
  <c r="O538" i="3957"/>
  <c r="P538" i="3957"/>
  <c r="A547" i="3957" l="1"/>
  <c r="O542" i="3957"/>
  <c r="A546" i="3957"/>
  <c r="A545" i="3957"/>
  <c r="A544" i="3957"/>
  <c r="A543" i="3957"/>
  <c r="P541" i="3957"/>
  <c r="O541" i="3957"/>
  <c r="P543" i="3957" l="1"/>
  <c r="O543" i="3957"/>
  <c r="O545" i="3957"/>
  <c r="P545" i="3957"/>
  <c r="O544" i="3957"/>
  <c r="P544" i="3957"/>
  <c r="O546" i="3957"/>
  <c r="P546" i="3957"/>
  <c r="P542" i="3957"/>
  <c r="A558" i="3957"/>
  <c r="A551" i="3957"/>
  <c r="A550" i="3957"/>
  <c r="A548" i="3957"/>
  <c r="A549" i="3957"/>
  <c r="A552" i="3957"/>
  <c r="O547" i="3957"/>
  <c r="P547" i="3957"/>
  <c r="O549" i="3957" l="1"/>
  <c r="P549" i="3957"/>
  <c r="O550" i="3957"/>
  <c r="P550" i="3957"/>
  <c r="A559" i="3957"/>
  <c r="A560" i="3957"/>
  <c r="A557" i="3957"/>
  <c r="A555" i="3957"/>
  <c r="A554" i="3957"/>
  <c r="A553" i="3957"/>
  <c r="A556" i="3957"/>
  <c r="P552" i="3957"/>
  <c r="O552" i="3957"/>
  <c r="P548" i="3957"/>
  <c r="O548" i="3957"/>
  <c r="O551" i="3957"/>
  <c r="P551" i="3957"/>
  <c r="O559" i="3957" l="1"/>
  <c r="P559" i="3957"/>
  <c r="O555" i="3957"/>
  <c r="P555" i="3957"/>
  <c r="A562" i="3957"/>
  <c r="A561" i="3957"/>
  <c r="P540" i="3957"/>
  <c r="P539" i="3957"/>
  <c r="O560" i="3957"/>
  <c r="P557" i="3957"/>
  <c r="O557" i="3957"/>
  <c r="O556" i="3957"/>
  <c r="P556" i="3957"/>
  <c r="P553" i="3957"/>
  <c r="O553" i="3957"/>
  <c r="P554" i="3957"/>
  <c r="O554" i="3957"/>
  <c r="P561" i="3957" l="1"/>
  <c r="O561" i="3957"/>
  <c r="A568" i="3957"/>
  <c r="A566" i="3957"/>
  <c r="A567" i="3957"/>
  <c r="A565" i="3957"/>
  <c r="A564" i="3957"/>
  <c r="A563" i="3957"/>
  <c r="O562" i="3957"/>
  <c r="P563" i="3957" l="1"/>
  <c r="O563" i="3957"/>
  <c r="P567" i="3957"/>
  <c r="O567" i="3957"/>
  <c r="P566" i="3957"/>
  <c r="O566" i="3957"/>
  <c r="A570" i="3957"/>
  <c r="A569" i="3957"/>
  <c r="A571" i="3957"/>
  <c r="A574" i="3957"/>
  <c r="A573" i="3957"/>
  <c r="A572" i="3957"/>
  <c r="P568" i="3957"/>
  <c r="O568" i="3957"/>
  <c r="P565" i="3957"/>
  <c r="O565" i="3957"/>
  <c r="P564" i="3957"/>
  <c r="O564" i="3957"/>
  <c r="P562" i="3957"/>
  <c r="A575" i="3957" s="1"/>
  <c r="A577" i="3957" l="1"/>
  <c r="A576" i="3957"/>
  <c r="P572" i="3957"/>
  <c r="O572" i="3957"/>
  <c r="P573" i="3957"/>
  <c r="O573" i="3957"/>
  <c r="P569" i="3957"/>
  <c r="O569" i="3957"/>
  <c r="P570" i="3957"/>
  <c r="O570" i="3957"/>
  <c r="P574" i="3957"/>
  <c r="O574" i="3957"/>
  <c r="O571" i="3957"/>
  <c r="P571" i="3957"/>
  <c r="P576" i="3957" l="1"/>
  <c r="O576" i="3957"/>
  <c r="A583" i="3957"/>
  <c r="A579" i="3957"/>
  <c r="A578" i="3957"/>
  <c r="A582" i="3957"/>
  <c r="A581" i="3957"/>
  <c r="O581" i="3957" s="1"/>
  <c r="A580" i="3957"/>
  <c r="O577" i="3957"/>
  <c r="P560" i="3957"/>
  <c r="P579" i="3957" l="1"/>
  <c r="O579" i="3957"/>
  <c r="O580" i="3957"/>
  <c r="P580" i="3957"/>
  <c r="P578" i="3957"/>
  <c r="O578" i="3957"/>
  <c r="A588" i="3957"/>
  <c r="O583" i="3957"/>
  <c r="A589" i="3957"/>
  <c r="A587" i="3957"/>
  <c r="A585" i="3957"/>
  <c r="A584" i="3957"/>
  <c r="A586" i="3957"/>
  <c r="P582" i="3957"/>
  <c r="O582" i="3957"/>
  <c r="O588" i="3957" l="1"/>
  <c r="P588" i="3957"/>
  <c r="O586" i="3957"/>
  <c r="P586" i="3957"/>
  <c r="P583" i="3957"/>
  <c r="A596" i="3957" s="1"/>
  <c r="O584" i="3957"/>
  <c r="P584" i="3957"/>
  <c r="P585" i="3957"/>
  <c r="O585" i="3957"/>
  <c r="O587" i="3957"/>
  <c r="P587" i="3957"/>
  <c r="A594" i="3957"/>
  <c r="A595" i="3957"/>
  <c r="A593" i="3957"/>
  <c r="A592" i="3957"/>
  <c r="A591" i="3957"/>
  <c r="A590" i="3957"/>
  <c r="O589" i="3957"/>
  <c r="P589" i="3957"/>
  <c r="A597" i="3957" l="1"/>
  <c r="A598" i="3957"/>
  <c r="P593" i="3957"/>
  <c r="O593" i="3957"/>
  <c r="O595" i="3957"/>
  <c r="P595" i="3957"/>
  <c r="O594" i="3957"/>
  <c r="P594" i="3957"/>
  <c r="O592" i="3957"/>
  <c r="P592" i="3957"/>
  <c r="P590" i="3957"/>
  <c r="O590" i="3957"/>
  <c r="O591" i="3957"/>
  <c r="P591" i="3957"/>
  <c r="A603" i="3957" l="1"/>
  <c r="A600" i="3957"/>
  <c r="A604" i="3957"/>
  <c r="A599" i="3957"/>
  <c r="O598" i="3957"/>
  <c r="A602" i="3957"/>
  <c r="A601" i="3957"/>
  <c r="P597" i="3957"/>
  <c r="O597" i="3957"/>
  <c r="P601" i="3957" l="1"/>
  <c r="O601" i="3957"/>
  <c r="P602" i="3957"/>
  <c r="O602" i="3957"/>
  <c r="P598" i="3957"/>
  <c r="A611" i="3957"/>
  <c r="O599" i="3957"/>
  <c r="P599" i="3957"/>
  <c r="A607" i="3957"/>
  <c r="A606" i="3957"/>
  <c r="A610" i="3957"/>
  <c r="A609" i="3957"/>
  <c r="A608" i="3957"/>
  <c r="A605" i="3957"/>
  <c r="O604" i="3957"/>
  <c r="P604" i="3957"/>
  <c r="O600" i="3957"/>
  <c r="P600" i="3957"/>
  <c r="P603" i="3957"/>
  <c r="O603" i="3957"/>
  <c r="A613" i="3957" l="1"/>
  <c r="A612" i="3957"/>
  <c r="O608" i="3957"/>
  <c r="P608" i="3957"/>
  <c r="P605" i="3957"/>
  <c r="O605" i="3957"/>
  <c r="P610" i="3957"/>
  <c r="O610" i="3957"/>
  <c r="P606" i="3957"/>
  <c r="O606" i="3957"/>
  <c r="O609" i="3957"/>
  <c r="P609" i="3957"/>
  <c r="P607" i="3957"/>
  <c r="O607" i="3957"/>
  <c r="P612" i="3957" l="1"/>
  <c r="O612" i="3957"/>
  <c r="A616" i="3957"/>
  <c r="O613" i="3957"/>
  <c r="A615" i="3957"/>
  <c r="A614" i="3957"/>
  <c r="A619" i="3957"/>
  <c r="A618" i="3957"/>
  <c r="A617" i="3957"/>
  <c r="O614" i="3957" l="1"/>
  <c r="P614" i="3957"/>
  <c r="P615" i="3957"/>
  <c r="O615" i="3957"/>
  <c r="P616" i="3957"/>
  <c r="O616" i="3957"/>
  <c r="O618" i="3957"/>
  <c r="P618" i="3957"/>
  <c r="A625" i="3957"/>
  <c r="A624" i="3957"/>
  <c r="A622" i="3957"/>
  <c r="A623" i="3957"/>
  <c r="A621" i="3957"/>
  <c r="A620" i="3957"/>
  <c r="O619" i="3957"/>
  <c r="P619" i="3957"/>
  <c r="P613" i="3957"/>
  <c r="A626" i="3957" s="1"/>
  <c r="A627" i="3957" s="1"/>
  <c r="O617" i="3957"/>
  <c r="P617" i="3957"/>
  <c r="A628" i="3957" l="1"/>
  <c r="O627" i="3957"/>
  <c r="O621" i="3957"/>
  <c r="P621" i="3957"/>
  <c r="P620" i="3957"/>
  <c r="O620" i="3957"/>
  <c r="P624" i="3957"/>
  <c r="O624" i="3957"/>
  <c r="O623" i="3957"/>
  <c r="P623" i="3957"/>
  <c r="P622" i="3957"/>
  <c r="O622" i="3957"/>
  <c r="O625" i="3957"/>
  <c r="P625" i="3957"/>
  <c r="P627" i="3957" l="1"/>
  <c r="A666" i="3957"/>
  <c r="A667" i="3957" s="1"/>
  <c r="A643" i="3957"/>
  <c r="A635" i="3957"/>
  <c r="A642" i="3957"/>
  <c r="A634" i="3957"/>
  <c r="A640" i="3957"/>
  <c r="A632" i="3957"/>
  <c r="A644" i="3957"/>
  <c r="A630" i="3957"/>
  <c r="A641" i="3957"/>
  <c r="A629" i="3957"/>
  <c r="A647" i="3957"/>
  <c r="A639" i="3957"/>
  <c r="A638" i="3957"/>
  <c r="A637" i="3957"/>
  <c r="A636" i="3957"/>
  <c r="A646" i="3957"/>
  <c r="A633" i="3957"/>
  <c r="A645" i="3957"/>
  <c r="A631" i="3957"/>
  <c r="Q627" i="3957"/>
  <c r="O628" i="3957"/>
  <c r="P628" i="3957"/>
  <c r="P640" i="3957" l="1"/>
  <c r="O640" i="3957"/>
  <c r="P639" i="3957"/>
  <c r="O639" i="3957"/>
  <c r="O635" i="3957"/>
  <c r="P635" i="3957"/>
  <c r="P631" i="3957"/>
  <c r="O631" i="3957"/>
  <c r="O642" i="3957"/>
  <c r="P642" i="3957"/>
  <c r="P643" i="3957"/>
  <c r="O643" i="3957"/>
  <c r="P632" i="3957"/>
  <c r="O632" i="3957"/>
  <c r="O634" i="3957"/>
  <c r="P634" i="3957"/>
  <c r="O645" i="3957"/>
  <c r="P645" i="3957"/>
  <c r="A668" i="3957"/>
  <c r="P581" i="3957"/>
  <c r="O667" i="3957"/>
  <c r="P577" i="3957"/>
  <c r="P637" i="3957"/>
  <c r="O637" i="3957"/>
  <c r="P638" i="3957"/>
  <c r="O638" i="3957"/>
  <c r="A660" i="3957"/>
  <c r="A652" i="3957"/>
  <c r="A659" i="3957"/>
  <c r="A651" i="3957"/>
  <c r="A665" i="3957"/>
  <c r="A657" i="3957"/>
  <c r="A649" i="3957"/>
  <c r="A656" i="3957"/>
  <c r="A655" i="3957"/>
  <c r="A654" i="3957"/>
  <c r="A664" i="3957"/>
  <c r="A653" i="3957"/>
  <c r="A663" i="3957"/>
  <c r="A650" i="3957"/>
  <c r="A662" i="3957"/>
  <c r="A648" i="3957"/>
  <c r="A661" i="3957"/>
  <c r="A658" i="3957"/>
  <c r="O647" i="3957"/>
  <c r="P647" i="3957"/>
  <c r="O629" i="3957"/>
  <c r="P629" i="3957"/>
  <c r="P633" i="3957"/>
  <c r="O633" i="3957"/>
  <c r="P641" i="3957"/>
  <c r="O641" i="3957"/>
  <c r="P646" i="3957"/>
  <c r="O646" i="3957"/>
  <c r="P630" i="3957"/>
  <c r="O630" i="3957"/>
  <c r="P636" i="3957"/>
  <c r="O636" i="3957"/>
  <c r="O644" i="3957"/>
  <c r="P644" i="3957"/>
  <c r="P650" i="3957" l="1"/>
  <c r="O650" i="3957"/>
  <c r="P657" i="3957"/>
  <c r="O657" i="3957"/>
  <c r="P665" i="3957"/>
  <c r="O665" i="3957"/>
  <c r="O653" i="3957"/>
  <c r="P653" i="3957"/>
  <c r="O651" i="3957"/>
  <c r="P651" i="3957"/>
  <c r="O664" i="3957"/>
  <c r="P664" i="3957"/>
  <c r="P659" i="3957"/>
  <c r="O659" i="3957"/>
  <c r="P658" i="3957"/>
  <c r="O658" i="3957"/>
  <c r="P654" i="3957"/>
  <c r="O654" i="3957"/>
  <c r="O652" i="3957"/>
  <c r="P652" i="3957"/>
  <c r="P663" i="3957"/>
  <c r="O663" i="3957"/>
  <c r="O661" i="3957"/>
  <c r="P661" i="3957"/>
  <c r="O655" i="3957"/>
  <c r="P655" i="3957"/>
  <c r="O660" i="3957"/>
  <c r="P660" i="3957"/>
  <c r="A677" i="3957"/>
  <c r="A669" i="3957"/>
  <c r="A676" i="3957"/>
  <c r="A674" i="3957"/>
  <c r="A671" i="3957"/>
  <c r="A670" i="3957"/>
  <c r="O668" i="3957"/>
  <c r="A678" i="3957"/>
  <c r="A675" i="3957"/>
  <c r="A673" i="3957"/>
  <c r="A672" i="3957"/>
  <c r="O648" i="3957"/>
  <c r="P648" i="3957"/>
  <c r="P656" i="3957"/>
  <c r="O656" i="3957"/>
  <c r="P662" i="3957"/>
  <c r="O662" i="3957"/>
  <c r="P649" i="3957"/>
  <c r="O649" i="3957"/>
  <c r="P676" i="3957" l="1"/>
  <c r="O676" i="3957"/>
  <c r="O669" i="3957"/>
  <c r="P669" i="3957"/>
  <c r="O675" i="3957"/>
  <c r="P675" i="3957"/>
  <c r="P677" i="3957"/>
  <c r="O677" i="3957"/>
  <c r="P672" i="3957"/>
  <c r="O672" i="3957"/>
  <c r="O674" i="3957"/>
  <c r="P674" i="3957"/>
  <c r="P668" i="3957"/>
  <c r="A679" i="3957"/>
  <c r="A680" i="3957" s="1"/>
  <c r="O673" i="3957"/>
  <c r="P673" i="3957"/>
  <c r="O678" i="3957"/>
  <c r="P678" i="3957"/>
  <c r="O670" i="3957"/>
  <c r="P670" i="3957"/>
  <c r="O671" i="3957"/>
  <c r="P671" i="3957"/>
  <c r="A681" i="3957" l="1"/>
  <c r="P667" i="3957"/>
  <c r="O680" i="3957"/>
  <c r="A683" i="3957" l="1"/>
  <c r="A682" i="3957"/>
  <c r="O681" i="3957"/>
  <c r="P682" i="3957" l="1"/>
  <c r="O682" i="3957"/>
  <c r="O683" i="3957"/>
  <c r="A689" i="3957"/>
  <c r="A688" i="3957"/>
  <c r="A686" i="3957"/>
  <c r="A687" i="3957"/>
  <c r="A685" i="3957"/>
  <c r="A684" i="3957"/>
  <c r="A693" i="3957"/>
  <c r="A692" i="3957"/>
  <c r="A691" i="3957"/>
  <c r="A690" i="3957"/>
  <c r="P689" i="3957" l="1"/>
  <c r="O689" i="3957"/>
  <c r="P686" i="3957"/>
  <c r="O686" i="3957"/>
  <c r="P692" i="3957"/>
  <c r="O692" i="3957"/>
  <c r="P683" i="3957"/>
  <c r="A694" i="3957"/>
  <c r="P685" i="3957"/>
  <c r="O685" i="3957"/>
  <c r="P690" i="3957"/>
  <c r="O690" i="3957"/>
  <c r="O687" i="3957"/>
  <c r="P687" i="3957"/>
  <c r="P688" i="3957"/>
  <c r="O688" i="3957"/>
  <c r="O691" i="3957"/>
  <c r="P691" i="3957"/>
  <c r="O693" i="3957"/>
  <c r="P693" i="3957"/>
  <c r="O684" i="3957"/>
  <c r="P684" i="3957"/>
  <c r="A696" i="3957" l="1"/>
  <c r="A695" i="3957"/>
  <c r="P681" i="3957"/>
  <c r="P695" i="3957" l="1"/>
  <c r="O695" i="3957"/>
  <c r="A698" i="3957"/>
  <c r="A697" i="3957"/>
  <c r="P309" i="3957"/>
  <c r="P680" i="3957"/>
  <c r="O696" i="3957"/>
  <c r="A700" i="3957" l="1"/>
  <c r="O700" i="3957" s="1"/>
  <c r="A699" i="3957"/>
  <c r="A701" i="3957"/>
  <c r="A702" i="3957"/>
  <c r="O698" i="3957"/>
  <c r="P697" i="3957"/>
  <c r="O697" i="3957"/>
  <c r="A703" i="3957" l="1"/>
  <c r="A704" i="3957"/>
  <c r="O702" i="3957"/>
  <c r="P698" i="3957"/>
  <c r="O701" i="3957"/>
  <c r="P701" i="3957"/>
  <c r="P700" i="3957"/>
  <c r="P699" i="3957"/>
  <c r="O699" i="3957"/>
  <c r="A705" i="3957" l="1"/>
  <c r="A706" i="3957"/>
  <c r="P702" i="3957"/>
  <c r="O704" i="3957"/>
  <c r="P703" i="3957"/>
  <c r="O703" i="3957"/>
  <c r="A708" i="3957" l="1"/>
  <c r="A707" i="3957"/>
  <c r="O706" i="3957"/>
  <c r="P704" i="3957"/>
  <c r="O705" i="3957"/>
  <c r="P705" i="3957"/>
  <c r="P707" i="3957" l="1"/>
  <c r="O707" i="3957"/>
  <c r="A710" i="3957"/>
  <c r="A709" i="3957"/>
  <c r="P706" i="3957"/>
  <c r="O708" i="3957"/>
  <c r="O709" i="3957" l="1"/>
  <c r="P709" i="3957"/>
  <c r="A711" i="3957"/>
  <c r="O710" i="3957"/>
  <c r="P708" i="3957"/>
  <c r="P696" i="3957" l="1"/>
  <c r="O711" i="3957"/>
  <c r="P710" i="3957"/>
  <c r="P711" i="395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Dan Blaguiescu</author>
  </authors>
  <commentList>
    <comment ref="J8" authorId="0" shapeId="0" xr:uid="{00000000-0006-0000-0500-000001000000}">
      <text>
        <r>
          <rPr>
            <b/>
            <sz val="8"/>
            <color indexed="8"/>
            <rFont val="Arial"/>
            <family val="2"/>
          </rPr>
          <t>Her kan du vælge mellem forskellige sandsynlighedsmodeller.
Ved "Trekant" er der størst sandsynlighed for middelestimatet.
Ved "Tilfældig" er der lige stor sandsynlighed for hvert udfald (og alle udfald der i mellem).
Ved "Diskret" kan udfaldet kun være lavt, middel eller højt estimat, men ikke noget der i mellem.
Ved "Ikke usikker" er middelestimatet 100% sandsynligt.
Se vejledning til busines casen for en uddybning af de forskellige sandsynlighedsmodeller</t>
        </r>
      </text>
    </comment>
    <comment ref="K8" authorId="0" shapeId="0" xr:uid="{00000000-0006-0000-0500-000002000000}">
      <text>
        <r>
          <rPr>
            <b/>
            <sz val="8"/>
            <color indexed="8"/>
            <rFont val="Arial"/>
            <family val="2"/>
          </rPr>
          <t xml:space="preserve">Indsæt lavt estimat (best case for udgifter).
Der kan ikke anvendes formler
Beløb angives i tusinde kr. 
</t>
        </r>
      </text>
    </comment>
    <comment ref="L8" authorId="0" shapeId="0" xr:uid="{00000000-0006-0000-0500-000003000000}">
      <text>
        <r>
          <rPr>
            <b/>
            <sz val="8"/>
            <color indexed="8"/>
            <rFont val="Arial"/>
            <family val="2"/>
          </rPr>
          <t xml:space="preserve">Indsæt forventet estimat (middel for udgifter).
Der må kun anvendes formler, der refererer til denne kolonne.
Beløb angives i tusinde kr. 
</t>
        </r>
      </text>
    </comment>
    <comment ref="M8" authorId="0" shapeId="0" xr:uid="{00000000-0006-0000-0500-000004000000}">
      <text>
        <r>
          <rPr>
            <b/>
            <sz val="8"/>
            <color indexed="8"/>
            <rFont val="Arial"/>
            <family val="2"/>
          </rPr>
          <t xml:space="preserve">Indsæt højt estimat (worst case for udgifter).
Der kan ikke anvendes formler
Beløb angives i tusinde kr. 
</t>
        </r>
      </text>
    </comment>
    <comment ref="N8" authorId="0" shapeId="0" xr:uid="{00000000-0006-0000-0500-000005000000}">
      <text>
        <r>
          <rPr>
            <b/>
            <sz val="8"/>
            <color indexed="8"/>
            <rFont val="Arial"/>
            <family val="2"/>
          </rPr>
          <t>SSH: sandsynlighed.
Indsæt sandsynligheden i % for at udfaldet bliver det laveste estimat.</t>
        </r>
      </text>
    </comment>
    <comment ref="O8" authorId="0" shapeId="0" xr:uid="{00000000-0006-0000-0500-000006000000}">
      <text>
        <r>
          <rPr>
            <b/>
            <sz val="8"/>
            <color indexed="8"/>
            <rFont val="Arial"/>
            <family val="2"/>
          </rPr>
          <t>SSH: sandsynlighed.
Indsæt sandsynligheden i % for at udfaldet bliver middelestimatet.</t>
        </r>
      </text>
    </comment>
    <comment ref="P8" authorId="0" shapeId="0" xr:uid="{00000000-0006-0000-0500-000007000000}">
      <text>
        <r>
          <rPr>
            <b/>
            <sz val="8"/>
            <color indexed="8"/>
            <rFont val="Arial"/>
            <family val="2"/>
          </rPr>
          <t>SSH: sandsynlighed.
Indsæt sandsynligheden i % for at udfaldet bliver det højeste estimat.</t>
        </r>
      </text>
    </comment>
    <comment ref="D16" authorId="0" shapeId="0" xr:uid="{00000000-0006-0000-0500-000008000000}">
      <text>
        <r>
          <rPr>
            <b/>
            <sz val="8"/>
            <color indexed="8"/>
            <rFont val="Arial"/>
            <family val="2"/>
          </rPr>
          <t xml:space="preserve">Se vejledningen til businesscasen, for nærmere forklaring af forudsætningstyper. 
Valg af den rigtige forudsætningstype er væsentlig for udarbejdelse af businesscasen.
</t>
        </r>
      </text>
    </comment>
    <comment ref="E16" authorId="0" shapeId="0" xr:uid="{00000000-0006-0000-0500-000009000000}">
      <text>
        <r>
          <rPr>
            <b/>
            <sz val="8"/>
            <color indexed="8"/>
            <rFont val="Arial"/>
            <family val="2"/>
          </rPr>
          <t>Vælg året som forudsætningen vedrører.</t>
        </r>
      </text>
    </comment>
    <comment ref="F16" authorId="0" shapeId="0" xr:uid="{00000000-0006-0000-0500-00000A000000}">
      <text>
        <r>
          <rPr>
            <b/>
            <sz val="8"/>
            <color indexed="8"/>
            <rFont val="Arial"/>
            <family val="2"/>
          </rPr>
          <t xml:space="preserve">Vælg den konto som forudsætningen kan henføres til.
Konti kan redigeres i fanen Forside. Se vejledning til business case for uddybende forklaring.
</t>
        </r>
      </text>
    </comment>
    <comment ref="G16" authorId="0" shapeId="0" xr:uid="{00000000-0006-0000-0500-00000B000000}">
      <text>
        <r>
          <rPr>
            <b/>
            <sz val="8"/>
            <color indexed="8"/>
            <rFont val="Arial"/>
            <family val="2"/>
          </rPr>
          <t>Udgiftsbærere kan tilføjes og redigeres i fanen Forside.</t>
        </r>
      </text>
    </comment>
    <comment ref="H16" authorId="0" shapeId="0" xr:uid="{00000000-0006-0000-0500-00000C000000}">
      <text>
        <r>
          <rPr>
            <b/>
            <sz val="8"/>
            <color indexed="8"/>
            <rFont val="Arial"/>
            <family val="2"/>
          </rPr>
          <t>PL-år: År for pris- og lønniveau.
Vælg årstal for pris- og lønniveau for de givne estimater. Se vejledning til business case for uddybende forklaring.</t>
        </r>
      </text>
    </comment>
    <comment ref="J16" authorId="0" shapeId="0" xr:uid="{00000000-0006-0000-0500-00000D000000}">
      <text>
        <r>
          <rPr>
            <b/>
            <sz val="8"/>
            <color indexed="8"/>
            <rFont val="Arial"/>
            <family val="2"/>
          </rPr>
          <t>Her kan du vælge mellem forskellige sandsynlighedsmodeller.
Ved "Trekant" er der størst sandsynlighed for middelestimatet.
Ved "Tilfældig" er der lige stor sandsynlighed for hvert udfald (og alle udfald der i mellem).
Ved "Diskret" kan udfaldet kun være lavt, middel eller højt estimat, men ikke noget der i mellem.
Ved "Ikke usikker" er middelestimatet 100% sandsynligt.
Se vejledning til busines casen for en uddybning af de forskellige sandsynlighedsmodeller</t>
        </r>
      </text>
    </comment>
    <comment ref="K16" authorId="0" shapeId="0" xr:uid="{00000000-0006-0000-0500-00000E000000}">
      <text>
        <r>
          <rPr>
            <b/>
            <sz val="8"/>
            <color indexed="8"/>
            <rFont val="Arial"/>
            <family val="2"/>
          </rPr>
          <t xml:space="preserve">Indsæt lavt estimat (best case for udgifter).
Der kan ikke anvendes formler
Beløb angives i tusinde kr. 
</t>
        </r>
      </text>
    </comment>
    <comment ref="L16" authorId="0" shapeId="0" xr:uid="{00000000-0006-0000-0500-00000F000000}">
      <text>
        <r>
          <rPr>
            <b/>
            <sz val="8"/>
            <color indexed="8"/>
            <rFont val="Arial"/>
            <family val="2"/>
          </rPr>
          <t xml:space="preserve">Indsæt forventet estimat (middel for udgifter).
Der må kun anvendes formler, der refererer til denne kolonne.
Beløb angives i tusinde kr. 
</t>
        </r>
      </text>
    </comment>
    <comment ref="M16" authorId="0" shapeId="0" xr:uid="{00000000-0006-0000-0500-000010000000}">
      <text>
        <r>
          <rPr>
            <b/>
            <sz val="8"/>
            <color indexed="8"/>
            <rFont val="Arial"/>
            <family val="2"/>
          </rPr>
          <t xml:space="preserve">Indsæt højt estimat (worst case for udgifter).
Der kan ikke anvendes formler
Beløb angives i tusinde kr. 
</t>
        </r>
      </text>
    </comment>
    <comment ref="N16" authorId="0" shapeId="0" xr:uid="{00000000-0006-0000-0500-000011000000}">
      <text>
        <r>
          <rPr>
            <b/>
            <sz val="8"/>
            <color indexed="8"/>
            <rFont val="Arial"/>
            <family val="2"/>
          </rPr>
          <t>SSH: sandsynlighed.
Indsæt sandsynligheden i % for at udfaldet bliver det laveste estimat.</t>
        </r>
      </text>
    </comment>
    <comment ref="O16" authorId="0" shapeId="0" xr:uid="{00000000-0006-0000-0500-000012000000}">
      <text>
        <r>
          <rPr>
            <b/>
            <sz val="8"/>
            <color indexed="8"/>
            <rFont val="Arial"/>
            <family val="2"/>
          </rPr>
          <t>SSH: sandsynlighed.
Indsæt sandsynligheden i % for at udfaldet bliver middelestimatet.</t>
        </r>
      </text>
    </comment>
    <comment ref="P16" authorId="0" shapeId="0" xr:uid="{00000000-0006-0000-0500-000013000000}">
      <text>
        <r>
          <rPr>
            <b/>
            <sz val="8"/>
            <color indexed="8"/>
            <rFont val="Arial"/>
            <family val="2"/>
          </rPr>
          <t>SSH: sandsynlighed.
Indsæt sandsynligheden i % for at udfaldet bliver det højeste estimat.</t>
        </r>
      </text>
    </comment>
    <comment ref="S16" authorId="0" shapeId="0" xr:uid="{00000000-0006-0000-0500-000014000000}">
      <text>
        <r>
          <rPr>
            <b/>
            <sz val="8"/>
            <color indexed="8"/>
            <rFont val="Arial"/>
            <family val="2"/>
          </rPr>
          <t>Vælg en primær risiko som usikkerheden skal tilskrives. Risici kan tilføjes og redigeres i fanen Forside.
Hvis du ikke vælger en risiko, tæller risikoen som generel usikkerhed.</t>
        </r>
      </text>
    </comment>
    <comment ref="T16" authorId="0" shapeId="0" xr:uid="{00000000-0006-0000-0500-000015000000}">
      <text>
        <r>
          <rPr>
            <b/>
            <sz val="8"/>
            <color indexed="8"/>
            <rFont val="Arial"/>
            <family val="2"/>
          </rPr>
          <t xml:space="preserve">Vælg en sekundær  risiko som usikkerheden skal tilskrives. Risici kan tilføjes og redigeres i fanen Forside.
Hvis du ikke vælger en risiko, tæller risikoen som generel usikkerhed.
Hvis der ikke er angivet en primær risiko, kan der ikke angives en sekundær risiko. 
</t>
        </r>
      </text>
    </comment>
    <comment ref="D21" authorId="0" shapeId="0" xr:uid="{00000000-0006-0000-0500-000016000000}">
      <text>
        <r>
          <rPr>
            <b/>
            <sz val="8"/>
            <color indexed="8"/>
            <rFont val="Arial"/>
            <family val="2"/>
          </rPr>
          <t xml:space="preserve">Se vejledningen til businesscasen, for nærmere forklaring af forudsætningstyper. 
Valg af den rigtige forudsætningstype er væsentlig for udarbejdelse af businesscasen.
</t>
        </r>
      </text>
    </comment>
    <comment ref="E21" authorId="0" shapeId="0" xr:uid="{00000000-0006-0000-0500-000017000000}">
      <text>
        <r>
          <rPr>
            <b/>
            <sz val="8"/>
            <color indexed="8"/>
            <rFont val="Arial"/>
            <family val="2"/>
          </rPr>
          <t>Vælg året som forudsætningen vedrører.</t>
        </r>
      </text>
    </comment>
    <comment ref="F21" authorId="0" shapeId="0" xr:uid="{00000000-0006-0000-0500-000018000000}">
      <text>
        <r>
          <rPr>
            <b/>
            <sz val="8"/>
            <color indexed="8"/>
            <rFont val="Arial"/>
            <family val="2"/>
          </rPr>
          <t xml:space="preserve">Vælg den konto som forudsætningen kan henføres til.
Konti kan redigeres i fanen Forside. Se vejledning til business case for uddybende forklaring.
</t>
        </r>
      </text>
    </comment>
    <comment ref="G21" authorId="0" shapeId="0" xr:uid="{00000000-0006-0000-0500-000019000000}">
      <text>
        <r>
          <rPr>
            <b/>
            <sz val="8"/>
            <color indexed="8"/>
            <rFont val="Arial"/>
            <family val="2"/>
          </rPr>
          <t>Udgiftsbærere kan tilføjes og redigeres i fanen Forside.</t>
        </r>
      </text>
    </comment>
    <comment ref="H21" authorId="0" shapeId="0" xr:uid="{00000000-0006-0000-0500-00001A000000}">
      <text>
        <r>
          <rPr>
            <b/>
            <sz val="8"/>
            <color indexed="8"/>
            <rFont val="Arial"/>
            <family val="2"/>
          </rPr>
          <t>PL-år: År for pris- og lønniveau.
Vælg årstal for pris- og lønniveau for de givne estimater. Se vejledning til business case for uddybende forklaring.</t>
        </r>
      </text>
    </comment>
    <comment ref="J21" authorId="0" shapeId="0" xr:uid="{00000000-0006-0000-0500-00001B000000}">
      <text>
        <r>
          <rPr>
            <b/>
            <sz val="8"/>
            <color indexed="8"/>
            <rFont val="Arial"/>
            <family val="2"/>
          </rPr>
          <t>Her kan du vælge mellem forskellige sandsynlighedsmodeller.
Ved "Trekant" er der størst sandsynlighed for middelestimatet.
Ved "Tilfældig" er der lige stor sandsynlighed for hvert udfald (og alle udfald der i mellem).
Ved "Diskret" kan udfaldet kun være lavt, middel eller højt estimat, men ikke noget der i mellem.
Ved "Ikke usikker" er middelestimatet 100% sandsynligt.
Se vejledning til busines casen for en uddybning af de forskellige sandsynlighedsmodeller</t>
        </r>
      </text>
    </comment>
    <comment ref="K21" authorId="0" shapeId="0" xr:uid="{00000000-0006-0000-0500-00001C000000}">
      <text>
        <r>
          <rPr>
            <b/>
            <sz val="8"/>
            <color indexed="8"/>
            <rFont val="Arial"/>
            <family val="2"/>
          </rPr>
          <t xml:space="preserve">Indsæt lavt estimat (best case for udgifter).
Der kan ikke anvendes formler
Beløb angives i tusinde kr. 
</t>
        </r>
      </text>
    </comment>
    <comment ref="L21" authorId="0" shapeId="0" xr:uid="{00000000-0006-0000-0500-00001D000000}">
      <text>
        <r>
          <rPr>
            <b/>
            <sz val="8"/>
            <color indexed="8"/>
            <rFont val="Arial"/>
            <family val="2"/>
          </rPr>
          <t xml:space="preserve">Indsæt forventet estimat (middel for udgifter).
Der må kun anvendes formler, der refererer til denne kolonne.
Beløb angives i tusinde kr. 
</t>
        </r>
      </text>
    </comment>
    <comment ref="M21" authorId="0" shapeId="0" xr:uid="{00000000-0006-0000-0500-00001E000000}">
      <text>
        <r>
          <rPr>
            <b/>
            <sz val="8"/>
            <color indexed="8"/>
            <rFont val="Arial"/>
            <family val="2"/>
          </rPr>
          <t xml:space="preserve">Indsæt højt estimat (worst case for udgifter).
Der kan ikke anvendes formler
Beløb angives i tusinde kr. 
</t>
        </r>
      </text>
    </comment>
    <comment ref="N21" authorId="0" shapeId="0" xr:uid="{00000000-0006-0000-0500-00001F000000}">
      <text>
        <r>
          <rPr>
            <b/>
            <sz val="8"/>
            <color indexed="8"/>
            <rFont val="Arial"/>
            <family val="2"/>
          </rPr>
          <t>SSH: sandsynlighed.
Indsæt sandsynligheden i % for at udfaldet bliver det laveste estimat.</t>
        </r>
      </text>
    </comment>
    <comment ref="O21" authorId="0" shapeId="0" xr:uid="{00000000-0006-0000-0500-000020000000}">
      <text>
        <r>
          <rPr>
            <b/>
            <sz val="8"/>
            <color indexed="8"/>
            <rFont val="Arial"/>
            <family val="2"/>
          </rPr>
          <t>SSH: sandsynlighed.
Indsæt sandsynligheden i % for at udfaldet bliver middelestimatet.</t>
        </r>
      </text>
    </comment>
    <comment ref="P21" authorId="0" shapeId="0" xr:uid="{00000000-0006-0000-0500-000021000000}">
      <text>
        <r>
          <rPr>
            <b/>
            <sz val="8"/>
            <color indexed="8"/>
            <rFont val="Arial"/>
            <family val="2"/>
          </rPr>
          <t>SSH: sandsynlighed.
Indsæt sandsynligheden i % for at udfaldet bliver det højeste estimat.</t>
        </r>
      </text>
    </comment>
    <comment ref="S21" authorId="0" shapeId="0" xr:uid="{00000000-0006-0000-0500-000022000000}">
      <text>
        <r>
          <rPr>
            <b/>
            <sz val="8"/>
            <color indexed="8"/>
            <rFont val="Arial"/>
            <family val="2"/>
          </rPr>
          <t>Vælg en primær risiko som usikkerheden skal tilskrives. Risici kan tilføjes og redigeres i fanen Forside.
Hvis du ikke vælger en risiko, tæller risikoen som generel usikkerhed.</t>
        </r>
      </text>
    </comment>
    <comment ref="T21" authorId="0" shapeId="0" xr:uid="{00000000-0006-0000-0500-000023000000}">
      <text>
        <r>
          <rPr>
            <b/>
            <sz val="8"/>
            <color indexed="8"/>
            <rFont val="Arial"/>
            <family val="2"/>
          </rPr>
          <t xml:space="preserve">Vælg en sekundær  risiko som usikkerheden skal tilskrives. Risici kan tilføjes og redigeres i fanen Forside.
Hvis du ikke vælger en risiko, tæller risikoen som generel usikkerhed.
Hvis der ikke er angivet en primær risiko, kan der ikke angives en sekundær risiko. 
</t>
        </r>
      </text>
    </comment>
    <comment ref="D26" authorId="0" shapeId="0" xr:uid="{00000000-0006-0000-0500-000024000000}">
      <text>
        <r>
          <rPr>
            <b/>
            <sz val="8"/>
            <color indexed="8"/>
            <rFont val="Arial"/>
            <family val="2"/>
          </rPr>
          <t xml:space="preserve">Se vejledningen til businesscasen, for nærmere forklaring af forudsætningstyper. 
Valg af den rigtige forudsætningstype er væsentlig for udarbejdelse af businesscasen.
</t>
        </r>
      </text>
    </comment>
    <comment ref="E26" authorId="0" shapeId="0" xr:uid="{00000000-0006-0000-0500-000025000000}">
      <text>
        <r>
          <rPr>
            <b/>
            <sz val="8"/>
            <color indexed="8"/>
            <rFont val="Arial"/>
            <family val="2"/>
          </rPr>
          <t>Vælg året som forudsætningen vedrører.</t>
        </r>
      </text>
    </comment>
    <comment ref="F26" authorId="0" shapeId="0" xr:uid="{00000000-0006-0000-0500-000026000000}">
      <text>
        <r>
          <rPr>
            <b/>
            <sz val="8"/>
            <color indexed="8"/>
            <rFont val="Arial"/>
            <family val="2"/>
          </rPr>
          <t xml:space="preserve">Vælg den konto som forudsætningen kan henføres til.
Konti kan redigeres i fanen Forside. Se vejledning til business case for uddybende forklaring.
</t>
        </r>
      </text>
    </comment>
    <comment ref="G26" authorId="0" shapeId="0" xr:uid="{00000000-0006-0000-0500-000027000000}">
      <text>
        <r>
          <rPr>
            <b/>
            <sz val="8"/>
            <color indexed="8"/>
            <rFont val="Arial"/>
            <family val="2"/>
          </rPr>
          <t>Udgiftsbærere kan tilføjes og redigeres i fanen Forside.</t>
        </r>
      </text>
    </comment>
    <comment ref="H26" authorId="0" shapeId="0" xr:uid="{00000000-0006-0000-0500-000028000000}">
      <text>
        <r>
          <rPr>
            <b/>
            <sz val="8"/>
            <color indexed="8"/>
            <rFont val="Arial"/>
            <family val="2"/>
          </rPr>
          <t>PL-år: År for pris- og lønniveau.
Vælg årstal for pris- og lønniveau for de givne estimater. Se vejledning til business case for uddybende forklaring.</t>
        </r>
      </text>
    </comment>
    <comment ref="J26" authorId="0" shapeId="0" xr:uid="{00000000-0006-0000-0500-000029000000}">
      <text>
        <r>
          <rPr>
            <b/>
            <sz val="8"/>
            <color indexed="8"/>
            <rFont val="Arial"/>
            <family val="2"/>
          </rPr>
          <t>Her kan du vælge mellem forskellige sandsynlighedsmodeller.
Ved "Trekant" er der størst sandsynlighed for middelestimatet.
Ved "Tilfældig" er der lige stor sandsynlighed for hvert udfald (og alle udfald der i mellem).
Ved "Diskret" kan udfaldet kun være lavt, middel eller højt estimat, men ikke noget der i mellem.
Ved "Ikke usikker" er middelestimatet 100% sandsynligt.
Se vejledning til busines casen for en uddybning af de forskellige sandsynlighedsmodeller</t>
        </r>
      </text>
    </comment>
    <comment ref="K26" authorId="0" shapeId="0" xr:uid="{00000000-0006-0000-0500-00002A000000}">
      <text>
        <r>
          <rPr>
            <b/>
            <sz val="8"/>
            <color indexed="8"/>
            <rFont val="Arial"/>
            <family val="2"/>
          </rPr>
          <t xml:space="preserve">Indsæt lavt estimat (best case for udgifter).
Der kan ikke anvendes formler
Beløb angives i tusinde kr. 
</t>
        </r>
      </text>
    </comment>
    <comment ref="L26" authorId="0" shapeId="0" xr:uid="{00000000-0006-0000-0500-00002B000000}">
      <text>
        <r>
          <rPr>
            <b/>
            <sz val="8"/>
            <color indexed="8"/>
            <rFont val="Arial"/>
            <family val="2"/>
          </rPr>
          <t xml:space="preserve">Indsæt forventet estimat (middel for udgifter).
Der må kun anvendes formler, der refererer til denne kolonne.
Beløb angives i tusinde kr. 
</t>
        </r>
      </text>
    </comment>
    <comment ref="M26" authorId="0" shapeId="0" xr:uid="{00000000-0006-0000-0500-00002C000000}">
      <text>
        <r>
          <rPr>
            <b/>
            <sz val="8"/>
            <color indexed="8"/>
            <rFont val="Arial"/>
            <family val="2"/>
          </rPr>
          <t xml:space="preserve">Indsæt højt estimat (worst case for udgifter).
Der kan ikke anvendes formler
Beløb angives i tusinde kr. 
</t>
        </r>
      </text>
    </comment>
    <comment ref="N26" authorId="0" shapeId="0" xr:uid="{00000000-0006-0000-0500-00002D000000}">
      <text>
        <r>
          <rPr>
            <b/>
            <sz val="8"/>
            <color indexed="8"/>
            <rFont val="Arial"/>
            <family val="2"/>
          </rPr>
          <t>SSH: sandsynlighed.
Indsæt sandsynligheden i % for at udfaldet bliver det laveste estimat.</t>
        </r>
      </text>
    </comment>
    <comment ref="O26" authorId="0" shapeId="0" xr:uid="{00000000-0006-0000-0500-00002E000000}">
      <text>
        <r>
          <rPr>
            <b/>
            <sz val="8"/>
            <color indexed="8"/>
            <rFont val="Arial"/>
            <family val="2"/>
          </rPr>
          <t>SSH: sandsynlighed.
Indsæt sandsynligheden i % for at udfaldet bliver middelestimatet.</t>
        </r>
      </text>
    </comment>
    <comment ref="P26" authorId="0" shapeId="0" xr:uid="{00000000-0006-0000-0500-00002F000000}">
      <text>
        <r>
          <rPr>
            <b/>
            <sz val="8"/>
            <color indexed="8"/>
            <rFont val="Arial"/>
            <family val="2"/>
          </rPr>
          <t>SSH: sandsynlighed.
Indsæt sandsynligheden i % for at udfaldet bliver det højeste estimat.</t>
        </r>
      </text>
    </comment>
    <comment ref="S26" authorId="0" shapeId="0" xr:uid="{00000000-0006-0000-0500-000030000000}">
      <text>
        <r>
          <rPr>
            <b/>
            <sz val="8"/>
            <color indexed="8"/>
            <rFont val="Arial"/>
            <family val="2"/>
          </rPr>
          <t>Vælg en primær risiko som usikkerheden skal tilskrives. Risici kan tilføjes og redigeres i fanen Forside.
Hvis du ikke vælger en risiko, tæller risikoen som generel usikkerhed.</t>
        </r>
      </text>
    </comment>
    <comment ref="T26" authorId="0" shapeId="0" xr:uid="{00000000-0006-0000-0500-000031000000}">
      <text>
        <r>
          <rPr>
            <b/>
            <sz val="8"/>
            <color indexed="8"/>
            <rFont val="Arial"/>
            <family val="2"/>
          </rPr>
          <t xml:space="preserve">Vælg en sekundær  risiko som usikkerheden skal tilskrives. Risici kan tilføjes og redigeres i fanen Forside.
Hvis du ikke vælger en risiko, tæller risikoen som generel usikkerhed.
Hvis der ikke er angivet en primær risiko, kan der ikke angives en sekundær risiko. 
</t>
        </r>
      </text>
    </comment>
    <comment ref="D31" authorId="0" shapeId="0" xr:uid="{00000000-0006-0000-0500-000032000000}">
      <text>
        <r>
          <rPr>
            <b/>
            <sz val="8"/>
            <color indexed="8"/>
            <rFont val="Arial"/>
            <family val="2"/>
          </rPr>
          <t xml:space="preserve">Se vejledningen til businesscasen, for nærmere forklaring af forudsætningstyper. 
Valg af den rigtige forudsætningstype er væsentlig for udarbejdelse af businesscasen.
</t>
        </r>
      </text>
    </comment>
    <comment ref="E31" authorId="0" shapeId="0" xr:uid="{00000000-0006-0000-0500-000033000000}">
      <text>
        <r>
          <rPr>
            <b/>
            <sz val="8"/>
            <color indexed="8"/>
            <rFont val="Arial"/>
            <family val="2"/>
          </rPr>
          <t>Vælg året som forudsætningen vedrører.</t>
        </r>
      </text>
    </comment>
    <comment ref="F31" authorId="0" shapeId="0" xr:uid="{00000000-0006-0000-0500-000034000000}">
      <text>
        <r>
          <rPr>
            <b/>
            <sz val="8"/>
            <color indexed="8"/>
            <rFont val="Arial"/>
            <family val="2"/>
          </rPr>
          <t xml:space="preserve">Vælg den konto som forudsætningen kan henføres til.
Konti kan redigeres i fanen Forside. Se vejledning til business case for uddybende forklaring.
</t>
        </r>
      </text>
    </comment>
    <comment ref="G31" authorId="0" shapeId="0" xr:uid="{00000000-0006-0000-0500-000035000000}">
      <text>
        <r>
          <rPr>
            <b/>
            <sz val="8"/>
            <color indexed="8"/>
            <rFont val="Arial"/>
            <family val="2"/>
          </rPr>
          <t>Udgiftsbærere kan tilføjes og redigeres i fanen Forside.</t>
        </r>
      </text>
    </comment>
    <comment ref="H31" authorId="0" shapeId="0" xr:uid="{00000000-0006-0000-0500-000036000000}">
      <text>
        <r>
          <rPr>
            <b/>
            <sz val="8"/>
            <color indexed="8"/>
            <rFont val="Arial"/>
            <family val="2"/>
          </rPr>
          <t>PL-år: År for pris- og lønniveau.
Vælg årstal for pris- og lønniveau for de givne estimater. Se vejledning til business case for uddybende forklaring.</t>
        </r>
      </text>
    </comment>
    <comment ref="J31" authorId="0" shapeId="0" xr:uid="{00000000-0006-0000-0500-000037000000}">
      <text>
        <r>
          <rPr>
            <b/>
            <sz val="8"/>
            <color indexed="8"/>
            <rFont val="Arial"/>
            <family val="2"/>
          </rPr>
          <t>Her kan du vælge mellem forskellige sandsynlighedsmodeller.
Ved "Trekant" er der størst sandsynlighed for middelestimatet.
Ved "Tilfældig" er der lige stor sandsynlighed for hvert udfald (og alle udfald der i mellem).
Ved "Diskret" kan udfaldet kun være lavt, middel eller højt estimat, men ikke noget der i mellem.
Ved "Ikke usikker" er middelestimatet 100% sandsynligt.
Se vejledning til busines casen for en uddybning af de forskellige sandsynlighedsmodeller</t>
        </r>
      </text>
    </comment>
    <comment ref="K31" authorId="0" shapeId="0" xr:uid="{00000000-0006-0000-0500-000038000000}">
      <text>
        <r>
          <rPr>
            <b/>
            <sz val="8"/>
            <color indexed="8"/>
            <rFont val="Arial"/>
            <family val="2"/>
          </rPr>
          <t xml:space="preserve">Indsæt lavt estimat (best case for udgifter).
Der kan ikke anvendes formler
Beløb angives i tusinde kr. 
</t>
        </r>
      </text>
    </comment>
    <comment ref="L31" authorId="0" shapeId="0" xr:uid="{00000000-0006-0000-0500-000039000000}">
      <text>
        <r>
          <rPr>
            <b/>
            <sz val="8"/>
            <color indexed="8"/>
            <rFont val="Arial"/>
            <family val="2"/>
          </rPr>
          <t xml:space="preserve">Indsæt forventet estimat (middel for udgifter).
Der må kun anvendes formler, der refererer til denne kolonne.
Beløb angives i tusinde kr. 
</t>
        </r>
      </text>
    </comment>
    <comment ref="M31" authorId="0" shapeId="0" xr:uid="{00000000-0006-0000-0500-00003A000000}">
      <text>
        <r>
          <rPr>
            <b/>
            <sz val="8"/>
            <color indexed="8"/>
            <rFont val="Arial"/>
            <family val="2"/>
          </rPr>
          <t xml:space="preserve">Indsæt højt estimat (worst case for udgifter).
Der kan ikke anvendes formler
Beløb angives i tusinde kr. 
</t>
        </r>
      </text>
    </comment>
    <comment ref="N31" authorId="0" shapeId="0" xr:uid="{00000000-0006-0000-0500-00003B000000}">
      <text>
        <r>
          <rPr>
            <b/>
            <sz val="8"/>
            <color indexed="8"/>
            <rFont val="Arial"/>
            <family val="2"/>
          </rPr>
          <t>SSH: sandsynlighed.
Indsæt sandsynligheden i % for at udfaldet bliver det laveste estimat.</t>
        </r>
      </text>
    </comment>
    <comment ref="O31" authorId="0" shapeId="0" xr:uid="{00000000-0006-0000-0500-00003C000000}">
      <text>
        <r>
          <rPr>
            <b/>
            <sz val="8"/>
            <color indexed="8"/>
            <rFont val="Arial"/>
            <family val="2"/>
          </rPr>
          <t>SSH: sandsynlighed.
Indsæt sandsynligheden i % for at udfaldet bliver middelestimatet.</t>
        </r>
      </text>
    </comment>
    <comment ref="P31" authorId="0" shapeId="0" xr:uid="{00000000-0006-0000-0500-00003D000000}">
      <text>
        <r>
          <rPr>
            <b/>
            <sz val="8"/>
            <color indexed="8"/>
            <rFont val="Arial"/>
            <family val="2"/>
          </rPr>
          <t>SSH: sandsynlighed.
Indsæt sandsynligheden i % for at udfaldet bliver det højeste estimat.</t>
        </r>
      </text>
    </comment>
    <comment ref="S31" authorId="0" shapeId="0" xr:uid="{00000000-0006-0000-0500-00003E000000}">
      <text>
        <r>
          <rPr>
            <b/>
            <sz val="8"/>
            <color indexed="8"/>
            <rFont val="Arial"/>
            <family val="2"/>
          </rPr>
          <t>Vælg en primær risiko som usikkerheden skal tilskrives. Risici kan tilføjes og redigeres i fanen Forside.
Hvis du ikke vælger en risiko, tæller risikoen som generel usikkerhed.</t>
        </r>
      </text>
    </comment>
    <comment ref="T31" authorId="0" shapeId="0" xr:uid="{00000000-0006-0000-0500-00003F000000}">
      <text>
        <r>
          <rPr>
            <b/>
            <sz val="8"/>
            <color indexed="8"/>
            <rFont val="Arial"/>
            <family val="2"/>
          </rPr>
          <t xml:space="preserve">Vælg en sekundær  risiko som usikkerheden skal tilskrives. Risici kan tilføjes og redigeres i fanen Forside.
Hvis du ikke vælger en risiko, tæller risikoen som generel usikkerhed.
Hvis der ikke er angivet en primær risiko, kan der ikke angives en sekundær risiko. 
</t>
        </r>
      </text>
    </comment>
    <comment ref="D36" authorId="0" shapeId="0" xr:uid="{00000000-0006-0000-0500-000040000000}">
      <text>
        <r>
          <rPr>
            <b/>
            <sz val="8"/>
            <color indexed="8"/>
            <rFont val="Arial"/>
            <family val="2"/>
          </rPr>
          <t xml:space="preserve">Se vejledningen til businesscasen, for nærmere forklaring af forudsætningstyper. 
Valg af den rigtige forudsætningstype er væsentlig for udarbejdelse af businesscasen.
</t>
        </r>
      </text>
    </comment>
    <comment ref="E36" authorId="0" shapeId="0" xr:uid="{00000000-0006-0000-0500-000041000000}">
      <text>
        <r>
          <rPr>
            <b/>
            <sz val="8"/>
            <color indexed="8"/>
            <rFont val="Arial"/>
            <family val="2"/>
          </rPr>
          <t>Vælg året som forudsætningen vedrører.</t>
        </r>
      </text>
    </comment>
    <comment ref="F36" authorId="0" shapeId="0" xr:uid="{00000000-0006-0000-0500-000042000000}">
      <text>
        <r>
          <rPr>
            <b/>
            <sz val="8"/>
            <color indexed="8"/>
            <rFont val="Arial"/>
            <family val="2"/>
          </rPr>
          <t xml:space="preserve">Vælg den konto som forudsætningen kan henføres til.
Konti kan redigeres i fanen Forside. Se vejledning til business case for uddybende forklaring.
</t>
        </r>
      </text>
    </comment>
    <comment ref="G36" authorId="0" shapeId="0" xr:uid="{00000000-0006-0000-0500-000043000000}">
      <text>
        <r>
          <rPr>
            <b/>
            <sz val="8"/>
            <color indexed="8"/>
            <rFont val="Arial"/>
            <family val="2"/>
          </rPr>
          <t>Udgiftsbærere kan tilføjes og redigeres i fanen Forside.</t>
        </r>
      </text>
    </comment>
    <comment ref="H36" authorId="0" shapeId="0" xr:uid="{00000000-0006-0000-0500-000044000000}">
      <text>
        <r>
          <rPr>
            <b/>
            <sz val="8"/>
            <color indexed="8"/>
            <rFont val="Arial"/>
            <family val="2"/>
          </rPr>
          <t>PL-år: År for pris- og lønniveau.
Vælg årstal for pris- og lønniveau for de givne estimater. Se vejledning til business case for uddybende forklaring.</t>
        </r>
      </text>
    </comment>
    <comment ref="J36" authorId="0" shapeId="0" xr:uid="{00000000-0006-0000-0500-000045000000}">
      <text>
        <r>
          <rPr>
            <b/>
            <sz val="8"/>
            <color indexed="8"/>
            <rFont val="Arial"/>
            <family val="2"/>
          </rPr>
          <t>Her kan du vælge mellem forskellige sandsynlighedsmodeller.
Ved "Trekant" er der størst sandsynlighed for middelestimatet.
Ved "Tilfældig" er der lige stor sandsynlighed for hvert udfald (og alle udfald der i mellem).
Ved "Diskret" kan udfaldet kun være lavt, middel eller højt estimat, men ikke noget der i mellem.
Ved "Ikke usikker" er middelestimatet 100% sandsynligt.
Se vejledning til busines casen for en uddybning af de forskellige sandsynlighedsmodeller</t>
        </r>
      </text>
    </comment>
    <comment ref="K36" authorId="0" shapeId="0" xr:uid="{00000000-0006-0000-0500-000046000000}">
      <text>
        <r>
          <rPr>
            <b/>
            <sz val="8"/>
            <color indexed="8"/>
            <rFont val="Arial"/>
            <family val="2"/>
          </rPr>
          <t xml:space="preserve">Indsæt lavt estimat (best case for udgifter).
Der kan ikke anvendes formler
Beløb angives i tusinde kr. 
</t>
        </r>
      </text>
    </comment>
    <comment ref="L36" authorId="0" shapeId="0" xr:uid="{00000000-0006-0000-0500-000047000000}">
      <text>
        <r>
          <rPr>
            <b/>
            <sz val="8"/>
            <color indexed="8"/>
            <rFont val="Arial"/>
            <family val="2"/>
          </rPr>
          <t xml:space="preserve">Indsæt forventet estimat (middel for udgifter).
Der må kun anvendes formler, der refererer til denne kolonne.
Beløb angives i tusinde kr. 
</t>
        </r>
      </text>
    </comment>
    <comment ref="M36" authorId="0" shapeId="0" xr:uid="{00000000-0006-0000-0500-000048000000}">
      <text>
        <r>
          <rPr>
            <b/>
            <sz val="8"/>
            <color indexed="8"/>
            <rFont val="Arial"/>
            <family val="2"/>
          </rPr>
          <t xml:space="preserve">Indsæt højt estimat (worst case for udgifter).
Der kan ikke anvendes formler
Beløb angives i tusinde kr. 
</t>
        </r>
      </text>
    </comment>
    <comment ref="N36" authorId="0" shapeId="0" xr:uid="{00000000-0006-0000-0500-000049000000}">
      <text>
        <r>
          <rPr>
            <b/>
            <sz val="8"/>
            <color indexed="8"/>
            <rFont val="Arial"/>
            <family val="2"/>
          </rPr>
          <t>SSH: sandsynlighed.
Indsæt sandsynligheden i % for at udfaldet bliver det laveste estimat.</t>
        </r>
      </text>
    </comment>
    <comment ref="O36" authorId="0" shapeId="0" xr:uid="{00000000-0006-0000-0500-00004A000000}">
      <text>
        <r>
          <rPr>
            <b/>
            <sz val="8"/>
            <color indexed="8"/>
            <rFont val="Arial"/>
            <family val="2"/>
          </rPr>
          <t>SSH: sandsynlighed.
Indsæt sandsynligheden i % for at udfaldet bliver middelestimatet.</t>
        </r>
      </text>
    </comment>
    <comment ref="P36" authorId="0" shapeId="0" xr:uid="{00000000-0006-0000-0500-00004B000000}">
      <text>
        <r>
          <rPr>
            <b/>
            <sz val="8"/>
            <color indexed="8"/>
            <rFont val="Arial"/>
            <family val="2"/>
          </rPr>
          <t>SSH: sandsynlighed.
Indsæt sandsynligheden i % for at udfaldet bliver det højeste estimat.</t>
        </r>
      </text>
    </comment>
    <comment ref="S36" authorId="0" shapeId="0" xr:uid="{00000000-0006-0000-0500-00004C000000}">
      <text>
        <r>
          <rPr>
            <b/>
            <sz val="8"/>
            <color indexed="8"/>
            <rFont val="Arial"/>
            <family val="2"/>
          </rPr>
          <t>Vælg en primær risiko som usikkerheden skal tilskrives. Risici kan tilføjes og redigeres i fanen Forside.
Hvis du ikke vælger en risiko, tæller risikoen som generel usikkerhed.</t>
        </r>
      </text>
    </comment>
    <comment ref="T36" authorId="0" shapeId="0" xr:uid="{00000000-0006-0000-0500-00004D000000}">
      <text>
        <r>
          <rPr>
            <b/>
            <sz val="8"/>
            <color indexed="8"/>
            <rFont val="Arial"/>
            <family val="2"/>
          </rPr>
          <t xml:space="preserve">Vælg en sekundær  risiko som usikkerheden skal tilskrives. Risici kan tilføjes og redigeres i fanen Forside.
Hvis du ikke vælger en risiko, tæller risikoen som generel usikkerhed.
Hvis der ikke er angivet en primær risiko, kan der ikke angives en sekundær risiko.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Dan Blaguiescu</author>
  </authors>
  <commentList>
    <comment ref="J8" authorId="0" shapeId="0" xr:uid="{00000000-0006-0000-0600-000001000000}">
      <text>
        <r>
          <rPr>
            <b/>
            <sz val="8"/>
            <color indexed="8"/>
            <rFont val="Arial"/>
            <family val="2"/>
          </rPr>
          <t>Her kan du vælge mellem forskellige sandsynlighedsmodeller.
Ved "Trekant" er der størst sandsynlighed for middelestimatet.
Ved "Tilfældig" er der lige stor sandsynlighed for hvert udfald (og alle udfald der i mellem).
Ved "Diskret" kan udfaldet kun være lavt, middel eller højt estimat, men ikke noget der i mellem.
Ved "Ikke usikker" er middelestimatet 100% sandsynligt.
Se vejledning til busines casen for en uddybning af de forskellige sandsynlighedsmodeller</t>
        </r>
      </text>
    </comment>
    <comment ref="K8" authorId="0" shapeId="0" xr:uid="{00000000-0006-0000-0600-000002000000}">
      <text>
        <r>
          <rPr>
            <b/>
            <sz val="8"/>
            <color indexed="8"/>
            <rFont val="Arial"/>
            <family val="2"/>
          </rPr>
          <t xml:space="preserve">Indsæt lavt estimat (best case for udgifter).
Der kan ikke anvendes formler
Beløb angives i tusinde kr. 
</t>
        </r>
      </text>
    </comment>
    <comment ref="L8" authorId="0" shapeId="0" xr:uid="{00000000-0006-0000-0600-000003000000}">
      <text>
        <r>
          <rPr>
            <b/>
            <sz val="8"/>
            <color indexed="8"/>
            <rFont val="Arial"/>
            <family val="2"/>
          </rPr>
          <t xml:space="preserve">Indsæt forventet estimat (middel for udgifter).
Der må kun anvendes formler, der refererer til denne kolonne.
Beløb angives i tusinde kr. 
</t>
        </r>
      </text>
    </comment>
    <comment ref="M8" authorId="0" shapeId="0" xr:uid="{00000000-0006-0000-0600-000004000000}">
      <text>
        <r>
          <rPr>
            <b/>
            <sz val="8"/>
            <color indexed="8"/>
            <rFont val="Arial"/>
            <family val="2"/>
          </rPr>
          <t xml:space="preserve">Indsæt højt estimat (worst case for udgifter).
Der kan ikke anvendes formler
Beløb angives i tusinde kr. 
</t>
        </r>
      </text>
    </comment>
    <comment ref="N8" authorId="0" shapeId="0" xr:uid="{00000000-0006-0000-0600-000005000000}">
      <text>
        <r>
          <rPr>
            <b/>
            <sz val="8"/>
            <color indexed="8"/>
            <rFont val="Arial"/>
            <family val="2"/>
          </rPr>
          <t>SSH: sandsynlighed.
Indsæt sandsynligheden i % for at udfaldet bliver det laveste estimat.</t>
        </r>
      </text>
    </comment>
    <comment ref="O8" authorId="0" shapeId="0" xr:uid="{00000000-0006-0000-0600-000006000000}">
      <text>
        <r>
          <rPr>
            <b/>
            <sz val="8"/>
            <color indexed="8"/>
            <rFont val="Arial"/>
            <family val="2"/>
          </rPr>
          <t>SSH: sandsynlighed.
Indsæt sandsynligheden i % for at udfaldet bliver middelestimatet.</t>
        </r>
      </text>
    </comment>
    <comment ref="P8" authorId="0" shapeId="0" xr:uid="{00000000-0006-0000-0600-000007000000}">
      <text>
        <r>
          <rPr>
            <b/>
            <sz val="8"/>
            <color indexed="8"/>
            <rFont val="Arial"/>
            <family val="2"/>
          </rPr>
          <t>SSH: sandsynlighed.
Indsæt sandsynligheden i % for at udfaldet bliver det højeste estimat.</t>
        </r>
      </text>
    </comment>
    <comment ref="D16" authorId="0" shapeId="0" xr:uid="{00000000-0006-0000-0600-000008000000}">
      <text>
        <r>
          <rPr>
            <b/>
            <sz val="8"/>
            <color indexed="8"/>
            <rFont val="Arial"/>
            <family val="2"/>
          </rPr>
          <t xml:space="preserve">Se vejledningen til businesscasen, for nærmere forklaring af forudsætningstyper. 
Valg af den rigtige forudsætningstype er væsentlig for udarbejdelse af businesscasen.
</t>
        </r>
      </text>
    </comment>
    <comment ref="E16" authorId="0" shapeId="0" xr:uid="{00000000-0006-0000-0600-000009000000}">
      <text>
        <r>
          <rPr>
            <b/>
            <sz val="8"/>
            <color indexed="8"/>
            <rFont val="Arial"/>
            <family val="2"/>
          </rPr>
          <t>Vælg året som forudsætningen vedrører.</t>
        </r>
      </text>
    </comment>
    <comment ref="F16" authorId="0" shapeId="0" xr:uid="{00000000-0006-0000-0600-00000A000000}">
      <text>
        <r>
          <rPr>
            <b/>
            <sz val="8"/>
            <color indexed="8"/>
            <rFont val="Arial"/>
            <family val="2"/>
          </rPr>
          <t xml:space="preserve">Vælg den konto som forudsætningen kan henføres til.
Konti kan redigeres i fanen Forside. Se vejledning til business case for uddybende forklaring.
</t>
        </r>
      </text>
    </comment>
    <comment ref="G16" authorId="0" shapeId="0" xr:uid="{00000000-0006-0000-0600-00000B000000}">
      <text>
        <r>
          <rPr>
            <b/>
            <sz val="8"/>
            <color indexed="8"/>
            <rFont val="Arial"/>
            <family val="2"/>
          </rPr>
          <t>Udgiftsbærere kan tilføjes og redigeres i fanen Forside.</t>
        </r>
      </text>
    </comment>
    <comment ref="H16" authorId="0" shapeId="0" xr:uid="{00000000-0006-0000-0600-00000C000000}">
      <text>
        <r>
          <rPr>
            <b/>
            <sz val="8"/>
            <color indexed="8"/>
            <rFont val="Arial"/>
            <family val="2"/>
          </rPr>
          <t>PL-år: År for pris- og lønniveau.
Vælg årstal for pris- og lønniveau for de givne estimater. Se vejledning til business case for uddybende forklaring.</t>
        </r>
      </text>
    </comment>
    <comment ref="J16" authorId="0" shapeId="0" xr:uid="{00000000-0006-0000-0600-00000D000000}">
      <text>
        <r>
          <rPr>
            <b/>
            <sz val="8"/>
            <color indexed="8"/>
            <rFont val="Arial"/>
            <family val="2"/>
          </rPr>
          <t>Her kan du vælge mellem forskellige sandsynlighedsmodeller.
Ved "Trekant" er der størst sandsynlighed for middelestimatet.
Ved "Tilfældig" er der lige stor sandsynlighed for hvert udfald (og alle udfald der i mellem).
Ved "Diskret" kan udfaldet kun være lavt, middel eller højt estimat, men ikke noget der i mellem.
Ved "Ikke usikker" er middelestimatet 100% sandsynligt.
Se vejledning til busines casen for en uddybning af de forskellige sandsynlighedsmodeller</t>
        </r>
      </text>
    </comment>
    <comment ref="K16" authorId="0" shapeId="0" xr:uid="{00000000-0006-0000-0600-00000E000000}">
      <text>
        <r>
          <rPr>
            <b/>
            <sz val="8"/>
            <color indexed="8"/>
            <rFont val="Arial"/>
            <family val="2"/>
          </rPr>
          <t xml:space="preserve">Indsæt lavt estimat (best case for udgifter).
Der kan ikke anvendes formler
Beløb angives i tusinde kr. 
</t>
        </r>
      </text>
    </comment>
    <comment ref="L16" authorId="0" shapeId="0" xr:uid="{00000000-0006-0000-0600-00000F000000}">
      <text>
        <r>
          <rPr>
            <b/>
            <sz val="8"/>
            <color indexed="8"/>
            <rFont val="Arial"/>
            <family val="2"/>
          </rPr>
          <t xml:space="preserve">Indsæt forventet estimat (middel for udgifter).
Der må kun anvendes formler, der refererer til denne kolonne.
Beløb angives i tusinde kr. 
</t>
        </r>
      </text>
    </comment>
    <comment ref="M16" authorId="0" shapeId="0" xr:uid="{00000000-0006-0000-0600-000010000000}">
      <text>
        <r>
          <rPr>
            <b/>
            <sz val="8"/>
            <color indexed="8"/>
            <rFont val="Arial"/>
            <family val="2"/>
          </rPr>
          <t xml:space="preserve">Indsæt højt estimat (worst case for udgifter).
Der kan ikke anvendes formler
Beløb angives i tusinde kr. 
</t>
        </r>
      </text>
    </comment>
    <comment ref="N16" authorId="0" shapeId="0" xr:uid="{00000000-0006-0000-0600-000011000000}">
      <text>
        <r>
          <rPr>
            <b/>
            <sz val="8"/>
            <color indexed="8"/>
            <rFont val="Arial"/>
            <family val="2"/>
          </rPr>
          <t>SSH: sandsynlighed.
Indsæt sandsynligheden i % for at udfaldet bliver det laveste estimat.</t>
        </r>
      </text>
    </comment>
    <comment ref="O16" authorId="0" shapeId="0" xr:uid="{00000000-0006-0000-0600-000012000000}">
      <text>
        <r>
          <rPr>
            <b/>
            <sz val="8"/>
            <color indexed="8"/>
            <rFont val="Arial"/>
            <family val="2"/>
          </rPr>
          <t>SSH: sandsynlighed.
Indsæt sandsynligheden i % for at udfaldet bliver middelestimatet.</t>
        </r>
      </text>
    </comment>
    <comment ref="P16" authorId="0" shapeId="0" xr:uid="{00000000-0006-0000-0600-000013000000}">
      <text>
        <r>
          <rPr>
            <b/>
            <sz val="8"/>
            <color indexed="8"/>
            <rFont val="Arial"/>
            <family val="2"/>
          </rPr>
          <t>SSH: sandsynlighed.
Indsæt sandsynligheden i % for at udfaldet bliver det højeste estimat.</t>
        </r>
      </text>
    </comment>
    <comment ref="S16" authorId="0" shapeId="0" xr:uid="{00000000-0006-0000-0600-000014000000}">
      <text>
        <r>
          <rPr>
            <b/>
            <sz val="8"/>
            <color indexed="8"/>
            <rFont val="Arial"/>
            <family val="2"/>
          </rPr>
          <t>Vælg en primær risiko som usikkerheden skal tilskrives. Risici kan tilføjes og redigeres i fanen Forside.
Hvis du ikke vælger en risiko, tæller risikoen som generel usikkerhed.</t>
        </r>
      </text>
    </comment>
    <comment ref="T16" authorId="0" shapeId="0" xr:uid="{00000000-0006-0000-0600-000015000000}">
      <text>
        <r>
          <rPr>
            <b/>
            <sz val="8"/>
            <color indexed="8"/>
            <rFont val="Arial"/>
            <family val="2"/>
          </rPr>
          <t xml:space="preserve">Vælg en sekundær  risiko som usikkerheden skal tilskrives. Risici kan tilføjes og redigeres i fanen Forside.
Hvis du ikke vælger en risiko, tæller risikoen som generel usikkerhed.
Hvis der ikke er angivet en primær risiko, kan der ikke angives en sekundær risiko. 
</t>
        </r>
      </text>
    </comment>
    <comment ref="D22" authorId="0" shapeId="0" xr:uid="{00000000-0006-0000-0600-000016000000}">
      <text>
        <r>
          <rPr>
            <b/>
            <sz val="8"/>
            <color indexed="8"/>
            <rFont val="Arial"/>
            <family val="2"/>
          </rPr>
          <t xml:space="preserve">Se vejledningen til businesscasen, for nærmere forklaring af forudsætningstyper. 
Valg af den rigtige forudsætningstype er væsentlig for udarbejdelse af businesscasen.
</t>
        </r>
      </text>
    </comment>
    <comment ref="E22" authorId="0" shapeId="0" xr:uid="{00000000-0006-0000-0600-000017000000}">
      <text>
        <r>
          <rPr>
            <b/>
            <sz val="8"/>
            <color indexed="8"/>
            <rFont val="Arial"/>
            <family val="2"/>
          </rPr>
          <t>Vælg året som forudsætningen vedrører.</t>
        </r>
      </text>
    </comment>
    <comment ref="F22" authorId="0" shapeId="0" xr:uid="{00000000-0006-0000-0600-000018000000}">
      <text>
        <r>
          <rPr>
            <b/>
            <sz val="8"/>
            <color indexed="8"/>
            <rFont val="Arial"/>
            <family val="2"/>
          </rPr>
          <t xml:space="preserve">Vælg den konto som forudsætningen kan henføres til.
Konti kan redigeres i fanen Forside. Se vejledning til business case for uddybende forklaring.
</t>
        </r>
      </text>
    </comment>
    <comment ref="G22" authorId="0" shapeId="0" xr:uid="{00000000-0006-0000-0600-000019000000}">
      <text>
        <r>
          <rPr>
            <b/>
            <sz val="8"/>
            <color indexed="8"/>
            <rFont val="Arial"/>
            <family val="2"/>
          </rPr>
          <t>Udgiftsbærere kan tilføjes og redigeres i fanen Forside.</t>
        </r>
      </text>
    </comment>
    <comment ref="H22" authorId="0" shapeId="0" xr:uid="{00000000-0006-0000-0600-00001A000000}">
      <text>
        <r>
          <rPr>
            <b/>
            <sz val="8"/>
            <color indexed="8"/>
            <rFont val="Arial"/>
            <family val="2"/>
          </rPr>
          <t>PL-år: År for pris- og lønniveau.
Vælg årstal for pris- og lønniveau for de givne estimater. Se vejledning til business case for uddybende forklaring.</t>
        </r>
      </text>
    </comment>
    <comment ref="J22" authorId="0" shapeId="0" xr:uid="{00000000-0006-0000-0600-00001B000000}">
      <text>
        <r>
          <rPr>
            <b/>
            <sz val="8"/>
            <color indexed="8"/>
            <rFont val="Arial"/>
            <family val="2"/>
          </rPr>
          <t>Her kan du vælge mellem forskellige sandsynlighedsmodeller.
Ved "Trekant" er der størst sandsynlighed for middelestimatet.
Ved "Tilfældig" er der lige stor sandsynlighed for hvert udfald (og alle udfald der i mellem).
Ved "Diskret" kan udfaldet kun være lavt, middel eller højt estimat, men ikke noget der i mellem.
Ved "Ikke usikker" er middelestimatet 100% sandsynligt.
Se vejledning til busines casen for en uddybning af de forskellige sandsynlighedsmodeller</t>
        </r>
      </text>
    </comment>
    <comment ref="K22" authorId="0" shapeId="0" xr:uid="{00000000-0006-0000-0600-00001C000000}">
      <text>
        <r>
          <rPr>
            <b/>
            <sz val="8"/>
            <color indexed="8"/>
            <rFont val="Arial"/>
            <family val="2"/>
          </rPr>
          <t xml:space="preserve">Indsæt lavt estimat (best case for udgifter).
Der kan ikke anvendes formler
Beløb angives i tusinde kr. 
</t>
        </r>
      </text>
    </comment>
    <comment ref="L22" authorId="0" shapeId="0" xr:uid="{00000000-0006-0000-0600-00001D000000}">
      <text>
        <r>
          <rPr>
            <b/>
            <sz val="8"/>
            <color indexed="8"/>
            <rFont val="Arial"/>
            <family val="2"/>
          </rPr>
          <t xml:space="preserve">Indsæt forventet estimat (middel for udgifter).
Der må kun anvendes formler, der refererer til denne kolonne.
Beløb angives i tusinde kr. 
</t>
        </r>
      </text>
    </comment>
    <comment ref="M22" authorId="0" shapeId="0" xr:uid="{00000000-0006-0000-0600-00001E000000}">
      <text>
        <r>
          <rPr>
            <b/>
            <sz val="8"/>
            <color indexed="8"/>
            <rFont val="Arial"/>
            <family val="2"/>
          </rPr>
          <t xml:space="preserve">Indsæt højt estimat (worst case for udgifter).
Der kan ikke anvendes formler
Beløb angives i tusinde kr. 
</t>
        </r>
      </text>
    </comment>
    <comment ref="N22" authorId="0" shapeId="0" xr:uid="{00000000-0006-0000-0600-00001F000000}">
      <text>
        <r>
          <rPr>
            <b/>
            <sz val="8"/>
            <color indexed="8"/>
            <rFont val="Arial"/>
            <family val="2"/>
          </rPr>
          <t>SSH: sandsynlighed.
Indsæt sandsynligheden i % for at udfaldet bliver det laveste estimat.</t>
        </r>
      </text>
    </comment>
    <comment ref="O22" authorId="0" shapeId="0" xr:uid="{00000000-0006-0000-0600-000020000000}">
      <text>
        <r>
          <rPr>
            <b/>
            <sz val="8"/>
            <color indexed="8"/>
            <rFont val="Arial"/>
            <family val="2"/>
          </rPr>
          <t>SSH: sandsynlighed.
Indsæt sandsynligheden i % for at udfaldet bliver middelestimatet.</t>
        </r>
      </text>
    </comment>
    <comment ref="P22" authorId="0" shapeId="0" xr:uid="{00000000-0006-0000-0600-000021000000}">
      <text>
        <r>
          <rPr>
            <b/>
            <sz val="8"/>
            <color indexed="8"/>
            <rFont val="Arial"/>
            <family val="2"/>
          </rPr>
          <t>SSH: sandsynlighed.
Indsæt sandsynligheden i % for at udfaldet bliver det højeste estimat.</t>
        </r>
      </text>
    </comment>
    <comment ref="S22" authorId="0" shapeId="0" xr:uid="{00000000-0006-0000-0600-000022000000}">
      <text>
        <r>
          <rPr>
            <b/>
            <sz val="8"/>
            <color indexed="8"/>
            <rFont val="Arial"/>
            <family val="2"/>
          </rPr>
          <t>Vælg en primær risiko som usikkerheden skal tilskrives. Risici kan tilføjes og redigeres i fanen Forside.
Hvis du ikke vælger en risiko, tæller risikoen som generel usikkerhed.</t>
        </r>
      </text>
    </comment>
    <comment ref="T22" authorId="0" shapeId="0" xr:uid="{00000000-0006-0000-0600-000023000000}">
      <text>
        <r>
          <rPr>
            <b/>
            <sz val="8"/>
            <color indexed="8"/>
            <rFont val="Arial"/>
            <family val="2"/>
          </rPr>
          <t xml:space="preserve">Vælg en sekundær  risiko som usikkerheden skal tilskrives. Risici kan tilføjes og redigeres i fanen Forside.
Hvis du ikke vælger en risiko, tæller risikoen som generel usikkerhed.
Hvis der ikke er angivet en primær risiko, kan der ikke angives en sekundær risiko.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Dan Blaguiescu</author>
  </authors>
  <commentList>
    <comment ref="D8" authorId="0" shapeId="0" xr:uid="{00000000-0006-0000-0700-000001000000}">
      <text>
        <r>
          <rPr>
            <b/>
            <sz val="8"/>
            <color indexed="8"/>
            <rFont val="Arial"/>
            <family val="2"/>
          </rPr>
          <t>Se vejledningen til businesscasen, for nærmere forklaring af forudsætningstyper. 
Valg af den rigtige forudsætningstype er væsentlig for udarbejdelse af businesscasen.</t>
        </r>
      </text>
    </comment>
    <comment ref="E8" authorId="0" shapeId="0" xr:uid="{00000000-0006-0000-0700-000002000000}">
      <text>
        <r>
          <rPr>
            <b/>
            <sz val="8"/>
            <color indexed="8"/>
            <rFont val="Arial"/>
            <family val="2"/>
          </rPr>
          <t>Vælg året som forudsætningen vedrører.</t>
        </r>
      </text>
    </comment>
    <comment ref="F8" authorId="0" shapeId="0" xr:uid="{00000000-0006-0000-0700-000003000000}">
      <text>
        <r>
          <rPr>
            <b/>
            <sz val="8"/>
            <color indexed="8"/>
            <rFont val="Arial"/>
            <family val="2"/>
          </rPr>
          <t xml:space="preserve">Vælg den konto som forudsætningen kan henføres til.
Konti kan redigeres i fanen Forside. Se vejledning til business case for uddybende forklaring.
</t>
        </r>
      </text>
    </comment>
    <comment ref="G8" authorId="0" shapeId="0" xr:uid="{00000000-0006-0000-0700-000004000000}">
      <text>
        <r>
          <rPr>
            <b/>
            <sz val="8"/>
            <color indexed="8"/>
            <rFont val="Arial"/>
            <family val="2"/>
          </rPr>
          <t xml:space="preserve">
Gevinstejere kan tilføjes og redigeres i fanen Forside.</t>
        </r>
      </text>
    </comment>
    <comment ref="H8" authorId="0" shapeId="0" xr:uid="{00000000-0006-0000-0700-000005000000}">
      <text>
        <r>
          <rPr>
            <b/>
            <sz val="8"/>
            <color indexed="8"/>
            <rFont val="Arial"/>
            <family val="2"/>
          </rPr>
          <t>PL-år: År for pris- og lønniveau.
Vælg årstal for pris- og lønniveau for de givne estimater. Se vejledning til business case for uddybende forklaring.</t>
        </r>
      </text>
    </comment>
    <comment ref="J8" authorId="0" shapeId="0" xr:uid="{00000000-0006-0000-0700-000006000000}">
      <text>
        <r>
          <rPr>
            <b/>
            <sz val="8"/>
            <color indexed="8"/>
            <rFont val="Arial"/>
            <family val="2"/>
          </rPr>
          <t>Her kan du vælge mellem forskellige sandsynlighedsmodeller.
Ved "Trekant" er der størst sandsynlighed for middelestimatet.
Ved "Tilfældig" er der lige stor sandsynlighed for hvert udfald (og alle udfald der i mellem).
Ved "Diskret" kan udfaldet kun være lavt, middel eller højt estimat, men ikke noget der i mellem.
Ved "Ikke usikker" er middelestimatet 100% sandsynligt.
Se vejledning til busines casen for en uddybning af de forskellige sandsynlighedsmodeller</t>
        </r>
      </text>
    </comment>
    <comment ref="K8" authorId="0" shapeId="0" xr:uid="{00000000-0006-0000-0700-000007000000}">
      <text>
        <r>
          <rPr>
            <b/>
            <sz val="8"/>
            <color indexed="8"/>
            <rFont val="Arial"/>
            <family val="2"/>
          </rPr>
          <t xml:space="preserve">Indsæt lavt estimat (worst case for gevinster).
Der kan ikke anvendes formler
Beløb angives i tusinde kr. 
</t>
        </r>
      </text>
    </comment>
    <comment ref="L8" authorId="0" shapeId="0" xr:uid="{00000000-0006-0000-0700-000008000000}">
      <text>
        <r>
          <rPr>
            <b/>
            <sz val="8"/>
            <color indexed="8"/>
            <rFont val="Arial"/>
            <family val="2"/>
          </rPr>
          <t xml:space="preserve">Indsæt forventet estimat (middel for gevinster).
Der må kun anvendes formler, der refererer til denne kolonne.
Beløb angives i tusinde kr. 
</t>
        </r>
      </text>
    </comment>
    <comment ref="M8" authorId="0" shapeId="0" xr:uid="{00000000-0006-0000-0700-000009000000}">
      <text>
        <r>
          <rPr>
            <b/>
            <sz val="8"/>
            <color indexed="8"/>
            <rFont val="Arial"/>
            <family val="2"/>
          </rPr>
          <t xml:space="preserve">Indsæt højt estimat (best case for gevinster).
Der kan ikke anvendes formler
Beløb angives i tusinde kr. 
</t>
        </r>
      </text>
    </comment>
    <comment ref="N8" authorId="0" shapeId="0" xr:uid="{00000000-0006-0000-0700-00000A000000}">
      <text>
        <r>
          <rPr>
            <b/>
            <sz val="8"/>
            <color indexed="8"/>
            <rFont val="Arial"/>
            <family val="2"/>
          </rPr>
          <t>SSH: sandsynlighed.
Indsæt sandsynligheden i % for at udfaldet bliver det laveste estimat.</t>
        </r>
      </text>
    </comment>
    <comment ref="O8" authorId="0" shapeId="0" xr:uid="{00000000-0006-0000-0700-00000B000000}">
      <text>
        <r>
          <rPr>
            <b/>
            <sz val="8"/>
            <color indexed="8"/>
            <rFont val="Arial"/>
            <family val="2"/>
          </rPr>
          <t>SSH: sandsynlighed.
Indsæt sandsynligheden i % for at udfaldet bliver middelestimatet.</t>
        </r>
      </text>
    </comment>
    <comment ref="P8" authorId="0" shapeId="0" xr:uid="{00000000-0006-0000-0700-00000C000000}">
      <text>
        <r>
          <rPr>
            <b/>
            <sz val="8"/>
            <color indexed="8"/>
            <rFont val="Arial"/>
            <family val="2"/>
          </rPr>
          <t>SSH: sandsynlighed.
Indsæt sandsynligheden i % for at udfaldet bliver det højeste estimat.</t>
        </r>
      </text>
    </comment>
    <comment ref="S8" authorId="0" shapeId="0" xr:uid="{00000000-0006-0000-0700-00000D000000}">
      <text>
        <r>
          <rPr>
            <b/>
            <sz val="8"/>
            <color indexed="8"/>
            <rFont val="Arial"/>
            <family val="2"/>
          </rPr>
          <t>Vælg en primær risiko som usikkerheden skal tilskrives. Risici kan tilføjes og redigeres i fanen Forside.
Hvis du ikke vælger en risiko, tæller risikoen som generel usikkerhed.</t>
        </r>
      </text>
    </comment>
    <comment ref="T8" authorId="0" shapeId="0" xr:uid="{00000000-0006-0000-0700-00000E000000}">
      <text>
        <r>
          <rPr>
            <b/>
            <sz val="8"/>
            <color indexed="8"/>
            <rFont val="Arial"/>
            <family val="2"/>
          </rPr>
          <t xml:space="preserve">Vælg en sekundær  risiko som usikkerheden skal tilskrives. Risici kan tilføjes og redigeres i fanen Forside.
Hvis du ikke vælger en risiko, tæller risikoen som generel usikkerhed.
Hvis der ikke er angivet en primær risiko, kan der ikke angives en sekundær risiko. 
</t>
        </r>
      </text>
    </comment>
    <comment ref="D16" authorId="0" shapeId="0" xr:uid="{00000000-0006-0000-0700-00000F000000}">
      <text>
        <r>
          <rPr>
            <b/>
            <sz val="8"/>
            <color indexed="8"/>
            <rFont val="Arial"/>
            <family val="2"/>
          </rPr>
          <t xml:space="preserve">Angiv den enhed gevinsten måles i.
Fx % tilfredshed, antal brugere.
</t>
        </r>
      </text>
    </comment>
    <comment ref="J16" authorId="0" shapeId="0" xr:uid="{00000000-0006-0000-0700-000010000000}">
      <text>
        <r>
          <rPr>
            <b/>
            <sz val="8"/>
            <color indexed="8"/>
            <rFont val="Arial"/>
            <family val="2"/>
          </rPr>
          <t>Her kan du vælge mellem forskellige sandsynlighedsmodeller.
Ved "Trekant" er der størst sandsynlighed for middelestimatet.
Ved "Tilfældig" er der lige stor sandsynlighed for hvert udfald (og alle udfald der i mellem).
Ved "Diskret" kan udfaldet kun være lavt, middel eller højt estimat, men ikke noget der i mellem.
Ved "Ikke usikker" er middelestimatet 100% sandsynligt.
Se vejledning til busines casen for en uddybning af de forskellige sandsynlighedsmodeller</t>
        </r>
      </text>
    </comment>
    <comment ref="K16" authorId="0" shapeId="0" xr:uid="{00000000-0006-0000-0700-000011000000}">
      <text>
        <r>
          <rPr>
            <b/>
            <sz val="8"/>
            <color indexed="8"/>
            <rFont val="Arial"/>
            <family val="2"/>
          </rPr>
          <t xml:space="preserve">Indsæt lavt estimat (worst case for gevinster).
Der kan ikke anvendes formler
Beløb angives i tusinde kr. 
</t>
        </r>
      </text>
    </comment>
    <comment ref="L16" authorId="0" shapeId="0" xr:uid="{00000000-0006-0000-0700-000012000000}">
      <text>
        <r>
          <rPr>
            <b/>
            <sz val="8"/>
            <color indexed="8"/>
            <rFont val="Arial"/>
            <family val="2"/>
          </rPr>
          <t xml:space="preserve">Indsæt forventet estimat (middel for gevinster).
Der må kun anvendes formler, der refererer til denne kolonne.
Beløb angives i tusinde kr. 
</t>
        </r>
      </text>
    </comment>
    <comment ref="M16" authorId="0" shapeId="0" xr:uid="{00000000-0006-0000-0700-000013000000}">
      <text>
        <r>
          <rPr>
            <b/>
            <sz val="8"/>
            <color indexed="8"/>
            <rFont val="Arial"/>
            <family val="2"/>
          </rPr>
          <t xml:space="preserve">Indsæt højt estimat (best case for gevinster).
Der kan ikke anvendes formler
Beløb angives i tusinde kr. 
</t>
        </r>
      </text>
    </comment>
    <comment ref="N16" authorId="0" shapeId="0" xr:uid="{00000000-0006-0000-0700-000014000000}">
      <text>
        <r>
          <rPr>
            <b/>
            <sz val="8"/>
            <color indexed="8"/>
            <rFont val="Arial"/>
            <family val="2"/>
          </rPr>
          <t>SSH: sandsynlighed.
Indsæt sandsynligheden i % for at udfaldet bliver det laveste estimat.</t>
        </r>
      </text>
    </comment>
    <comment ref="O16" authorId="0" shapeId="0" xr:uid="{00000000-0006-0000-0700-000015000000}">
      <text>
        <r>
          <rPr>
            <b/>
            <sz val="8"/>
            <color indexed="8"/>
            <rFont val="Arial"/>
            <family val="2"/>
          </rPr>
          <t>SSH: sandsynlighed.
Indsæt sandsynligheden i % for at udfaldet bliver middelestimatet.</t>
        </r>
      </text>
    </comment>
    <comment ref="P16" authorId="0" shapeId="0" xr:uid="{00000000-0006-0000-0700-000016000000}">
      <text>
        <r>
          <rPr>
            <b/>
            <sz val="8"/>
            <color indexed="8"/>
            <rFont val="Arial"/>
            <family val="2"/>
          </rPr>
          <t>SSH: sandsynlighed.
Indsæt sandsynligheden i % for at udfaldet bliver det højeste estimat.</t>
        </r>
      </text>
    </comment>
    <comment ref="D21" authorId="0" shapeId="0" xr:uid="{00000000-0006-0000-0700-000017000000}">
      <text>
        <r>
          <rPr>
            <b/>
            <sz val="8"/>
            <color indexed="8"/>
            <rFont val="Arial"/>
            <family val="2"/>
          </rPr>
          <t xml:space="preserve">Se vejledningen til businesscasen, for nærmere forklaring af forudsætningstyper. 
Valg af den rigtige forudsætningstype er væsentlig for udarbejdelse af businesscasen.
</t>
        </r>
      </text>
    </comment>
    <comment ref="J21" authorId="0" shapeId="0" xr:uid="{00000000-0006-0000-0700-000018000000}">
      <text>
        <r>
          <rPr>
            <b/>
            <sz val="8"/>
            <color indexed="8"/>
            <rFont val="Arial"/>
            <family val="2"/>
          </rPr>
          <t>Her kan du vælge mellem forskellige sandsynlighedsmodeller.
Ved "Trekant" er der størst sandsynlighed for middelestimatet.
Ved "Tilfældig" er der lige stor sandsynlighed for hvert udfald (og alle udfald der i mellem).
Ved "Diskret" kan udfaldet kun være lavt, middel eller højt estimat, men ikke noget der i mellem.
Ved "Ikke usikker" er middelestimatet 100% sandsynligt.
Se vejledning til busines casen for en uddybning af de forskellige sandsynlighedsmodeller</t>
        </r>
      </text>
    </comment>
    <comment ref="K21" authorId="0" shapeId="0" xr:uid="{00000000-0006-0000-0700-000019000000}">
      <text>
        <r>
          <rPr>
            <b/>
            <sz val="8"/>
            <color indexed="8"/>
            <rFont val="Arial"/>
            <family val="2"/>
          </rPr>
          <t xml:space="preserve">Indsæt lavt estimat (worst case for gevinster).
Der kan ikke anvendes formler
Beløb angives i tusinde kr. 
</t>
        </r>
      </text>
    </comment>
    <comment ref="L21" authorId="0" shapeId="0" xr:uid="{00000000-0006-0000-0700-00001A000000}">
      <text>
        <r>
          <rPr>
            <b/>
            <sz val="8"/>
            <color indexed="8"/>
            <rFont val="Arial"/>
            <family val="2"/>
          </rPr>
          <t xml:space="preserve">Indsæt forventet estimat (middel for gevinster).
Der må kun anvendes formler, der refererer til denne kolonne.
Beløb angives i tusinde kr. 
</t>
        </r>
      </text>
    </comment>
    <comment ref="M21" authorId="0" shapeId="0" xr:uid="{00000000-0006-0000-0700-00001B000000}">
      <text>
        <r>
          <rPr>
            <b/>
            <sz val="8"/>
            <color indexed="8"/>
            <rFont val="Arial"/>
            <family val="2"/>
          </rPr>
          <t xml:space="preserve">Indsæt højt estimat (best case for gevinster).
Der kan ikke anvendes formler
Beløb angives i tusinde kr. 
</t>
        </r>
      </text>
    </comment>
    <comment ref="N21" authorId="0" shapeId="0" xr:uid="{00000000-0006-0000-0700-00001C000000}">
      <text>
        <r>
          <rPr>
            <b/>
            <sz val="8"/>
            <color indexed="8"/>
            <rFont val="Arial"/>
            <family val="2"/>
          </rPr>
          <t>SSH: sandsynlighed.
Indsæt sandsynligheden i % for at udfaldet bliver det laveste estimat.</t>
        </r>
      </text>
    </comment>
    <comment ref="O21" authorId="0" shapeId="0" xr:uid="{00000000-0006-0000-0700-00001D000000}">
      <text>
        <r>
          <rPr>
            <b/>
            <sz val="8"/>
            <color indexed="8"/>
            <rFont val="Arial"/>
            <family val="2"/>
          </rPr>
          <t>SSH: sandsynlighed.
Indsæt sandsynligheden i % for at udfaldet bliver middelestimatet.</t>
        </r>
      </text>
    </comment>
    <comment ref="P21" authorId="0" shapeId="0" xr:uid="{00000000-0006-0000-0700-00001E000000}">
      <text>
        <r>
          <rPr>
            <b/>
            <sz val="8"/>
            <color indexed="8"/>
            <rFont val="Arial"/>
            <family val="2"/>
          </rPr>
          <t>SSH: sandsynlighed.
Indsæt sandsynligheden i % for at udfaldet bliver det højeste estimat.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Dan Blaguiescu</author>
  </authors>
  <commentList>
    <comment ref="D8" authorId="0" shapeId="0" xr:uid="{00000000-0006-0000-0800-000001000000}">
      <text>
        <r>
          <rPr>
            <b/>
            <sz val="8"/>
            <color indexed="8"/>
            <rFont val="Arial"/>
            <family val="2"/>
          </rPr>
          <t xml:space="preserve">Se vejledningen til businesscasen, for nærmere forklaring af forudsætningstyper. 
Valg af den rigtige forudsætningstype er væsentlig for udarbejdelse af businesscasen.
</t>
        </r>
      </text>
    </comment>
    <comment ref="E8" authorId="0" shapeId="0" xr:uid="{00000000-0006-0000-0800-000002000000}">
      <text>
        <r>
          <rPr>
            <b/>
            <sz val="8"/>
            <color indexed="8"/>
            <rFont val="Arial"/>
            <family val="2"/>
          </rPr>
          <t>Vælg året som forudsætningen vedrører.</t>
        </r>
      </text>
    </comment>
    <comment ref="F8" authorId="0" shapeId="0" xr:uid="{00000000-0006-0000-0800-000003000000}">
      <text>
        <r>
          <rPr>
            <b/>
            <sz val="8"/>
            <color indexed="8"/>
            <rFont val="Arial"/>
            <family val="2"/>
          </rPr>
          <t xml:space="preserve">Vælg den konto som forudsætningen kan henføres til.
Konti kan redigeres i fanen Forside. Se vejledning til business case for uddybende forklaring.
</t>
        </r>
      </text>
    </comment>
    <comment ref="G8" authorId="0" shapeId="0" xr:uid="{00000000-0006-0000-0800-000004000000}">
      <text>
        <r>
          <rPr>
            <b/>
            <sz val="8"/>
            <color indexed="8"/>
            <rFont val="Arial"/>
            <family val="2"/>
          </rPr>
          <t xml:space="preserve">
Gevinstejere kan tilføjes og redigeres i fanen Forside.</t>
        </r>
      </text>
    </comment>
    <comment ref="H8" authorId="0" shapeId="0" xr:uid="{00000000-0006-0000-0800-000005000000}">
      <text>
        <r>
          <rPr>
            <b/>
            <sz val="8"/>
            <color indexed="8"/>
            <rFont val="Arial"/>
            <family val="2"/>
          </rPr>
          <t>PL-år: År for pris- og lønniveau.
Vælg årstal for pris- og lønniveau for de givne estimater. Se vejledning til business case for uddybende forklaring.</t>
        </r>
      </text>
    </comment>
    <comment ref="J8" authorId="0" shapeId="0" xr:uid="{00000000-0006-0000-0800-000006000000}">
      <text>
        <r>
          <rPr>
            <b/>
            <sz val="8"/>
            <color indexed="8"/>
            <rFont val="Arial"/>
            <family val="2"/>
          </rPr>
          <t>Her kan du vælge mellem forskellige sandsynlighedsmodeller.
Ved "Trekant" er der størst sandsynlighed for middelestimatet.
Ved "Tilfældig" er der lige stor sandsynlighed for hvert udfald (og alle udfald der i mellem).
Ved "Diskret" kan udfaldet kun være lavt, middel eller højt estimat, men ikke noget der i mellem.
Ved "Ikke usikker" er middelestimatet 100% sandsynligt.
Se vejledning til busines casen for en uddybning af de forskellige sandsynlighedsmodeller</t>
        </r>
      </text>
    </comment>
    <comment ref="K8" authorId="0" shapeId="0" xr:uid="{00000000-0006-0000-0800-000007000000}">
      <text>
        <r>
          <rPr>
            <b/>
            <sz val="8"/>
            <color indexed="8"/>
            <rFont val="Arial"/>
            <family val="2"/>
          </rPr>
          <t xml:space="preserve">Indsæt lavt estimat (best case for udgifter).
Der kan ikke anvendes formler
Beløb angives i tusinde kr. 
</t>
        </r>
      </text>
    </comment>
    <comment ref="L8" authorId="0" shapeId="0" xr:uid="{00000000-0006-0000-0800-000008000000}">
      <text>
        <r>
          <rPr>
            <b/>
            <sz val="8"/>
            <color indexed="8"/>
            <rFont val="Arial"/>
            <family val="2"/>
          </rPr>
          <t xml:space="preserve">Indsæt forventet estimat (middel for udgifter).
Der må kun anvendes formler, der refererer til denne kolonne.
Beløb angives i tusinde kr. 
</t>
        </r>
      </text>
    </comment>
    <comment ref="M8" authorId="0" shapeId="0" xr:uid="{00000000-0006-0000-0800-000009000000}">
      <text>
        <r>
          <rPr>
            <b/>
            <sz val="8"/>
            <color indexed="8"/>
            <rFont val="Arial"/>
            <family val="2"/>
          </rPr>
          <t xml:space="preserve">Indsæt højt estimat (worst case for udgifter).
Der kan ikke anvendes formler
Beløb angives i tusinde kr. 
</t>
        </r>
      </text>
    </comment>
    <comment ref="N8" authorId="0" shapeId="0" xr:uid="{00000000-0006-0000-0800-00000A000000}">
      <text>
        <r>
          <rPr>
            <b/>
            <sz val="8"/>
            <color indexed="8"/>
            <rFont val="Arial"/>
            <family val="2"/>
          </rPr>
          <t>SSH: sandsynlighed.
Indsæt sandsynligheden i % for at udfaldet bliver det laveste estimat.</t>
        </r>
      </text>
    </comment>
    <comment ref="O8" authorId="0" shapeId="0" xr:uid="{00000000-0006-0000-0800-00000B000000}">
      <text>
        <r>
          <rPr>
            <b/>
            <sz val="8"/>
            <color indexed="8"/>
            <rFont val="Arial"/>
            <family val="2"/>
          </rPr>
          <t>SSH: sandsynlighed.
Indsæt sandsynligheden i % for at udfaldet bliver middelestimatet.</t>
        </r>
      </text>
    </comment>
    <comment ref="P8" authorId="0" shapeId="0" xr:uid="{00000000-0006-0000-0800-00000C000000}">
      <text>
        <r>
          <rPr>
            <b/>
            <sz val="8"/>
            <color indexed="8"/>
            <rFont val="Arial"/>
            <family val="2"/>
          </rPr>
          <t>SSH: sandsynlighed.
Indsæt sandsynligheden i % for at udfaldet bliver det højeste estimat.</t>
        </r>
      </text>
    </comment>
    <comment ref="S8" authorId="0" shapeId="0" xr:uid="{00000000-0006-0000-0800-00000D000000}">
      <text>
        <r>
          <rPr>
            <b/>
            <sz val="8"/>
            <color indexed="8"/>
            <rFont val="Arial"/>
            <family val="2"/>
          </rPr>
          <t>Vælg en primær risiko som usikkerheden skal tilskrives. Risici kan tilføjes og redigeres i fanen Forside.
Hvis du ikke vælger en risiko, tæller risikoen som generel usikkerhed.</t>
        </r>
      </text>
    </comment>
    <comment ref="T8" authorId="0" shapeId="0" xr:uid="{00000000-0006-0000-0800-00000E000000}">
      <text>
        <r>
          <rPr>
            <b/>
            <sz val="8"/>
            <color indexed="8"/>
            <rFont val="Arial"/>
            <family val="2"/>
          </rPr>
          <t xml:space="preserve">Vælg en sekundær  risiko som usikkerheden skal tilskrives. Risici kan tilføjes og redigeres i fanen Forside.
Hvis du ikke vælger en risiko, tæller risikoen som generel usikkerhed.
Hvis der ikke er angivet en primær risiko, kan der ikke angives en sekundær risiko. 
</t>
        </r>
      </text>
    </comment>
    <comment ref="D16" authorId="0" shapeId="0" xr:uid="{00000000-0006-0000-0800-00000F000000}">
      <text>
        <r>
          <rPr>
            <b/>
            <sz val="8"/>
            <color indexed="8"/>
            <rFont val="Arial"/>
            <family val="2"/>
          </rPr>
          <t xml:space="preserve">Angiv den enhed gevinsten måles i.
Fx % tilfredshed, antal brugere.
</t>
        </r>
      </text>
    </comment>
    <comment ref="J16" authorId="0" shapeId="0" xr:uid="{00000000-0006-0000-0800-000010000000}">
      <text>
        <r>
          <rPr>
            <b/>
            <sz val="8"/>
            <color indexed="8"/>
            <rFont val="Arial"/>
            <family val="2"/>
          </rPr>
          <t>Her kan du vælge mellem forskellige sandsynlighedsmodeller.
Ved "Trekant" er der størst sandsynlighed for middelestimatet.
Ved "Tilfældig" er der lige stor sandsynlighed for hvert udfald (og alle udfald der i mellem).
Ved "Diskret" kan udfaldet kun være lavt, middel eller højt estimat, men ikke noget der i mellem.
Ved "Ikke usikker" er middelestimatet 100% sandsynligt.
Se vejledning til busines casen for en uddybning af de forskellige sandsynlighedsmodeller</t>
        </r>
      </text>
    </comment>
    <comment ref="K16" authorId="0" shapeId="0" xr:uid="{00000000-0006-0000-0800-000011000000}">
      <text>
        <r>
          <rPr>
            <b/>
            <sz val="8"/>
            <color indexed="8"/>
            <rFont val="Arial"/>
            <family val="2"/>
          </rPr>
          <t xml:space="preserve">Indsæt lavt estimat (best case for udgifter).
Der kan ikke anvendes formler
Beløb angives i tusinde kr. 
</t>
        </r>
      </text>
    </comment>
    <comment ref="L16" authorId="0" shapeId="0" xr:uid="{00000000-0006-0000-0800-000012000000}">
      <text>
        <r>
          <rPr>
            <b/>
            <sz val="8"/>
            <color indexed="8"/>
            <rFont val="Arial"/>
            <family val="2"/>
          </rPr>
          <t xml:space="preserve">Indsæt forventet estimat (middel for udgifter).
Der må kun anvendes formler, der refererer til denne kolonne.
Beløb angives i tusinde kr. 
</t>
        </r>
      </text>
    </comment>
    <comment ref="M16" authorId="0" shapeId="0" xr:uid="{00000000-0006-0000-0800-000013000000}">
      <text>
        <r>
          <rPr>
            <b/>
            <sz val="8"/>
            <color indexed="8"/>
            <rFont val="Arial"/>
            <family val="2"/>
          </rPr>
          <t xml:space="preserve">Indsæt højt estimat (worst case for udgifter).
Der kan ikke anvendes formler
Beløb angives i tusinde kr. 
</t>
        </r>
      </text>
    </comment>
    <comment ref="N16" authorId="0" shapeId="0" xr:uid="{00000000-0006-0000-0800-000014000000}">
      <text>
        <r>
          <rPr>
            <b/>
            <sz val="8"/>
            <color indexed="8"/>
            <rFont val="Arial"/>
            <family val="2"/>
          </rPr>
          <t>SSH: sandsynlighed.
Indsæt sandsynligheden i % for at udfaldet bliver det laveste estimat.</t>
        </r>
      </text>
    </comment>
    <comment ref="O16" authorId="0" shapeId="0" xr:uid="{00000000-0006-0000-0800-000015000000}">
      <text>
        <r>
          <rPr>
            <b/>
            <sz val="8"/>
            <color indexed="8"/>
            <rFont val="Arial"/>
            <family val="2"/>
          </rPr>
          <t>SSH: sandsynlighed.
Indsæt sandsynligheden i % for at udfaldet bliver middelestimatet.</t>
        </r>
      </text>
    </comment>
    <comment ref="P16" authorId="0" shapeId="0" xr:uid="{00000000-0006-0000-0800-000016000000}">
      <text>
        <r>
          <rPr>
            <b/>
            <sz val="8"/>
            <color indexed="8"/>
            <rFont val="Arial"/>
            <family val="2"/>
          </rPr>
          <t>SSH: sandsynlighed.
Indsæt sandsynligheden i % for at udfaldet bliver det højeste estimat.</t>
        </r>
      </text>
    </comment>
    <comment ref="D21" authorId="0" shapeId="0" xr:uid="{00000000-0006-0000-0800-000017000000}">
      <text>
        <r>
          <rPr>
            <b/>
            <sz val="8"/>
            <color indexed="8"/>
            <rFont val="Arial"/>
            <family val="2"/>
          </rPr>
          <t xml:space="preserve">Se vejledningen til businesscasen, for nærmere forklaring af forudsætningstyper. 
Valg af den rigtige forudsætningstype er væsentlig for udarbejdelse af businesscasen.
</t>
        </r>
      </text>
    </comment>
    <comment ref="J21" authorId="0" shapeId="0" xr:uid="{00000000-0006-0000-0800-000018000000}">
      <text>
        <r>
          <rPr>
            <b/>
            <sz val="8"/>
            <color indexed="8"/>
            <rFont val="Arial"/>
            <family val="2"/>
          </rPr>
          <t>Her kan du vælge mellem forskellige sandsynlighedsmodeller.
Ved "Trekant" er der størst sandsynlighed for middelestimatet.
Ved "Tilfældig" er der lige stor sandsynlighed for hvert udfald (og alle udfald der i mellem).
Ved "Diskret" kan udfaldet kun være lavt, middel eller højt estimat, men ikke noget der i mellem.
Ved "Ikke usikker" er middelestimatet 100% sandsynligt.
Se vejledning til busines casen for en uddybning af de forskellige sandsynlighedsmodeller</t>
        </r>
      </text>
    </comment>
    <comment ref="K21" authorId="0" shapeId="0" xr:uid="{00000000-0006-0000-0800-000019000000}">
      <text>
        <r>
          <rPr>
            <b/>
            <sz val="8"/>
            <color indexed="8"/>
            <rFont val="Arial"/>
            <family val="2"/>
          </rPr>
          <t xml:space="preserve">Indsæt lavt estimat (best case for udgifter).
Der kan ikke anvendes formler
Beløb angives i tusinde kr. 
</t>
        </r>
      </text>
    </comment>
    <comment ref="L21" authorId="0" shapeId="0" xr:uid="{00000000-0006-0000-0800-00001A000000}">
      <text>
        <r>
          <rPr>
            <b/>
            <sz val="8"/>
            <color indexed="8"/>
            <rFont val="Arial"/>
            <family val="2"/>
          </rPr>
          <t xml:space="preserve">Indsæt forventet estimat (middel for udgifter).
Der må kun anvendes formler, der refererer til denne kolonne.
Beløb angives i tusinde kr. 
</t>
        </r>
      </text>
    </comment>
    <comment ref="M21" authorId="0" shapeId="0" xr:uid="{00000000-0006-0000-0800-00001B000000}">
      <text>
        <r>
          <rPr>
            <b/>
            <sz val="8"/>
            <color indexed="8"/>
            <rFont val="Arial"/>
            <family val="2"/>
          </rPr>
          <t xml:space="preserve">Indsæt højt estimat (worst case for udgifter).
Der kan ikke anvendes formler
Beløb angives i tusinde kr. 
</t>
        </r>
      </text>
    </comment>
    <comment ref="N21" authorId="0" shapeId="0" xr:uid="{00000000-0006-0000-0800-00001C000000}">
      <text>
        <r>
          <rPr>
            <b/>
            <sz val="8"/>
            <color indexed="8"/>
            <rFont val="Arial"/>
            <family val="2"/>
          </rPr>
          <t>SSH: sandsynlighed.
Indsæt sandsynligheden i % for at udfaldet bliver det laveste estimat.</t>
        </r>
      </text>
    </comment>
    <comment ref="O21" authorId="0" shapeId="0" xr:uid="{00000000-0006-0000-0800-00001D000000}">
      <text>
        <r>
          <rPr>
            <b/>
            <sz val="8"/>
            <color indexed="8"/>
            <rFont val="Arial"/>
            <family val="2"/>
          </rPr>
          <t>SSH: sandsynlighed.
Indsæt sandsynligheden i % for at udfaldet bliver middelestimatet.</t>
        </r>
      </text>
    </comment>
    <comment ref="P21" authorId="0" shapeId="0" xr:uid="{00000000-0006-0000-0800-00001E000000}">
      <text>
        <r>
          <rPr>
            <b/>
            <sz val="8"/>
            <color indexed="8"/>
            <rFont val="Arial"/>
            <family val="2"/>
          </rPr>
          <t>SSH: sandsynlighed.
Indsæt sandsynligheden i % for at udfaldet bliver det højeste estimat.</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Dan Blaguiescu</author>
  </authors>
  <commentList>
    <comment ref="G8" authorId="0" shapeId="0" xr:uid="{00000000-0006-0000-0900-000001000000}">
      <text>
        <r>
          <rPr>
            <b/>
            <sz val="8"/>
            <color indexed="8"/>
            <rFont val="Arial"/>
            <family val="2"/>
          </rPr>
          <t>PL-år: År for pris- og lønniveau.
Vælg årstal for pris- og lønniveau for de givne estimater. Se vejledning til business case for uddybende forklaring.</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Dan Blaguiescu</author>
  </authors>
  <commentList>
    <comment ref="AY717" authorId="0" shapeId="0" xr:uid="{00000000-0006-0000-0A00-000001000000}">
      <text>
        <r>
          <rPr>
            <b/>
            <sz val="8"/>
            <color indexed="8"/>
            <rFont val="Arial"/>
            <family val="2"/>
          </rPr>
          <t>Her kan du vælge mellem forskellige sandsynlighedsmodeller.
Ved "Trekant" er der størst sandsynlighed for middelestimatet.
Ved "Tilfældig" er der lige stor sandsynlighed for hvert udfald (og alle udfald der i mellem).
Ved "Diskret" kan udfaldet kun være lavt, middel eller højt estimat, men ikke noget der i mellem.
Ved "Ikke usikker" er middelestimatet 100% sandsynligt.
Se vejledning til busines casen for en uddybning af de forskellige sandsynlighedsmodeller</t>
        </r>
      </text>
    </comment>
    <comment ref="AZ717" authorId="0" shapeId="0" xr:uid="{00000000-0006-0000-0A00-000002000000}">
      <text>
        <r>
          <rPr>
            <b/>
            <sz val="8"/>
            <color indexed="8"/>
            <rFont val="Arial"/>
            <family val="2"/>
          </rPr>
          <t xml:space="preserve">Indsæt lavt estimat (best case for udgifter).
Der kan ikke anvendes formler
Beløb angives i tusinde kr. 
</t>
        </r>
      </text>
    </comment>
    <comment ref="BA717" authorId="0" shapeId="0" xr:uid="{00000000-0006-0000-0A00-000003000000}">
      <text>
        <r>
          <rPr>
            <b/>
            <sz val="8"/>
            <color indexed="8"/>
            <rFont val="Arial"/>
            <family val="2"/>
          </rPr>
          <t xml:space="preserve">Indsæt forventet estimat (middel for udgifter).
Der må kun anvendes formler, der refererer til denne kolonne.
Beløb angives i tusinde kr. 
</t>
        </r>
      </text>
    </comment>
    <comment ref="BB717" authorId="0" shapeId="0" xr:uid="{00000000-0006-0000-0A00-000004000000}">
      <text>
        <r>
          <rPr>
            <b/>
            <sz val="8"/>
            <color indexed="8"/>
            <rFont val="Arial"/>
            <family val="2"/>
          </rPr>
          <t xml:space="preserve">Indsæt højt estimat (worst case for udgifter).
Der kan ikke anvendes formler
Beløb angives i tusinde kr. 
</t>
        </r>
      </text>
    </comment>
    <comment ref="BC717" authorId="0" shapeId="0" xr:uid="{00000000-0006-0000-0A00-000005000000}">
      <text>
        <r>
          <rPr>
            <b/>
            <sz val="8"/>
            <color indexed="8"/>
            <rFont val="Arial"/>
            <family val="2"/>
          </rPr>
          <t>SSH: sandsynlighed.
Indsæt sandsynligheden i % for at udfaldet bliver det laveste estimat.</t>
        </r>
      </text>
    </comment>
    <comment ref="BD717" authorId="0" shapeId="0" xr:uid="{00000000-0006-0000-0A00-000006000000}">
      <text>
        <r>
          <rPr>
            <b/>
            <sz val="8"/>
            <color indexed="8"/>
            <rFont val="Arial"/>
            <family val="2"/>
          </rPr>
          <t>SSH: sandsynlighed.
Indsæt sandsynligheden i % for at udfaldet bliver middelestimatet.</t>
        </r>
      </text>
    </comment>
    <comment ref="BE717" authorId="0" shapeId="0" xr:uid="{00000000-0006-0000-0A00-000007000000}">
      <text>
        <r>
          <rPr>
            <b/>
            <sz val="8"/>
            <color indexed="8"/>
            <rFont val="Arial"/>
            <family val="2"/>
          </rPr>
          <t>SSH: sandsynlighed.
Indsæt sandsynligheden i % for at udfaldet bliver det højeste estimat.</t>
        </r>
      </text>
    </comment>
    <comment ref="AS723" authorId="0" shapeId="0" xr:uid="{00000000-0006-0000-0A00-000008000000}">
      <text>
        <r>
          <rPr>
            <b/>
            <sz val="8"/>
            <color indexed="8"/>
            <rFont val="Arial"/>
            <family val="2"/>
          </rPr>
          <t xml:space="preserve">Se vejledningen til businesscasen, for nærmere forklaring af forudsætningstyper. 
Valg af den rigtige forudsætningstype er væsentlig for udarbejdelse af businesscasen.
</t>
        </r>
      </text>
    </comment>
    <comment ref="AT723" authorId="0" shapeId="0" xr:uid="{00000000-0006-0000-0A00-000009000000}">
      <text>
        <r>
          <rPr>
            <b/>
            <sz val="8"/>
            <color indexed="8"/>
            <rFont val="Arial"/>
            <family val="2"/>
          </rPr>
          <t>Vælg året som forudsætningen vedrører.</t>
        </r>
      </text>
    </comment>
    <comment ref="AU723" authorId="0" shapeId="0" xr:uid="{00000000-0006-0000-0A00-00000A000000}">
      <text>
        <r>
          <rPr>
            <b/>
            <sz val="8"/>
            <color indexed="8"/>
            <rFont val="Arial"/>
            <family val="2"/>
          </rPr>
          <t xml:space="preserve">Vælg den konto som forudsætningen kan henføres til.
Konti kan redigeres i fanen Forside. Se vejledning til business case for uddybende forklaring.
</t>
        </r>
      </text>
    </comment>
    <comment ref="AV723" authorId="0" shapeId="0" xr:uid="{00000000-0006-0000-0A00-00000B000000}">
      <text>
        <r>
          <rPr>
            <b/>
            <sz val="8"/>
            <color indexed="8"/>
            <rFont val="Arial"/>
            <family val="2"/>
          </rPr>
          <t>Udgiftsbærere kan tilføjes og redigeres i fanen Forside.</t>
        </r>
      </text>
    </comment>
    <comment ref="AW723" authorId="0" shapeId="0" xr:uid="{00000000-0006-0000-0A00-00000C000000}">
      <text>
        <r>
          <rPr>
            <b/>
            <sz val="8"/>
            <color indexed="8"/>
            <rFont val="Arial"/>
            <family val="2"/>
          </rPr>
          <t>PL-år: År for pris- og lønniveau.
Vælg årstal for pris- og lønniveau for de givne estimater. Se vejledning til business case for uddybende forklaring.</t>
        </r>
      </text>
    </comment>
    <comment ref="AY723" authorId="0" shapeId="0" xr:uid="{00000000-0006-0000-0A00-00000D000000}">
      <text>
        <r>
          <rPr>
            <b/>
            <sz val="8"/>
            <color indexed="8"/>
            <rFont val="Arial"/>
            <family val="2"/>
          </rPr>
          <t>Her kan du vælge mellem forskellige sandsynlighedsmodeller.
Ved "Trekant" er der størst sandsynlighed for middelestimatet.
Ved "Tilfældig" er der lige stor sandsynlighed for hvert udfald (og alle udfald der i mellem).
Ved "Diskret" kan udfaldet kun være lavt, middel eller højt estimat, men ikke noget der i mellem.
Ved "Ikke usikker" er middelestimatet 100% sandsynligt.
Se vejledning til busines casen for en uddybning af de forskellige sandsynlighedsmodeller</t>
        </r>
      </text>
    </comment>
    <comment ref="AZ723" authorId="0" shapeId="0" xr:uid="{00000000-0006-0000-0A00-00000E000000}">
      <text>
        <r>
          <rPr>
            <b/>
            <sz val="8"/>
            <color indexed="8"/>
            <rFont val="Arial"/>
            <family val="2"/>
          </rPr>
          <t xml:space="preserve">Indsæt lavt estimat (best case for udgifter).
Der kan ikke anvendes formler
Beløb angives i tusinde kr. 
</t>
        </r>
      </text>
    </comment>
    <comment ref="BA723" authorId="0" shapeId="0" xr:uid="{00000000-0006-0000-0A00-00000F000000}">
      <text>
        <r>
          <rPr>
            <b/>
            <sz val="8"/>
            <color indexed="8"/>
            <rFont val="Arial"/>
            <family val="2"/>
          </rPr>
          <t xml:space="preserve">Indsæt forventet estimat (middel for udgifter).
Der må kun anvendes formler, der refererer til denne kolonne.
Beløb angives i tusinde kr. 
</t>
        </r>
      </text>
    </comment>
    <comment ref="BB723" authorId="0" shapeId="0" xr:uid="{00000000-0006-0000-0A00-000010000000}">
      <text>
        <r>
          <rPr>
            <b/>
            <sz val="8"/>
            <color indexed="8"/>
            <rFont val="Arial"/>
            <family val="2"/>
          </rPr>
          <t xml:space="preserve">Indsæt højt estimat (worst case for udgifter).
Der kan ikke anvendes formler
Beløb angives i tusinde kr. 
</t>
        </r>
      </text>
    </comment>
    <comment ref="BC723" authorId="0" shapeId="0" xr:uid="{00000000-0006-0000-0A00-000011000000}">
      <text>
        <r>
          <rPr>
            <b/>
            <sz val="8"/>
            <color indexed="8"/>
            <rFont val="Arial"/>
            <family val="2"/>
          </rPr>
          <t>SSH: sandsynlighed.
Indsæt sandsynligheden i % for at udfaldet bliver det laveste estimat.</t>
        </r>
      </text>
    </comment>
    <comment ref="BD723" authorId="0" shapeId="0" xr:uid="{00000000-0006-0000-0A00-000012000000}">
      <text>
        <r>
          <rPr>
            <b/>
            <sz val="8"/>
            <color indexed="8"/>
            <rFont val="Arial"/>
            <family val="2"/>
          </rPr>
          <t>SSH: sandsynlighed.
Indsæt sandsynligheden i % for at udfaldet bliver middelestimatet.</t>
        </r>
      </text>
    </comment>
    <comment ref="BE723" authorId="0" shapeId="0" xr:uid="{00000000-0006-0000-0A00-000013000000}">
      <text>
        <r>
          <rPr>
            <b/>
            <sz val="8"/>
            <color indexed="8"/>
            <rFont val="Arial"/>
            <family val="2"/>
          </rPr>
          <t>SSH: sandsynlighed.
Indsæt sandsynligheden i % for at udfaldet bliver det højeste estimat.</t>
        </r>
      </text>
    </comment>
    <comment ref="BH723" authorId="0" shapeId="0" xr:uid="{00000000-0006-0000-0A00-000014000000}">
      <text>
        <r>
          <rPr>
            <b/>
            <sz val="8"/>
            <color indexed="8"/>
            <rFont val="Arial"/>
            <family val="2"/>
          </rPr>
          <t>Vælg en primær risiko som usikkerheden skal tilskrives. Risici kan tilføjes og redigeres i fanen Forside.
Hvis du ikke vælger en risiko, tæller risikoen som generel usikkerhed.</t>
        </r>
      </text>
    </comment>
    <comment ref="BI723" authorId="0" shapeId="0" xr:uid="{00000000-0006-0000-0A00-000015000000}">
      <text>
        <r>
          <rPr>
            <b/>
            <sz val="8"/>
            <color indexed="8"/>
            <rFont val="Arial"/>
            <family val="2"/>
          </rPr>
          <t xml:space="preserve">Vælg en sekundær  risiko som usikkerheden skal tilskrives. Risici kan tilføjes og redigeres i fanen Forside.
Hvis du ikke vælger en risiko, tæller risikoen som generel usikkerhed.
Hvis der ikke er angivet en primær risiko, kan der ikke angives en sekundær risiko. 
</t>
        </r>
      </text>
    </comment>
    <comment ref="AS728" authorId="0" shapeId="0" xr:uid="{00000000-0006-0000-0A00-000016000000}">
      <text>
        <r>
          <rPr>
            <b/>
            <sz val="8"/>
            <color indexed="8"/>
            <rFont val="Arial"/>
            <family val="2"/>
          </rPr>
          <t xml:space="preserve">Se vejledningen til businesscasen, for nærmere forklaring af forudsætningstyper. 
Valg af den rigtige forudsætningstype er væsentlig for udarbejdelse af businesscasen.
</t>
        </r>
      </text>
    </comment>
    <comment ref="AT728" authorId="0" shapeId="0" xr:uid="{00000000-0006-0000-0A00-000017000000}">
      <text>
        <r>
          <rPr>
            <b/>
            <sz val="8"/>
            <color indexed="8"/>
            <rFont val="Arial"/>
            <family val="2"/>
          </rPr>
          <t>Vælg året som forudsætningen vedrører.</t>
        </r>
      </text>
    </comment>
    <comment ref="AU728" authorId="0" shapeId="0" xr:uid="{00000000-0006-0000-0A00-000018000000}">
      <text>
        <r>
          <rPr>
            <b/>
            <sz val="8"/>
            <color indexed="8"/>
            <rFont val="Arial"/>
            <family val="2"/>
          </rPr>
          <t xml:space="preserve">Vælg den konto som forudsætningen kan henføres til.
Konti kan redigeres i fanen Forside. Se vejledning til business case for uddybende forklaring.
</t>
        </r>
      </text>
    </comment>
    <comment ref="AV728" authorId="0" shapeId="0" xr:uid="{00000000-0006-0000-0A00-000019000000}">
      <text>
        <r>
          <rPr>
            <b/>
            <sz val="8"/>
            <color indexed="8"/>
            <rFont val="Arial"/>
            <family val="2"/>
          </rPr>
          <t>Udgiftsbærere kan tilføjes og redigeres i fanen Forside.</t>
        </r>
      </text>
    </comment>
    <comment ref="AW728" authorId="0" shapeId="0" xr:uid="{00000000-0006-0000-0A00-00001A000000}">
      <text>
        <r>
          <rPr>
            <b/>
            <sz val="8"/>
            <color indexed="8"/>
            <rFont val="Arial"/>
            <family val="2"/>
          </rPr>
          <t>PL-år: År for pris- og lønniveau.
Vælg årstal for pris- og lønniveau for de givne estimater. Se vejledning til business case for uddybende forklaring.</t>
        </r>
      </text>
    </comment>
    <comment ref="AY728" authorId="0" shapeId="0" xr:uid="{00000000-0006-0000-0A00-00001B000000}">
      <text>
        <r>
          <rPr>
            <b/>
            <sz val="8"/>
            <color indexed="8"/>
            <rFont val="Arial"/>
            <family val="2"/>
          </rPr>
          <t>Her kan du vælge mellem forskellige sandsynlighedsmodeller.
Ved "Trekant" er der størst sandsynlighed for middelestimatet.
Ved "Tilfældig" er der lige stor sandsynlighed for hvert udfald (og alle udfald der i mellem).
Ved "Diskret" kan udfaldet kun være lavt, middel eller højt estimat, men ikke noget der i mellem.
Ved "Ikke usikker" er middelestimatet 100% sandsynligt.
Se vejledning til busines casen for en uddybning af de forskellige sandsynlighedsmodeller</t>
        </r>
      </text>
    </comment>
    <comment ref="AZ728" authorId="0" shapeId="0" xr:uid="{00000000-0006-0000-0A00-00001C000000}">
      <text>
        <r>
          <rPr>
            <b/>
            <sz val="8"/>
            <color indexed="8"/>
            <rFont val="Arial"/>
            <family val="2"/>
          </rPr>
          <t xml:space="preserve">Indsæt lavt estimat (best case for udgifter).
Der kan ikke anvendes formler
Beløb angives i tusinde kr. 
</t>
        </r>
      </text>
    </comment>
    <comment ref="BA728" authorId="0" shapeId="0" xr:uid="{00000000-0006-0000-0A00-00001D000000}">
      <text>
        <r>
          <rPr>
            <b/>
            <sz val="8"/>
            <color indexed="8"/>
            <rFont val="Arial"/>
            <family val="2"/>
          </rPr>
          <t xml:space="preserve">Indsæt forventet estimat (middel for udgifter).
Der må kun anvendes formler, der refererer til denne kolonne.
Beløb angives i tusinde kr. 
</t>
        </r>
      </text>
    </comment>
    <comment ref="BB728" authorId="0" shapeId="0" xr:uid="{00000000-0006-0000-0A00-00001E000000}">
      <text>
        <r>
          <rPr>
            <b/>
            <sz val="8"/>
            <color indexed="8"/>
            <rFont val="Arial"/>
            <family val="2"/>
          </rPr>
          <t xml:space="preserve">Indsæt højt estimat (worst case for udgifter).
Der kan ikke anvendes formler
Beløb angives i tusinde kr. 
</t>
        </r>
      </text>
    </comment>
    <comment ref="BC728" authorId="0" shapeId="0" xr:uid="{00000000-0006-0000-0A00-00001F000000}">
      <text>
        <r>
          <rPr>
            <b/>
            <sz val="8"/>
            <color indexed="8"/>
            <rFont val="Arial"/>
            <family val="2"/>
          </rPr>
          <t>SSH: sandsynlighed.
Indsæt sandsynligheden i % for at udfaldet bliver det laveste estimat.</t>
        </r>
      </text>
    </comment>
    <comment ref="BD728" authorId="0" shapeId="0" xr:uid="{00000000-0006-0000-0A00-000020000000}">
      <text>
        <r>
          <rPr>
            <b/>
            <sz val="8"/>
            <color indexed="8"/>
            <rFont val="Arial"/>
            <family val="2"/>
          </rPr>
          <t>SSH: sandsynlighed.
Indsæt sandsynligheden i % for at udfaldet bliver middelestimatet.</t>
        </r>
      </text>
    </comment>
    <comment ref="BE728" authorId="0" shapeId="0" xr:uid="{00000000-0006-0000-0A00-000021000000}">
      <text>
        <r>
          <rPr>
            <b/>
            <sz val="8"/>
            <color indexed="8"/>
            <rFont val="Arial"/>
            <family val="2"/>
          </rPr>
          <t>SSH: sandsynlighed.
Indsæt sandsynligheden i % for at udfaldet bliver det højeste estimat.</t>
        </r>
      </text>
    </comment>
    <comment ref="BH728" authorId="0" shapeId="0" xr:uid="{00000000-0006-0000-0A00-000022000000}">
      <text>
        <r>
          <rPr>
            <b/>
            <sz val="8"/>
            <color indexed="8"/>
            <rFont val="Arial"/>
            <family val="2"/>
          </rPr>
          <t>Vælg en primær risiko som usikkerheden skal tilskrives. Risici kan tilføjes og redigeres i fanen Forside.
Hvis du ikke vælger en risiko, tæller risikoen som generel usikkerhed.</t>
        </r>
      </text>
    </comment>
    <comment ref="BI728" authorId="0" shapeId="0" xr:uid="{00000000-0006-0000-0A00-000023000000}">
      <text>
        <r>
          <rPr>
            <b/>
            <sz val="8"/>
            <color indexed="8"/>
            <rFont val="Arial"/>
            <family val="2"/>
          </rPr>
          <t xml:space="preserve">Vælg en sekundær  risiko som usikkerheden skal tilskrives. Risici kan tilføjes og redigeres i fanen Forside.
Hvis du ikke vælger en risiko, tæller risikoen som generel usikkerhed.
Hvis der ikke er angivet en primær risiko, kan der ikke angives en sekundær risiko. 
</t>
        </r>
      </text>
    </comment>
    <comment ref="AS733" authorId="0" shapeId="0" xr:uid="{00000000-0006-0000-0A00-000024000000}">
      <text>
        <r>
          <rPr>
            <b/>
            <sz val="8"/>
            <color indexed="8"/>
            <rFont val="Arial"/>
            <family val="2"/>
          </rPr>
          <t xml:space="preserve">Se vejledningen til businesscasen, for nærmere forklaring af forudsætningstyper. 
Valg af den rigtige forudsætningstype er væsentlig for udarbejdelse af businesscasen.
</t>
        </r>
      </text>
    </comment>
    <comment ref="AT733" authorId="0" shapeId="0" xr:uid="{00000000-0006-0000-0A00-000025000000}">
      <text>
        <r>
          <rPr>
            <b/>
            <sz val="8"/>
            <color indexed="8"/>
            <rFont val="Arial"/>
            <family val="2"/>
          </rPr>
          <t>Vælg året som forudsætningen vedrører.</t>
        </r>
      </text>
    </comment>
    <comment ref="AU733" authorId="0" shapeId="0" xr:uid="{00000000-0006-0000-0A00-000026000000}">
      <text>
        <r>
          <rPr>
            <b/>
            <sz val="8"/>
            <color indexed="8"/>
            <rFont val="Arial"/>
            <family val="2"/>
          </rPr>
          <t xml:space="preserve">Vælg den konto som forudsætningen kan henføres til.
Konti kan redigeres i fanen Forside. Se vejledning til business case for uddybende forklaring.
</t>
        </r>
      </text>
    </comment>
    <comment ref="AV733" authorId="0" shapeId="0" xr:uid="{00000000-0006-0000-0A00-000027000000}">
      <text>
        <r>
          <rPr>
            <b/>
            <sz val="8"/>
            <color indexed="8"/>
            <rFont val="Arial"/>
            <family val="2"/>
          </rPr>
          <t>Udgiftsbærere kan tilføjes og redigeres i fanen Forside.</t>
        </r>
      </text>
    </comment>
    <comment ref="AW733" authorId="0" shapeId="0" xr:uid="{00000000-0006-0000-0A00-000028000000}">
      <text>
        <r>
          <rPr>
            <b/>
            <sz val="8"/>
            <color indexed="8"/>
            <rFont val="Arial"/>
            <family val="2"/>
          </rPr>
          <t>PL-år: År for pris- og lønniveau.
Vælg årstal for pris- og lønniveau for de givne estimater. Se vejledning til business case for uddybende forklaring.</t>
        </r>
      </text>
    </comment>
    <comment ref="AY733" authorId="0" shapeId="0" xr:uid="{00000000-0006-0000-0A00-000029000000}">
      <text>
        <r>
          <rPr>
            <b/>
            <sz val="8"/>
            <color indexed="8"/>
            <rFont val="Arial"/>
            <family val="2"/>
          </rPr>
          <t>Her kan du vælge mellem forskellige sandsynlighedsmodeller.
Ved "Trekant" er der størst sandsynlighed for middelestimatet.
Ved "Tilfældig" er der lige stor sandsynlighed for hvert udfald (og alle udfald der i mellem).
Ved "Diskret" kan udfaldet kun være lavt, middel eller højt estimat, men ikke noget der i mellem.
Ved "Ikke usikker" er middelestimatet 100% sandsynligt.
Se vejledning til busines casen for en uddybning af de forskellige sandsynlighedsmodeller</t>
        </r>
      </text>
    </comment>
    <comment ref="AZ733" authorId="0" shapeId="0" xr:uid="{00000000-0006-0000-0A00-00002A000000}">
      <text>
        <r>
          <rPr>
            <b/>
            <sz val="8"/>
            <color indexed="8"/>
            <rFont val="Arial"/>
            <family val="2"/>
          </rPr>
          <t xml:space="preserve">Indsæt lavt estimat (best case for udgifter).
Der kan ikke anvendes formler
Beløb angives i tusinde kr. 
</t>
        </r>
      </text>
    </comment>
    <comment ref="BA733" authorId="0" shapeId="0" xr:uid="{00000000-0006-0000-0A00-00002B000000}">
      <text>
        <r>
          <rPr>
            <b/>
            <sz val="8"/>
            <color indexed="8"/>
            <rFont val="Arial"/>
            <family val="2"/>
          </rPr>
          <t xml:space="preserve">Indsæt forventet estimat (middel for udgifter).
Der må kun anvendes formler, der refererer til denne kolonne.
Beløb angives i tusinde kr. 
</t>
        </r>
      </text>
    </comment>
    <comment ref="BB733" authorId="0" shapeId="0" xr:uid="{00000000-0006-0000-0A00-00002C000000}">
      <text>
        <r>
          <rPr>
            <b/>
            <sz val="8"/>
            <color indexed="8"/>
            <rFont val="Arial"/>
            <family val="2"/>
          </rPr>
          <t xml:space="preserve">Indsæt højt estimat (worst case for udgifter).
Der kan ikke anvendes formler
Beløb angives i tusinde kr. 
</t>
        </r>
      </text>
    </comment>
    <comment ref="BC733" authorId="0" shapeId="0" xr:uid="{00000000-0006-0000-0A00-00002D000000}">
      <text>
        <r>
          <rPr>
            <b/>
            <sz val="8"/>
            <color indexed="8"/>
            <rFont val="Arial"/>
            <family val="2"/>
          </rPr>
          <t>SSH: sandsynlighed.
Indsæt sandsynligheden i % for at udfaldet bliver det laveste estimat.</t>
        </r>
      </text>
    </comment>
    <comment ref="BD733" authorId="0" shapeId="0" xr:uid="{00000000-0006-0000-0A00-00002E000000}">
      <text>
        <r>
          <rPr>
            <b/>
            <sz val="8"/>
            <color indexed="8"/>
            <rFont val="Arial"/>
            <family val="2"/>
          </rPr>
          <t>SSH: sandsynlighed.
Indsæt sandsynligheden i % for at udfaldet bliver middelestimatet.</t>
        </r>
      </text>
    </comment>
    <comment ref="BE733" authorId="0" shapeId="0" xr:uid="{00000000-0006-0000-0A00-00002F000000}">
      <text>
        <r>
          <rPr>
            <b/>
            <sz val="8"/>
            <color indexed="8"/>
            <rFont val="Arial"/>
            <family val="2"/>
          </rPr>
          <t>SSH: sandsynlighed.
Indsæt sandsynligheden i % for at udfaldet bliver det højeste estimat.</t>
        </r>
      </text>
    </comment>
    <comment ref="BH733" authorId="0" shapeId="0" xr:uid="{00000000-0006-0000-0A00-000030000000}">
      <text>
        <r>
          <rPr>
            <b/>
            <sz val="8"/>
            <color indexed="8"/>
            <rFont val="Arial"/>
            <family val="2"/>
          </rPr>
          <t>Vælg en primær risiko som usikkerheden skal tilskrives. Risici kan tilføjes og redigeres i fanen Forside.
Hvis du ikke vælger en risiko, tæller risikoen som generel usikkerhed.</t>
        </r>
      </text>
    </comment>
    <comment ref="BI733" authorId="0" shapeId="0" xr:uid="{00000000-0006-0000-0A00-000031000000}">
      <text>
        <r>
          <rPr>
            <b/>
            <sz val="8"/>
            <color indexed="8"/>
            <rFont val="Arial"/>
            <family val="2"/>
          </rPr>
          <t xml:space="preserve">Vælg en sekundær  risiko som usikkerheden skal tilskrives. Risici kan tilføjes og redigeres i fanen Forside.
Hvis du ikke vælger en risiko, tæller risikoen som generel usikkerhed.
Hvis der ikke er angivet en primær risiko, kan der ikke angives en sekundær risiko. 
</t>
        </r>
      </text>
    </comment>
    <comment ref="AS738" authorId="0" shapeId="0" xr:uid="{00000000-0006-0000-0A00-000032000000}">
      <text>
        <r>
          <rPr>
            <b/>
            <sz val="8"/>
            <color indexed="8"/>
            <rFont val="Arial"/>
            <family val="2"/>
          </rPr>
          <t xml:space="preserve">Se vejledningen til businesscasen, for nærmere forklaring af forudsætningstyper. 
Valg af den rigtige forudsætningstype er væsentlig for udarbejdelse af businesscasen.
</t>
        </r>
      </text>
    </comment>
    <comment ref="AT738" authorId="0" shapeId="0" xr:uid="{00000000-0006-0000-0A00-000033000000}">
      <text>
        <r>
          <rPr>
            <b/>
            <sz val="8"/>
            <color indexed="8"/>
            <rFont val="Arial"/>
            <family val="2"/>
          </rPr>
          <t>Vælg året som forudsætningen vedrører.</t>
        </r>
      </text>
    </comment>
    <comment ref="AU738" authorId="0" shapeId="0" xr:uid="{00000000-0006-0000-0A00-000034000000}">
      <text>
        <r>
          <rPr>
            <b/>
            <sz val="8"/>
            <color indexed="8"/>
            <rFont val="Arial"/>
            <family val="2"/>
          </rPr>
          <t xml:space="preserve">Vælg den konto som forudsætningen kan henføres til.
Konti kan redigeres i fanen Forside. Se vejledning til business case for uddybende forklaring.
</t>
        </r>
      </text>
    </comment>
    <comment ref="AV738" authorId="0" shapeId="0" xr:uid="{00000000-0006-0000-0A00-000035000000}">
      <text>
        <r>
          <rPr>
            <b/>
            <sz val="8"/>
            <color indexed="8"/>
            <rFont val="Arial"/>
            <family val="2"/>
          </rPr>
          <t>Udgiftsbærere kan tilføjes og redigeres i fanen Forside.</t>
        </r>
      </text>
    </comment>
    <comment ref="AW738" authorId="0" shapeId="0" xr:uid="{00000000-0006-0000-0A00-000036000000}">
      <text>
        <r>
          <rPr>
            <b/>
            <sz val="8"/>
            <color indexed="8"/>
            <rFont val="Arial"/>
            <family val="2"/>
          </rPr>
          <t>PL-år: År for pris- og lønniveau.
Vælg årstal for pris- og lønniveau for de givne estimater. Se vejledning til business case for uddybende forklaring.</t>
        </r>
      </text>
    </comment>
    <comment ref="AY738" authorId="0" shapeId="0" xr:uid="{00000000-0006-0000-0A00-000037000000}">
      <text>
        <r>
          <rPr>
            <b/>
            <sz val="8"/>
            <color indexed="8"/>
            <rFont val="Arial"/>
            <family val="2"/>
          </rPr>
          <t>Her kan du vælge mellem forskellige sandsynlighedsmodeller.
Ved "Trekant" er der størst sandsynlighed for middelestimatet.
Ved "Tilfældig" er der lige stor sandsynlighed for hvert udfald (og alle udfald der i mellem).
Ved "Diskret" kan udfaldet kun være lavt, middel eller højt estimat, men ikke noget der i mellem.
Ved "Ikke usikker" er middelestimatet 100% sandsynligt.
Se vejledning til busines casen for en uddybning af de forskellige sandsynlighedsmodeller</t>
        </r>
      </text>
    </comment>
    <comment ref="AZ738" authorId="0" shapeId="0" xr:uid="{00000000-0006-0000-0A00-000038000000}">
      <text>
        <r>
          <rPr>
            <b/>
            <sz val="8"/>
            <color indexed="8"/>
            <rFont val="Arial"/>
            <family val="2"/>
          </rPr>
          <t xml:space="preserve">Indsæt lavt estimat (best case for udgifter).
Der kan ikke anvendes formler
Beløb angives i tusinde kr. 
</t>
        </r>
      </text>
    </comment>
    <comment ref="BA738" authorId="0" shapeId="0" xr:uid="{00000000-0006-0000-0A00-000039000000}">
      <text>
        <r>
          <rPr>
            <b/>
            <sz val="8"/>
            <color indexed="8"/>
            <rFont val="Arial"/>
            <family val="2"/>
          </rPr>
          <t xml:space="preserve">Indsæt forventet estimat (middel for udgifter).
Der må kun anvendes formler, der refererer til denne kolonne.
Beløb angives i tusinde kr. 
</t>
        </r>
      </text>
    </comment>
    <comment ref="BB738" authorId="0" shapeId="0" xr:uid="{00000000-0006-0000-0A00-00003A000000}">
      <text>
        <r>
          <rPr>
            <b/>
            <sz val="8"/>
            <color indexed="8"/>
            <rFont val="Arial"/>
            <family val="2"/>
          </rPr>
          <t xml:space="preserve">Indsæt højt estimat (worst case for udgifter).
Der kan ikke anvendes formler
Beløb angives i tusinde kr. 
</t>
        </r>
      </text>
    </comment>
    <comment ref="BC738" authorId="0" shapeId="0" xr:uid="{00000000-0006-0000-0A00-00003B000000}">
      <text>
        <r>
          <rPr>
            <b/>
            <sz val="8"/>
            <color indexed="8"/>
            <rFont val="Arial"/>
            <family val="2"/>
          </rPr>
          <t>SSH: sandsynlighed.
Indsæt sandsynligheden i % for at udfaldet bliver det laveste estimat.</t>
        </r>
      </text>
    </comment>
    <comment ref="BD738" authorId="0" shapeId="0" xr:uid="{00000000-0006-0000-0A00-00003C000000}">
      <text>
        <r>
          <rPr>
            <b/>
            <sz val="8"/>
            <color indexed="8"/>
            <rFont val="Arial"/>
            <family val="2"/>
          </rPr>
          <t>SSH: sandsynlighed.
Indsæt sandsynligheden i % for at udfaldet bliver middelestimatet.</t>
        </r>
      </text>
    </comment>
    <comment ref="BE738" authorId="0" shapeId="0" xr:uid="{00000000-0006-0000-0A00-00003D000000}">
      <text>
        <r>
          <rPr>
            <b/>
            <sz val="8"/>
            <color indexed="8"/>
            <rFont val="Arial"/>
            <family val="2"/>
          </rPr>
          <t>SSH: sandsynlighed.
Indsæt sandsynligheden i % for at udfaldet bliver det højeste estimat.</t>
        </r>
      </text>
    </comment>
    <comment ref="BH738" authorId="0" shapeId="0" xr:uid="{00000000-0006-0000-0A00-00003E000000}">
      <text>
        <r>
          <rPr>
            <b/>
            <sz val="8"/>
            <color indexed="8"/>
            <rFont val="Arial"/>
            <family val="2"/>
          </rPr>
          <t>Vælg en primær risiko som usikkerheden skal tilskrives. Risici kan tilføjes og redigeres i fanen Forside.
Hvis du ikke vælger en risiko, tæller risikoen som generel usikkerhed.</t>
        </r>
      </text>
    </comment>
    <comment ref="BI738" authorId="0" shapeId="0" xr:uid="{00000000-0006-0000-0A00-00003F000000}">
      <text>
        <r>
          <rPr>
            <b/>
            <sz val="8"/>
            <color indexed="8"/>
            <rFont val="Arial"/>
            <family val="2"/>
          </rPr>
          <t xml:space="preserve">Vælg en sekundær  risiko som usikkerheden skal tilskrives. Risici kan tilføjes og redigeres i fanen Forside.
Hvis du ikke vælger en risiko, tæller risikoen som generel usikkerhed.
Hvis der ikke er angivet en primær risiko, kan der ikke angives en sekundær risiko. 
</t>
        </r>
      </text>
    </comment>
    <comment ref="AS743" authorId="0" shapeId="0" xr:uid="{00000000-0006-0000-0A00-000040000000}">
      <text>
        <r>
          <rPr>
            <b/>
            <sz val="8"/>
            <color indexed="8"/>
            <rFont val="Arial"/>
            <family val="2"/>
          </rPr>
          <t xml:space="preserve">Se vejledningen til businesscasen, for nærmere forklaring af forudsætningstyper. 
Valg af den rigtige forudsætningstype er væsentlig for udarbejdelse af businesscasen.
</t>
        </r>
      </text>
    </comment>
    <comment ref="AT743" authorId="0" shapeId="0" xr:uid="{00000000-0006-0000-0A00-000041000000}">
      <text>
        <r>
          <rPr>
            <b/>
            <sz val="8"/>
            <color indexed="8"/>
            <rFont val="Arial"/>
            <family val="2"/>
          </rPr>
          <t>Vælg året som forudsætningen vedrører.</t>
        </r>
      </text>
    </comment>
    <comment ref="AU743" authorId="0" shapeId="0" xr:uid="{00000000-0006-0000-0A00-000042000000}">
      <text>
        <r>
          <rPr>
            <b/>
            <sz val="8"/>
            <color indexed="8"/>
            <rFont val="Arial"/>
            <family val="2"/>
          </rPr>
          <t xml:space="preserve">Vælg den konto som forudsætningen kan henføres til.
Konti kan redigeres i fanen Forside. Se vejledning til business case for uddybende forklaring.
</t>
        </r>
      </text>
    </comment>
    <comment ref="AV743" authorId="0" shapeId="0" xr:uid="{00000000-0006-0000-0A00-000043000000}">
      <text>
        <r>
          <rPr>
            <b/>
            <sz val="8"/>
            <color indexed="8"/>
            <rFont val="Arial"/>
            <family val="2"/>
          </rPr>
          <t>Udgiftsbærere kan tilføjes og redigeres i fanen Forside.</t>
        </r>
      </text>
    </comment>
    <comment ref="AW743" authorId="0" shapeId="0" xr:uid="{00000000-0006-0000-0A00-000044000000}">
      <text>
        <r>
          <rPr>
            <b/>
            <sz val="8"/>
            <color indexed="8"/>
            <rFont val="Arial"/>
            <family val="2"/>
          </rPr>
          <t>PL-år: År for pris- og lønniveau.
Vælg årstal for pris- og lønniveau for de givne estimater. Se vejledning til business case for uddybende forklaring.</t>
        </r>
      </text>
    </comment>
    <comment ref="AY743" authorId="0" shapeId="0" xr:uid="{00000000-0006-0000-0A00-000045000000}">
      <text>
        <r>
          <rPr>
            <b/>
            <sz val="8"/>
            <color indexed="8"/>
            <rFont val="Arial"/>
            <family val="2"/>
          </rPr>
          <t>Her kan du vælge mellem forskellige sandsynlighedsmodeller.
Ved "Trekant" er der størst sandsynlighed for middelestimatet.
Ved "Tilfældig" er der lige stor sandsynlighed for hvert udfald (og alle udfald der i mellem).
Ved "Diskret" kan udfaldet kun være lavt, middel eller højt estimat, men ikke noget der i mellem.
Ved "Ikke usikker" er middelestimatet 100% sandsynligt.
Se vejledning til busines casen for en uddybning af de forskellige sandsynlighedsmodeller</t>
        </r>
      </text>
    </comment>
    <comment ref="AZ743" authorId="0" shapeId="0" xr:uid="{00000000-0006-0000-0A00-000046000000}">
      <text>
        <r>
          <rPr>
            <b/>
            <sz val="8"/>
            <color indexed="8"/>
            <rFont val="Arial"/>
            <family val="2"/>
          </rPr>
          <t xml:space="preserve">Indsæt lavt estimat (best case for udgifter).
Der kan ikke anvendes formler
Beløb angives i tusinde kr. 
</t>
        </r>
      </text>
    </comment>
    <comment ref="BA743" authorId="0" shapeId="0" xr:uid="{00000000-0006-0000-0A00-000047000000}">
      <text>
        <r>
          <rPr>
            <b/>
            <sz val="8"/>
            <color indexed="8"/>
            <rFont val="Arial"/>
            <family val="2"/>
          </rPr>
          <t xml:space="preserve">Indsæt forventet estimat (middel for udgifter).
Der må kun anvendes formler, der refererer til denne kolonne.
Beløb angives i tusinde kr. 
</t>
        </r>
      </text>
    </comment>
    <comment ref="BB743" authorId="0" shapeId="0" xr:uid="{00000000-0006-0000-0A00-000048000000}">
      <text>
        <r>
          <rPr>
            <b/>
            <sz val="8"/>
            <color indexed="8"/>
            <rFont val="Arial"/>
            <family val="2"/>
          </rPr>
          <t xml:space="preserve">Indsæt højt estimat (worst case for udgifter).
Der kan ikke anvendes formler
Beløb angives i tusinde kr. 
</t>
        </r>
      </text>
    </comment>
    <comment ref="BC743" authorId="0" shapeId="0" xr:uid="{00000000-0006-0000-0A00-000049000000}">
      <text>
        <r>
          <rPr>
            <b/>
            <sz val="8"/>
            <color indexed="8"/>
            <rFont val="Arial"/>
            <family val="2"/>
          </rPr>
          <t>SSH: sandsynlighed.
Indsæt sandsynligheden i % for at udfaldet bliver det laveste estimat.</t>
        </r>
      </text>
    </comment>
    <comment ref="BD743" authorId="0" shapeId="0" xr:uid="{00000000-0006-0000-0A00-00004A000000}">
      <text>
        <r>
          <rPr>
            <b/>
            <sz val="8"/>
            <color indexed="8"/>
            <rFont val="Arial"/>
            <family val="2"/>
          </rPr>
          <t>SSH: sandsynlighed.
Indsæt sandsynligheden i % for at udfaldet bliver middelestimatet.</t>
        </r>
      </text>
    </comment>
    <comment ref="BE743" authorId="0" shapeId="0" xr:uid="{00000000-0006-0000-0A00-00004B000000}">
      <text>
        <r>
          <rPr>
            <b/>
            <sz val="8"/>
            <color indexed="8"/>
            <rFont val="Arial"/>
            <family val="2"/>
          </rPr>
          <t>SSH: sandsynlighed.
Indsæt sandsynligheden i % for at udfaldet bliver det højeste estimat.</t>
        </r>
      </text>
    </comment>
    <comment ref="BH743" authorId="0" shapeId="0" xr:uid="{00000000-0006-0000-0A00-00004C000000}">
      <text>
        <r>
          <rPr>
            <b/>
            <sz val="8"/>
            <color indexed="8"/>
            <rFont val="Arial"/>
            <family val="2"/>
          </rPr>
          <t>Vælg en primær risiko som usikkerheden skal tilskrives. Risici kan tilføjes og redigeres i fanen Forside.
Hvis du ikke vælger en risiko, tæller risikoen som generel usikkerhed.</t>
        </r>
      </text>
    </comment>
    <comment ref="BI743" authorId="0" shapeId="0" xr:uid="{00000000-0006-0000-0A00-00004D000000}">
      <text>
        <r>
          <rPr>
            <b/>
            <sz val="8"/>
            <color indexed="8"/>
            <rFont val="Arial"/>
            <family val="2"/>
          </rPr>
          <t xml:space="preserve">Vælg en sekundær  risiko som usikkerheden skal tilskrives. Risici kan tilføjes og redigeres i fanen Forside.
Hvis du ikke vælger en risiko, tæller risikoen som generel usikkerhed.
Hvis der ikke er angivet en primær risiko, kan der ikke angives en sekundær risiko. 
</t>
        </r>
      </text>
    </comment>
    <comment ref="AY751" authorId="0" shapeId="0" xr:uid="{00000000-0006-0000-0A00-00004E000000}">
      <text>
        <r>
          <rPr>
            <b/>
            <sz val="8"/>
            <color indexed="8"/>
            <rFont val="Arial"/>
            <family val="2"/>
          </rPr>
          <t>Her kan du vælge mellem forskellige sandsynlighedsmodeller.
Ved "Trekant" er der størst sandsynlighed for middelestimatet.
Ved "Tilfældig" er der lige stor sandsynlighed for hvert udfald (og alle udfald der i mellem).
Ved "Diskret" kan udfaldet kun være lavt, middel eller højt estimat, men ikke noget der i mellem.
Ved "Ikke usikker" er middelestimatet 100% sandsynligt.
Se vejledning til busines casen for en uddybning af de forskellige sandsynlighedsmodeller</t>
        </r>
      </text>
    </comment>
    <comment ref="AZ751" authorId="0" shapeId="0" xr:uid="{00000000-0006-0000-0A00-00004F000000}">
      <text>
        <r>
          <rPr>
            <b/>
            <sz val="8"/>
            <color indexed="8"/>
            <rFont val="Arial"/>
            <family val="2"/>
          </rPr>
          <t xml:space="preserve">Indsæt lavt estimat (best case for udgifter).
Der kan ikke anvendes formler
Beløb angives i tusinde kr. 
</t>
        </r>
      </text>
    </comment>
    <comment ref="BA751" authorId="0" shapeId="0" xr:uid="{00000000-0006-0000-0A00-000050000000}">
      <text>
        <r>
          <rPr>
            <b/>
            <sz val="8"/>
            <color indexed="8"/>
            <rFont val="Arial"/>
            <family val="2"/>
          </rPr>
          <t xml:space="preserve">Indsæt forventet estimat (middel for udgifter).
Der må kun anvendes formler, der refererer til denne kolonne.
Beløb angives i tusinde kr. 
</t>
        </r>
      </text>
    </comment>
    <comment ref="BB751" authorId="0" shapeId="0" xr:uid="{00000000-0006-0000-0A00-000051000000}">
      <text>
        <r>
          <rPr>
            <b/>
            <sz val="8"/>
            <color indexed="8"/>
            <rFont val="Arial"/>
            <family val="2"/>
          </rPr>
          <t xml:space="preserve">Indsæt højt estimat (worst case for udgifter).
Der kan ikke anvendes formler
Beløb angives i tusinde kr. 
</t>
        </r>
      </text>
    </comment>
    <comment ref="BC751" authorId="0" shapeId="0" xr:uid="{00000000-0006-0000-0A00-000052000000}">
      <text>
        <r>
          <rPr>
            <b/>
            <sz val="8"/>
            <color indexed="8"/>
            <rFont val="Arial"/>
            <family val="2"/>
          </rPr>
          <t>SSH: sandsynlighed.
Indsæt sandsynligheden i % for at udfaldet bliver det laveste estimat.</t>
        </r>
      </text>
    </comment>
    <comment ref="BD751" authorId="0" shapeId="0" xr:uid="{00000000-0006-0000-0A00-000053000000}">
      <text>
        <r>
          <rPr>
            <b/>
            <sz val="8"/>
            <color indexed="8"/>
            <rFont val="Arial"/>
            <family val="2"/>
          </rPr>
          <t>SSH: sandsynlighed.
Indsæt sandsynligheden i % for at udfaldet bliver middelestimatet.</t>
        </r>
      </text>
    </comment>
    <comment ref="BE751" authorId="0" shapeId="0" xr:uid="{00000000-0006-0000-0A00-000054000000}">
      <text>
        <r>
          <rPr>
            <b/>
            <sz val="8"/>
            <color indexed="8"/>
            <rFont val="Arial"/>
            <family val="2"/>
          </rPr>
          <t>SSH: sandsynlighed.
Indsæt sandsynligheden i % for at udfaldet bliver det højeste estimat.</t>
        </r>
      </text>
    </comment>
    <comment ref="AS758" authorId="0" shapeId="0" xr:uid="{00000000-0006-0000-0A00-000055000000}">
      <text>
        <r>
          <rPr>
            <b/>
            <sz val="8"/>
            <color indexed="8"/>
            <rFont val="Arial"/>
            <family val="2"/>
          </rPr>
          <t xml:space="preserve">Se vejledningen til businesscasen, for nærmere forklaring af forudsætningstyper. 
Valg af den rigtige forudsætningstype er væsentlig for udarbejdelse af businesscasen.
</t>
        </r>
      </text>
    </comment>
    <comment ref="AT758" authorId="0" shapeId="0" xr:uid="{00000000-0006-0000-0A00-000056000000}">
      <text>
        <r>
          <rPr>
            <b/>
            <sz val="8"/>
            <color indexed="8"/>
            <rFont val="Arial"/>
            <family val="2"/>
          </rPr>
          <t>Vælg året som forudsætningen vedrører.</t>
        </r>
      </text>
    </comment>
    <comment ref="AU758" authorId="0" shapeId="0" xr:uid="{00000000-0006-0000-0A00-000057000000}">
      <text>
        <r>
          <rPr>
            <b/>
            <sz val="8"/>
            <color indexed="8"/>
            <rFont val="Arial"/>
            <family val="2"/>
          </rPr>
          <t xml:space="preserve">Vælg den konto som forudsætningen kan henføres til.
Konti kan redigeres i fanen Forside. Se vejledning til business case for uddybende forklaring.
</t>
        </r>
      </text>
    </comment>
    <comment ref="AV758" authorId="0" shapeId="0" xr:uid="{00000000-0006-0000-0A00-000058000000}">
      <text>
        <r>
          <rPr>
            <b/>
            <sz val="8"/>
            <color indexed="8"/>
            <rFont val="Arial"/>
            <family val="2"/>
          </rPr>
          <t>Udgiftsbærere kan tilføjes og redigeres i fanen Forside.</t>
        </r>
      </text>
    </comment>
    <comment ref="AW758" authorId="0" shapeId="0" xr:uid="{00000000-0006-0000-0A00-000059000000}">
      <text>
        <r>
          <rPr>
            <b/>
            <sz val="8"/>
            <color indexed="8"/>
            <rFont val="Arial"/>
            <family val="2"/>
          </rPr>
          <t>PL-år: År for pris- og lønniveau.
Vælg årstal for pris- og lønniveau for de givne estimater. Se vejledning til business case for uddybende forklaring.</t>
        </r>
      </text>
    </comment>
    <comment ref="AY758" authorId="0" shapeId="0" xr:uid="{00000000-0006-0000-0A00-00005A000000}">
      <text>
        <r>
          <rPr>
            <b/>
            <sz val="8"/>
            <color indexed="8"/>
            <rFont val="Arial"/>
            <family val="2"/>
          </rPr>
          <t>Her kan du vælge mellem forskellige sandsynlighedsmodeller.
Ved "Trekant" er der størst sandsynlighed for middelestimatet.
Ved "Tilfældig" er der lige stor sandsynlighed for hvert udfald (og alle udfald der i mellem).
Ved "Diskret" kan udfaldet kun være lavt, middel eller højt estimat, men ikke noget der i mellem.
Ved "Ikke usikker" er middelestimatet 100% sandsynligt.
Se vejledning til busines casen for en uddybning af de forskellige sandsynlighedsmodeller</t>
        </r>
      </text>
    </comment>
    <comment ref="AZ758" authorId="0" shapeId="0" xr:uid="{00000000-0006-0000-0A00-00005B000000}">
      <text>
        <r>
          <rPr>
            <b/>
            <sz val="8"/>
            <color indexed="8"/>
            <rFont val="Arial"/>
            <family val="2"/>
          </rPr>
          <t xml:space="preserve">Indsæt lavt estimat (best case for udgifter).
Der kan ikke anvendes formler
Beløb angives i tusinde kr. 
</t>
        </r>
      </text>
    </comment>
    <comment ref="BA758" authorId="0" shapeId="0" xr:uid="{00000000-0006-0000-0A00-00005C000000}">
      <text>
        <r>
          <rPr>
            <b/>
            <sz val="8"/>
            <color indexed="8"/>
            <rFont val="Arial"/>
            <family val="2"/>
          </rPr>
          <t xml:space="preserve">Indsæt forventet estimat (middel for udgifter).
Der må kun anvendes formler, der refererer til denne kolonne.
Beløb angives i tusinde kr. 
</t>
        </r>
      </text>
    </comment>
    <comment ref="BB758" authorId="0" shapeId="0" xr:uid="{00000000-0006-0000-0A00-00005D000000}">
      <text>
        <r>
          <rPr>
            <b/>
            <sz val="8"/>
            <color indexed="8"/>
            <rFont val="Arial"/>
            <family val="2"/>
          </rPr>
          <t xml:space="preserve">Indsæt højt estimat (worst case for udgifter).
Der kan ikke anvendes formler
Beløb angives i tusinde kr. 
</t>
        </r>
      </text>
    </comment>
    <comment ref="BC758" authorId="0" shapeId="0" xr:uid="{00000000-0006-0000-0A00-00005E000000}">
      <text>
        <r>
          <rPr>
            <b/>
            <sz val="8"/>
            <color indexed="8"/>
            <rFont val="Arial"/>
            <family val="2"/>
          </rPr>
          <t>SSH: sandsynlighed.
Indsæt sandsynligheden i % for at udfaldet bliver det laveste estimat.</t>
        </r>
      </text>
    </comment>
    <comment ref="BD758" authorId="0" shapeId="0" xr:uid="{00000000-0006-0000-0A00-00005F000000}">
      <text>
        <r>
          <rPr>
            <b/>
            <sz val="8"/>
            <color indexed="8"/>
            <rFont val="Arial"/>
            <family val="2"/>
          </rPr>
          <t>SSH: sandsynlighed.
Indsæt sandsynligheden i % for at udfaldet bliver middelestimatet.</t>
        </r>
      </text>
    </comment>
    <comment ref="BE758" authorId="0" shapeId="0" xr:uid="{00000000-0006-0000-0A00-000060000000}">
      <text>
        <r>
          <rPr>
            <b/>
            <sz val="8"/>
            <color indexed="8"/>
            <rFont val="Arial"/>
            <family val="2"/>
          </rPr>
          <t>SSH: sandsynlighed.
Indsæt sandsynligheden i % for at udfaldet bliver det højeste estimat.</t>
        </r>
      </text>
    </comment>
    <comment ref="BH758" authorId="0" shapeId="0" xr:uid="{00000000-0006-0000-0A00-000061000000}">
      <text>
        <r>
          <rPr>
            <b/>
            <sz val="8"/>
            <color indexed="8"/>
            <rFont val="Arial"/>
            <family val="2"/>
          </rPr>
          <t>Vælg en primær risiko som usikkerheden skal tilskrives. Risici kan tilføjes og redigeres i fanen Forside.
Hvis du ikke vælger en risiko, tæller risikoen som generel usikkerhed.</t>
        </r>
      </text>
    </comment>
    <comment ref="BI758" authorId="0" shapeId="0" xr:uid="{00000000-0006-0000-0A00-000062000000}">
      <text>
        <r>
          <rPr>
            <b/>
            <sz val="8"/>
            <color indexed="8"/>
            <rFont val="Arial"/>
            <family val="2"/>
          </rPr>
          <t xml:space="preserve">Vælg en sekundær  risiko som usikkerheden skal tilskrives. Risici kan tilføjes og redigeres i fanen Forside.
Hvis du ikke vælger en risiko, tæller risikoen som generel usikkerhed.
Hvis der ikke er angivet en primær risiko, kan der ikke angives en sekundær risiko. 
</t>
        </r>
      </text>
    </comment>
    <comment ref="AS763" authorId="0" shapeId="0" xr:uid="{00000000-0006-0000-0A00-000063000000}">
      <text>
        <r>
          <rPr>
            <b/>
            <sz val="8"/>
            <color indexed="8"/>
            <rFont val="Arial"/>
            <family val="2"/>
          </rPr>
          <t xml:space="preserve">Se vejledningen til businesscasen, for nærmere forklaring af forudsætningstyper. 
Valg af den rigtige forudsætningstype er væsentlig for udarbejdelse af businesscasen.
</t>
        </r>
      </text>
    </comment>
    <comment ref="AT763" authorId="0" shapeId="0" xr:uid="{00000000-0006-0000-0A00-000064000000}">
      <text>
        <r>
          <rPr>
            <b/>
            <sz val="8"/>
            <color indexed="8"/>
            <rFont val="Arial"/>
            <family val="2"/>
          </rPr>
          <t>Vælg året som forudsætningen vedrører.</t>
        </r>
      </text>
    </comment>
    <comment ref="AU763" authorId="0" shapeId="0" xr:uid="{00000000-0006-0000-0A00-000065000000}">
      <text>
        <r>
          <rPr>
            <b/>
            <sz val="8"/>
            <color indexed="8"/>
            <rFont val="Arial"/>
            <family val="2"/>
          </rPr>
          <t xml:space="preserve">Vælg den konto som forudsætningen kan henføres til.
Konti kan redigeres i fanen Forside. Se vejledning til business case for uddybende forklaring.
</t>
        </r>
      </text>
    </comment>
    <comment ref="AV763" authorId="0" shapeId="0" xr:uid="{00000000-0006-0000-0A00-000066000000}">
      <text>
        <r>
          <rPr>
            <b/>
            <sz val="8"/>
            <color indexed="8"/>
            <rFont val="Arial"/>
            <family val="2"/>
          </rPr>
          <t>Udgiftsbærere kan tilføjes og redigeres i fanen Forside.</t>
        </r>
      </text>
    </comment>
    <comment ref="AW763" authorId="0" shapeId="0" xr:uid="{00000000-0006-0000-0A00-000067000000}">
      <text>
        <r>
          <rPr>
            <b/>
            <sz val="8"/>
            <color indexed="8"/>
            <rFont val="Arial"/>
            <family val="2"/>
          </rPr>
          <t>PL-år: År for pris- og lønniveau.
Vælg årstal for pris- og lønniveau for de givne estimater. Se vejledning til business case for uddybende forklaring.</t>
        </r>
      </text>
    </comment>
    <comment ref="AY763" authorId="0" shapeId="0" xr:uid="{00000000-0006-0000-0A00-000068000000}">
      <text>
        <r>
          <rPr>
            <b/>
            <sz val="8"/>
            <color indexed="8"/>
            <rFont val="Arial"/>
            <family val="2"/>
          </rPr>
          <t>Her kan du vælge mellem forskellige sandsynlighedsmodeller.
Ved "Trekant" er der størst sandsynlighed for middelestimatet.
Ved "Tilfældig" er der lige stor sandsynlighed for hvert udfald (og alle udfald der i mellem).
Ved "Diskret" kan udfaldet kun være lavt, middel eller højt estimat, men ikke noget der i mellem.
Ved "Ikke usikker" er middelestimatet 100% sandsynligt.
Se vejledning til busines casen for en uddybning af de forskellige sandsynlighedsmodeller</t>
        </r>
      </text>
    </comment>
    <comment ref="AZ763" authorId="0" shapeId="0" xr:uid="{00000000-0006-0000-0A00-000069000000}">
      <text>
        <r>
          <rPr>
            <b/>
            <sz val="8"/>
            <color indexed="8"/>
            <rFont val="Arial"/>
            <family val="2"/>
          </rPr>
          <t xml:space="preserve">Indsæt lavt estimat (best case for udgifter).
Der kan ikke anvendes formler
Beløb angives i tusinde kr. 
</t>
        </r>
      </text>
    </comment>
    <comment ref="BA763" authorId="0" shapeId="0" xr:uid="{00000000-0006-0000-0A00-00006A000000}">
      <text>
        <r>
          <rPr>
            <b/>
            <sz val="8"/>
            <color indexed="8"/>
            <rFont val="Arial"/>
            <family val="2"/>
          </rPr>
          <t xml:space="preserve">Indsæt forventet estimat (middel for udgifter).
Der må kun anvendes formler, der refererer til denne kolonne.
Beløb angives i tusinde kr. 
</t>
        </r>
      </text>
    </comment>
    <comment ref="BB763" authorId="0" shapeId="0" xr:uid="{00000000-0006-0000-0A00-00006B000000}">
      <text>
        <r>
          <rPr>
            <b/>
            <sz val="8"/>
            <color indexed="8"/>
            <rFont val="Arial"/>
            <family val="2"/>
          </rPr>
          <t xml:space="preserve">Indsæt højt estimat (worst case for udgifter).
Der kan ikke anvendes formler
Beløb angives i tusinde kr. 
</t>
        </r>
      </text>
    </comment>
    <comment ref="BC763" authorId="0" shapeId="0" xr:uid="{00000000-0006-0000-0A00-00006C000000}">
      <text>
        <r>
          <rPr>
            <b/>
            <sz val="8"/>
            <color indexed="8"/>
            <rFont val="Arial"/>
            <family val="2"/>
          </rPr>
          <t>SSH: sandsynlighed.
Indsæt sandsynligheden i % for at udfaldet bliver det laveste estimat.</t>
        </r>
      </text>
    </comment>
    <comment ref="BD763" authorId="0" shapeId="0" xr:uid="{00000000-0006-0000-0A00-00006D000000}">
      <text>
        <r>
          <rPr>
            <b/>
            <sz val="8"/>
            <color indexed="8"/>
            <rFont val="Arial"/>
            <family val="2"/>
          </rPr>
          <t>SSH: sandsynlighed.
Indsæt sandsynligheden i % for at udfaldet bliver middelestimatet.</t>
        </r>
      </text>
    </comment>
    <comment ref="BE763" authorId="0" shapeId="0" xr:uid="{00000000-0006-0000-0A00-00006E000000}">
      <text>
        <r>
          <rPr>
            <b/>
            <sz val="8"/>
            <color indexed="8"/>
            <rFont val="Arial"/>
            <family val="2"/>
          </rPr>
          <t>SSH: sandsynlighed.
Indsæt sandsynligheden i % for at udfaldet bliver det højeste estimat.</t>
        </r>
      </text>
    </comment>
    <comment ref="BH763" authorId="0" shapeId="0" xr:uid="{00000000-0006-0000-0A00-00006F000000}">
      <text>
        <r>
          <rPr>
            <b/>
            <sz val="8"/>
            <color indexed="8"/>
            <rFont val="Arial"/>
            <family val="2"/>
          </rPr>
          <t>Vælg en primær risiko som usikkerheden skal tilskrives. Risici kan tilføjes og redigeres i fanen Forside.
Hvis du ikke vælger en risiko, tæller risikoen som generel usikkerhed.</t>
        </r>
      </text>
    </comment>
    <comment ref="BI763" authorId="0" shapeId="0" xr:uid="{00000000-0006-0000-0A00-000070000000}">
      <text>
        <r>
          <rPr>
            <b/>
            <sz val="8"/>
            <color indexed="8"/>
            <rFont val="Arial"/>
            <family val="2"/>
          </rPr>
          <t xml:space="preserve">Vælg en sekundær  risiko som usikkerheden skal tilskrives. Risici kan tilføjes og redigeres i fanen Forside.
Hvis du ikke vælger en risiko, tæller risikoen som generel usikkerhed.
Hvis der ikke er angivet en primær risiko, kan der ikke angives en sekundær risiko. 
</t>
        </r>
      </text>
    </comment>
    <comment ref="AS768" authorId="0" shapeId="0" xr:uid="{00000000-0006-0000-0A00-000071000000}">
      <text>
        <r>
          <rPr>
            <b/>
            <sz val="8"/>
            <color indexed="8"/>
            <rFont val="Arial"/>
            <family val="2"/>
          </rPr>
          <t xml:space="preserve">Se vejledningen til businesscasen, for nærmere forklaring af forudsætningstyper. 
Valg af den rigtige forudsætningstype er væsentlig for udarbejdelse af businesscasen.
</t>
        </r>
      </text>
    </comment>
    <comment ref="AT768" authorId="0" shapeId="0" xr:uid="{00000000-0006-0000-0A00-000072000000}">
      <text>
        <r>
          <rPr>
            <b/>
            <sz val="8"/>
            <color indexed="8"/>
            <rFont val="Arial"/>
            <family val="2"/>
          </rPr>
          <t>Vælg året som forudsætningen vedrører.</t>
        </r>
      </text>
    </comment>
    <comment ref="AU768" authorId="0" shapeId="0" xr:uid="{00000000-0006-0000-0A00-000073000000}">
      <text>
        <r>
          <rPr>
            <b/>
            <sz val="8"/>
            <color indexed="8"/>
            <rFont val="Arial"/>
            <family val="2"/>
          </rPr>
          <t xml:space="preserve">Vælg den konto som forudsætningen kan henføres til.
Konti kan redigeres i fanen Forside. Se vejledning til business case for uddybende forklaring.
</t>
        </r>
      </text>
    </comment>
    <comment ref="AV768" authorId="0" shapeId="0" xr:uid="{00000000-0006-0000-0A00-000074000000}">
      <text>
        <r>
          <rPr>
            <b/>
            <sz val="8"/>
            <color indexed="8"/>
            <rFont val="Arial"/>
            <family val="2"/>
          </rPr>
          <t>Udgiftsbærere kan tilføjes og redigeres i fanen Forside.</t>
        </r>
      </text>
    </comment>
    <comment ref="AW768" authorId="0" shapeId="0" xr:uid="{00000000-0006-0000-0A00-000075000000}">
      <text>
        <r>
          <rPr>
            <b/>
            <sz val="8"/>
            <color indexed="8"/>
            <rFont val="Arial"/>
            <family val="2"/>
          </rPr>
          <t>PL-år: År for pris- og lønniveau.
Vælg årstal for pris- og lønniveau for de givne estimater. Se vejledning til business case for uddybende forklaring.</t>
        </r>
      </text>
    </comment>
    <comment ref="AY768" authorId="0" shapeId="0" xr:uid="{00000000-0006-0000-0A00-000076000000}">
      <text>
        <r>
          <rPr>
            <b/>
            <sz val="8"/>
            <color indexed="8"/>
            <rFont val="Arial"/>
            <family val="2"/>
          </rPr>
          <t>Her kan du vælge mellem forskellige sandsynlighedsmodeller.
Ved "Trekant" er der størst sandsynlighed for middelestimatet.
Ved "Tilfældig" er der lige stor sandsynlighed for hvert udfald (og alle udfald der i mellem).
Ved "Diskret" kan udfaldet kun være lavt, middel eller højt estimat, men ikke noget der i mellem.
Ved "Ikke usikker" er middelestimatet 100% sandsynligt.
Se vejledning til busines casen for en uddybning af de forskellige sandsynlighedsmodeller</t>
        </r>
      </text>
    </comment>
    <comment ref="AZ768" authorId="0" shapeId="0" xr:uid="{00000000-0006-0000-0A00-000077000000}">
      <text>
        <r>
          <rPr>
            <b/>
            <sz val="8"/>
            <color indexed="8"/>
            <rFont val="Arial"/>
            <family val="2"/>
          </rPr>
          <t xml:space="preserve">Indsæt lavt estimat (best case for udgifter).
Der kan ikke anvendes formler
Beløb angives i tusinde kr. 
</t>
        </r>
      </text>
    </comment>
    <comment ref="BA768" authorId="0" shapeId="0" xr:uid="{00000000-0006-0000-0A00-000078000000}">
      <text>
        <r>
          <rPr>
            <b/>
            <sz val="8"/>
            <color indexed="8"/>
            <rFont val="Arial"/>
            <family val="2"/>
          </rPr>
          <t xml:space="preserve">Indsæt forventet estimat (middel for udgifter).
Der må kun anvendes formler, der refererer til denne kolonne.
Beløb angives i tusinde kr. 
</t>
        </r>
      </text>
    </comment>
    <comment ref="BB768" authorId="0" shapeId="0" xr:uid="{00000000-0006-0000-0A00-000079000000}">
      <text>
        <r>
          <rPr>
            <b/>
            <sz val="8"/>
            <color indexed="8"/>
            <rFont val="Arial"/>
            <family val="2"/>
          </rPr>
          <t xml:space="preserve">Indsæt højt estimat (worst case for udgifter).
Der kan ikke anvendes formler
Beløb angives i tusinde kr. 
</t>
        </r>
      </text>
    </comment>
    <comment ref="BC768" authorId="0" shapeId="0" xr:uid="{00000000-0006-0000-0A00-00007A000000}">
      <text>
        <r>
          <rPr>
            <b/>
            <sz val="8"/>
            <color indexed="8"/>
            <rFont val="Arial"/>
            <family val="2"/>
          </rPr>
          <t>SSH: sandsynlighed.
Indsæt sandsynligheden i % for at udfaldet bliver det laveste estimat.</t>
        </r>
      </text>
    </comment>
    <comment ref="BD768" authorId="0" shapeId="0" xr:uid="{00000000-0006-0000-0A00-00007B000000}">
      <text>
        <r>
          <rPr>
            <b/>
            <sz val="8"/>
            <color indexed="8"/>
            <rFont val="Arial"/>
            <family val="2"/>
          </rPr>
          <t>SSH: sandsynlighed.
Indsæt sandsynligheden i % for at udfaldet bliver middelestimatet.</t>
        </r>
      </text>
    </comment>
    <comment ref="BE768" authorId="0" shapeId="0" xr:uid="{00000000-0006-0000-0A00-00007C000000}">
      <text>
        <r>
          <rPr>
            <b/>
            <sz val="8"/>
            <color indexed="8"/>
            <rFont val="Arial"/>
            <family val="2"/>
          </rPr>
          <t>SSH: sandsynlighed.
Indsæt sandsynligheden i % for at udfaldet bliver det højeste estimat.</t>
        </r>
      </text>
    </comment>
    <comment ref="BH768" authorId="0" shapeId="0" xr:uid="{00000000-0006-0000-0A00-00007D000000}">
      <text>
        <r>
          <rPr>
            <b/>
            <sz val="8"/>
            <color indexed="8"/>
            <rFont val="Arial"/>
            <family val="2"/>
          </rPr>
          <t>Vælg en primær risiko som usikkerheden skal tilskrives. Risici kan tilføjes og redigeres i fanen Forside.
Hvis du ikke vælger en risiko, tæller risikoen som generel usikkerhed.</t>
        </r>
      </text>
    </comment>
    <comment ref="BI768" authorId="0" shapeId="0" xr:uid="{00000000-0006-0000-0A00-00007E000000}">
      <text>
        <r>
          <rPr>
            <b/>
            <sz val="8"/>
            <color indexed="8"/>
            <rFont val="Arial"/>
            <family val="2"/>
          </rPr>
          <t xml:space="preserve">Vælg en sekundær  risiko som usikkerheden skal tilskrives. Risici kan tilføjes og redigeres i fanen Forside.
Hvis du ikke vælger en risiko, tæller risikoen som generel usikkerhed.
Hvis der ikke er angivet en primær risiko, kan der ikke angives en sekundær risiko. 
</t>
        </r>
      </text>
    </comment>
    <comment ref="AS778" authorId="0" shapeId="0" xr:uid="{00000000-0006-0000-0A00-00007F000000}">
      <text>
        <r>
          <rPr>
            <b/>
            <sz val="8"/>
            <color indexed="8"/>
            <rFont val="Arial"/>
            <family val="2"/>
          </rPr>
          <t>Se vejledningen til businesscasen, for nærmere forklaring af forudsætningstyper. 
Valg af den rigtige forudsætningstype er væsentlig for udarbejdelse af businesscasen.</t>
        </r>
      </text>
    </comment>
    <comment ref="AT778" authorId="0" shapeId="0" xr:uid="{00000000-0006-0000-0A00-000080000000}">
      <text>
        <r>
          <rPr>
            <b/>
            <sz val="8"/>
            <color indexed="8"/>
            <rFont val="Arial"/>
            <family val="2"/>
          </rPr>
          <t>Vælg året som forudsætningen vedrører.</t>
        </r>
      </text>
    </comment>
    <comment ref="AU778" authorId="0" shapeId="0" xr:uid="{00000000-0006-0000-0A00-000081000000}">
      <text>
        <r>
          <rPr>
            <b/>
            <sz val="8"/>
            <color indexed="8"/>
            <rFont val="Arial"/>
            <family val="2"/>
          </rPr>
          <t xml:space="preserve">Vælg den konto som forudsætningen kan henføres til.
Konti kan redigeres i fanen Forside. Se vejledning til business case for uddybende forklaring.
</t>
        </r>
      </text>
    </comment>
    <comment ref="AV778" authorId="0" shapeId="0" xr:uid="{00000000-0006-0000-0A00-000082000000}">
      <text>
        <r>
          <rPr>
            <b/>
            <sz val="8"/>
            <color indexed="8"/>
            <rFont val="Arial"/>
            <family val="2"/>
          </rPr>
          <t xml:space="preserve">
Gevinstejere kan tilføjes og redigeres i fanen Forside.</t>
        </r>
      </text>
    </comment>
    <comment ref="AW778" authorId="0" shapeId="0" xr:uid="{00000000-0006-0000-0A00-000083000000}">
      <text>
        <r>
          <rPr>
            <b/>
            <sz val="8"/>
            <color indexed="8"/>
            <rFont val="Arial"/>
            <family val="2"/>
          </rPr>
          <t>PL-år: År for pris- og lønniveau.
Vælg årstal for pris- og lønniveau for de givne estimater. Se vejledning til business case for uddybende forklaring.</t>
        </r>
      </text>
    </comment>
    <comment ref="AY778" authorId="0" shapeId="0" xr:uid="{00000000-0006-0000-0A00-000084000000}">
      <text>
        <r>
          <rPr>
            <b/>
            <sz val="8"/>
            <color indexed="8"/>
            <rFont val="Arial"/>
            <family val="2"/>
          </rPr>
          <t>Her kan du vælge mellem forskellige sandsynlighedsmodeller.
Ved "Trekant" er der størst sandsynlighed for middelestimatet.
Ved "Tilfældig" er der lige stor sandsynlighed for hvert udfald (og alle udfald der i mellem).
Ved "Diskret" kan udfaldet kun være lavt, middel eller højt estimat, men ikke noget der i mellem.
Ved "Ikke usikker" er middelestimatet 100% sandsynligt.
Se vejledning til busines casen for en uddybning af de forskellige sandsynlighedsmodeller</t>
        </r>
      </text>
    </comment>
    <comment ref="AZ778" authorId="0" shapeId="0" xr:uid="{00000000-0006-0000-0A00-000085000000}">
      <text>
        <r>
          <rPr>
            <b/>
            <sz val="8"/>
            <color indexed="8"/>
            <rFont val="Arial"/>
            <family val="2"/>
          </rPr>
          <t xml:space="preserve">Indsæt lavt estimat (worst case for gevinster).
Der kan ikke anvendes formler
Beløb angives i tusinde kr. 
</t>
        </r>
      </text>
    </comment>
    <comment ref="BA778" authorId="0" shapeId="0" xr:uid="{00000000-0006-0000-0A00-000086000000}">
      <text>
        <r>
          <rPr>
            <b/>
            <sz val="8"/>
            <color indexed="8"/>
            <rFont val="Arial"/>
            <family val="2"/>
          </rPr>
          <t xml:space="preserve">Indsæt forventet estimat (middel for gevinster).
Der må kun anvendes formler, der refererer til denne kolonne.
Beløb angives i tusinde kr. 
</t>
        </r>
      </text>
    </comment>
    <comment ref="BB778" authorId="0" shapeId="0" xr:uid="{00000000-0006-0000-0A00-000087000000}">
      <text>
        <r>
          <rPr>
            <b/>
            <sz val="8"/>
            <color indexed="8"/>
            <rFont val="Arial"/>
            <family val="2"/>
          </rPr>
          <t xml:space="preserve">Indsæt højt estimat (best case for gevinster).
Der kan ikke anvendes formler
Beløb angives i tusinde kr. 
</t>
        </r>
      </text>
    </comment>
    <comment ref="BC778" authorId="0" shapeId="0" xr:uid="{00000000-0006-0000-0A00-000088000000}">
      <text>
        <r>
          <rPr>
            <b/>
            <sz val="8"/>
            <color indexed="8"/>
            <rFont val="Arial"/>
            <family val="2"/>
          </rPr>
          <t>SSH: sandsynlighed.
Indsæt sandsynligheden i % for at udfaldet bliver det laveste estimat.</t>
        </r>
      </text>
    </comment>
    <comment ref="BD778" authorId="0" shapeId="0" xr:uid="{00000000-0006-0000-0A00-000089000000}">
      <text>
        <r>
          <rPr>
            <b/>
            <sz val="8"/>
            <color indexed="8"/>
            <rFont val="Arial"/>
            <family val="2"/>
          </rPr>
          <t>SSH: sandsynlighed.
Indsæt sandsynligheden i % for at udfaldet bliver middelestimatet.</t>
        </r>
      </text>
    </comment>
    <comment ref="BE778" authorId="0" shapeId="0" xr:uid="{00000000-0006-0000-0A00-00008A000000}">
      <text>
        <r>
          <rPr>
            <b/>
            <sz val="8"/>
            <color indexed="8"/>
            <rFont val="Arial"/>
            <family val="2"/>
          </rPr>
          <t>SSH: sandsynlighed.
Indsæt sandsynligheden i % for at udfaldet bliver det højeste estimat.</t>
        </r>
      </text>
    </comment>
    <comment ref="BH778" authorId="0" shapeId="0" xr:uid="{00000000-0006-0000-0A00-00008B000000}">
      <text>
        <r>
          <rPr>
            <b/>
            <sz val="8"/>
            <color indexed="8"/>
            <rFont val="Arial"/>
            <family val="2"/>
          </rPr>
          <t>Vælg en primær risiko som usikkerheden skal tilskrives. Risici kan tilføjes og redigeres i fanen Forside.
Hvis du ikke vælger en risiko, tæller risikoen som generel usikkerhed.</t>
        </r>
      </text>
    </comment>
    <comment ref="BI778" authorId="0" shapeId="0" xr:uid="{00000000-0006-0000-0A00-00008C000000}">
      <text>
        <r>
          <rPr>
            <b/>
            <sz val="8"/>
            <color indexed="8"/>
            <rFont val="Arial"/>
            <family val="2"/>
          </rPr>
          <t xml:space="preserve">Vælg en sekundær  risiko som usikkerheden skal tilskrives. Risici kan tilføjes og redigeres i fanen Forside.
Hvis du ikke vælger en risiko, tæller risikoen som generel usikkerhed.
Hvis der ikke er angivet en primær risiko, kan der ikke angives en sekundær risiko. 
</t>
        </r>
      </text>
    </comment>
    <comment ref="AS784" authorId="0" shapeId="0" xr:uid="{00000000-0006-0000-0A00-00008D000000}">
      <text>
        <r>
          <rPr>
            <b/>
            <sz val="8"/>
            <color indexed="8"/>
            <rFont val="Arial"/>
            <family val="2"/>
          </rPr>
          <t xml:space="preserve">Angiv den enhed gevinsten måles i.
Fx % tilfredshed, antal brugere.
</t>
        </r>
      </text>
    </comment>
    <comment ref="AY784" authorId="0" shapeId="0" xr:uid="{00000000-0006-0000-0A00-00008E000000}">
      <text>
        <r>
          <rPr>
            <b/>
            <sz val="8"/>
            <color indexed="8"/>
            <rFont val="Arial"/>
            <family val="2"/>
          </rPr>
          <t>Her kan du vælge mellem forskellige sandsynlighedsmodeller.
Ved "Trekant" er der størst sandsynlighed for middelestimatet.
Ved "Tilfældig" er der lige stor sandsynlighed for hvert udfald (og alle udfald der i mellem).
Ved "Diskret" kan udfaldet kun være lavt, middel eller højt estimat, men ikke noget der i mellem.
Ved "Ikke usikker" er middelestimatet 100% sandsynligt.
Se vejledning til busines casen for en uddybning af de forskellige sandsynlighedsmodeller</t>
        </r>
      </text>
    </comment>
    <comment ref="AZ784" authorId="0" shapeId="0" xr:uid="{00000000-0006-0000-0A00-00008F000000}">
      <text>
        <r>
          <rPr>
            <b/>
            <sz val="8"/>
            <color indexed="8"/>
            <rFont val="Arial"/>
            <family val="2"/>
          </rPr>
          <t xml:space="preserve">Indsæt lavt estimat (worst case for gevinster).
Der kan ikke anvendes formler
Beløb angives i tusinde kr. 
</t>
        </r>
      </text>
    </comment>
    <comment ref="BA784" authorId="0" shapeId="0" xr:uid="{00000000-0006-0000-0A00-000090000000}">
      <text>
        <r>
          <rPr>
            <b/>
            <sz val="8"/>
            <color indexed="8"/>
            <rFont val="Arial"/>
            <family val="2"/>
          </rPr>
          <t xml:space="preserve">Indsæt forventet estimat (middel for gevinster).
Der må kun anvendes formler, der refererer til denne kolonne.
Beløb angives i tusinde kr. 
</t>
        </r>
      </text>
    </comment>
    <comment ref="BB784" authorId="0" shapeId="0" xr:uid="{00000000-0006-0000-0A00-000091000000}">
      <text>
        <r>
          <rPr>
            <b/>
            <sz val="8"/>
            <color indexed="8"/>
            <rFont val="Arial"/>
            <family val="2"/>
          </rPr>
          <t xml:space="preserve">Indsæt højt estimat (best case for gevinster).
Der kan ikke anvendes formler
Beløb angives i tusinde kr. 
</t>
        </r>
      </text>
    </comment>
    <comment ref="BC784" authorId="0" shapeId="0" xr:uid="{00000000-0006-0000-0A00-000092000000}">
      <text>
        <r>
          <rPr>
            <b/>
            <sz val="8"/>
            <color indexed="8"/>
            <rFont val="Arial"/>
            <family val="2"/>
          </rPr>
          <t>SSH: sandsynlighed.
Indsæt sandsynligheden i % for at udfaldet bliver det laveste estimat.</t>
        </r>
      </text>
    </comment>
    <comment ref="BD784" authorId="0" shapeId="0" xr:uid="{00000000-0006-0000-0A00-000093000000}">
      <text>
        <r>
          <rPr>
            <b/>
            <sz val="8"/>
            <color indexed="8"/>
            <rFont val="Arial"/>
            <family val="2"/>
          </rPr>
          <t>SSH: sandsynlighed.
Indsæt sandsynligheden i % for at udfaldet bliver middelestimatet.</t>
        </r>
      </text>
    </comment>
    <comment ref="BE784" authorId="0" shapeId="0" xr:uid="{00000000-0006-0000-0A00-000094000000}">
      <text>
        <r>
          <rPr>
            <b/>
            <sz val="8"/>
            <color indexed="8"/>
            <rFont val="Arial"/>
            <family val="2"/>
          </rPr>
          <t>SSH: sandsynlighed.
Indsæt sandsynligheden i % for at udfaldet bliver det højeste estimat.</t>
        </r>
      </text>
    </comment>
    <comment ref="AS792" authorId="0" shapeId="0" xr:uid="{00000000-0006-0000-0A00-000095000000}">
      <text>
        <r>
          <rPr>
            <b/>
            <sz val="8"/>
            <color indexed="8"/>
            <rFont val="Arial"/>
            <family val="2"/>
          </rPr>
          <t xml:space="preserve">Se vejledningen til businesscasen, for nærmere forklaring af forudsætningstyper. 
Valg af den rigtige forudsætningstype er væsentlig for udarbejdelse af businesscasen.
</t>
        </r>
      </text>
    </comment>
    <comment ref="AY792" authorId="0" shapeId="0" xr:uid="{00000000-0006-0000-0A00-000096000000}">
      <text>
        <r>
          <rPr>
            <b/>
            <sz val="8"/>
            <color indexed="8"/>
            <rFont val="Arial"/>
            <family val="2"/>
          </rPr>
          <t>Her kan du vælge mellem forskellige sandsynlighedsmodeller.
Ved "Trekant" er der størst sandsynlighed for middelestimatet.
Ved "Tilfældig" er der lige stor sandsynlighed for hvert udfald (og alle udfald der i mellem).
Ved "Diskret" kan udfaldet kun være lavt, middel eller højt estimat, men ikke noget der i mellem.
Ved "Ikke usikker" er middelestimatet 100% sandsynligt.
Se vejledning til busines casen for en uddybning af de forskellige sandsynlighedsmodeller</t>
        </r>
      </text>
    </comment>
    <comment ref="AZ792" authorId="0" shapeId="0" xr:uid="{00000000-0006-0000-0A00-000097000000}">
      <text>
        <r>
          <rPr>
            <b/>
            <sz val="8"/>
            <color indexed="8"/>
            <rFont val="Arial"/>
            <family val="2"/>
          </rPr>
          <t xml:space="preserve">Indsæt lavt estimat (worst case for gevinster).
Der kan ikke anvendes formler
Beløb angives i tusinde kr. 
</t>
        </r>
      </text>
    </comment>
    <comment ref="BA792" authorId="0" shapeId="0" xr:uid="{00000000-0006-0000-0A00-000098000000}">
      <text>
        <r>
          <rPr>
            <b/>
            <sz val="8"/>
            <color indexed="8"/>
            <rFont val="Arial"/>
            <family val="2"/>
          </rPr>
          <t xml:space="preserve">Indsæt forventet estimat (middel for gevinster).
Der må kun anvendes formler, der refererer til denne kolonne.
Beløb angives i tusinde kr. 
</t>
        </r>
      </text>
    </comment>
    <comment ref="BB792" authorId="0" shapeId="0" xr:uid="{00000000-0006-0000-0A00-000099000000}">
      <text>
        <r>
          <rPr>
            <b/>
            <sz val="8"/>
            <color indexed="8"/>
            <rFont val="Arial"/>
            <family val="2"/>
          </rPr>
          <t xml:space="preserve">Indsæt højt estimat (best case for gevinster).
Der kan ikke anvendes formler
Beløb angives i tusinde kr. 
</t>
        </r>
      </text>
    </comment>
    <comment ref="BC792" authorId="0" shapeId="0" xr:uid="{00000000-0006-0000-0A00-00009A000000}">
      <text>
        <r>
          <rPr>
            <b/>
            <sz val="8"/>
            <color indexed="8"/>
            <rFont val="Arial"/>
            <family val="2"/>
          </rPr>
          <t>SSH: sandsynlighed.
Indsæt sandsynligheden i % for at udfaldet bliver det laveste estimat.</t>
        </r>
      </text>
    </comment>
    <comment ref="BD792" authorId="0" shapeId="0" xr:uid="{00000000-0006-0000-0A00-00009B000000}">
      <text>
        <r>
          <rPr>
            <b/>
            <sz val="8"/>
            <color indexed="8"/>
            <rFont val="Arial"/>
            <family val="2"/>
          </rPr>
          <t>SSH: sandsynlighed.
Indsæt sandsynligheden i % for at udfaldet bliver middelestimatet.</t>
        </r>
      </text>
    </comment>
    <comment ref="BE792" authorId="0" shapeId="0" xr:uid="{00000000-0006-0000-0A00-00009C000000}">
      <text>
        <r>
          <rPr>
            <b/>
            <sz val="8"/>
            <color indexed="8"/>
            <rFont val="Arial"/>
            <family val="2"/>
          </rPr>
          <t>SSH: sandsynlighed.
Indsæt sandsynligheden i % for at udfaldet bliver det højeste estimat.</t>
        </r>
      </text>
    </comment>
    <comment ref="AS801" authorId="0" shapeId="0" xr:uid="{00000000-0006-0000-0A00-00009D000000}">
      <text>
        <r>
          <rPr>
            <b/>
            <sz val="8"/>
            <color indexed="8"/>
            <rFont val="Arial"/>
            <family val="2"/>
          </rPr>
          <t xml:space="preserve">Se vejledningen til businesscasen, for nærmere forklaring af forudsætningstyper. 
Valg af den rigtige forudsætningstype er væsentlig for udarbejdelse af businesscasen.
</t>
        </r>
      </text>
    </comment>
    <comment ref="AT801" authorId="0" shapeId="0" xr:uid="{00000000-0006-0000-0A00-00009E000000}">
      <text>
        <r>
          <rPr>
            <b/>
            <sz val="8"/>
            <color indexed="8"/>
            <rFont val="Arial"/>
            <family val="2"/>
          </rPr>
          <t>Vælg året som forudsætningen vedrører.</t>
        </r>
      </text>
    </comment>
    <comment ref="AU801" authorId="0" shapeId="0" xr:uid="{00000000-0006-0000-0A00-00009F000000}">
      <text>
        <r>
          <rPr>
            <b/>
            <sz val="8"/>
            <color indexed="8"/>
            <rFont val="Arial"/>
            <family val="2"/>
          </rPr>
          <t xml:space="preserve">Vælg den konto som forudsætningen kan henføres til.
Konti kan redigeres i fanen Forside. Se vejledning til business case for uddybende forklaring.
</t>
        </r>
      </text>
    </comment>
    <comment ref="AV801" authorId="0" shapeId="0" xr:uid="{00000000-0006-0000-0A00-0000A0000000}">
      <text>
        <r>
          <rPr>
            <b/>
            <sz val="8"/>
            <color indexed="8"/>
            <rFont val="Arial"/>
            <family val="2"/>
          </rPr>
          <t xml:space="preserve">
Gevinstejere kan tilføjes og redigeres i fanen Forside.</t>
        </r>
      </text>
    </comment>
    <comment ref="AW801" authorId="0" shapeId="0" xr:uid="{00000000-0006-0000-0A00-0000A1000000}">
      <text>
        <r>
          <rPr>
            <b/>
            <sz val="8"/>
            <color indexed="8"/>
            <rFont val="Arial"/>
            <family val="2"/>
          </rPr>
          <t>PL-år: År for pris- og lønniveau.
Vælg årstal for pris- og lønniveau for de givne estimater. Se vejledning til business case for uddybende forklaring.</t>
        </r>
      </text>
    </comment>
    <comment ref="AY801" authorId="0" shapeId="0" xr:uid="{00000000-0006-0000-0A00-0000A2000000}">
      <text>
        <r>
          <rPr>
            <b/>
            <sz val="8"/>
            <color indexed="8"/>
            <rFont val="Arial"/>
            <family val="2"/>
          </rPr>
          <t>Her kan du vælge mellem forskellige sandsynlighedsmodeller.
Ved "Trekant" er der størst sandsynlighed for middelestimatet.
Ved "Tilfældig" er der lige stor sandsynlighed for hvert udfald (og alle udfald der i mellem).
Ved "Diskret" kan udfaldet kun være lavt, middel eller højt estimat, men ikke noget der i mellem.
Ved "Ikke usikker" er middelestimatet 100% sandsynligt.
Se vejledning til busines casen for en uddybning af de forskellige sandsynlighedsmodeller</t>
        </r>
      </text>
    </comment>
    <comment ref="AZ801" authorId="0" shapeId="0" xr:uid="{00000000-0006-0000-0A00-0000A3000000}">
      <text>
        <r>
          <rPr>
            <b/>
            <sz val="8"/>
            <color indexed="8"/>
            <rFont val="Arial"/>
            <family val="2"/>
          </rPr>
          <t xml:space="preserve">Indsæt lavt estimat (best case for udgifter).
Der kan ikke anvendes formler
Beløb angives i tusinde kr. 
</t>
        </r>
      </text>
    </comment>
    <comment ref="BA801" authorId="0" shapeId="0" xr:uid="{00000000-0006-0000-0A00-0000A4000000}">
      <text>
        <r>
          <rPr>
            <b/>
            <sz val="8"/>
            <color indexed="8"/>
            <rFont val="Arial"/>
            <family val="2"/>
          </rPr>
          <t xml:space="preserve">Indsæt forventet estimat (middel for udgifter).
Der må kun anvendes formler, der refererer til denne kolonne.
Beløb angives i tusinde kr. 
</t>
        </r>
      </text>
    </comment>
    <comment ref="BB801" authorId="0" shapeId="0" xr:uid="{00000000-0006-0000-0A00-0000A5000000}">
      <text>
        <r>
          <rPr>
            <b/>
            <sz val="8"/>
            <color indexed="8"/>
            <rFont val="Arial"/>
            <family val="2"/>
          </rPr>
          <t xml:space="preserve">Indsæt højt estimat (worst case for udgifter).
Der kan ikke anvendes formler
Beløb angives i tusinde kr. 
</t>
        </r>
      </text>
    </comment>
    <comment ref="BC801" authorId="0" shapeId="0" xr:uid="{00000000-0006-0000-0A00-0000A6000000}">
      <text>
        <r>
          <rPr>
            <b/>
            <sz val="8"/>
            <color indexed="8"/>
            <rFont val="Arial"/>
            <family val="2"/>
          </rPr>
          <t>SSH: sandsynlighed.
Indsæt sandsynligheden i % for at udfaldet bliver det laveste estimat.</t>
        </r>
      </text>
    </comment>
    <comment ref="BD801" authorId="0" shapeId="0" xr:uid="{00000000-0006-0000-0A00-0000A7000000}">
      <text>
        <r>
          <rPr>
            <b/>
            <sz val="8"/>
            <color indexed="8"/>
            <rFont val="Arial"/>
            <family val="2"/>
          </rPr>
          <t>SSH: sandsynlighed.
Indsæt sandsynligheden i % for at udfaldet bliver middelestimatet.</t>
        </r>
      </text>
    </comment>
    <comment ref="BE801" authorId="0" shapeId="0" xr:uid="{00000000-0006-0000-0A00-0000A8000000}">
      <text>
        <r>
          <rPr>
            <b/>
            <sz val="8"/>
            <color indexed="8"/>
            <rFont val="Arial"/>
            <family val="2"/>
          </rPr>
          <t>SSH: sandsynlighed.
Indsæt sandsynligheden i % for at udfaldet bliver det højeste estimat.</t>
        </r>
      </text>
    </comment>
    <comment ref="BH801" authorId="0" shapeId="0" xr:uid="{00000000-0006-0000-0A00-0000A9000000}">
      <text>
        <r>
          <rPr>
            <b/>
            <sz val="8"/>
            <color indexed="8"/>
            <rFont val="Arial"/>
            <family val="2"/>
          </rPr>
          <t>Vælg en primær risiko som usikkerheden skal tilskrives. Risici kan tilføjes og redigeres i fanen Forside.
Hvis du ikke vælger en risiko, tæller risikoen som generel usikkerhed.</t>
        </r>
      </text>
    </comment>
    <comment ref="BI801" authorId="0" shapeId="0" xr:uid="{00000000-0006-0000-0A00-0000AA000000}">
      <text>
        <r>
          <rPr>
            <b/>
            <sz val="8"/>
            <color indexed="8"/>
            <rFont val="Arial"/>
            <family val="2"/>
          </rPr>
          <t xml:space="preserve">Vælg en sekundær  risiko som usikkerheden skal tilskrives. Risici kan tilføjes og redigeres i fanen Forside.
Hvis du ikke vælger en risiko, tæller risikoen som generel usikkerhed.
Hvis der ikke er angivet en primær risiko, kan der ikke angives en sekundær risiko. 
</t>
        </r>
      </text>
    </comment>
    <comment ref="AS807" authorId="0" shapeId="0" xr:uid="{00000000-0006-0000-0A00-0000AB000000}">
      <text>
        <r>
          <rPr>
            <b/>
            <sz val="8"/>
            <color indexed="8"/>
            <rFont val="Arial"/>
            <family val="2"/>
          </rPr>
          <t xml:space="preserve">Angiv den enhed gevinsten måles i.
Fx % tilfredshed, antal brugere.
</t>
        </r>
      </text>
    </comment>
    <comment ref="AY807" authorId="0" shapeId="0" xr:uid="{00000000-0006-0000-0A00-0000AC000000}">
      <text>
        <r>
          <rPr>
            <b/>
            <sz val="8"/>
            <color indexed="8"/>
            <rFont val="Arial"/>
            <family val="2"/>
          </rPr>
          <t>Her kan du vælge mellem forskellige sandsynlighedsmodeller.
Ved "Trekant" er der størst sandsynlighed for middelestimatet.
Ved "Tilfældig" er der lige stor sandsynlighed for hvert udfald (og alle udfald der i mellem).
Ved "Diskret" kan udfaldet kun være lavt, middel eller højt estimat, men ikke noget der i mellem.
Ved "Ikke usikker" er middelestimatet 100% sandsynligt.
Se vejledning til busines casen for en uddybning af de forskellige sandsynlighedsmodeller</t>
        </r>
      </text>
    </comment>
    <comment ref="AZ807" authorId="0" shapeId="0" xr:uid="{00000000-0006-0000-0A00-0000AD000000}">
      <text>
        <r>
          <rPr>
            <b/>
            <sz val="8"/>
            <color indexed="8"/>
            <rFont val="Arial"/>
            <family val="2"/>
          </rPr>
          <t xml:space="preserve">Indsæt lavt estimat (best case for udgifter).
Der kan ikke anvendes formler
Beløb angives i tusinde kr. 
</t>
        </r>
      </text>
    </comment>
    <comment ref="BA807" authorId="0" shapeId="0" xr:uid="{00000000-0006-0000-0A00-0000AE000000}">
      <text>
        <r>
          <rPr>
            <b/>
            <sz val="8"/>
            <color indexed="8"/>
            <rFont val="Arial"/>
            <family val="2"/>
          </rPr>
          <t xml:space="preserve">Indsæt forventet estimat (middel for udgifter).
Der må kun anvendes formler, der refererer til denne kolonne.
Beløb angives i tusinde kr. 
</t>
        </r>
      </text>
    </comment>
    <comment ref="BB807" authorId="0" shapeId="0" xr:uid="{00000000-0006-0000-0A00-0000AF000000}">
      <text>
        <r>
          <rPr>
            <b/>
            <sz val="8"/>
            <color indexed="8"/>
            <rFont val="Arial"/>
            <family val="2"/>
          </rPr>
          <t xml:space="preserve">Indsæt højt estimat (worst case for udgifter).
Der kan ikke anvendes formler
Beløb angives i tusinde kr. 
</t>
        </r>
      </text>
    </comment>
    <comment ref="BC807" authorId="0" shapeId="0" xr:uid="{00000000-0006-0000-0A00-0000B0000000}">
      <text>
        <r>
          <rPr>
            <b/>
            <sz val="8"/>
            <color indexed="8"/>
            <rFont val="Arial"/>
            <family val="2"/>
          </rPr>
          <t>SSH: sandsynlighed.
Indsæt sandsynligheden i % for at udfaldet bliver det laveste estimat.</t>
        </r>
      </text>
    </comment>
    <comment ref="BD807" authorId="0" shapeId="0" xr:uid="{00000000-0006-0000-0A00-0000B1000000}">
      <text>
        <r>
          <rPr>
            <b/>
            <sz val="8"/>
            <color indexed="8"/>
            <rFont val="Arial"/>
            <family val="2"/>
          </rPr>
          <t>SSH: sandsynlighed.
Indsæt sandsynligheden i % for at udfaldet bliver middelestimatet.</t>
        </r>
      </text>
    </comment>
    <comment ref="BE807" authorId="0" shapeId="0" xr:uid="{00000000-0006-0000-0A00-0000B2000000}">
      <text>
        <r>
          <rPr>
            <b/>
            <sz val="8"/>
            <color indexed="8"/>
            <rFont val="Arial"/>
            <family val="2"/>
          </rPr>
          <t>SSH: sandsynlighed.
Indsæt sandsynligheden i % for at udfaldet bliver det højeste estimat.</t>
        </r>
      </text>
    </comment>
    <comment ref="AS815" authorId="0" shapeId="0" xr:uid="{00000000-0006-0000-0A00-0000B3000000}">
      <text>
        <r>
          <rPr>
            <b/>
            <sz val="8"/>
            <color indexed="8"/>
            <rFont val="Arial"/>
            <family val="2"/>
          </rPr>
          <t xml:space="preserve">Se vejledningen til businesscasen, for nærmere forklaring af forudsætningstyper. 
Valg af den rigtige forudsætningstype er væsentlig for udarbejdelse af businesscasen.
</t>
        </r>
      </text>
    </comment>
    <comment ref="AY815" authorId="0" shapeId="0" xr:uid="{00000000-0006-0000-0A00-0000B4000000}">
      <text>
        <r>
          <rPr>
            <b/>
            <sz val="8"/>
            <color indexed="8"/>
            <rFont val="Arial"/>
            <family val="2"/>
          </rPr>
          <t>Her kan du vælge mellem forskellige sandsynlighedsmodeller.
Ved "Trekant" er der størst sandsynlighed for middelestimatet.
Ved "Tilfældig" er der lige stor sandsynlighed for hvert udfald (og alle udfald der i mellem).
Ved "Diskret" kan udfaldet kun være lavt, middel eller højt estimat, men ikke noget der i mellem.
Ved "Ikke usikker" er middelestimatet 100% sandsynligt.
Se vejledning til busines casen for en uddybning af de forskellige sandsynlighedsmodeller</t>
        </r>
      </text>
    </comment>
    <comment ref="AZ815" authorId="0" shapeId="0" xr:uid="{00000000-0006-0000-0A00-0000B5000000}">
      <text>
        <r>
          <rPr>
            <b/>
            <sz val="8"/>
            <color indexed="8"/>
            <rFont val="Arial"/>
            <family val="2"/>
          </rPr>
          <t xml:space="preserve">Indsæt lavt estimat (best case for udgifter).
Der kan ikke anvendes formler
Beløb angives i tusinde kr. 
</t>
        </r>
      </text>
    </comment>
    <comment ref="BA815" authorId="0" shapeId="0" xr:uid="{00000000-0006-0000-0A00-0000B6000000}">
      <text>
        <r>
          <rPr>
            <b/>
            <sz val="8"/>
            <color indexed="8"/>
            <rFont val="Arial"/>
            <family val="2"/>
          </rPr>
          <t xml:space="preserve">Indsæt forventet estimat (middel for udgifter).
Der må kun anvendes formler, der refererer til denne kolonne.
Beløb angives i tusinde kr. 
</t>
        </r>
      </text>
    </comment>
    <comment ref="BB815" authorId="0" shapeId="0" xr:uid="{00000000-0006-0000-0A00-0000B7000000}">
      <text>
        <r>
          <rPr>
            <b/>
            <sz val="8"/>
            <color indexed="8"/>
            <rFont val="Arial"/>
            <family val="2"/>
          </rPr>
          <t xml:space="preserve">Indsæt højt estimat (worst case for udgifter).
Der kan ikke anvendes formler
Beløb angives i tusinde kr. 
</t>
        </r>
      </text>
    </comment>
    <comment ref="BC815" authorId="0" shapeId="0" xr:uid="{00000000-0006-0000-0A00-0000B8000000}">
      <text>
        <r>
          <rPr>
            <b/>
            <sz val="8"/>
            <color indexed="8"/>
            <rFont val="Arial"/>
            <family val="2"/>
          </rPr>
          <t>SSH: sandsynlighed.
Indsæt sandsynligheden i % for at udfaldet bliver det laveste estimat.</t>
        </r>
      </text>
    </comment>
    <comment ref="BD815" authorId="0" shapeId="0" xr:uid="{00000000-0006-0000-0A00-0000B9000000}">
      <text>
        <r>
          <rPr>
            <b/>
            <sz val="8"/>
            <color indexed="8"/>
            <rFont val="Arial"/>
            <family val="2"/>
          </rPr>
          <t>SSH: sandsynlighed.
Indsæt sandsynligheden i % for at udfaldet bliver middelestimatet.</t>
        </r>
      </text>
    </comment>
    <comment ref="BE815" authorId="0" shapeId="0" xr:uid="{00000000-0006-0000-0A00-0000BA000000}">
      <text>
        <r>
          <rPr>
            <b/>
            <sz val="8"/>
            <color indexed="8"/>
            <rFont val="Arial"/>
            <family val="2"/>
          </rPr>
          <t>SSH: sandsynlighed.
Indsæt sandsynligheden i % for at udfaldet bliver det højeste estimat.</t>
        </r>
      </text>
    </comment>
    <comment ref="AV824" authorId="0" shapeId="0" xr:uid="{00000000-0006-0000-0A00-0000BB000000}">
      <text>
        <r>
          <rPr>
            <b/>
            <sz val="8"/>
            <color indexed="8"/>
            <rFont val="Arial"/>
            <family val="2"/>
          </rPr>
          <t>PL-år: År for pris- og lønniveau.
Vælg årstal for pris- og lønniveau for de givne estimater. Se vejledning til business case for uddybende forklaring.</t>
        </r>
      </text>
    </comment>
  </commentList>
</comments>
</file>

<file path=xl/sharedStrings.xml><?xml version="1.0" encoding="utf-8"?>
<sst xmlns="http://schemas.openxmlformats.org/spreadsheetml/2006/main" count="14074" uniqueCount="1630">
  <si>
    <t>ObjName</t>
  </si>
  <si>
    <t>ObjTypeDesc</t>
  </si>
  <si>
    <t>ObjSheet</t>
  </si>
  <si>
    <t>MasterSheet</t>
  </si>
  <si>
    <t>ObjValue</t>
  </si>
  <si>
    <t>ObjValues(ordered)</t>
  </si>
  <si>
    <t>DropDown</t>
  </si>
  <si>
    <t>NR</t>
  </si>
  <si>
    <t>NRColCompact</t>
  </si>
  <si>
    <t>NRRowCompact</t>
  </si>
  <si>
    <t>allObjectsTypesNR</t>
  </si>
  <si>
    <t>allObjectsTypesDD</t>
  </si>
  <si>
    <t>ObjStartAddress</t>
  </si>
  <si>
    <t>ObjEndAddress</t>
  </si>
  <si>
    <t>$C$11</t>
  </si>
  <si>
    <t>MasterSheet_rng_allObjectsTypesNR</t>
  </si>
  <si>
    <t>ObjWidth</t>
  </si>
  <si>
    <t>ObjHeight</t>
  </si>
  <si>
    <t>ObjTextFontSize</t>
  </si>
  <si>
    <t>ObjTextFontBold</t>
  </si>
  <si>
    <t>ObjTextFontColor</t>
  </si>
  <si>
    <t>ObjTextHorizontalAlignment</t>
  </si>
  <si>
    <t>verticalAlignment</t>
  </si>
  <si>
    <t>horizontalAlignment</t>
  </si>
  <si>
    <t>ObjTextVerticalAlignment</t>
  </si>
  <si>
    <t>MasterSheet_rng_verticalAlignment</t>
  </si>
  <si>
    <t>MasterSheet_rng_horizontalAlignment</t>
  </si>
  <si>
    <t>Top:-4160</t>
  </si>
  <si>
    <t>Left:-4131</t>
  </si>
  <si>
    <t>Center:-4108</t>
  </si>
  <si>
    <t>Bottom:-4107</t>
  </si>
  <si>
    <t>Right:-4152</t>
  </si>
  <si>
    <t>Active</t>
  </si>
  <si>
    <t>Main1</t>
  </si>
  <si>
    <t>Ja</t>
  </si>
  <si>
    <t>Det ved jeg ikke...</t>
  </si>
  <si>
    <t>GroupName</t>
  </si>
  <si>
    <t>GroupStoreVal</t>
  </si>
  <si>
    <t>ObjText</t>
  </si>
  <si>
    <t>ActionRun</t>
  </si>
  <si>
    <t>Visible</t>
  </si>
  <si>
    <t>ObjOffsetLeft</t>
  </si>
  <si>
    <t>ObjOffsetTop</t>
  </si>
  <si>
    <t>ObjFill</t>
  </si>
  <si>
    <t>ObjLine</t>
  </si>
  <si>
    <t>ObjFillForeColor</t>
  </si>
  <si>
    <t>ObjFillBackColor</t>
  </si>
  <si>
    <t>ObjFillColorTransparency</t>
  </si>
  <si>
    <t>ObjLineWidth</t>
  </si>
  <si>
    <t>ObjLineColor</t>
  </si>
  <si>
    <t>ObjTextTopOffset</t>
  </si>
  <si>
    <t>ObjTextLeftOffset</t>
  </si>
  <si>
    <t>ObjTextFontType</t>
  </si>
  <si>
    <t>ObjPlacement</t>
  </si>
  <si>
    <t>placement</t>
  </si>
  <si>
    <t>$CA$11</t>
  </si>
  <si>
    <t>MasterSheet_rng_placement</t>
  </si>
  <si>
    <t>xlFreeFloating :&amp;H3</t>
  </si>
  <si>
    <t>xlMove :&amp;H2</t>
  </si>
  <si>
    <t>xlMoveAndSize:&amp;H1</t>
  </si>
  <si>
    <t>verticalAlignmentDD</t>
  </si>
  <si>
    <t>horizontalAlignmentDD</t>
  </si>
  <si>
    <t>placementDD</t>
  </si>
  <si>
    <t>currentVersion</t>
  </si>
  <si>
    <t>serverVersion</t>
  </si>
  <si>
    <t>Stats</t>
  </si>
  <si>
    <t>Stats Values</t>
  </si>
  <si>
    <t>Business case</t>
  </si>
  <si>
    <t>Tabel 1.1: Stamdata</t>
  </si>
  <si>
    <t xml:space="preserve">XX </t>
  </si>
  <si>
    <t>mio. kr.</t>
  </si>
  <si>
    <t>Nuværende fase</t>
  </si>
  <si>
    <t>Nettogevinsten, inkl. renter, er den omkostningsbaserede økonomiske nettogevinst.</t>
  </si>
  <si>
    <t>Økonomiske nøgletal</t>
  </si>
  <si>
    <t>Risiko-
justeret</t>
  </si>
  <si>
    <t>Ikke risiko-
justeret</t>
  </si>
  <si>
    <t>Best
case</t>
  </si>
  <si>
    <t>Worst
case</t>
  </si>
  <si>
    <t>Omkostningsbaserede, økonomiske nøgletal</t>
  </si>
  <si>
    <t>Tidsplan</t>
  </si>
  <si>
    <t>Køb af materialle anlægsaktiver</t>
  </si>
  <si>
    <t>Renteomkostninger (FF4)</t>
  </si>
  <si>
    <t>Afskrivninger</t>
  </si>
  <si>
    <t>Nedskrivninger</t>
  </si>
  <si>
    <t>Immaterielle anlægsaktiver</t>
  </si>
  <si>
    <t>Materielle anlægsaktiver</t>
  </si>
  <si>
    <t>Omsætningsaktiver</t>
  </si>
  <si>
    <t>SheetFixed</t>
  </si>
  <si>
    <t>SheetActive</t>
  </si>
  <si>
    <t>SheetUpdatable</t>
  </si>
  <si>
    <t>BCM_Table</t>
  </si>
  <si>
    <t>BCM_Table_Columns</t>
  </si>
  <si>
    <t>BCM_Table_Rows</t>
  </si>
  <si>
    <t>BCM_Table1</t>
  </si>
  <si>
    <t>BCM_Table1_H1</t>
  </si>
  <si>
    <t>BCM_Table1_H2</t>
  </si>
  <si>
    <t>BCM_Table_Cell</t>
  </si>
  <si>
    <t>BCM_Table2</t>
  </si>
  <si>
    <t>Action/Formula</t>
  </si>
  <si>
    <t>BCM_Table_Category</t>
  </si>
  <si>
    <t>subcat1</t>
  </si>
  <si>
    <t>ObjZoom</t>
  </si>
  <si>
    <t>subcat2</t>
  </si>
  <si>
    <t>subcat3</t>
  </si>
  <si>
    <t>subcat4</t>
  </si>
  <si>
    <t>Arial</t>
  </si>
  <si>
    <t>BCM_Table4</t>
  </si>
  <si>
    <t>ObjTextBkgColor</t>
  </si>
  <si>
    <t>BCM_Table4_H1</t>
  </si>
  <si>
    <t>$D$2</t>
  </si>
  <si>
    <t>Stamdata</t>
  </si>
  <si>
    <t>ObjShadowBlur</t>
  </si>
  <si>
    <t>[Journaliseringsnummer]</t>
  </si>
  <si>
    <t>Start</t>
  </si>
  <si>
    <t>kan udfyldes senere</t>
  </si>
  <si>
    <t>Main1Text1</t>
  </si>
  <si>
    <t>Main1Group1</t>
  </si>
  <si>
    <t>Main1Group1Chk1</t>
  </si>
  <si>
    <t>Main1Group2</t>
  </si>
  <si>
    <t>Main1Group3</t>
  </si>
  <si>
    <t>Main1Group2Chk1</t>
  </si>
  <si>
    <t>Main1Group3Chk1</t>
  </si>
  <si>
    <t>Main1Text2</t>
  </si>
  <si>
    <t>Main1L1</t>
  </si>
  <si>
    <t>Main1L2</t>
  </si>
  <si>
    <t>Main1L3</t>
  </si>
  <si>
    <t>Main1Group4</t>
  </si>
  <si>
    <t>Main1Group4Chk1</t>
  </si>
  <si>
    <t>Main1Title</t>
  </si>
  <si>
    <t>Usikkerhed og estimering</t>
  </si>
  <si>
    <t>Main2Sub1Pic1</t>
  </si>
  <si>
    <t>Omfanget af arbejdet</t>
  </si>
  <si>
    <t>Kompetencer og forankring</t>
  </si>
  <si>
    <t>Relation til andre produkter</t>
  </si>
  <si>
    <t>ObjArrowAngleOffset</t>
  </si>
  <si>
    <t>LastBkp</t>
  </si>
  <si>
    <t>Ok</t>
  </si>
  <si>
    <t>Unknown</t>
  </si>
  <si>
    <t>Old</t>
  </si>
  <si>
    <t>Projekt</t>
  </si>
  <si>
    <t>Program</t>
  </si>
  <si>
    <t>Type</t>
  </si>
  <si>
    <t>MainPicLastBkp</t>
  </si>
  <si>
    <t>Er du klar til at starte med regnearket?</t>
  </si>
  <si>
    <t>Har du udfyldt et forudsætningsdiagram?</t>
  </si>
  <si>
    <t>Har du udfyldt punkt 2 i projektinitieringsdokumentet (PID)?</t>
  </si>
  <si>
    <t>Punkt 2 i PID'en beskriver den forretningsmæssige begrundelse for projektet, den nuværende situation, samt den fremtidige situation hhv. hvis projektet gennemføres og hvis projektet ikke gennemføres.
Find projektinitieringsdokumentet (PID) her: http://www.digst.dk/Styring/Statens-projektmodel/IT-projektmodellen/Download</t>
  </si>
  <si>
    <t>Forudsætningsdiagrammet skal bruges, når du arbejder med business-casen i regnearket. Derfor skal det laves først. Diagrammet laves typisk sammen med projektgruppen.
Find vejledningen og selve diagrammet her http://www.digst.dk/Styring/Statens-projektmodel/Statens-Business-Casemodel/Dowload-BC</t>
  </si>
  <si>
    <t>Main1Text3</t>
  </si>
  <si>
    <t>Har du lavet et risikoregister for projektet?</t>
  </si>
  <si>
    <t>Risikoregistreret er en systematisk måde at identificere og behandle risikofaktorer og usikkerhed på. De væsentlige risici skal skrives ind i business case-modellen, og det er derfor vigtig at dette register laves før man udfyldes business casen.
Find risikoregistreret her: http://www.digst.dk/Styring/Statens-projektmodel/IT-projektmodellen/Download</t>
  </si>
  <si>
    <t>Main1L4</t>
  </si>
  <si>
    <t>Main1L5</t>
  </si>
  <si>
    <t>Main1L6</t>
  </si>
  <si>
    <t>Main1Text4</t>
  </si>
  <si>
    <t>Main1Group5</t>
  </si>
  <si>
    <t>Main1Text5</t>
  </si>
  <si>
    <t>Main1Group5Chk1</t>
  </si>
  <si>
    <t>Main1Text6</t>
  </si>
  <si>
    <t>Main1Group6</t>
  </si>
  <si>
    <t>Main1Group6Chk1</t>
  </si>
  <si>
    <t>Main1Text7</t>
  </si>
  <si>
    <t>Main1Group7</t>
  </si>
  <si>
    <t>Main1Group7Chk1</t>
  </si>
  <si>
    <t>Har du overblik over de andre produkter i modellen?</t>
  </si>
  <si>
    <t>De andre obligatoriske produkter i modellen er: Kvalitetsplan, gevinstmålinger, gevinstrealiseringsplan.
Hertil findes en række anbefalede produkter.
Find disse produkter her: http://www.digst.dk/Styring/Statens-projektmodel/IT-projektmodellen/Download</t>
  </si>
  <si>
    <t>Har du læst vejledningerne til statens business case-model?</t>
  </si>
  <si>
    <t>Vejledning til statens business case-model beskriver, hvordan modellen benyttes i praksis og modellens tre procestrin; et forudsætningsdiagram, et regneark og en skabelon til ledelsesrapportering. 
Metode for statens business case-model beskriver det metodiske og analytiske grundlag for modellen, og fungerer som et mere dybdegående opslagsværk.
Find vejledningerne her: http://www.digst.dk/Styring/Statens-projektmodel/Statens-Business-Casemodel/Dowload-BC</t>
  </si>
  <si>
    <t>Har du taget e-læringskurset, der ligger på campus?</t>
  </si>
  <si>
    <t>Har du set introduktionsfilmene til statens business case-model?</t>
  </si>
  <si>
    <t>E-læringskurset har en varighed af ca. tre timer. Det omfatter en introduktion til business casen og øvelser, der giver et godt indtryk af, hvordan man udarbejder en business case.
Hvis du har adgang til campus, kan du finde e-læringskurset her: https://www.stat-campus.dk/Saba/Web/Main/goto/OfferingDetails?offeringId=dowbt000000000001492.
Find risikoregistreret her: http://www.digst.dk/Styring/Statens-projektmodel/IT-projektmodellen/Download</t>
  </si>
  <si>
    <t>Introduktionsfilmene giver dig et hurtig indblik i statens business case-model. Du får en basal forståelse for de forskellige trin du skal gå igennem, når du skal udarbejde en business case.
Find introduktionsfilmene her: http://www.digst.dk/Styring/Statens-projektmodel/Statens-Business-Casemodel/Introduktionsfilm</t>
  </si>
  <si>
    <t>Hjælp, forklaringer og vejledninger</t>
  </si>
  <si>
    <t xml:space="preserve">Sådan fungerer scenarierne </t>
  </si>
  <si>
    <t xml:space="preserve">At lave en god business case tager tid, men en god business case er en rigtig god investering og styringsredskab i projektet. 
Ofte vil den mest tidskrævende opgave i forbindelse med udarbejdelse af business casen være indsamling af data til estimering af de forskellige udgifter, og det er derfor en god ide at sætte god tid af til denne proces.
</t>
  </si>
  <si>
    <t>Business casen er et dynamisk dokument, der med fordel kan opdateres løbende undervejs i projektforløbet for at sikre maksimal ledelsesinformation, overblik og budgetkontrol. 
Business casen skal opdateres ved alle efterfølgende faseovergange eller ved væsentlige ændringer, og de opdaterede tal skal indsendes til Statens IT-projektråd ved de halvårlige statusrapporteringer.</t>
  </si>
  <si>
    <t>Business case-modellen er en integreret del af den fællesstatslige it-projektmodel, og er et obligatorisk produkt, der skal indsendes til Statens IT-projektråd i forbindelse med risikovurderinger. 
Business casen skal derfor ses i sammenhæng med de øvrige produkter, der udarbejdes som led i planlægningen og gennemførelsen af et projekt.
Du kan læse mere om den fællesstatslige it-projektmodel her:
http://www.digst.dk/Styring/Statens-projektmodel/IT-projektmodellen
Du kan læse mere om Statens IT-projektråd her:
http://www.itprojektraad.dk/</t>
  </si>
  <si>
    <t>Projektets / programmets primære formål</t>
  </si>
  <si>
    <t>[Projektnavn / programnavn]</t>
  </si>
  <si>
    <t>[Projektleder / programleder]</t>
  </si>
  <si>
    <t>Effektivisering</t>
  </si>
  <si>
    <t>Kvalitetsløft</t>
  </si>
  <si>
    <t>Implementering af international lovgivning</t>
  </si>
  <si>
    <t>Idé</t>
  </si>
  <si>
    <t>Analyse</t>
  </si>
  <si>
    <t>Anskaffelse</t>
  </si>
  <si>
    <t>Realisering</t>
  </si>
  <si>
    <t>Projekt i program</t>
  </si>
  <si>
    <t>Risikoprofil</t>
  </si>
  <si>
    <t>Normal risiko</t>
  </si>
  <si>
    <t>Høj risiko</t>
  </si>
  <si>
    <t>Under 10 mio. kr.</t>
  </si>
  <si>
    <t>Over 10 mio. kr.</t>
  </si>
  <si>
    <t>Størrelse</t>
  </si>
  <si>
    <t>Finanskonti</t>
  </si>
  <si>
    <t>debug Groups</t>
  </si>
  <si>
    <t>Et projekt indeholder både gevinster og udgifter, og bygger på den fællesstatslige it-projektmodel, herunder fasemodellen.
Et program indeholder gevinster samt udgifter både på programniveau og for underliggende projekter i programmet. Sidstnævnte kan gemmes i deres separate business cases og indlæses i program-business casen. Der bygges på den fællesstatslige programmodel.
Et projekt i program indeholder kun udgifter og ingen gevinster. Udgifterne kan gemmes og indlæses i program-business casen.
Valget kan ændres senerehen.</t>
  </si>
  <si>
    <t>For mindre projekter kan det være relevant kun at regne med hovedforudsætninger for at nedsætte detaljeringsniveauet. Vælges 'Under 10 mio. kr.', vil der automatisk blive indsat de gængse hovedforudsætninger for mindre projekter som så kan udfyldes. Der kan stadig tilføjes og fjernes forudsætninger (også underforudsætninger) så business casen tilpasses til konteksten for det pågældende projekt. Der ændres altså ikke i hverken metode eller funktionalitet, men blot muligheden for hurtigere indtastning af standard-hovedforudsætninger.
Der kan ikke vælges om, da de indsatte forudsætninger ikke ændrer på hverken metode eller funktionalitet.</t>
  </si>
  <si>
    <t>Kontotyper kan variere mellem stat, kommuner og regioner. Ovenstående er de otte hovedkontotyper for it-projekter i staten. Såfremt projektet/programmet er af tværoffentlig karakter, eller kun består af kommuner/regioner kan de ovenstående konti ændres så de passer til det pågældende institutionelle setup.</t>
  </si>
  <si>
    <t>Tilføj</t>
  </si>
  <si>
    <t>Om projektet</t>
  </si>
  <si>
    <t>ObjGroupStartPos</t>
  </si>
  <si>
    <t>FP_StamdataT1</t>
  </si>
  <si>
    <t>FP_StamdataT2</t>
  </si>
  <si>
    <t>FP_StamdataT2Obs</t>
  </si>
  <si>
    <t>FP_StamdataL2</t>
  </si>
  <si>
    <t>FP_StamdataT3</t>
  </si>
  <si>
    <t>FP_StamdataL3</t>
  </si>
  <si>
    <t>FP_StamdataT4</t>
  </si>
  <si>
    <t>FP_Main3Group2</t>
  </si>
  <si>
    <t>FP_StamdataL4</t>
  </si>
  <si>
    <t>FP_StamdataT5</t>
  </si>
  <si>
    <t>FP_Main1</t>
  </si>
  <si>
    <t>FP_Main1BCtype</t>
  </si>
  <si>
    <t>FP_Main1Tidsplan</t>
  </si>
  <si>
    <t>FP_Main1TidsplanTable</t>
  </si>
  <si>
    <t>FP_Main1TidsplanTable_H1</t>
  </si>
  <si>
    <t>FP_Main1TidsplanTable_C1</t>
  </si>
  <si>
    <t>FP_Main1TidsplanTable_C2</t>
  </si>
  <si>
    <t>FP_Main1TidsplanTable_C3</t>
  </si>
  <si>
    <t>FP_Main1TidsplanTable_C4</t>
  </si>
  <si>
    <t>FP_Main1TidsplanTable_C5</t>
  </si>
  <si>
    <t>Startdato</t>
  </si>
  <si>
    <t>Slutdato</t>
  </si>
  <si>
    <t>Varighed (mdr)</t>
  </si>
  <si>
    <t>Varighed %</t>
  </si>
  <si>
    <t>Ide</t>
  </si>
  <si>
    <t xml:space="preserve">    Specificering</t>
  </si>
  <si>
    <t xml:space="preserve">    Udbud</t>
  </si>
  <si>
    <t>Gennemførsel</t>
  </si>
  <si>
    <t>Risici</t>
  </si>
  <si>
    <t>FP_Main1RisciTable</t>
  </si>
  <si>
    <t>FP_Main1RisciTable_H1</t>
  </si>
  <si>
    <t>Risikohændelse</t>
  </si>
  <si>
    <t>Risikotype</t>
  </si>
  <si>
    <t>Sandsynlighed</t>
  </si>
  <si>
    <t>Konsekvens</t>
  </si>
  <si>
    <t>Sandsynlighed * konsekvens</t>
  </si>
  <si>
    <t>Gem</t>
  </si>
  <si>
    <t>FP_Main1Risici</t>
  </si>
  <si>
    <t>Gevinstejere</t>
  </si>
  <si>
    <t>FP_Main1Gevinstejere</t>
  </si>
  <si>
    <t>Udgiftsbærer</t>
  </si>
  <si>
    <t>Omkostningsbaseret projektøkonomi</t>
  </si>
  <si>
    <t>FP_Main1Omkost</t>
  </si>
  <si>
    <t>Vil du indtaste omkostningsbaseret projektøkonomi?</t>
  </si>
  <si>
    <t>FP_Main1OmkostQ1</t>
  </si>
  <si>
    <t>FP_Main1OmkostTable</t>
  </si>
  <si>
    <t>FF4-gæld, ultimo året</t>
  </si>
  <si>
    <t>Værdi anlægsaktiv, ultimo året</t>
  </si>
  <si>
    <t>Køb af immaterielle anlægsaktiver (investeringer)</t>
  </si>
  <si>
    <t>Driftsomkostninger (projektdrift samt projektløn ekskl. anlægsløn)</t>
  </si>
  <si>
    <t>Anlægsløn, aktiverbar (anlægsløn)</t>
  </si>
  <si>
    <t>FP_Main1Version</t>
  </si>
  <si>
    <t>Versionshistorik</t>
  </si>
  <si>
    <t>Initialer</t>
  </si>
  <si>
    <t>Versionsnr.</t>
  </si>
  <si>
    <t>Beskrivelse af ændring</t>
  </si>
  <si>
    <t>FP_Main1VersionTable</t>
  </si>
  <si>
    <t>FP_Main2</t>
  </si>
  <si>
    <t>FP_Main2Text1</t>
  </si>
  <si>
    <t>FP_Main2Sub1</t>
  </si>
  <si>
    <t>FP_Main2Sub1Text1</t>
  </si>
  <si>
    <t>FP_Main2Sub1Text2</t>
  </si>
  <si>
    <t>FP_Main2Sub1Pic1</t>
  </si>
  <si>
    <t>FP_Main2Sub2</t>
  </si>
  <si>
    <t>FP_Main2Sub2Text1</t>
  </si>
  <si>
    <t>FP_Main2Sub3</t>
  </si>
  <si>
    <t>FP_Main2Sub2Text0</t>
  </si>
  <si>
    <t>FP_Main2Sub4</t>
  </si>
  <si>
    <t>FP_Main2Sub4Text1</t>
  </si>
  <si>
    <t>FP_Main2Sub5</t>
  </si>
  <si>
    <t>FP_Main2Sub6</t>
  </si>
  <si>
    <t>SP_Main2</t>
  </si>
  <si>
    <t>SP_Main2Text1</t>
  </si>
  <si>
    <t>SP_Main2Sub1</t>
  </si>
  <si>
    <t>SP_Main2Sub1Text1</t>
  </si>
  <si>
    <t>SP_Main2Sub1Text2</t>
  </si>
  <si>
    <t>SP_Main2Sub1Pic1</t>
  </si>
  <si>
    <t>SP_Main2Sub2</t>
  </si>
  <si>
    <t>SP_Main2Sub2Text1</t>
  </si>
  <si>
    <t>SP_Main2Sub3</t>
  </si>
  <si>
    <t>SP_Main2Sub2Text0</t>
  </si>
  <si>
    <t>SP_Main2Sub4</t>
  </si>
  <si>
    <t>SP_Main2Sub4Text1</t>
  </si>
  <si>
    <t>SP_Main2Sub5</t>
  </si>
  <si>
    <t>SP_Main2Sub6</t>
  </si>
  <si>
    <t>SP_Main1</t>
  </si>
  <si>
    <t>offset starter</t>
  </si>
  <si>
    <t>Projektudgifter</t>
  </si>
  <si>
    <t>Nøgletal</t>
  </si>
  <si>
    <t>Forudsætningsnavn</t>
  </si>
  <si>
    <t>PL-år</t>
  </si>
  <si>
    <t>Lavt estimat (best case)</t>
  </si>
  <si>
    <t>Højt estimat (worst case)</t>
  </si>
  <si>
    <t>SSH for lavt estimat</t>
  </si>
  <si>
    <t>SSH for middel estimat</t>
  </si>
  <si>
    <t>SSH for højt estimat</t>
  </si>
  <si>
    <t>Total, ikke risikojusteret</t>
  </si>
  <si>
    <t>Over-føres</t>
  </si>
  <si>
    <t>Overføres, ikke risikojusteret</t>
  </si>
  <si>
    <t>Overføres, risikojusteret (simpel SSH)</t>
  </si>
  <si>
    <t>Overføres, risikojusteret (Monte Carlo)</t>
  </si>
  <si>
    <t>Risikobeløb (simpel SSH)</t>
  </si>
  <si>
    <t>Risikobeløb (Monte Carlo)</t>
  </si>
  <si>
    <t>Primær risiko</t>
  </si>
  <si>
    <t>Sekundær risiko</t>
  </si>
  <si>
    <t>Trekant</t>
  </si>
  <si>
    <t>Forudsætninger</t>
  </si>
  <si>
    <t>Idefase</t>
  </si>
  <si>
    <t>Forudsætningstype</t>
  </si>
  <si>
    <t>År</t>
  </si>
  <si>
    <t>Antal risici valgt</t>
  </si>
  <si>
    <t>Risikobeløb P.R. (simpel SSH)</t>
  </si>
  <si>
    <t>Risikobeløb S.R. (simpel SSH)</t>
  </si>
  <si>
    <t>Risikobeløb P.R. (Monte Carlo)</t>
  </si>
  <si>
    <t>Risikobeløb S.R. (Monte Carlo)</t>
  </si>
  <si>
    <t>Analysefase</t>
  </si>
  <si>
    <t>Anskaffelsesfase</t>
  </si>
  <si>
    <t>Realiseringsfase</t>
  </si>
  <si>
    <t>ProjektudgifterHeader</t>
  </si>
  <si>
    <t>ProjektudgifterMain1</t>
  </si>
  <si>
    <t>ProjektudgifterMain1T1</t>
  </si>
  <si>
    <t>ProjektudgifterMain1T1H1</t>
  </si>
  <si>
    <t>ProjektudgifterMain1T1R1</t>
  </si>
  <si>
    <t>ProjektudgifterMain2</t>
  </si>
  <si>
    <t>ProjektudgifterMain2S1</t>
  </si>
  <si>
    <t>ProjektudgifterMain2T1</t>
  </si>
  <si>
    <t>ProjektudgifterMain2T1H1</t>
  </si>
  <si>
    <t>ProjektudgifterMain2T1R1</t>
  </si>
  <si>
    <t>ProjektudgifterMain2S2</t>
  </si>
  <si>
    <t>ProjektudgifterMain2T2</t>
  </si>
  <si>
    <t>ProjektudgifterMain2T2H1</t>
  </si>
  <si>
    <t>ProjektudgifterMain2T2R1</t>
  </si>
  <si>
    <t>ProjektudgifterMain2S3</t>
  </si>
  <si>
    <t>ProjektudgifterMain2T3</t>
  </si>
  <si>
    <t>ProjektudgifterMain2T3H1</t>
  </si>
  <si>
    <t>ProjektudgifterMain2T3R1</t>
  </si>
  <si>
    <t>ProjektudgifterMain2S4</t>
  </si>
  <si>
    <t>ProjektudgifterMain2T4</t>
  </si>
  <si>
    <t>ProjektudgifterMain2T4H1</t>
  </si>
  <si>
    <t>ProjektudgifterMain2T4R1</t>
  </si>
  <si>
    <t>ProjektudgifterMain2S5</t>
  </si>
  <si>
    <t>ProjektudgifterMain2T5</t>
  </si>
  <si>
    <t>ProjektudgifterMain2T5H1</t>
  </si>
  <si>
    <t>ProjektudgifterMain2T5R1</t>
  </si>
  <si>
    <t>ObjCopyInline</t>
  </si>
  <si>
    <t>Programudgifter</t>
  </si>
  <si>
    <t>Programledelse</t>
  </si>
  <si>
    <t>ProgramudgifterHeader</t>
  </si>
  <si>
    <t>ProgramudgifterMain1</t>
  </si>
  <si>
    <t>ProgramudgifterMain1T1</t>
  </si>
  <si>
    <t>ProgramudgifterMain1T1H1</t>
  </si>
  <si>
    <t>ProgramudgifterMain1T1R1</t>
  </si>
  <si>
    <t>ProgramudgifterMain2</t>
  </si>
  <si>
    <t>ProgramudgifterMain3S1</t>
  </si>
  <si>
    <t>ProgramudgifterMain3T1</t>
  </si>
  <si>
    <t>ProgramudgifterMain3T1H1</t>
  </si>
  <si>
    <t>ProgramudgifterMain3T1R1</t>
  </si>
  <si>
    <t>Drift - nuværende</t>
  </si>
  <si>
    <t>Situation før projektet sættes i gang med årets udgifter til at løse samme opgaver som nyanskaffelsen vil påvirke - uden renter og afskrivninger</t>
  </si>
  <si>
    <t>før-situation</t>
  </si>
  <si>
    <t xml:space="preserve">Økonomi </t>
  </si>
  <si>
    <t>Beløb</t>
  </si>
  <si>
    <t>Drift - før projekt</t>
  </si>
  <si>
    <t>Drift - fremtidig uden projekt</t>
  </si>
  <si>
    <t>0-scenarie</t>
  </si>
  <si>
    <t>Gevinst-ejer</t>
  </si>
  <si>
    <t>Ikke-økonomiske variable</t>
  </si>
  <si>
    <t>Navn</t>
  </si>
  <si>
    <t>Enhed</t>
  </si>
  <si>
    <t>Økonomi for virksomheder og private (medregnes ikke i business casen)</t>
  </si>
  <si>
    <t>DriftfremtidigudenprojektMain1</t>
  </si>
  <si>
    <t>DriftfremtidigudenprojektMain1T1R1</t>
  </si>
  <si>
    <t>DriftfremtidigudenprojektMain2</t>
  </si>
  <si>
    <t>DriftfremtidigudenprojektMain2S1</t>
  </si>
  <si>
    <t>DriftfremtidigudenprojektMain2T1</t>
  </si>
  <si>
    <t>DriftfremtidigudenprojektMain2T1H1</t>
  </si>
  <si>
    <t>DriftfremtidigudenprojektMain2T1R1</t>
  </si>
  <si>
    <t>DriftfremtidigudenprojektMain1T1H1</t>
  </si>
  <si>
    <t>DriftfremtidigudenprojektMain3S1</t>
  </si>
  <si>
    <t>DriftfremtidigudenprojektMain3T1</t>
  </si>
  <si>
    <t>DriftfremtidigudenprojektMain3T1H1</t>
  </si>
  <si>
    <t>DriftfremtidigudenprojektMain3T1R1</t>
  </si>
  <si>
    <t>DriftfremtidigudenprojektHeader1</t>
  </si>
  <si>
    <t>DriftfremtidigudenprojektHeader2</t>
  </si>
  <si>
    <t>DriftfremtidigudenprojektHeader3</t>
  </si>
  <si>
    <t>Drift - med projekt</t>
  </si>
  <si>
    <t>1-scenarie</t>
  </si>
  <si>
    <t>DriftmedprojektHeader1</t>
  </si>
  <si>
    <t>DriftmedprojektHeader2</t>
  </si>
  <si>
    <t>DriftmedprojektHeader3</t>
  </si>
  <si>
    <t>DriftmedprojektMain1</t>
  </si>
  <si>
    <t>DriftmedprojektMain1T1</t>
  </si>
  <si>
    <t>DriftmedprojektMain1T1H1</t>
  </si>
  <si>
    <t>DriftfremtidigudenprojektMain1T1</t>
  </si>
  <si>
    <t>DriftmedprojektMain1T1R1</t>
  </si>
  <si>
    <t>DriftmedprojektMain2</t>
  </si>
  <si>
    <t>DriftmedprojektMain2S1</t>
  </si>
  <si>
    <t>DriftmedprojektMain2T1</t>
  </si>
  <si>
    <t>DriftmedprojektMain2T1H1</t>
  </si>
  <si>
    <t>DriftmedprojektMain2T1R1</t>
  </si>
  <si>
    <t>DriftmedprojektMain3S1</t>
  </si>
  <si>
    <t>DriftmedprojektMain3T1</t>
  </si>
  <si>
    <t>DriftmedprojektMain3T1H1</t>
  </si>
  <si>
    <t>DriftmedprojektMain3T1R1</t>
  </si>
  <si>
    <t>Business casen</t>
  </si>
  <si>
    <t>Sammenlignet med forventet, fremtidig drift</t>
  </si>
  <si>
    <t>Sammenlignet med nuværende drift</t>
  </si>
  <si>
    <t>Nettonutidsværdi</t>
  </si>
  <si>
    <t>mio. kr.*</t>
  </si>
  <si>
    <t>Risikopulje</t>
  </si>
  <si>
    <t>Faseopdelte udgifter</t>
  </si>
  <si>
    <t>Total</t>
  </si>
  <si>
    <t>Tot. %</t>
  </si>
  <si>
    <t>XX%</t>
  </si>
  <si>
    <t>-</t>
  </si>
  <si>
    <t>Højrisikopulje</t>
  </si>
  <si>
    <t>Total, ekskl. renter</t>
  </si>
  <si>
    <t>Renter</t>
  </si>
  <si>
    <t>Total, inkl. renter</t>
  </si>
  <si>
    <t>Udgifter fordelt på projekter</t>
  </si>
  <si>
    <t>Tabel 1.7: Omkostningsbaserede udgifter, risikojusteret</t>
  </si>
  <si>
    <t>Omkostninger til aktiver, afskrivninger</t>
  </si>
  <si>
    <t>Driftsomkostninger</t>
  </si>
  <si>
    <t xml:space="preserve"> - Øvrige omkostninger</t>
  </si>
  <si>
    <t xml:space="preserve"> - Renter</t>
  </si>
  <si>
    <t>Tabel 1.12: Økonomiske bruttogevinster fordelt på gevinstejere, risikojusteret</t>
  </si>
  <si>
    <t>Ikke-økonomiske gevinster</t>
  </si>
  <si>
    <t>Risici fordelt på risikotyper</t>
  </si>
  <si>
    <t>Tabel 1.6: Ikke-økonomiske gevinster (risikojusteret)</t>
  </si>
  <si>
    <t>Gevinstnavn</t>
  </si>
  <si>
    <t>Gevinst</t>
  </si>
  <si>
    <t>Risikotyper</t>
  </si>
  <si>
    <t>Generel usikkerhed</t>
  </si>
  <si>
    <t>Samlet pris på risici</t>
  </si>
  <si>
    <t>Sandsynlighedsfordelinger fra Monte carlo-simulering</t>
  </si>
  <si>
    <t>Figur 1.18a.: Monte carlo-simuleret sandsynlighedsfordeling af projektudgifter</t>
  </si>
  <si>
    <t>Figur 1.18b.: Monte carlo-simuleret sandsynlighedsfordeling af nettonutidsværdi</t>
  </si>
  <si>
    <t>Projektudgifter fordelt på interne og eksterne ressourcer</t>
  </si>
  <si>
    <t>Interne</t>
  </si>
  <si>
    <t>Eksterne</t>
  </si>
  <si>
    <t>Samlet omkostningsbaseret økonomi</t>
  </si>
  <si>
    <t>Tabel 1.15 Omkostningsbaseret økonomi</t>
  </si>
  <si>
    <t>Økonomiske nøgletal (private og virksomheder)</t>
  </si>
  <si>
    <t>Samlede udgifter og økonomiske gevinster</t>
  </si>
  <si>
    <t>Tabel 1.4: Samlede udgifter og økonomiske gevinster, mio. kr.</t>
  </si>
  <si>
    <t>Driftsudgifter</t>
  </si>
  <si>
    <t>Øvrige ordinære driftsomkostninger</t>
  </si>
  <si>
    <t>*heraf køb af IT-tjenesteydelser</t>
  </si>
  <si>
    <t>*heraf køb af tj.ydelser i øvrigt</t>
  </si>
  <si>
    <t>*heraf andre ordinære driftsomkostninger</t>
  </si>
  <si>
    <t>Udgifter til aktiver</t>
  </si>
  <si>
    <t>Total, risikojusteret</t>
  </si>
  <si>
    <t>Risikopulje (= risikojust. - ikke risikojust.)</t>
  </si>
  <si>
    <t>Total, best case (laveste udgifter til projekt)</t>
  </si>
  <si>
    <t>Total, worst case (højeste udgifter til projekt)</t>
  </si>
  <si>
    <t>Bruttogevinster</t>
  </si>
  <si>
    <t>Reducerede driftsudgifter</t>
  </si>
  <si>
    <t>* heraf personaleomkostninger</t>
  </si>
  <si>
    <t>* heraf øvrige ordinære driftsomkostninger</t>
  </si>
  <si>
    <t>* heraf indtægter</t>
  </si>
  <si>
    <t>Reducerede udgifter til aktiver</t>
  </si>
  <si>
    <t>Materielle og immaterielle aktiver</t>
  </si>
  <si>
    <t>Difference (= risikojust. - ikke risikojust.)</t>
  </si>
  <si>
    <t>Total, best case (høje udg. u. proj., lave udg. m. proj.)</t>
  </si>
  <si>
    <t>Total, worst case (lave udg. u. proj., høje udg. m. proj.)</t>
  </si>
  <si>
    <t>Total, best case</t>
  </si>
  <si>
    <t>Total, worst case</t>
  </si>
  <si>
    <t>Projektets pengestrømme</t>
  </si>
  <si>
    <t>Figur 1.17a: Pengestrømme</t>
  </si>
  <si>
    <t>Samlet økonomi med og uden projekt</t>
  </si>
  <si>
    <t>Udgifter med projekt (inkl. projektudgifter), mio. kr.</t>
  </si>
  <si>
    <t>Samlet nettogevinst</t>
  </si>
  <si>
    <t>Illustration af samlet økonomi</t>
  </si>
  <si>
    <t>Risici og usikkerheder</t>
  </si>
  <si>
    <t>Samlet pris på risici og usikkerheder</t>
  </si>
  <si>
    <t>Hovedforudsætninger</t>
  </si>
  <si>
    <t>Bruttogevinst</t>
  </si>
  <si>
    <t>Samlede driftsudgifter</t>
  </si>
  <si>
    <t>BCM_Table4_R1</t>
  </si>
  <si>
    <t>BCM_Table4_R2</t>
  </si>
  <si>
    <t>BCM_Table4_R3</t>
  </si>
  <si>
    <t>BCM_Table4_R4</t>
  </si>
  <si>
    <t>BCM_Table4_R5</t>
  </si>
  <si>
    <t>BCM_Table4_R6</t>
  </si>
  <si>
    <t>BCM_Table4_R7</t>
  </si>
  <si>
    <t>BCM_Text1</t>
  </si>
  <si>
    <t>BCM_Text2</t>
  </si>
  <si>
    <t>BCM_Text3</t>
  </si>
  <si>
    <t>BCM_Text4</t>
  </si>
  <si>
    <t>1. Ide</t>
  </si>
  <si>
    <t>2. Analyse</t>
  </si>
  <si>
    <t>4. Gennemførsel</t>
  </si>
  <si>
    <t>5. Realisering</t>
  </si>
  <si>
    <t>Total, worst case (lave udgifter)</t>
  </si>
  <si>
    <t>Total, best case (høje udgifter)</t>
  </si>
  <si>
    <t>Total, worst case (høje udgifter)</t>
  </si>
  <si>
    <t>Total, best case (lave udgifter)</t>
  </si>
  <si>
    <t>subcat5</t>
  </si>
  <si>
    <t>subcat7</t>
  </si>
  <si>
    <t>subcat8</t>
  </si>
  <si>
    <t>subcat10</t>
  </si>
  <si>
    <t>subcat11</t>
  </si>
  <si>
    <t>subcat12</t>
  </si>
  <si>
    <t>subcat13</t>
  </si>
  <si>
    <t>subcat14</t>
  </si>
  <si>
    <t>subcat15</t>
  </si>
  <si>
    <t>subcat16</t>
  </si>
  <si>
    <t>subcat17</t>
  </si>
  <si>
    <t>BCM_HolderH1</t>
  </si>
  <si>
    <t>BCM_subcat4_Holder1</t>
  </si>
  <si>
    <t>ShapeHolder</t>
  </si>
  <si>
    <t>BCM_subcat2_Holder1</t>
  </si>
  <si>
    <t>BCM_subcat10_Holder1</t>
  </si>
  <si>
    <t>BCM_subcat2_Holder2</t>
  </si>
  <si>
    <t>BCM_subcat2_Holder3</t>
  </si>
  <si>
    <t>ColorMe</t>
  </si>
  <si>
    <t>BCM_subcat3_Holder1</t>
  </si>
  <si>
    <t>BCM_subcat3_Holder2</t>
  </si>
  <si>
    <t>BCM_subcat3_Holder3</t>
  </si>
  <si>
    <t>BCM_subcat2_Table1</t>
  </si>
  <si>
    <t>BCM_subcat2_Table1_H1</t>
  </si>
  <si>
    <t>BCM_subcat2_Table1_R1</t>
  </si>
  <si>
    <t>BCM_subcat2_Table1_R2</t>
  </si>
  <si>
    <t>BCM_subcat2_Table1_R3</t>
  </si>
  <si>
    <t>BCM_subcat2_Table1_R6</t>
  </si>
  <si>
    <t>BCM_subcat2_Table1_R7</t>
  </si>
  <si>
    <t>BCM_subcat2_Table1_R8</t>
  </si>
  <si>
    <t>BCM_subcat2_Table1_R9</t>
  </si>
  <si>
    <t>BCM_subcat2_Table1_R10</t>
  </si>
  <si>
    <t>BCM_subcat2_Table1_R11</t>
  </si>
  <si>
    <t>BCM_subcat2_Table1_R12</t>
  </si>
  <si>
    <t>BCM_subcat2_Table1_R13</t>
  </si>
  <si>
    <t>BCM_subcat3_Table1</t>
  </si>
  <si>
    <t>BCM_subcat3_Table1_H1</t>
  </si>
  <si>
    <t>BCM_subcat7_Holder1</t>
  </si>
  <si>
    <t>SheetName</t>
  </si>
  <si>
    <t>BCM_subcat4_Table1</t>
  </si>
  <si>
    <t>BCM_subcat4_Table1_H1</t>
  </si>
  <si>
    <t>BCM_subcat4_Table1_R1</t>
  </si>
  <si>
    <t>BCM_subcat4_Table1_R2</t>
  </si>
  <si>
    <t>BCM_subcat4_Table1_R3</t>
  </si>
  <si>
    <t>BCM_subcat4_Table1_R4</t>
  </si>
  <si>
    <t>BCM_subcat4_Table1_R5</t>
  </si>
  <si>
    <t>BCM_subcat5_Table1</t>
  </si>
  <si>
    <t>BCM_subcat5_Table1_H1</t>
  </si>
  <si>
    <t>BCM_subcat5_Table1_R8</t>
  </si>
  <si>
    <t>subcat6a</t>
  </si>
  <si>
    <t>BCM_subcat6a_Table1</t>
  </si>
  <si>
    <t>BCM_subcat6a_Table1_H1</t>
  </si>
  <si>
    <t>BCM_subcat6a_Table1_R1</t>
  </si>
  <si>
    <t>subcat6b</t>
  </si>
  <si>
    <t>BCM_subcat6b_Table1</t>
  </si>
  <si>
    <t>BCM_subcat6b_Table1_H1</t>
  </si>
  <si>
    <t>BCM_subcat6b_Table1_R2</t>
  </si>
  <si>
    <t>MCSim1</t>
  </si>
  <si>
    <t>MCSim2</t>
  </si>
  <si>
    <t>BCM_subcat7_Table1</t>
  </si>
  <si>
    <t>BCM_subcat7_Table1_H1</t>
  </si>
  <si>
    <t>BCM_subcat7_Table2_H1</t>
  </si>
  <si>
    <t>BCM_subcat8_Table1</t>
  </si>
  <si>
    <t>BCM_subcat8_Table1_H1</t>
  </si>
  <si>
    <t>BCM_subcat10_Table1</t>
  </si>
  <si>
    <t>BCM_subcat10_Table1_H1</t>
  </si>
  <si>
    <t>BCM_subcat11_Table1</t>
  </si>
  <si>
    <t>BCM_subcat11_Table1_H1</t>
  </si>
  <si>
    <t>BCM_subcat12_Table1</t>
  </si>
  <si>
    <t>BCM_subcat12_Table1_H1</t>
  </si>
  <si>
    <t>BCM_subcat13_Table1</t>
  </si>
  <si>
    <t>BCM_subcat13_Table1_H1</t>
  </si>
  <si>
    <t>BCM_subcat14_Table1</t>
  </si>
  <si>
    <t>BCM_subcat14_Table1_H1</t>
  </si>
  <si>
    <t>BCM_subcat15_Table1</t>
  </si>
  <si>
    <t>BCM_subcat15_Table1_H1</t>
  </si>
  <si>
    <t>BCM_subcat7_Table2</t>
  </si>
  <si>
    <t>BCM_subcat16_Table1</t>
  </si>
  <si>
    <t>BCM_subcat16_Table1_H1</t>
  </si>
  <si>
    <t>BCM_subcat16_Table1_R1</t>
  </si>
  <si>
    <t>BCM_subcat16_Table1_R2</t>
  </si>
  <si>
    <t>BCM_subcat16_Table1_R3</t>
  </si>
  <si>
    <t>BCM_subcat16_Table1_R4</t>
  </si>
  <si>
    <t>BCM_subcat16_Table1_R5</t>
  </si>
  <si>
    <t>BCM_subcat16_Table1_R6</t>
  </si>
  <si>
    <t>BCM_subcat16_Table1_R7</t>
  </si>
  <si>
    <t>BCM_subcat16_Table1_R8</t>
  </si>
  <si>
    <t>BCM_subcat16_Table1_R9</t>
  </si>
  <si>
    <t>BCM_subcat16_Table1_R10</t>
  </si>
  <si>
    <t>BCM_subcat16_Table1_R11</t>
  </si>
  <si>
    <t>BCM_subcat16_Table1_R12</t>
  </si>
  <si>
    <t>BCM_subcat16_Table1_R13</t>
  </si>
  <si>
    <t>BCM_subcat16_Table1_R14</t>
  </si>
  <si>
    <t>BCM_subcat16_Table1_R15</t>
  </si>
  <si>
    <t>BCM_subcat16_Table1_R16</t>
  </si>
  <si>
    <t>BCM_subcat16_Table1_R17</t>
  </si>
  <si>
    <t>BCM_subcat16_Table1_R18</t>
  </si>
  <si>
    <t>BCM_subcat17_Table1</t>
  </si>
  <si>
    <t>BCM_subcat17_Table1_H1</t>
  </si>
  <si>
    <t>ShapeChart</t>
  </si>
  <si>
    <t>ShapePicture</t>
  </si>
  <si>
    <t>ShapePictureWText</t>
  </si>
  <si>
    <t>RibbonElement</t>
  </si>
  <si>
    <t>RibbonTab</t>
  </si>
  <si>
    <t>RibbonGroup</t>
  </si>
  <si>
    <t>RibbonSeparator</t>
  </si>
  <si>
    <t>RibbonBox</t>
  </si>
  <si>
    <t>Main1Group1R1</t>
  </si>
  <si>
    <t>Main1Group1R2</t>
  </si>
  <si>
    <t>Main1Group2R1</t>
  </si>
  <si>
    <t>Main1Group2R2</t>
  </si>
  <si>
    <t>Main1Group3R1</t>
  </si>
  <si>
    <t>Main1Group3R2</t>
  </si>
  <si>
    <t>Main1Group4R1</t>
  </si>
  <si>
    <t>Main1Group4R2</t>
  </si>
  <si>
    <t>Main1Group5R1</t>
  </si>
  <si>
    <t>Main1Group5R2</t>
  </si>
  <si>
    <t>Main1Group6R1</t>
  </si>
  <si>
    <t>Main1Group6R2</t>
  </si>
  <si>
    <t>Main1Group7R1</t>
  </si>
  <si>
    <t>Main1Group7R2</t>
  </si>
  <si>
    <t>ID-nr.</t>
  </si>
  <si>
    <t xml:space="preserve">Middel estimat </t>
  </si>
  <si>
    <t>Risikojusteret (vægtet gns.)</t>
  </si>
  <si>
    <t>Risikojusteret (Monte Carlo)</t>
  </si>
  <si>
    <t>Konto</t>
  </si>
  <si>
    <t>Udgifts-bærer</t>
  </si>
  <si>
    <t>Prioritering</t>
  </si>
  <si>
    <t>Samlede udgifter, ekskl. renter</t>
  </si>
  <si>
    <t>1. Nettonutidsværdi</t>
  </si>
  <si>
    <t>2. Samlede udgifter, ekskl. renter</t>
  </si>
  <si>
    <t>5. Samlet bruttogevinst, ekskl. renter (3 - 4)</t>
  </si>
  <si>
    <t>Prioritet</t>
  </si>
  <si>
    <t>A1:A2</t>
  </si>
  <si>
    <t>Økonomiske nøgletal (inklusiv private og virksomheder)</t>
  </si>
  <si>
    <t>Personaleudgifter</t>
  </si>
  <si>
    <t>Personaleudgifter, der kan aktiveres</t>
  </si>
  <si>
    <t>Nettogevinst</t>
  </si>
  <si>
    <t>Tabel 1.10: Økonomiske gevinster (hovedforudsætninger)</t>
  </si>
  <si>
    <t>Driftsudgifter (hovedforudsætninger), mio. kr.</t>
  </si>
  <si>
    <t>Gevinst ift. nuværende drift</t>
  </si>
  <si>
    <t>Vi anbefaler, at institutionerne selv udarbejder business casen, idet det er jer der kender forretningen, og ved selv at lave business casen tages der også ejerskab til de gevinster, der dokumenteres.
For at kunne udarbejde en god business case er det nødvendigt at både projektlederen, økonomifunktionen i institutionen, samt forretningen der bliver berørt af business casen bliver hørt i forbindelse med udarbejdelsen af business casen.
Idet business casen er udgiftsbaseret kan det for økonomifunktionen, eller i forbindelse med udfærdigelse af aktstykker være relevant at få tilføjet omkostningsbaserede tal. Det er muligt at indtaste afskrivningsprofilen manuelt - den omkostningsbaserede nettoeffekt og tabeller til aktstykker vil i så fald blive automatisk beregnet i business case-arket.</t>
  </si>
  <si>
    <t>FP_OmkostGroup1</t>
  </si>
  <si>
    <t>FP_OmkostGroup1Chk1</t>
  </si>
  <si>
    <t>Cfg1Group3</t>
  </si>
  <si>
    <t>Cfg1Group1</t>
  </si>
  <si>
    <t>Cfg1Group2</t>
  </si>
  <si>
    <t>RibbonPointer</t>
  </si>
  <si>
    <t>ObjTableMergeRightOffset/Ident1</t>
  </si>
  <si>
    <t>ObjTableMergeBottomOffset/Ident2</t>
  </si>
  <si>
    <t>ShapeText</t>
  </si>
  <si>
    <t>MasterSheet_f_currentVersion</t>
  </si>
  <si>
    <t>MasterSheet_f_serverVersion</t>
  </si>
  <si>
    <t>MasterSheet_f_RibbonPointer</t>
  </si>
  <si>
    <t>Test</t>
  </si>
  <si>
    <t>ShapeHeader</t>
  </si>
  <si>
    <t>ShapeLine</t>
  </si>
  <si>
    <t>ShapeButton</t>
  </si>
  <si>
    <t>ShapeGroup</t>
  </si>
  <si>
    <t>ShapeChk</t>
  </si>
  <si>
    <t>ShapeRad</t>
  </si>
  <si>
    <t>Fase</t>
  </si>
  <si>
    <t>FP_Main2Sub5Text1</t>
  </si>
  <si>
    <t>FP_Main2Sub6Text1</t>
  </si>
  <si>
    <t>Repeater</t>
  </si>
  <si>
    <t>Cfg1Text1a</t>
  </si>
  <si>
    <t>Cfg1Group1Btn1</t>
  </si>
  <si>
    <t>Cfg1Text1b</t>
  </si>
  <si>
    <t>Cfg1Group1L1</t>
  </si>
  <si>
    <t>Cfg1Text2a</t>
  </si>
  <si>
    <t>Cfg1Text2b</t>
  </si>
  <si>
    <t>Cfg1Group2L1</t>
  </si>
  <si>
    <t>Cfg1Text3a</t>
  </si>
  <si>
    <t>Cfg1Text3b</t>
  </si>
  <si>
    <t>Cfg1Group3L1</t>
  </si>
  <si>
    <t>Cfg1Text4a</t>
  </si>
  <si>
    <t>Cfg1Text4b</t>
  </si>
  <si>
    <t>FP_Cfg1Text4b</t>
  </si>
  <si>
    <t>FP_Main1TidsplanTable_C6</t>
  </si>
  <si>
    <t>FP_Main1TidsplanTable_C7</t>
  </si>
  <si>
    <t>FP_Main1RisciTable_V</t>
  </si>
  <si>
    <t>[Risikohændelse]</t>
  </si>
  <si>
    <t>FP_Main1RisciTable_Add</t>
  </si>
  <si>
    <t>Risci</t>
  </si>
  <si>
    <t>Gevinstejer</t>
  </si>
  <si>
    <t>[Gevinstejer]</t>
  </si>
  <si>
    <t>FP_Gevinstejer</t>
  </si>
  <si>
    <t>FP_GevinstejerL1</t>
  </si>
  <si>
    <t>FP_Finanskonti</t>
  </si>
  <si>
    <t>FP_FinanskontiL1</t>
  </si>
  <si>
    <t>FP_FinanskontiAdd</t>
  </si>
  <si>
    <t>FP_GevinstejerAdd</t>
  </si>
  <si>
    <t>FP_GevinstejerTxt1</t>
  </si>
  <si>
    <t>Udgifts</t>
  </si>
  <si>
    <t>[Udgiftsbærer]</t>
  </si>
  <si>
    <t>FP_UdgiftL1</t>
  </si>
  <si>
    <t>FP_UdgiftTxt1</t>
  </si>
  <si>
    <t>FP_Main1Udgift</t>
  </si>
  <si>
    <t>Version</t>
  </si>
  <si>
    <t>FP_Main1Version_H1</t>
  </si>
  <si>
    <t>FP_Main1VersionTable_V</t>
  </si>
  <si>
    <t>FP_Main1VersionTable_Add</t>
  </si>
  <si>
    <t>Dato</t>
  </si>
  <si>
    <t>[Dato]</t>
  </si>
  <si>
    <t>[Initialer]</t>
  </si>
  <si>
    <t>[Versionsnr.]</t>
  </si>
  <si>
    <t>[Beskrivelse af ændring]</t>
  </si>
  <si>
    <t>BCMTab1G1B1Btn1</t>
  </si>
  <si>
    <t>BCMTab1G1B1Btn2</t>
  </si>
  <si>
    <t>Kopier</t>
  </si>
  <si>
    <t>Indsæt</t>
  </si>
  <si>
    <t>Ribbons</t>
  </si>
  <si>
    <t>BCMTab1</t>
  </si>
  <si>
    <t>BCMTab1G1</t>
  </si>
  <si>
    <t>Redigering</t>
  </si>
  <si>
    <t>Indsætter ny hovedforudsætning under den hovedforudsætningsgruppe, der markeres.</t>
  </si>
  <si>
    <t>SmartArtAddShapeAbove</t>
  </si>
  <si>
    <t>Indsætter ny underforudsætning nederst i den hovedforudsætningsgruppe, der markeres.</t>
  </si>
  <si>
    <t>SmartArtAddShapeBelow</t>
  </si>
  <si>
    <t xml:space="preserve">Kopierer de rækker, der markeres. </t>
  </si>
  <si>
    <t>Copy</t>
  </si>
  <si>
    <t>Indsætter de kopierede rækker under den række der markeres.</t>
  </si>
  <si>
    <t>PasteDuplicate</t>
  </si>
  <si>
    <t>Sletter de rækker, der markeres.</t>
  </si>
  <si>
    <t>Fryser de rækker der markeres. / Frigør fryste rækker.</t>
  </si>
  <si>
    <t>FreezePanes</t>
  </si>
  <si>
    <t>Importer BC</t>
  </si>
  <si>
    <t>Importerer data fra en valgt eksportfil. Dette vil overskrive alt data!</t>
  </si>
  <si>
    <t>ImportTextFile</t>
  </si>
  <si>
    <t>Eksporter BC</t>
  </si>
  <si>
    <t>Gemmer en eksportfil med alle nuværende indtastninger og data.</t>
  </si>
  <si>
    <t>ExportTextFile</t>
  </si>
  <si>
    <t>Hent projektudgifter</t>
  </si>
  <si>
    <t>Henter projektudgifter fra eksportfil og indsætter det i arket programudgifter under det projektnavn, der markeres.</t>
  </si>
  <si>
    <t>ImportSharePointList</t>
  </si>
  <si>
    <t>Lav sikkerhedskopi</t>
  </si>
  <si>
    <t>FileSaveAsCurrentFileFormat</t>
  </si>
  <si>
    <t>Tjekker om der benyttes den nyeste version.</t>
  </si>
  <si>
    <t>Gem som PDF</t>
  </si>
  <si>
    <t>Gemmer business case-arket som pdf.</t>
  </si>
  <si>
    <t>SourceControlCheckIn</t>
  </si>
  <si>
    <t>Print business case</t>
  </si>
  <si>
    <t>FilePrint</t>
  </si>
  <si>
    <t>Printer alle forudsætningsark som de vises.</t>
  </si>
  <si>
    <t>PrintDataOnly</t>
  </si>
  <si>
    <t>GroupRestrictions</t>
  </si>
  <si>
    <t>BCMTab1G1S1</t>
  </si>
  <si>
    <t>BCMTab1G1Btn1</t>
  </si>
  <si>
    <t>BCMTab1G1Btn2</t>
  </si>
  <si>
    <t>BCMTab1G1Btn3</t>
  </si>
  <si>
    <t>BCMTab1G1Btn4</t>
  </si>
  <si>
    <t>Ny hoved- forudsætning</t>
  </si>
  <si>
    <t>Ny under- forudsætning</t>
  </si>
  <si>
    <t xml:space="preserve">       Slet                              </t>
  </si>
  <si>
    <t>BCMTab1G2</t>
  </si>
  <si>
    <t>BCMTab1G2B1Btn1</t>
  </si>
  <si>
    <t>BCMTab1G2B1Btn2</t>
  </si>
  <si>
    <t>BCMTab1G2B1Btn3</t>
  </si>
  <si>
    <t>Visning</t>
  </si>
  <si>
    <t>BCMTab1G3</t>
  </si>
  <si>
    <t>BCMTab1G3Btn3</t>
  </si>
  <si>
    <t>BCMTab1G3Btn2</t>
  </si>
  <si>
    <t>BCMTab1G3Btn1</t>
  </si>
  <si>
    <t>BCMTab1G4B1Btn1</t>
  </si>
  <si>
    <t>BCMTab1G4B1Btn2</t>
  </si>
  <si>
    <t>BCMTab1G4Btn1</t>
  </si>
  <si>
    <t>BCMTab1G4</t>
  </si>
  <si>
    <t>Print alle ark</t>
  </si>
  <si>
    <t>BCMTab1G5</t>
  </si>
  <si>
    <t>BCMTab1G5B1Btn1</t>
  </si>
  <si>
    <t>BCMTab1G5B1Btn2</t>
  </si>
  <si>
    <t>BCMTab1G5B1Btn3</t>
  </si>
  <si>
    <t>BCMTab1G6</t>
  </si>
  <si>
    <t>Avanceret</t>
  </si>
  <si>
    <t>Re-Create Model</t>
  </si>
  <si>
    <t>BackgroundRemovalClose</t>
  </si>
  <si>
    <t>GoLeftToRight</t>
  </si>
  <si>
    <t>DriftfprojektMain1T1</t>
  </si>
  <si>
    <t>DriftfprojektMain1T1H1</t>
  </si>
  <si>
    <t>DriftfprojektMain1T1R1</t>
  </si>
  <si>
    <t>DriftfprojektHeader2</t>
  </si>
  <si>
    <t>DriftfprojektHeader2H1</t>
  </si>
  <si>
    <t>DriftfprojektHeader2R1</t>
  </si>
  <si>
    <t>DriftfprojektMain1</t>
  </si>
  <si>
    <t>SP_Main2Sub5Text1</t>
  </si>
  <si>
    <t>SP_Main2Sub6Text1</t>
  </si>
  <si>
    <t>SP_StamdataT1</t>
  </si>
  <si>
    <t>SP_StamdataL1</t>
  </si>
  <si>
    <t>SP_StamdataT2Obs</t>
  </si>
  <si>
    <t>SP_StamdataT2</t>
  </si>
  <si>
    <t>SP_StamdataL2</t>
  </si>
  <si>
    <t>SP_StamdataT3</t>
  </si>
  <si>
    <t>SP_StamdataT4</t>
  </si>
  <si>
    <t>SP_StamdataL3</t>
  </si>
  <si>
    <t>SP_Main3Group2</t>
  </si>
  <si>
    <t>SP_StamdataT4Chk1</t>
  </si>
  <si>
    <t>SP_StamdataT4Chk2</t>
  </si>
  <si>
    <t>SP_StamdataT4Chk3</t>
  </si>
  <si>
    <t>SP_StamdataL4</t>
  </si>
  <si>
    <t>SP_StamdataT5</t>
  </si>
  <si>
    <t>SP_Main3Group3</t>
  </si>
  <si>
    <t>SP_StamdataT5Chk1</t>
  </si>
  <si>
    <t>SP_StamdataT5Chk2</t>
  </si>
  <si>
    <t>SP_StamdataT5Chk3</t>
  </si>
  <si>
    <t>SP_StamdataT5Chk4</t>
  </si>
  <si>
    <t>SP_StamdataT5Chk5</t>
  </si>
  <si>
    <t>SP_StamdataT1Rep</t>
  </si>
  <si>
    <t>SP_StamdataT2Rep</t>
  </si>
  <si>
    <t>SP_StamdataT3Rep</t>
  </si>
  <si>
    <t>FP_StamdataT1Rep</t>
  </si>
  <si>
    <t>FP_StamdataT2Rep</t>
  </si>
  <si>
    <t>FP_StamdataT3Rep</t>
  </si>
  <si>
    <t>Cfg1Group2Btn2</t>
  </si>
  <si>
    <t>Cfg1Group3Btn3</t>
  </si>
  <si>
    <t>Cfg1Group4Btn4</t>
  </si>
  <si>
    <t>CFG_Finanskonti</t>
  </si>
  <si>
    <t>CFG_FinanskontiL1</t>
  </si>
  <si>
    <t>CFG_FinanskontiAdd</t>
  </si>
  <si>
    <t>CFG_FinanskontiV</t>
  </si>
  <si>
    <t>Cfg_Main1Title</t>
  </si>
  <si>
    <t>CfgPicLastBkp</t>
  </si>
  <si>
    <t>Cfg_Main1</t>
  </si>
  <si>
    <t>re-create model</t>
  </si>
  <si>
    <t>Import - Eksport</t>
  </si>
  <si>
    <t xml:space="preserve">      Frys                               /      Frigør                               </t>
  </si>
  <si>
    <t xml:space="preserve">Tjek version              </t>
  </si>
  <si>
    <t>CFG_FinanskontiV_1</t>
  </si>
  <si>
    <t>CFG_FinanskontiL1_1</t>
  </si>
  <si>
    <t>lastSaved</t>
  </si>
  <si>
    <t>MasterSheet_f_lastSaved</t>
  </si>
  <si>
    <t>Statens business case-model 2.0</t>
  </si>
  <si>
    <t>GroupAppointmentOptions</t>
  </si>
  <si>
    <t>ClearGrid</t>
  </si>
  <si>
    <t>FP_Main1Projecter</t>
  </si>
  <si>
    <t>Projekter</t>
  </si>
  <si>
    <t>FP_Projekter</t>
  </si>
  <si>
    <t>FP_ProjekterAdd</t>
  </si>
  <si>
    <t>FP_ProjekterTxt1</t>
  </si>
  <si>
    <t>FP_ProjekterL1</t>
  </si>
  <si>
    <t>Annuller</t>
  </si>
  <si>
    <t>Slet</t>
  </si>
  <si>
    <t>FP_Projekter_1</t>
  </si>
  <si>
    <t>FP_ProjekterL1_1</t>
  </si>
  <si>
    <t>FP_Gevinstejer_1</t>
  </si>
  <si>
    <t>FP_GevinstejerL1_1</t>
  </si>
  <si>
    <t>FP_Main1RisciTable_V_1</t>
  </si>
  <si>
    <t>FP_Main1VersionTable_V_1</t>
  </si>
  <si>
    <t>FP_Finanskonti_1</t>
  </si>
  <si>
    <t>FP_FinanskontiL1_1</t>
  </si>
  <si>
    <t>FP_StamdataT1_1</t>
  </si>
  <si>
    <t>FP_StamdataT2_1</t>
  </si>
  <si>
    <t>FP_StamdataT2Obs_1</t>
  </si>
  <si>
    <t>FP_StamdataT3_1</t>
  </si>
  <si>
    <t>SP_StamdataT1_1</t>
  </si>
  <si>
    <t>SP_StamdataT2_1</t>
  </si>
  <si>
    <t>SP_StamdataT2Obs_1</t>
  </si>
  <si>
    <t>SP_StamdataT3_1</t>
  </si>
  <si>
    <t>AcceptInvitation</t>
  </si>
  <si>
    <t>FP_StamdataG1</t>
  </si>
  <si>
    <t>FP_StamdataG2</t>
  </si>
  <si>
    <t>FP_StamdataL1</t>
  </si>
  <si>
    <t>FP_StamdataMain1</t>
  </si>
  <si>
    <t>SP_StamdataMain1</t>
  </si>
  <si>
    <t>SP_StartBtn</t>
  </si>
  <si>
    <t>SP_EndLineL1</t>
  </si>
  <si>
    <t>FP_CfgGroup1Btn1</t>
  </si>
  <si>
    <t>FP_CfgGroup1</t>
  </si>
  <si>
    <t>FP_CfgText1b</t>
  </si>
  <si>
    <t>FP_CfgGroup1L1</t>
  </si>
  <si>
    <t>FP_CfgText2a</t>
  </si>
  <si>
    <t>FP_CfgGroup2Btn2</t>
  </si>
  <si>
    <t>FP_CfgGroup2</t>
  </si>
  <si>
    <t>FP_CfgGroup2R1</t>
  </si>
  <si>
    <t>FP_CfgGroup2R2</t>
  </si>
  <si>
    <t>FP_CfgGroup3R1</t>
  </si>
  <si>
    <t>FP_CfgGroup3R2</t>
  </si>
  <si>
    <t>FP_CfgGroup3Btn3</t>
  </si>
  <si>
    <t>FP_CfgGroup3</t>
  </si>
  <si>
    <t>FP_CfgText3a</t>
  </si>
  <si>
    <t>FP_CfgText3b</t>
  </si>
  <si>
    <t>FP_CfgGroup3L1</t>
  </si>
  <si>
    <t>FP_CfgText4a</t>
  </si>
  <si>
    <t>FP_CfgGroup4Btn4</t>
  </si>
  <si>
    <t>FP_CfgText2b</t>
  </si>
  <si>
    <t>FP_CfgGroup2L1</t>
  </si>
  <si>
    <t>FP_CfgText1a</t>
  </si>
  <si>
    <t>CfgGroup1R1</t>
  </si>
  <si>
    <t>CfgGroup1R2</t>
  </si>
  <si>
    <t>CfgGroup1R3</t>
  </si>
  <si>
    <t>CfgGroup2R1</t>
  </si>
  <si>
    <t>CfgGroup2R2</t>
  </si>
  <si>
    <t>CfgGroup3R1</t>
  </si>
  <si>
    <t>CfgGroup3R2</t>
  </si>
  <si>
    <t>FP_CfgGroup1R1</t>
  </si>
  <si>
    <t>FP_CfgGroup1R2</t>
  </si>
  <si>
    <t>FP_CfgGroup1R3</t>
  </si>
  <si>
    <t>BCMTab1G6Btn2</t>
  </si>
  <si>
    <t>Start Model</t>
  </si>
  <si>
    <t>Tjek version</t>
  </si>
  <si>
    <t xml:space="preserve">Frys     /Frigør     </t>
  </si>
  <si>
    <t xml:space="preserve">Slet                              </t>
  </si>
  <si>
    <t>Omkost</t>
  </si>
  <si>
    <t>Projects</t>
  </si>
  <si>
    <t>Programs</t>
  </si>
  <si>
    <t>HRProjects</t>
  </si>
  <si>
    <t>[Projekter]</t>
  </si>
  <si>
    <t>FP_Main1OmkostTableH2</t>
  </si>
  <si>
    <t>FP_Main1OmkostTableH1</t>
  </si>
  <si>
    <t>FP_Main1OmkostTableH3</t>
  </si>
  <si>
    <t>FP_Main1OmkostTableH4</t>
  </si>
  <si>
    <t>FP_Main1OmkostTableH5</t>
  </si>
  <si>
    <t>FP_Main1OmkostTableH6</t>
  </si>
  <si>
    <t>FP_Main1OmkostTableH7</t>
  </si>
  <si>
    <t>FP_Main1OmkostTableH8</t>
  </si>
  <si>
    <t>FP_Main1OmkostTableH9</t>
  </si>
  <si>
    <t>FP_Main1OmkostTableH10</t>
  </si>
  <si>
    <t>FP_Main1OmkostTableH11</t>
  </si>
  <si>
    <t>FP_Main1OmkostTableH12</t>
  </si>
  <si>
    <t>FP_Main1OmkostTableH13</t>
  </si>
  <si>
    <t>FP_Main1OmkostTableH14</t>
  </si>
  <si>
    <t>Omkostningsbaseret økonomi</t>
  </si>
  <si>
    <t>TidsPlan</t>
  </si>
  <si>
    <t>FP_Main1TidsplanTable_1</t>
  </si>
  <si>
    <t>FP_Main1TidsplanTable_H1_1</t>
  </si>
  <si>
    <t>FP_Main1TidsplanTable_C1_1</t>
  </si>
  <si>
    <t>FP_Main1TidsplanTable_C2_1</t>
  </si>
  <si>
    <t>FP_Main1TidsplanTable_C3_1</t>
  </si>
  <si>
    <t>FP_Main1TidsplanTable_C4_1</t>
  </si>
  <si>
    <t>FP_Main1TidsplanTable_C5_1</t>
  </si>
  <si>
    <t>FP_Main1TidsplanTable_C6_1</t>
  </si>
  <si>
    <t>FP_Main1TidsplanTable_C7_1</t>
  </si>
  <si>
    <t>OmkostTable</t>
  </si>
  <si>
    <t>FP_Main1OmkostTable_1</t>
  </si>
  <si>
    <t>FP_Main1OmkostSY</t>
  </si>
  <si>
    <t>OmkostSY</t>
  </si>
  <si>
    <t>FP_Main1OmkostSY_1</t>
  </si>
  <si>
    <t>OmkosEY</t>
  </si>
  <si>
    <t>FP_Main1OmkostEY</t>
  </si>
  <si>
    <t>FP_Main1OmkostEY_1</t>
  </si>
  <si>
    <t>FP_Main1OmkostSYL</t>
  </si>
  <si>
    <t>FP_Main1OmkostSYL_1</t>
  </si>
  <si>
    <t>FP_Main1OmkostEYL</t>
  </si>
  <si>
    <t>FP_Main1OmkostEYL_1</t>
  </si>
  <si>
    <t>FP_UdgiftL1_1</t>
  </si>
  <si>
    <t>Pris- og løntalsniveau</t>
  </si>
  <si>
    <t>BCMTab1G6Btn3</t>
  </si>
  <si>
    <t>Låser arket op./Låser arket</t>
  </si>
  <si>
    <t>Las ark op/Las ark</t>
  </si>
  <si>
    <t>BCM_Table2_R1</t>
  </si>
  <si>
    <t>BCM_Table2_R2</t>
  </si>
  <si>
    <t>BCM_Table2_R3</t>
  </si>
  <si>
    <t>BCM_Table2_R4</t>
  </si>
  <si>
    <t>BCM_Table2_R5</t>
  </si>
  <si>
    <t>BCM_Table2_R6</t>
  </si>
  <si>
    <t>FP_StamdataG1R1</t>
  </si>
  <si>
    <t>FP_StamdataG1R2</t>
  </si>
  <si>
    <t>FP_StamdataG1R3</t>
  </si>
  <si>
    <t>FP_StamdataG2R1</t>
  </si>
  <si>
    <t>FP_StamdataG2R2</t>
  </si>
  <si>
    <t>FP_StamdataG2R3</t>
  </si>
  <si>
    <t>FP_StamdataG2R4</t>
  </si>
  <si>
    <t>FP_StamdataG2R5</t>
  </si>
  <si>
    <t>ProjInProgr</t>
  </si>
  <si>
    <t>GroupHolderCode</t>
  </si>
  <si>
    <t>BCM_HolderH1a</t>
  </si>
  <si>
    <t>BCM_HolderH1b</t>
  </si>
  <si>
    <t>BCM_HolderH1c</t>
  </si>
  <si>
    <t>Økonomiske gevinster</t>
  </si>
  <si>
    <t>Udgifter fordelt på udgiftsbærere</t>
  </si>
  <si>
    <t>BCM_HolderH1d</t>
  </si>
  <si>
    <t>BCM_HolderH1e</t>
  </si>
  <si>
    <t>BCM_HolderH1f</t>
  </si>
  <si>
    <t>BCM_HolderH1g</t>
  </si>
  <si>
    <t>BCM_HolderH1h</t>
  </si>
  <si>
    <t>Tabel 1.19 Udgifter fordelt på udgiftsbærere</t>
  </si>
  <si>
    <t>BCM_subcat8_Holder1</t>
  </si>
  <si>
    <t>BCM_subcat8_Holder2</t>
  </si>
  <si>
    <t>BCM_subcat8_Holder3</t>
  </si>
  <si>
    <t>Andet (aktiver ekskl. personale + øvrig drift)</t>
  </si>
  <si>
    <t>BCM_subcat10_Table1_H2</t>
  </si>
  <si>
    <t>BCM_subcat10_Table1_H3</t>
  </si>
  <si>
    <t>BCM_subcat10_Table1_H4</t>
  </si>
  <si>
    <t>BCM_subcat10_Table1_H5</t>
  </si>
  <si>
    <t>BCM_subcat11_Table1_H2</t>
  </si>
  <si>
    <t>BCM_subcat11_Table1_H3</t>
  </si>
  <si>
    <t>BCM_subcat11_Table1_H4</t>
  </si>
  <si>
    <t>BCM_subcat11_Table1_H5</t>
  </si>
  <si>
    <t>BCM_subcat11_Table1_H6</t>
  </si>
  <si>
    <t>BCM_subcat11_Table1_H7</t>
  </si>
  <si>
    <t>BCM_subcat11_Table1_H8</t>
  </si>
  <si>
    <t>Tabel 1.20 Tidsplan fordelt på faser</t>
  </si>
  <si>
    <t>BCM_subca11_Chart1</t>
  </si>
  <si>
    <t>BCM_subcat13_Table1_H3</t>
  </si>
  <si>
    <t>BCM_subcat13_Table1_H7</t>
  </si>
  <si>
    <t>BCM_subcat13_Table2</t>
  </si>
  <si>
    <t>BCM_subcat13_Table2_R1</t>
  </si>
  <si>
    <t>BCM_subcat13_Table2_R3</t>
  </si>
  <si>
    <t>BCM_subcat13_Table2_R5</t>
  </si>
  <si>
    <t>BCM_subcat13_Table2_R6</t>
  </si>
  <si>
    <t>BCM_subcat13_Table2_R7</t>
  </si>
  <si>
    <t>BCM_subcat14_Holder1</t>
  </si>
  <si>
    <t>BCM_subcat14_Table1_H2</t>
  </si>
  <si>
    <t>BCM_subcat14_Table1_H3</t>
  </si>
  <si>
    <t>BCM_subcat14_Table1_H4</t>
  </si>
  <si>
    <t>BCM_subcat14_Table1_H5</t>
  </si>
  <si>
    <t>BCM_subcat14_Table1_H6</t>
  </si>
  <si>
    <t>BCM_subcat14_Table1_H7</t>
  </si>
  <si>
    <t>BCM_subcat14_Table1_H8</t>
  </si>
  <si>
    <t>BCM_subcat14_Table1_H9</t>
  </si>
  <si>
    <t>BCM_subcat14_Table1_H10</t>
  </si>
  <si>
    <t>BCM_subcat14_Table1_H11</t>
  </si>
  <si>
    <t>BCM_subcat14_Table1_H12</t>
  </si>
  <si>
    <t>BCM_subcat14_Table1_H13</t>
  </si>
  <si>
    <t>BCM_subcat14_Table1_H14</t>
  </si>
  <si>
    <t>BCM_HolderH1i</t>
  </si>
  <si>
    <t>BCM_HolderH13_1</t>
  </si>
  <si>
    <t>BCM_HolderH1j</t>
  </si>
  <si>
    <t>BCM_HolderH1k</t>
  </si>
  <si>
    <t>BCM_subcat16_Table1_R19</t>
  </si>
  <si>
    <t>BCM_subcat16_Table1_R20</t>
  </si>
  <si>
    <t>BCM_subcat16_Table1_R21</t>
  </si>
  <si>
    <t>BCM_subcat16_Table1_R22</t>
  </si>
  <si>
    <t>BCM_subcat16_Table1_R23</t>
  </si>
  <si>
    <t>BCM_subcat16_Table1_R24</t>
  </si>
  <si>
    <t>BCM_subcat16_Table1_R25</t>
  </si>
  <si>
    <t>BCM_subcat16_Table1_R26</t>
  </si>
  <si>
    <t>BCM_subcat16_Table1_R27</t>
  </si>
  <si>
    <t>BCM_subcat16_Table1_R28</t>
  </si>
  <si>
    <t>BCM_subcat16_Table1_R29</t>
  </si>
  <si>
    <t>BCM_subcat16_Table1_R30</t>
  </si>
  <si>
    <t>BCM_subcat16_Table1_R31</t>
  </si>
  <si>
    <t>BCM_subcat16_Table1_R32</t>
  </si>
  <si>
    <t>BCM_subcat16_Table1_R33</t>
  </si>
  <si>
    <t>BCM_subcat16_Table1_R34</t>
  </si>
  <si>
    <t>BCM_subcat16_Table1_R35</t>
  </si>
  <si>
    <t>BCM_subcat16_Table1_R36</t>
  </si>
  <si>
    <t>BCM_subcat16_Table1_R37</t>
  </si>
  <si>
    <t>BCM_subcat16_Table1_R38</t>
  </si>
  <si>
    <t>BCM_subcat16_Table1_R39</t>
  </si>
  <si>
    <t>BCM_subcat16_Table1_R40</t>
  </si>
  <si>
    <t>BCM_subcat16_Table1_R41</t>
  </si>
  <si>
    <t>BCM_subcat16_Table1_R42</t>
  </si>
  <si>
    <t>BCM_subcat16_Table1_R43</t>
  </si>
  <si>
    <t>BCM_subcat16_Table1_R44</t>
  </si>
  <si>
    <t>BCM_subcat16_Table1_R45</t>
  </si>
  <si>
    <t>BCM_subca17_Chart1</t>
  </si>
  <si>
    <t>BCM_HolderH1l</t>
  </si>
  <si>
    <t>BCM_HolderH1m</t>
  </si>
  <si>
    <t>subcat18</t>
  </si>
  <si>
    <t>BCM_subcat18_Table1</t>
  </si>
  <si>
    <t>BCM_subcat18_Table1_H1</t>
  </si>
  <si>
    <t>BCM_subcat18_Table1_R1</t>
  </si>
  <si>
    <t>BCM_subcat18_Table1_R2</t>
  </si>
  <si>
    <t>BCM_subcat18_Table1_R3</t>
  </si>
  <si>
    <t>BCM_subcat18_Table1_R4</t>
  </si>
  <si>
    <t>BCM_subcat18_Table1_R5</t>
  </si>
  <si>
    <t>BCM_subcat18_Table1_R6</t>
  </si>
  <si>
    <t>BCM_subcat18_Table1_R7</t>
  </si>
  <si>
    <t>BCM_subcat18_Table1_R8</t>
  </si>
  <si>
    <t>BCM_subcat18_Table1_R9</t>
  </si>
  <si>
    <t>BCM_subcat18_Table1_R10</t>
  </si>
  <si>
    <t>BCM_subcat18_Table1_R11</t>
  </si>
  <si>
    <t>BCM_subcat18_Table1_R12</t>
  </si>
  <si>
    <t>BCM_subcat18_Table1_R13</t>
  </si>
  <si>
    <t>BCM_subcat18_Table1_R14</t>
  </si>
  <si>
    <t>BCM_subcat18_Table1_R15</t>
  </si>
  <si>
    <t>BCM_subcat18_Table1_R16</t>
  </si>
  <si>
    <t>BCM_subcat18_Table1_R17</t>
  </si>
  <si>
    <t>BCM_subcat18_Table1_R18</t>
  </si>
  <si>
    <t>BCM_subcat18_Table1_R19</t>
  </si>
  <si>
    <t>BCM_subcat18_Table1_R20</t>
  </si>
  <si>
    <t>BCM_subcat18_Table1_R21</t>
  </si>
  <si>
    <t>BCM_subcat18_Table1_R22</t>
  </si>
  <si>
    <t>BCM_subcat18_Table1_R23</t>
  </si>
  <si>
    <t>BCM_subcat18_Table1_R24</t>
  </si>
  <si>
    <t>BCM_subcat18_Table1_R25</t>
  </si>
  <si>
    <t>BCM_subcat18_Table1_R26</t>
  </si>
  <si>
    <t>BCM_subcat18_Table1_R27</t>
  </si>
  <si>
    <t>BCM_subcat18_Table1_R28</t>
  </si>
  <si>
    <t>BCM_subcat18_Table1_R29</t>
  </si>
  <si>
    <t>BCM_subcat18_Table1_R30</t>
  </si>
  <si>
    <t>BCM_subcat18_Table1_R31</t>
  </si>
  <si>
    <t>BCM_subcat18_Table1_R32</t>
  </si>
  <si>
    <t>BCM_subcat18_Table1_R33</t>
  </si>
  <si>
    <t>BCM_subcat18_Table1_R34</t>
  </si>
  <si>
    <t>BCM_subcat18_Table1_R35</t>
  </si>
  <si>
    <t>subcat19</t>
  </si>
  <si>
    <t>BCM_HolderH1n</t>
  </si>
  <si>
    <t>TheEnd</t>
  </si>
  <si>
    <t>BCM_subcat19_Table1</t>
  </si>
  <si>
    <t>BCM_subcat19_Table1_H1</t>
  </si>
  <si>
    <t>BCM_subca19_Chart1</t>
  </si>
  <si>
    <t>BCM_subcat19_Table2</t>
  </si>
  <si>
    <t>BCM_subcat19_Table2_H1</t>
  </si>
  <si>
    <t>BCM_subca19_Chart2</t>
  </si>
  <si>
    <t>BC_Gevinstejer</t>
  </si>
  <si>
    <t>no2</t>
  </si>
  <si>
    <t>no1</t>
  </si>
  <si>
    <t>BC_Risci2</t>
  </si>
  <si>
    <t>BCM_subcat12_Table1_HEnd1</t>
  </si>
  <si>
    <t>BCM_subcat12_Table1_HEnd3</t>
  </si>
  <si>
    <t>BC_GevinstejerEnd</t>
  </si>
  <si>
    <t>BCM_subcat3_Table8_end1</t>
  </si>
  <si>
    <t>BCM_subcat3_Table8_end2</t>
  </si>
  <si>
    <t>BCM_subcat3_Table8_end3</t>
  </si>
  <si>
    <t>BCM_subcat3_Table8_end4</t>
  </si>
  <si>
    <t>BCM_subcat3_Table8_end5</t>
  </si>
  <si>
    <t>BCM_subcat3_Table8_end6</t>
  </si>
  <si>
    <t>BC_Udgifts</t>
  </si>
  <si>
    <t>FP_Udgifts</t>
  </si>
  <si>
    <t>FP_Udgifts_1</t>
  </si>
  <si>
    <t>FP_UdgiftsAdd</t>
  </si>
  <si>
    <t>BCM_subcat3_Table1_end2</t>
  </si>
  <si>
    <t>BCM_subcat3_Table1_end3</t>
  </si>
  <si>
    <t>BCM_subcat3_Table1_end4</t>
  </si>
  <si>
    <t>BCM_subcat3_Table1_end5</t>
  </si>
  <si>
    <t>BCM_subcat3_Table1_end6</t>
  </si>
  <si>
    <t>BC_Projekter</t>
  </si>
  <si>
    <t>[Hovedforudsætninger]</t>
  </si>
  <si>
    <t>Hoveds2</t>
  </si>
  <si>
    <t>BC_Hoveds2</t>
  </si>
  <si>
    <t>BC_Hoveds1</t>
  </si>
  <si>
    <t>Hoveds1</t>
  </si>
  <si>
    <t>BC_Risci2_1</t>
  </si>
  <si>
    <t>BC_Gevinstejer_1</t>
  </si>
  <si>
    <t>BC_Projekter_1</t>
  </si>
  <si>
    <t>BC_Udgifts_1</t>
  </si>
  <si>
    <t>;1;1;1</t>
  </si>
  <si>
    <t>DU SKAL AKTIVERE MAKROER, FØR DU REDIGERER I BC MODELLEN!</t>
  </si>
  <si>
    <t>Når du åbner og lukker Excel, viser/skjuler BC modellen arkets faneblade. De bliver IKKE slettet.</t>
  </si>
  <si>
    <t>Download guide til opsætning af makroer</t>
  </si>
  <si>
    <t>her</t>
  </si>
  <si>
    <t>Vejledninger til brugen af Statens business case model kan findes</t>
  </si>
  <si>
    <t>FP_Main1OmkostTableH1_1</t>
  </si>
  <si>
    <t>FP_Main1OmkostTableH2_1</t>
  </si>
  <si>
    <t>FP_Main1OmkostTableH3_1</t>
  </si>
  <si>
    <t>FP_Main1OmkostTableH4_1</t>
  </si>
  <si>
    <t>FP_Main1OmkostTableH5_1</t>
  </si>
  <si>
    <t>FP_Main1OmkostTableH6_1</t>
  </si>
  <si>
    <t>FP_Main1OmkostTableH7_1</t>
  </si>
  <si>
    <t>FP_Main1OmkostTableH8_1</t>
  </si>
  <si>
    <t>FP_Main1OmkostTableH9_1</t>
  </si>
  <si>
    <t>FP_Main1OmkostTableH10_1</t>
  </si>
  <si>
    <t>FP_Main1OmkostTableH11_1</t>
  </si>
  <si>
    <t>FP_Main1OmkostTableH12_1</t>
  </si>
  <si>
    <t>FP_Main1OmkostTableH13_1</t>
  </si>
  <si>
    <t>FP_Main1OmkostTableH14_1</t>
  </si>
  <si>
    <t>ProgramudgifterHeader3</t>
  </si>
  <si>
    <t xml:space="preserve"> </t>
  </si>
  <si>
    <t>ProjektudgifterHeader3</t>
  </si>
  <si>
    <t>Startside</t>
  </si>
  <si>
    <t>StartsideTitle</t>
  </si>
  <si>
    <t>StartsideBackup</t>
  </si>
  <si>
    <t>Konfiguration</t>
  </si>
  <si>
    <t>KonfigurationStartBtn</t>
  </si>
  <si>
    <t>Forside</t>
  </si>
  <si>
    <t>re2</t>
  </si>
  <si>
    <t>;1;1;1;1;1;1;1;1;1;1</t>
  </si>
  <si>
    <t>;1;1;1;1;1;1;1;1</t>
  </si>
  <si>
    <t>;1;1;1;1;1;1</t>
  </si>
  <si>
    <t>CFG_FinanskontiV_2</t>
  </si>
  <si>
    <t>CFG_FinanskontiL1_2</t>
  </si>
  <si>
    <t>FP_Finanskonti_2</t>
  </si>
  <si>
    <t>FP_FinanskontiL1_2</t>
  </si>
  <si>
    <t>CFG_FinanskontiV_3</t>
  </si>
  <si>
    <t>CFG_FinanskontiL1_3</t>
  </si>
  <si>
    <t>FP_Finanskonti_3</t>
  </si>
  <si>
    <t>FP_FinanskontiL1_3</t>
  </si>
  <si>
    <t>CFG_FinanskontiV_4</t>
  </si>
  <si>
    <t>CFG_FinanskontiL1_4</t>
  </si>
  <si>
    <t>FP_Finanskonti_4</t>
  </si>
  <si>
    <t>FP_FinanskontiL1_4</t>
  </si>
  <si>
    <t>CFG_FinanskontiV_5</t>
  </si>
  <si>
    <t>CFG_FinanskontiL1_5</t>
  </si>
  <si>
    <t>FP_Finanskonti_5</t>
  </si>
  <si>
    <t>FP_FinanskontiL1_5</t>
  </si>
  <si>
    <t>CFG_FinanskontiV_6</t>
  </si>
  <si>
    <t>CFG_FinanskontiL1_6</t>
  </si>
  <si>
    <t>FP_Finanskonti_6</t>
  </si>
  <si>
    <t>FP_FinanskontiL1_6</t>
  </si>
  <si>
    <t>Personaleomkostninger</t>
  </si>
  <si>
    <t>Køb af IT-tjenesteydelser</t>
  </si>
  <si>
    <t>Køb af tjenesteydelser i øvrigt</t>
  </si>
  <si>
    <t>Andre ordinære driftsomkostninger</t>
  </si>
  <si>
    <t>Personaleomkostninger, der kan aktiveres</t>
  </si>
  <si>
    <t>CFG_FinanskontiV_7</t>
  </si>
  <si>
    <t>CFG_FinanskontiL1_7</t>
  </si>
  <si>
    <t>FP_Finanskonti_7</t>
  </si>
  <si>
    <t>FP_FinanskontiL1_7</t>
  </si>
  <si>
    <t>CFG_FinanskontiV_8</t>
  </si>
  <si>
    <t>CFG_FinanskontiL1_8</t>
  </si>
  <si>
    <t>FP_Finanskonti_8</t>
  </si>
  <si>
    <t>FP_FinanskontiL1_8</t>
  </si>
  <si>
    <t>RisciType</t>
  </si>
  <si>
    <t>Forretningsmæssige forhold</t>
  </si>
  <si>
    <t>Projektets tilrettelæggelse</t>
  </si>
  <si>
    <t>Markedsafklaring og teknisk løsning</t>
  </si>
  <si>
    <t>Interessenter</t>
  </si>
  <si>
    <t>Slutbrugere og slutprodukt</t>
  </si>
  <si>
    <t>MasterSheet_rng_RisciType</t>
  </si>
  <si>
    <t>MasterSheet_rng_Sandsynlighed</t>
  </si>
  <si>
    <t>MasterSheet_rng_Konsekvens</t>
  </si>
  <si>
    <t>BCMTab1G6Btn4</t>
  </si>
  <si>
    <t>ProgramudgifterMain3S1_1</t>
  </si>
  <si>
    <t>ProgramudgifterMain3T1_1</t>
  </si>
  <si>
    <t>ProgramudgifterMain3T1H1_1</t>
  </si>
  <si>
    <t>ProgramudgifterMain3T1R1_1</t>
  </si>
  <si>
    <t xml:space="preserve">   Lås ark op          /     Lås ark                </t>
  </si>
  <si>
    <t>FP_Main1PloY</t>
  </si>
  <si>
    <t>PloYRep</t>
  </si>
  <si>
    <t>FP_PloYRepY</t>
  </si>
  <si>
    <t>FP_PloYRepY_1</t>
  </si>
  <si>
    <t>PLOYear</t>
  </si>
  <si>
    <t>PLOYearAdjs</t>
  </si>
  <si>
    <t>MasterSheet_rng_PLOYear</t>
  </si>
  <si>
    <t>MasterSheet_rng_PLOYearAdjs</t>
  </si>
  <si>
    <t>Assumptions</t>
  </si>
  <si>
    <t>Hovedforudsætning uden underforudsætninger</t>
  </si>
  <si>
    <t>Hovedforudsætning med underforudsætninger</t>
  </si>
  <si>
    <t>Underforudsætning (med usikkerhed)</t>
  </si>
  <si>
    <t>Underforudsætning (mellemregning)</t>
  </si>
  <si>
    <t>MasterSheet_rng_Assumptions</t>
  </si>
  <si>
    <t>DistType</t>
  </si>
  <si>
    <t>Ikke usikker</t>
  </si>
  <si>
    <t>Tilfældig</t>
  </si>
  <si>
    <t>Brugerdef. (diskret)</t>
  </si>
  <si>
    <t>MasterSheet_rng_DistType</t>
  </si>
  <si>
    <t>ProjectsFS_Holder</t>
  </si>
  <si>
    <t>BlankList1</t>
  </si>
  <si>
    <t>MasterSheet_f_BlankList1</t>
  </si>
  <si>
    <t>AssumptionsMain</t>
  </si>
  <si>
    <t>AssumptionsSub</t>
  </si>
  <si>
    <t>MasterSheet_rng_AssumptionsMain</t>
  </si>
  <si>
    <t>MasterSheet_rng_AssumptionsSub</t>
  </si>
  <si>
    <t>NPVDiscount</t>
  </si>
  <si>
    <t>MasterSheet_f_NPVDiscount</t>
  </si>
  <si>
    <t>Primær</t>
  </si>
  <si>
    <t>Sekundær</t>
  </si>
  <si>
    <t>MasterSheet_rng_Prioritering</t>
  </si>
  <si>
    <t>Sandsynligheds- model</t>
  </si>
  <si>
    <t>RiskPrimaryPercentage</t>
  </si>
  <si>
    <t>MasterSheet_f_RiskPrimaryPercentage</t>
  </si>
  <si>
    <t>Grundlag for estimat</t>
  </si>
  <si>
    <t>STATENS BUSINESS CASE-MODEL</t>
  </si>
  <si>
    <t>En business case er en beregning af de samlede økonomiske og ikke-økonomiske konsekvenser af en potentiel investering, såsom et projekt eller et program. Den bygger på en analyse og opgørelse af, hvilken forandring man ønsker og hvordan den opnås.
Business casen estimerer således på fremtiden. I statens business case-model gøres dette ved at analysere to fremtidige scenarier og den aktuelle situation. De to fremtidige scenarier beskriver henholdsvis situationen, hvor projektet ikke gennemføres og situationen, hvor projektet gennemføres.
For uddybende forklaringer, se Vejledning til statens business case-model.</t>
  </si>
  <si>
    <t>Estimatet på en forudsætning (en budgetpost) vil ofte være forbundet med en usikkerhed, grundet forskellige risici der potentielt kan indtræffe. I statens business case-model kan forudsætningerne derfor indtastes som en tre-punktsestimering  (worst case, middel-estimat og best case). Herefter kan man indtaste sandsynligheden for hver af de tre estimater, så estimater og sandsynligheder passer med de risici der retter sig mod den givne forudsætning. På baggrund af de indlagte usikkerhedsspænd kan modellen udregne et risikojusteret resultat - enten et vægtet gennemsnit på baggrund af sandsynlighed eller ved Monte Carlo-simulering (for højrisiko-projekter). Det er derfor meget vigtigt at spændet i tre-punktsestimeringen samt sandsynligheder medtager alle risici der er forbundet med den givne forudsætning.
Husk at risici også kan være muligheder for at opnå et resultat for den givne forudsætning der er bedre end middelestimatet. Det risikojusterede beløb kan derfor godt være lavere end middelestimatet.
Du kan læse mere om estimering i metode for statens business case-model: http://www.digst.dk/Styring/Statens-projektmodel/Statens-Business-Casemodel/Dowload-BC</t>
  </si>
  <si>
    <t xml:space="preserve">Løbende brug af business casen </t>
  </si>
  <si>
    <t>Guidet start</t>
  </si>
  <si>
    <t>Rediger</t>
  </si>
  <si>
    <t>Organisering</t>
  </si>
  <si>
    <t>Kontering</t>
  </si>
  <si>
    <t>Gennemførselsfase</t>
  </si>
  <si>
    <t>Driftssituationen med det billigste alternativ til at løse samme opgaver som projektet påvirker</t>
  </si>
  <si>
    <t>Projektudgifter, samt driftssituationen med projektet fra de første gevinster realiseres.</t>
  </si>
  <si>
    <t>debug Mode</t>
  </si>
  <si>
    <t>debugMode</t>
  </si>
  <si>
    <t>MasterSheet_f_debugMode</t>
  </si>
  <si>
    <t>I 0-scenariet vil der kun være driftsudgifter, mens der i 1-scenariet både vil være udgifterne til selve projektet og driftsudgifterne efter projektet er gennemført. Business casen rummer endvidere oplysninger om, hvordan investeringen ser ud hvis det aktulle udgiftsniveau fastholdes og fremskrives horisontalt (før-situationen).</t>
  </si>
  <si>
    <t>BCMTab1G6Btn1</t>
  </si>
  <si>
    <t>FP_Projekter_2</t>
  </si>
  <si>
    <t>FP_ProjekterL1_2</t>
  </si>
  <si>
    <t>ProgramudgifterMain3S1_2</t>
  </si>
  <si>
    <t>ProgramudgifterMain3T1_2</t>
  </si>
  <si>
    <t>ProgramudgifterMain3T1H1_2</t>
  </si>
  <si>
    <t>ProgramudgifterMain3T1R1_2</t>
  </si>
  <si>
    <t>BC_Projekter_2</t>
  </si>
  <si>
    <t>[Projekter 1]</t>
  </si>
  <si>
    <t>Nulstil</t>
  </si>
  <si>
    <t>[Konto]</t>
  </si>
  <si>
    <t>Hvis et projekt af Statens IT-projektråd vurderes at have høj risiko vil de risikojusterede udgifter og gevinster skulle udregnes ved Monte Carlo-simulering i stedet for ved de vægtede gennemsnit som er tilfældet for projekter med normal risiko. Monte Carlo-simulering kan foretages ved brug af programmet @Risk. Alternativt, kan business casen indsendes til ministeriernes projektkontor i Digitaliseringsstyrelsen som vil forestå simuleringen.
Projekter / programmer over 60 mio. kr. vil som udgangspunkt stå til at være med høj risiko, og skal derfor som udgangspunkt Monte carlo-simuleres inden risikovurdering.
Valget kan ændres senerehen.</t>
  </si>
  <si>
    <t>BCM_HRTextHide</t>
  </si>
  <si>
    <t>Udskrift</t>
  </si>
  <si>
    <t>Udskriv alle ark</t>
  </si>
  <si>
    <t>Udskriv business case</t>
  </si>
  <si>
    <t>Initialiser model</t>
  </si>
  <si>
    <t>Genopbyg model</t>
  </si>
  <si>
    <t>Slet alt i model</t>
  </si>
  <si>
    <t>SP_StamdataT1Obs</t>
  </si>
  <si>
    <t>SP_StamdataT1Obs_1</t>
  </si>
  <si>
    <t>SP_StamdataT3Obs</t>
  </si>
  <si>
    <t>SP_StamdataT3Obs_1</t>
  </si>
  <si>
    <t>ikke obligatorisk</t>
  </si>
  <si>
    <t>FP_StamdataT5Obs</t>
  </si>
  <si>
    <t>ikke relevant for programmer</t>
  </si>
  <si>
    <t>SP_StamdataT5Obs</t>
  </si>
  <si>
    <t>BCM_subcat6b_Table1_R3</t>
  </si>
  <si>
    <t>BCM_subcat6b_Table1_R4</t>
  </si>
  <si>
    <t>BCM_subcat6b_Table1_R5</t>
  </si>
  <si>
    <t>BCM_subcat6b_Table1_R6</t>
  </si>
  <si>
    <t>BCM_subcat6b_Table1_R7</t>
  </si>
  <si>
    <t>BCM_subcat6b_Table1_R8</t>
  </si>
  <si>
    <t>BCM_subcat6b_Table1_R10</t>
  </si>
  <si>
    <t>Tabel 1.9: Oversigt over pris på risikotyper, mio. kr.</t>
  </si>
  <si>
    <t>ProjInProgrFP_Holder</t>
  </si>
  <si>
    <t>BCM_Table4_R8</t>
  </si>
  <si>
    <t>BCM_PIPTextHide</t>
  </si>
  <si>
    <t>Ibrugtagning</t>
  </si>
  <si>
    <t>[Startår]</t>
  </si>
  <si>
    <t>[Slutår]</t>
  </si>
  <si>
    <t>FP_OmkostTxt1</t>
  </si>
  <si>
    <t>FP_OmkostTxt2</t>
  </si>
  <si>
    <t>Startår</t>
  </si>
  <si>
    <t>Slutår</t>
  </si>
  <si>
    <t>OmkostIY</t>
  </si>
  <si>
    <t>FP_Main1OmkostIY</t>
  </si>
  <si>
    <t>FP_Main1OmkostIY_1</t>
  </si>
  <si>
    <t>[Ibrugtagningsår]</t>
  </si>
  <si>
    <t>FP_Main1OmkostIYL</t>
  </si>
  <si>
    <t>FP_Main1OmkostIYL_1</t>
  </si>
  <si>
    <t>Ibrugtagningsår</t>
  </si>
  <si>
    <t>FP_OmkostTxt3</t>
  </si>
  <si>
    <t>InsertParam</t>
  </si>
  <si>
    <t>MasterSheet_rng_InsertParam</t>
  </si>
  <si>
    <t>Table Navn</t>
  </si>
  <si>
    <t>Projektudgifter Calculation Sheet</t>
  </si>
  <si>
    <t>ProjektudgifterC</t>
  </si>
  <si>
    <t>ProjektudgifterCHeader</t>
  </si>
  <si>
    <t>RepeaterNested</t>
  </si>
  <si>
    <t>MasterSheet_Repeater_CFG_Finanskonti</t>
  </si>
  <si>
    <t>Fasen</t>
  </si>
  <si>
    <t>MasterSheet_rng_Fasen</t>
  </si>
  <si>
    <t>MasterSheet_Repeater_Udgifts</t>
  </si>
  <si>
    <t>ProjektudgifterCRepeater</t>
  </si>
  <si>
    <t>Estimates</t>
  </si>
  <si>
    <t>MasterSheet_rng_Estimates</t>
  </si>
  <si>
    <t>ProjektudgifterCTable_H1</t>
  </si>
  <si>
    <t>MasterSheet_Repeater_TidsPlan</t>
  </si>
  <si>
    <t>Projektudgifter_f_ProjektudgifterMain2T1_start</t>
  </si>
  <si>
    <t>Calculation</t>
  </si>
  <si>
    <t>ProgramudgifterC</t>
  </si>
  <si>
    <t>ProgramudgifterCHeader</t>
  </si>
  <si>
    <t>ProgramudgifterCTable_H1</t>
  </si>
  <si>
    <t>ProgramudgifterCRepeater</t>
  </si>
  <si>
    <t>MasterSheet_Repeater_Projekter</t>
  </si>
  <si>
    <t>Programudgifter_f_ProgramudgifterMain3T1_1_start</t>
  </si>
  <si>
    <t>Programudgifter Calculation Sheet</t>
  </si>
  <si>
    <t>Risiko</t>
  </si>
  <si>
    <t>Overføres, lavt estimat</t>
  </si>
  <si>
    <t>Overføres, højt estimat</t>
  </si>
  <si>
    <t>MasterSheet_Repeater_Risci</t>
  </si>
  <si>
    <t>RisikoType</t>
  </si>
  <si>
    <t>Risikobeløb worst case P.R.</t>
  </si>
  <si>
    <t>235|181|83</t>
  </si>
  <si>
    <t>217|217|217</t>
  </si>
  <si>
    <t>100|100|100</t>
  </si>
  <si>
    <t>180|180|180</t>
  </si>
  <si>
    <t>150|180|18</t>
  </si>
  <si>
    <t>200|50|50</t>
  </si>
  <si>
    <t>5|137|236</t>
  </si>
  <si>
    <t>253|233|217</t>
  </si>
  <si>
    <t>177|160|199</t>
  </si>
  <si>
    <t>197|217|241</t>
  </si>
  <si>
    <t>255|255|255</t>
  </si>
  <si>
    <t>148|0|39</t>
  </si>
  <si>
    <t>196|215|155</t>
  </si>
  <si>
    <t>255|255|0</t>
  </si>
  <si>
    <t>0|0|0</t>
  </si>
  <si>
    <t>200|200|200</t>
  </si>
  <si>
    <t>16|88|160</t>
  </si>
  <si>
    <t>83|141|213</t>
  </si>
  <si>
    <t>83|121|183</t>
  </si>
  <si>
    <t>150|150|150</t>
  </si>
  <si>
    <t>test</t>
  </si>
  <si>
    <t>Drift - fremtidig uden projektC</t>
  </si>
  <si>
    <t>DriftfremtidigudenprojektCHeader</t>
  </si>
  <si>
    <t>DriftfremtidigudenprojektCTable_H1</t>
  </si>
  <si>
    <t>Drift - fremtidig uden projekt Calculation Sheet</t>
  </si>
  <si>
    <t>DriftfremtidigudenprojektCRepeater</t>
  </si>
  <si>
    <t>IKO</t>
  </si>
  <si>
    <t>OVP</t>
  </si>
  <si>
    <t>OKO</t>
  </si>
  <si>
    <t>Drift - med projektC</t>
  </si>
  <si>
    <t>DriftmedprojektCHeader</t>
  </si>
  <si>
    <t>DriftmedprojektCTable_H1</t>
  </si>
  <si>
    <t>DriftmedprojektCRepeater</t>
  </si>
  <si>
    <t>Drift - med projekt Calculation Sheet</t>
  </si>
  <si>
    <t>OkoName</t>
  </si>
  <si>
    <t>MasterSheet_f_OkoName</t>
  </si>
  <si>
    <t>Driftfremtidigudenprojekt_f_DriftfremtidigudenprojektMain1T1_start</t>
  </si>
  <si>
    <t>Driftmedprojekt_f_DriftmedprojektMain1T1_start</t>
  </si>
  <si>
    <t>Drift - før projektC</t>
  </si>
  <si>
    <t>DriftfprojektCHeader</t>
  </si>
  <si>
    <t>DriftfprojektCTable_H1</t>
  </si>
  <si>
    <t>DriftfprojektCRepeater</t>
  </si>
  <si>
    <t>Driftfrprojekt_f_DriftfprojektMain1T1_start</t>
  </si>
  <si>
    <t>Driftfremtidigudenprojekt_f_DriftfremtidigudenprojektMain2T1_start</t>
  </si>
  <si>
    <t>Driftfremtidigudenprojekt_f_DriftfremtidigudenprojektMain3T1_start</t>
  </si>
  <si>
    <t>Drift - fremtidig uden projektD</t>
  </si>
  <si>
    <t>Drift - fremtidig uden projektE</t>
  </si>
  <si>
    <t>DriftfremtidigudenprojektDHeader</t>
  </si>
  <si>
    <t>DriftfremtidigudenprojektDTable_H1</t>
  </si>
  <si>
    <t>DriftfremtidigudenprojektDRepeater</t>
  </si>
  <si>
    <t>DriftfremtidigudenprojektEHeader</t>
  </si>
  <si>
    <t>DriftfremtidigudenprojektETable_H1</t>
  </si>
  <si>
    <t>DriftfremtidigudenprojektERepeater</t>
  </si>
  <si>
    <t>IkoName</t>
  </si>
  <si>
    <t>MasterSheet_f_IkoName</t>
  </si>
  <si>
    <t>MasterSheet_f_OvpName</t>
  </si>
  <si>
    <t>OvpName</t>
  </si>
  <si>
    <t>Drift - med projektD</t>
  </si>
  <si>
    <t>DriftmedprojektDHeader</t>
  </si>
  <si>
    <t>DriftmedprojektDTable_H1</t>
  </si>
  <si>
    <t>DriftmedprojektDRepeater</t>
  </si>
  <si>
    <t>Drift - med projektE</t>
  </si>
  <si>
    <t>DriftmedprojektEHeader</t>
  </si>
  <si>
    <t>DriftmedprojektETable_H1</t>
  </si>
  <si>
    <t>DriftmedprojektERepeater</t>
  </si>
  <si>
    <t>Driftmedprojekt_f_DriftmedprojektMain2T1_start</t>
  </si>
  <si>
    <t>Driftmedprojekt_f_DriftmedprojektMain3T1_start</t>
  </si>
  <si>
    <t>PL Factor</t>
  </si>
  <si>
    <t>PLOYearAdjsConcat</t>
  </si>
  <si>
    <t>MasterSheet_rng_PLOYearAdjsConcat</t>
  </si>
  <si>
    <t>2012-2013</t>
  </si>
  <si>
    <t>2011-2013</t>
  </si>
  <si>
    <t>2013-2013</t>
  </si>
  <si>
    <t>2011-2014</t>
  </si>
  <si>
    <t>2012-2014</t>
  </si>
  <si>
    <t>2013-2014</t>
  </si>
  <si>
    <t>2014-2014</t>
  </si>
  <si>
    <t>BCM_subcat3_Table1_BL1</t>
  </si>
  <si>
    <t>BCM_subcat3_Table1_end7</t>
  </si>
  <si>
    <t>BCM_subcat3_Table1_BL2</t>
  </si>
  <si>
    <t>BCM_subcat5_Table1_BL1</t>
  </si>
  <si>
    <t>BCM_subcat5_Table1_BL2</t>
  </si>
  <si>
    <t>BCM_subcat8_Table1_BL1</t>
  </si>
  <si>
    <t>BCM_subcat8_Table1_BL2</t>
  </si>
  <si>
    <t>BCM_subcat12_Table1_BL1</t>
  </si>
  <si>
    <t>BCM_subcat12_Table1_BL2</t>
  </si>
  <si>
    <t>BCM_subcat13_Table1_BL1</t>
  </si>
  <si>
    <t>BCM_subcat13_Table1_BL2</t>
  </si>
  <si>
    <t>BCM_subcat13_Table2_BL1</t>
  </si>
  <si>
    <t>BCM_subcat13_Table2_BL2</t>
  </si>
  <si>
    <t>RisikoCat</t>
  </si>
  <si>
    <t>FP_Main1RisciTable_V_2</t>
  </si>
  <si>
    <t>BC_Risci2_2</t>
  </si>
  <si>
    <t>BCM_subcat6a_Table1_BL1</t>
  </si>
  <si>
    <t>BCM_subcat6a_Table1_BL3</t>
  </si>
  <si>
    <t>BCM_subcat6a_Table1_BL2</t>
  </si>
  <si>
    <t>BCM_subcat5_Table1_BL3</t>
  </si>
  <si>
    <t>BCM_subcat13_Table1_BL3</t>
  </si>
  <si>
    <t>zzz</t>
  </si>
  <si>
    <t>Risikobeløb worst case S.R.</t>
  </si>
  <si>
    <t>;1;1;1;1;1;1;1;1;1;1;1;1;1;1;1;1;1;1;1;1;1;1;1;1;1;1;1</t>
  </si>
  <si>
    <t>;1;1;1;1;0;0;0;0;0;0;0;0;0;0;0;0;0;0;0;0;0;0;0;0;0;0;0;0;0;0;1;1;0;0;1;1;0;0;1;1;0;0;1;1;0;0;1;1;0;0;1</t>
  </si>
  <si>
    <t>;1;1;1;1;1;1;1;1;1;1;1;1;1;1;1;1;1;1;1;1;1;1;1;1;1;1;1;1</t>
  </si>
  <si>
    <t>IOKVar</t>
  </si>
  <si>
    <t>FP_Main1IOKVarTable_V</t>
  </si>
  <si>
    <t>FP_Main1IOKVarTable_V_1</t>
  </si>
  <si>
    <t>FP_Main1IOKVarTable_Add</t>
  </si>
  <si>
    <t>FP_Main1IOKVarTable</t>
  </si>
  <si>
    <t>FP_Main1IOKVarTable_H1</t>
  </si>
  <si>
    <t>FP_Main1IOKVar</t>
  </si>
  <si>
    <t>[Navn]</t>
  </si>
  <si>
    <t>;1;1;1;1;1;1;1;1;1;1;1;1;1;1;1;1;1;1;1;1;1;1;1;1;1;1;1;1;1;1;1;1;1;1;1;1;1;1;1;1;1;1;1;1;1;1;1;1;1;1;1</t>
  </si>
  <si>
    <t>;1;1;0;0;1;1;1;1;1;1;1;1;1;0;0;1;1;1;1;1;1;1;1;0;0;1;1;1;1;1;1;1;1;0;0;1;1;1;1;1;1;1;1;1;1;1;1;1;1;1;1;1;1;1;1;1;1;1;1;1;1;1</t>
  </si>
  <si>
    <t>DriftfremtidigudenprojektMain2T1R1_1</t>
  </si>
  <si>
    <t>DriftmedprojektMain2T1R1_1</t>
  </si>
  <si>
    <t>MasterSheet_Repeater_IOKVar</t>
  </si>
  <si>
    <t>[Enhed]</t>
  </si>
  <si>
    <t>BCMTab1G2B2Btn1</t>
  </si>
  <si>
    <t>BCMTab1G2B2Btn2</t>
  </si>
  <si>
    <t>BCMTab1G2B2Btn3</t>
  </si>
  <si>
    <t>Vis nøgletal</t>
  </si>
  <si>
    <t>Vis underforudsætninger</t>
  </si>
  <si>
    <t>Vis underforuds. i gruppe</t>
  </si>
  <si>
    <t>Skjul nøgletal</t>
  </si>
  <si>
    <t>Skjul underforudsætninger</t>
  </si>
  <si>
    <t>Skjul underforuds. i gruppe</t>
  </si>
  <si>
    <t>DrillInto</t>
  </si>
  <si>
    <t>GroupPivotChartActiveFieldAccess</t>
  </si>
  <si>
    <t>RecordsExpandAllSubdatasheets</t>
  </si>
  <si>
    <t>DrillOut</t>
  </si>
  <si>
    <t>OutlineHideDetail</t>
  </si>
  <si>
    <t>RecordsCollapseAllSubdatasheets</t>
  </si>
  <si>
    <t>Viser sektionen Nøgletal i arkene projektudgifter og programudgifter.</t>
  </si>
  <si>
    <t>Viser alle underforudsætninger i arket.</t>
  </si>
  <si>
    <t>Viser alle underforudsætninger i den hovedforudsætningsgruppe, der markeres.</t>
  </si>
  <si>
    <t>Skjuler sektionen Nøgletal i arkene projektudgifter og programudgifter.</t>
  </si>
  <si>
    <t>Skjuler alle underforudsætninger i arket.</t>
  </si>
  <si>
    <t>Skjuler alle underforudsætninger i den hovedforudsætningsgruppe, der markeres.</t>
  </si>
  <si>
    <t>Vis nogletal</t>
  </si>
  <si>
    <t>Vis under-forudsaetninger</t>
  </si>
  <si>
    <t>Vis under-foruds. i gruppe</t>
  </si>
  <si>
    <t>Skjul nogletal</t>
  </si>
  <si>
    <t>Skjul underforudsaetninger</t>
  </si>
  <si>
    <t>FP_Finanskonti_9</t>
  </si>
  <si>
    <t>FP_FinanskontiL1_9</t>
  </si>
  <si>
    <t>Indtægter</t>
  </si>
  <si>
    <t>BCM_IOKVar</t>
  </si>
  <si>
    <t>BCM_IOKVar_1</t>
  </si>
  <si>
    <t>no3</t>
  </si>
  <si>
    <t>ID</t>
  </si>
  <si>
    <t>BC_Hoveds1_1</t>
  </si>
  <si>
    <t>BC_Hoveds2_1</t>
  </si>
  <si>
    <t>BCM_subcat16_Table1_R46</t>
  </si>
  <si>
    <t>Statens business case-model</t>
  </si>
  <si>
    <t>2014-2011</t>
  </si>
  <si>
    <t>2014-2012</t>
  </si>
  <si>
    <t>2014-2013</t>
  </si>
  <si>
    <t>2013-2012</t>
  </si>
  <si>
    <t>2013-2011</t>
  </si>
  <si>
    <t>2011-2012</t>
  </si>
  <si>
    <t>2012-2012</t>
  </si>
  <si>
    <t>2012-2011</t>
  </si>
  <si>
    <t>2011-2011</t>
  </si>
  <si>
    <t>Alle udgifter relateret til selve projektet/programmet inkl. risikopulje, ekskl. renter.</t>
  </si>
  <si>
    <t xml:space="preserve">Nettonutidsværdien er nutidsværdien af de økonomiske nettogevinster uden renter, diskonteret med 4% p/a fra udgangsåret. </t>
  </si>
  <si>
    <t>FinansKontiEdit</t>
  </si>
  <si>
    <t>CFG_FinanskontiV_9</t>
  </si>
  <si>
    <t>CFG_FinanskontiL1_9</t>
  </si>
  <si>
    <t>MasterSheet_rng_FinansKontiEdit</t>
  </si>
  <si>
    <t>;1;1;0;0;1;1;1;1;1;1;1;1;1;1;0;0;1;1;1;1;1;1;1;1;0;0;1;1;1;1;1;1;1;1;0;0;1;1;1;1;1;1;1;1;1;1;1;1;1;1;1;1;1;1;1;1;1;1;1;1;1;1;1;1;1;1</t>
  </si>
  <si>
    <t>;1;1;1;1;1;1;1;1;1;1;1</t>
  </si>
  <si>
    <t>3. Anskaffelse</t>
  </si>
  <si>
    <t>Validering</t>
  </si>
  <si>
    <t>Længde</t>
  </si>
  <si>
    <t>Drift - med projektF</t>
  </si>
  <si>
    <t>DriftmedprojektFHeader</t>
  </si>
  <si>
    <t>DriftmedprojektFTable_H1</t>
  </si>
  <si>
    <t>DriftmedprojektFRepeater</t>
  </si>
  <si>
    <t>Drift - fremtidig uden projektF</t>
  </si>
  <si>
    <t>DriftfremtidigudenprojektFHeader</t>
  </si>
  <si>
    <t>DriftfremtidigudenprojektFTable_H1</t>
  </si>
  <si>
    <t>DriftfremtidigudenprojektFRepeater</t>
  </si>
  <si>
    <t>ProjektudgifterF</t>
  </si>
  <si>
    <t>ProgramudgifterF</t>
  </si>
  <si>
    <t>Drift - før projektF</t>
  </si>
  <si>
    <t>DriftfprojektFHeader</t>
  </si>
  <si>
    <t>DriftfprojektFTable_H1</t>
  </si>
  <si>
    <t>DriftfprojektFRepeater</t>
  </si>
  <si>
    <t>ProjektudgifterFHeader</t>
  </si>
  <si>
    <t>ProjektudgifterFTable_H1</t>
  </si>
  <si>
    <t>ProjektudgifterFRepeater</t>
  </si>
  <si>
    <t>ProgramudgifterFHeader</t>
  </si>
  <si>
    <t>ProgramudgifterFTable_H1</t>
  </si>
  <si>
    <t>ProgramudgifterFRepeater</t>
  </si>
  <si>
    <t>RiskPool</t>
  </si>
  <si>
    <t>Businesscasen_rng_RiskPool</t>
  </si>
  <si>
    <t>HighRiskPool</t>
  </si>
  <si>
    <t>Businesscasen_rng_HighRiskPool</t>
  </si>
  <si>
    <t>Tabel 1.3: Faseopdelte udgifter, mio. kr. (ikke risikojusteret)</t>
  </si>
  <si>
    <t>BCM_subcat18_Table1_R36</t>
  </si>
  <si>
    <t>BCM_subcat18_Table1_R37</t>
  </si>
  <si>
    <t>BCM_subcat18_Table1_R38</t>
  </si>
  <si>
    <t>BCM_subcat18_Table1_R39</t>
  </si>
  <si>
    <t>BCM_subcat18_Table1_R40</t>
  </si>
  <si>
    <t>BCM_subcat18_Table1_R41</t>
  </si>
  <si>
    <t>BCM_subcat18_Table1_R42</t>
  </si>
  <si>
    <t>BCM_subcat18_Table1_R43</t>
  </si>
  <si>
    <t>BCM_subcat18_Table1_R44</t>
  </si>
  <si>
    <t>MasterSheet_Repeater_Hoveds2</t>
  </si>
  <si>
    <t>;1;1;1;1;1;1;1</t>
  </si>
  <si>
    <t>MasterSheet_Repeater_Hoveds1</t>
  </si>
  <si>
    <t>;9,29;11,86;11,86;11,86;11,86;11,86;11,86;11,86;11,86;11,86;11,86;11,86;11,86;11,86;9,29;9,29;9,29;9,29;9,29;9,29;9,29;9,29;9,29;9,29;9,29;9,29;9,29;9,29;9,29;9,29;9,29;9,29;9,29;9,29;9,29;9,29;9,29;9,29;9,29;9,29;9,29;9,29;9,29;9,29;9,29;9,29;9,29;9,29;9,29;9,29;9,29;9,29;9,29;9,29;9,29;9,29;9,29;9,29;9,29;9,29;9,29;9,29;9,29;9,29;9,29;9,29;9,29;9,29;9,29;9,29;9,29;9,29;9,29;9,29;9,29;9,29;9,29;9,29;9,29;9,29;9,29;9,29;9,29;9,29;9,29;9,29;9,29;9,29;9,29;9,29;9,29;9,29;9,29;9,29;9,29;9,29;9,29;9,29;9,29;9,29;9,29;9,29;9,29;9,29;9,29;9,29;9,29;9,29;9,29;9,29;9,29;9,29;9,29;9,29;9,29;9,29;9,29;9,29;9,29;9,29;9,29;9,29;9,29;9,29;9,29;9,29;9,29;9,29;9,29;9,29;9,29;9,29;9,29;9,29;9,29;9,29;9,29;9,29;9,29;9,29;9,29;9,29;9,29;9,29;9,29;9,29;9,29;9,29;9,29;9,29;9,29;9,29;9,29;9,29;9,29;9,29;9,29;9,29;9,29;9,29;9,29;9,29;9,29;9,29;9,29;9,29;9,29;9,29;9,29;9,29;9,29;9,29;9,29;9,29;9,29;9,29;9,29;9,29;9,29;9,29;9,29;9,29;9,29;9,29;9,29;9,29;9,29;9,29;9,29;9,29;9,29;9,29;9,29;9,29;9,29;9,29;9,29;9,29;9,29;9,29</t>
  </si>
  <si>
    <t>;9,29;11,86;11,86;11,86;11,86;11,86;11,86;11,86;11,86;11,86;11,86;11,86;11,86;11,86;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t>
  </si>
  <si>
    <t>;8,43;16,29;42,86;15,71;8,57;20,86;18;34,71;15,71;15,71;15,71;15,71;15,71;15,71;15,71;15,71;15,71;15,57;15;11,14;11,14;11,14;11,14;11,14;11,14;11,14;11,14;11,14;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t>
  </si>
  <si>
    <t>;8,43;16,29;42,86;15,71;8,57;20,86;18;37;15,71;15,71;15,71;15,71;15,71;15,71;15,71;15,71;15,71;15,57;15;11,14;11,14;11,14;11,14;11,14;11,14;11,14;11,14;11,14;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t>
  </si>
  <si>
    <t>;8,43;16,29;42,86;15,71;17,43;20,86;18;15,71;15,71;15,71;15,71;15,71;15,71;15,71;15,71;15,71;15,71;15,57;11,14;11,14;11,14;11,14;11,14;11,14;11,14;11,14;11,14;11,14;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t>
  </si>
  <si>
    <t>;8,43;16,29;9,29;7,29;7,29;7,29;7,29;7,29;16;14,29;14,29;15,14;15,57;15,71;15,71;15,71;15,71;15,57;11,14;11,14;11,14;11,14;11,14;11,14;11,14;11,14;11,14;11,14;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t>
  </si>
  <si>
    <t>;8,43;16,29;42,86;15,71;8,57;20,86;18;37;15,71;15,71;15,71;15,71;15,71;15,71;15,71;15,71;15,71;15,57;11,14;11,14;11,14;11,14;11,14;11,14;11,14;11,14;11,14;11,14;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t>
  </si>
  <si>
    <t>;8,43;15,43;13,57;17,29;17,29;17,29;17,29;17,29;15,71;15,71;15,71;15,71;15,71;15,71;15,71;15,71;15,71;15,57;11,14;11,14;11,14;11,14;11,14;11,14;11,14;11,14;11,14;11,14;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t>
  </si>
  <si>
    <t>;8,43;20,86;22,14;8,43;8,43;8,43;8,43;14,43;14,43;14,43;14,43;14,43;15,71;15,71;15,71;15,71;15,71;15,57;11,14;11,14;11,14;11,14;11,14;11,14;11,14;11,14;11,14;11,14;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t>
  </si>
  <si>
    <t>;8,43;20,86;22,14;8,43;8,43;8,43;8,43;14,43;14,43;14,43;14,43;14,43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t>
  </si>
  <si>
    <t>;8,43;20,86;22,14;8,43;8,43;8,43;8,43;14,43;14,43;14,43;14,43;14,43;8,43;12,43;12,43;12,43;12,43;12,43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t>
  </si>
  <si>
    <t xml:space="preserve">   Opdater BC                        </t>
  </si>
  <si>
    <t>Opdaterer BC arket og skjulte beregningsark.</t>
  </si>
  <si>
    <t>Opdater BC</t>
  </si>
  <si>
    <t>Risikobeløb fra 
projektudgifter</t>
  </si>
  <si>
    <t>Worst case risikobeløb fra projektudgifter</t>
  </si>
  <si>
    <t>MasterSheet_Repeater_Gevinstejer</t>
  </si>
  <si>
    <t>7. Samlet nettogevinst, ekskl. renter (5 - 2)</t>
  </si>
  <si>
    <t>Risikobeløb fra projektudgifter</t>
  </si>
  <si>
    <t>Risikobeløb fra drift - fremtidig uden projekt</t>
  </si>
  <si>
    <t>Risikobeløb fra drift med projekt</t>
  </si>
  <si>
    <t>Nogletal</t>
  </si>
  <si>
    <t>NogletalName</t>
  </si>
  <si>
    <t>MasterSheet_f_NogletalName</t>
  </si>
  <si>
    <t>HiddenSheets</t>
  </si>
  <si>
    <t>MasterSheet_f_HiddenSheets</t>
  </si>
  <si>
    <t>;1;1;0;0;1;1;1;1;0;0;1;1;1;1;0;0;1;1;1;1;0;0;1;1;1;1;0;0;1;1;1;1;0;0;1;1;1;1;0;0;1</t>
  </si>
  <si>
    <t>Lavt estimat (worst case)</t>
  </si>
  <si>
    <t>Højt estimat (best case)</t>
  </si>
  <si>
    <t>BCM_subcat15_Table1_R1</t>
  </si>
  <si>
    <t>BCM_subcat15_Table1_R2</t>
  </si>
  <si>
    <t>BCM_subcat15_Table1_R3</t>
  </si>
  <si>
    <t>BCM_subcat15_Table1_R4</t>
  </si>
  <si>
    <t>BCM_subcat15_Table1_R5</t>
  </si>
  <si>
    <t>BCM_subcat15_Table1_R6</t>
  </si>
  <si>
    <t>BCM_subcat15_Table1_R7</t>
  </si>
  <si>
    <t>BCM_subcat15_Table1_R8</t>
  </si>
  <si>
    <t>BCM_subcat15_Table1_R9</t>
  </si>
  <si>
    <t>Tabel 1.16: Økonomiske nøgletal inklusiv private og virksomheder, mio. kr.</t>
  </si>
  <si>
    <t>Gemmer sikkerhedskopi.</t>
  </si>
  <si>
    <t>;1;1;0;0;0;0;0;0;0;0;0;0;0;0;0;0;0;0;0;0;0;0;0;0;0;0;0;0;0;1;1;1;1;0;0;1;1;1;1;1;1;1;1;1;1;0;0;1;1;1;1;1;1;1;1;0;0;1;1;1;1;1;1;1;1;0;0;1;1;1;1;1;1;1;1;1;1;1;1;1;1;1;1;1;1;1;1;1;1;1;1;1;1;1;1;1;1;1;1;1;1;1;1;1;1;1;1;1;1;0;0;0;0;0;0;1;1;1;1;1;1;1;1;1;1;1;1;1;1;1;1;1;1;1;1;1;1;1;1;1;1;0;0;0;0;0;0;0;0;0;0;0;0;1;0;0;0;0;0;0;0;1;1;1;1;0;0;0;0;0;0;0;0;0;0;0;0;0;0;0;0;0;0;0;0;0;0;0;0;0;0;0;0;0;0;1;1;1;1;1;1;0;0;0;0;0;1</t>
  </si>
  <si>
    <t>;1;1;0;0;0;0;0;0;0;0;0;0;0;0;0;0;0;0;0;0;0;0;0;0;0;0;0;0;0;1;1;1</t>
  </si>
  <si>
    <t>;1;1;0;0;0;0;0;0;0;0;0;0;0;0;0;0;0;0;0;0;0;0;0;0;0;0;0;0;0;0;0;0;1</t>
  </si>
  <si>
    <t>Opsætning</t>
  </si>
  <si>
    <t>* Disse beløb bruges af Statens IT-projektråd til deres halvårlige trafiklysvurderinger af statslige it-projekter</t>
  </si>
  <si>
    <t>Af ovenstående figur ses, at det viste projekt har en positiv gevinst, idet driftsudgifterne i 0-scenariet samlet er større end summen af projekt- og driftsudgifterne i 1-scenariet, men at det skyldes en forventning om et stigende udgiftsniveau, såfremt projektet ikke gennemføres.</t>
  </si>
  <si>
    <t>;2,86;0;60,14;35,57;5,43;19,29;27,29;6,43;24;14,29;11,57;11,57;11,57;8;8;8;12;0;17;17;0;0;0;0;0;0;0;0;0;0;0;0;0;0;0;0;0;0;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t>
  </si>
  <si>
    <t>BCM_subcat7_AtRiskF1</t>
  </si>
  <si>
    <t>BCM_subcat7_AtRiskF2</t>
  </si>
  <si>
    <t>BCM_subcat18_Table1_R45</t>
  </si>
  <si>
    <t>BCM_subcat18_Table1_R46</t>
  </si>
  <si>
    <t>BCM_subcat18_Table1_R47</t>
  </si>
  <si>
    <t>BCM_subcat18_Table1_R48</t>
  </si>
  <si>
    <t>BCM_subcat18_Table1_R49</t>
  </si>
  <si>
    <t>BCM_subcat18_Table1_R50</t>
  </si>
  <si>
    <t>;7,86;52,71;19,43;10,71;10,71;10,71;10,71;10,71;10,71;10,71;10,71;8,71;8,71;8,71;8,71;8,71;8,71;8,71;8,71;7,86;7,86;7,86;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8,43</t>
  </si>
  <si>
    <t>Anskaffelses-fase</t>
  </si>
  <si>
    <t>Realiserings-fase</t>
  </si>
  <si>
    <t>Tabel 1.13 Udgifter fordelt på projekter (ikke risikojusteret)</t>
  </si>
  <si>
    <t>Nettogevinst, inkl. renter</t>
  </si>
  <si>
    <t>Virksomhedsøkonomi m. projekt</t>
  </si>
  <si>
    <t>Virksomhedsøkonomi u. projekt</t>
  </si>
  <si>
    <t>BCM_subcat18_Table1_R51</t>
  </si>
  <si>
    <t>BCM_subcat18_Table1_R52</t>
  </si>
  <si>
    <t>BCM_subcat18_Table1_R53</t>
  </si>
  <si>
    <t>BCM_subcat18_Table1_R54</t>
  </si>
  <si>
    <t>BCM_subcat18_Table1_R55</t>
  </si>
  <si>
    <t>BCM_subcat18_Table1_R56</t>
  </si>
  <si>
    <t>Virksomhedsøkonomi bruttogevinster</t>
  </si>
  <si>
    <t>Virksomhedsøkonomi samlet nettogevinst</t>
  </si>
  <si>
    <t>BCM_subcat18_Table1_R57</t>
  </si>
  <si>
    <t>BCM_subcat18_Table1_R58</t>
  </si>
  <si>
    <t>Gennem-førselsfase</t>
  </si>
  <si>
    <t>Sikkerhedskopi [27-08-2013 13.01.36]</t>
  </si>
  <si>
    <t>[27-08-2013 13.01.36]</t>
  </si>
  <si>
    <t>|Startside|</t>
  </si>
  <si>
    <t>1:2.04.1:</t>
  </si>
  <si>
    <t>TentativeAcceptInvitation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</si>
</sst>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_(* #,##0.00_);_(* \(#,##0.00\);_(* &quot;-&quot;??_);_(@_)"/>
    <numFmt numFmtId="165" formatCode="0.0"/>
    <numFmt numFmtId="166" formatCode="mm/yy"/>
    <numFmt numFmtId="167" formatCode="#,##0.0"/>
    <numFmt numFmtId="168" formatCode="#,##0.0;\-#,##0.0;\-"/>
    <numFmt numFmtId="169" formatCode="#,##0.000"/>
    <numFmt numFmtId="170" formatCode="#,##0.000;\-#,##0.000;\-"/>
    <numFmt numFmtId="171" formatCode="0.0%"/>
    <numFmt numFmtId="172" formatCode="#,##0.0%;\-#,##0.0%;\-"/>
    <numFmt numFmtId="173" formatCode="#,##0%;\-#,##0%;\-"/>
  </numFmts>
  <fonts count="36" x14ac:knownFonts="1">
    <font>
      <sz val="11"/>
      <color theme="1"/>
      <name val="Calibri"/>
      <family val="2"/>
      <scheme val="minor"/>
    </font>
    <font>
      <sz val="11"/>
      <color theme="1"/>
      <name val="Calibri"/>
      <family val="2"/>
      <scheme val="minor"/>
    </font>
    <font>
      <sz val="10"/>
      <name val="Arial"/>
      <family val="2"/>
    </font>
    <font>
      <b/>
      <sz val="12"/>
      <color rgb="FF000000"/>
      <name val="Arial"/>
      <family val="2"/>
    </font>
    <font>
      <sz val="12"/>
      <color rgb="FF000000"/>
      <name val="Arial"/>
      <family val="2"/>
    </font>
    <font>
      <u/>
      <sz val="11"/>
      <color theme="10"/>
      <name val="Calibri"/>
      <family val="2"/>
      <scheme val="minor"/>
    </font>
    <font>
      <b/>
      <sz val="18"/>
      <color rgb="FFFF0000"/>
      <name val="Arial"/>
      <family val="2"/>
    </font>
    <font>
      <sz val="14"/>
      <color theme="1"/>
      <name val="Calibri"/>
      <family val="2"/>
      <scheme val="minor"/>
    </font>
    <font>
      <u/>
      <sz val="14"/>
      <color theme="10"/>
      <name val="Calibri"/>
      <family val="2"/>
      <scheme val="minor"/>
    </font>
    <font>
      <sz val="14"/>
      <color rgb="FF000000"/>
      <name val="Arial"/>
      <family val="2"/>
    </font>
    <font>
      <b/>
      <sz val="8"/>
      <color rgb="FF000000"/>
      <name val="Arial"/>
      <family val="2"/>
    </font>
    <font>
      <b/>
      <sz val="8"/>
      <color indexed="8"/>
      <name val="Arial"/>
      <family val="2"/>
    </font>
    <font>
      <sz val="8"/>
      <color rgb="FF000000"/>
      <name val="Arial"/>
      <family val="2"/>
    </font>
    <font>
      <sz val="10"/>
      <color rgb="FF000000"/>
      <name val="Arial"/>
      <family val="2"/>
    </font>
    <font>
      <b/>
      <sz val="14"/>
      <color rgb="FF000000"/>
      <name val="Arial"/>
      <family val="2"/>
    </font>
    <font>
      <b/>
      <sz val="18"/>
      <color rgb="FF000000"/>
      <name val="Arial"/>
      <family val="2"/>
    </font>
    <font>
      <sz val="11"/>
      <color rgb="FF000000"/>
      <name val="Arial"/>
      <family val="2"/>
    </font>
    <font>
      <b/>
      <sz val="10"/>
      <color rgb="FF000000"/>
      <name val="Arial"/>
      <family val="2"/>
    </font>
    <font>
      <sz val="11"/>
      <color rgb="FF006100"/>
      <name val="Calibri"/>
      <family val="2"/>
      <scheme val="minor"/>
    </font>
    <font>
      <sz val="12"/>
      <color theme="0"/>
      <name val="Arial"/>
      <family val="2"/>
    </font>
    <font>
      <b/>
      <sz val="12"/>
      <color theme="0"/>
      <name val="Arial"/>
      <family val="2"/>
    </font>
    <font>
      <sz val="11"/>
      <color theme="1"/>
      <name val="Arial"/>
      <family val="2"/>
    </font>
    <font>
      <b/>
      <sz val="44"/>
      <color rgb="FF000000"/>
      <name val="Arial"/>
      <family val="2"/>
    </font>
    <font>
      <sz val="8"/>
      <color theme="0"/>
      <name val="Arial"/>
      <family val="2"/>
    </font>
    <font>
      <b/>
      <sz val="14"/>
      <name val="Arial"/>
      <family val="2"/>
    </font>
    <font>
      <sz val="11"/>
      <color rgb="FF9C6500"/>
      <name val="Calibri"/>
      <family val="2"/>
      <scheme val="minor"/>
    </font>
    <font>
      <sz val="11"/>
      <color theme="0"/>
      <name val="Arial"/>
      <family val="2"/>
    </font>
    <font>
      <b/>
      <sz val="11"/>
      <color theme="1"/>
      <name val="Arial"/>
      <family val="2"/>
    </font>
    <font>
      <b/>
      <sz val="12"/>
      <name val="Arial"/>
      <family val="2"/>
    </font>
    <font>
      <sz val="12"/>
      <name val="Arial"/>
      <family val="2"/>
    </font>
    <font>
      <sz val="12"/>
      <color theme="1"/>
      <name val="Arial"/>
      <family val="2"/>
    </font>
    <font>
      <sz val="12"/>
      <color theme="1"/>
      <name val="Calibri"/>
      <family val="2"/>
      <scheme val="minor"/>
    </font>
    <font>
      <sz val="12"/>
      <name val="Calibri"/>
      <family val="2"/>
      <scheme val="minor"/>
    </font>
    <font>
      <b/>
      <sz val="36"/>
      <color theme="1"/>
      <name val="Arial"/>
      <family val="2"/>
    </font>
    <font>
      <sz val="12"/>
      <color rgb="FF000000"/>
      <name val="Calibri"/>
      <family val="2"/>
      <scheme val="minor"/>
    </font>
    <font>
      <b/>
      <sz val="14"/>
      <color theme="0"/>
      <name val="Arial"/>
      <family val="2"/>
    </font>
  </fonts>
  <fills count="36">
    <fill>
      <patternFill patternType="none"/>
    </fill>
    <fill>
      <patternFill patternType="gray125"/>
    </fill>
    <fill>
      <patternFill patternType="solid">
        <fgColor rgb="FFFFFF00"/>
        <bgColor indexed="64"/>
      </patternFill>
    </fill>
    <fill>
      <patternFill patternType="solid">
        <fgColor rgb="FFFFFFFF"/>
        <bgColor indexed="64"/>
      </patternFill>
    </fill>
    <fill>
      <patternFill patternType="solid">
        <fgColor rgb="FFBEBEBE"/>
        <bgColor indexed="64"/>
      </patternFill>
    </fill>
    <fill>
      <patternFill patternType="solid">
        <fgColor rgb="FFAAAAAA"/>
        <bgColor indexed="64"/>
      </patternFill>
    </fill>
    <fill>
      <patternFill patternType="solid">
        <fgColor rgb="FFD2D2D2"/>
        <bgColor indexed="64"/>
      </patternFill>
    </fill>
    <fill>
      <patternFill patternType="solid">
        <fgColor rgb="FF647878"/>
        <bgColor indexed="64"/>
      </patternFill>
    </fill>
    <fill>
      <patternFill patternType="solid">
        <fgColor rgb="FFA0BEBE"/>
        <bgColor indexed="64"/>
      </patternFill>
    </fill>
    <fill>
      <patternFill patternType="solid">
        <fgColor rgb="FF96DC96"/>
        <bgColor indexed="64"/>
      </patternFill>
    </fill>
    <fill>
      <patternFill patternType="solid">
        <fgColor rgb="FF64A0A0"/>
        <bgColor indexed="64"/>
      </patternFill>
    </fill>
    <fill>
      <patternFill patternType="solid">
        <fgColor rgb="FF64C8C8"/>
        <bgColor indexed="64"/>
      </patternFill>
    </fill>
    <fill>
      <patternFill patternType="solid">
        <fgColor rgb="FFF0A0A0"/>
        <bgColor indexed="64"/>
      </patternFill>
    </fill>
    <fill>
      <patternFill patternType="solid">
        <fgColor rgb="FFDCDC50"/>
        <bgColor indexed="64"/>
      </patternFill>
    </fill>
    <fill>
      <patternFill patternType="solid">
        <fgColor rgb="FFE6E6C8"/>
        <bgColor indexed="64"/>
      </patternFill>
    </fill>
    <fill>
      <patternFill patternType="solid">
        <fgColor rgb="FFFAFAC8"/>
        <bgColor indexed="64"/>
      </patternFill>
    </fill>
    <fill>
      <patternFill patternType="solid">
        <fgColor rgb="FF64B4B4"/>
        <bgColor indexed="64"/>
      </patternFill>
    </fill>
    <fill>
      <patternFill patternType="solid">
        <fgColor indexed="9"/>
        <bgColor indexed="64"/>
      </patternFill>
    </fill>
    <fill>
      <patternFill patternType="solid">
        <fgColor theme="0"/>
        <bgColor indexed="64"/>
      </patternFill>
    </fill>
    <fill>
      <patternFill patternType="solid">
        <fgColor rgb="FFFFFF99"/>
        <bgColor indexed="64"/>
      </patternFill>
    </fill>
    <fill>
      <patternFill patternType="solid">
        <fgColor rgb="FFD9D9D9"/>
        <bgColor indexed="64"/>
      </patternFill>
    </fill>
    <fill>
      <patternFill patternType="solid">
        <fgColor rgb="FFF0D9D9"/>
        <bgColor indexed="64"/>
      </patternFill>
    </fill>
    <fill>
      <patternFill patternType="solid">
        <fgColor rgb="FF9696B4"/>
        <bgColor indexed="64"/>
      </patternFill>
    </fill>
    <fill>
      <patternFill patternType="solid">
        <fgColor rgb="FFB4B4F0"/>
        <bgColor indexed="64"/>
      </patternFill>
    </fill>
    <fill>
      <patternFill patternType="solid">
        <fgColor rgb="FFDCDCFA"/>
        <bgColor indexed="64"/>
      </patternFill>
    </fill>
    <fill>
      <patternFill patternType="solid">
        <fgColor rgb="FFC80A0A"/>
        <bgColor indexed="64"/>
      </patternFill>
    </fill>
    <fill>
      <patternFill patternType="solid">
        <fgColor rgb="FFEFD3D2"/>
        <bgColor indexed="64"/>
      </patternFill>
    </fill>
    <fill>
      <patternFill patternType="solid">
        <fgColor rgb="FFEBF1DE"/>
        <bgColor indexed="64"/>
      </patternFill>
    </fill>
    <fill>
      <patternFill patternType="solid">
        <fgColor rgb="FFC5D9F1"/>
        <bgColor indexed="64"/>
      </patternFill>
    </fill>
    <fill>
      <patternFill patternType="solid">
        <fgColor rgb="FFF2F2F2"/>
        <bgColor indexed="64"/>
      </patternFill>
    </fill>
    <fill>
      <patternFill patternType="solid">
        <fgColor indexed="43"/>
        <bgColor indexed="64"/>
      </patternFill>
    </fill>
    <fill>
      <patternFill patternType="solid">
        <fgColor rgb="FF9696FF"/>
        <bgColor indexed="64"/>
      </patternFill>
    </fill>
    <fill>
      <patternFill patternType="solid">
        <fgColor rgb="FFC6EFCE"/>
      </patternFill>
    </fill>
    <fill>
      <patternFill patternType="solid">
        <fgColor rgb="FFFF0000"/>
        <bgColor indexed="64"/>
      </patternFill>
    </fill>
    <fill>
      <patternFill patternType="solid">
        <fgColor rgb="FFFFEB9C"/>
      </patternFill>
    </fill>
    <fill>
      <patternFill patternType="solid">
        <fgColor theme="3" tint="0.39997558519241921"/>
        <bgColor indexed="64"/>
      </patternFill>
    </fill>
  </fills>
  <borders count="61">
    <border>
      <left/>
      <right/>
      <top/>
      <bottom/>
      <diagonal/>
    </border>
    <border>
      <left/>
      <right/>
      <top/>
      <bottom style="thin">
        <color indexed="64"/>
      </bottom>
      <diagonal/>
    </border>
    <border>
      <left style="thin">
        <color indexed="64"/>
      </left>
      <right/>
      <top/>
      <bottom/>
      <diagonal/>
    </border>
    <border>
      <left style="medium">
        <color rgb="FFCF7B79"/>
      </left>
      <right/>
      <top style="medium">
        <color rgb="FFCF7B79"/>
      </top>
      <bottom style="medium">
        <color rgb="FFCF7B79"/>
      </bottom>
      <diagonal/>
    </border>
    <border>
      <left/>
      <right/>
      <top style="medium">
        <color rgb="FFCF7B79"/>
      </top>
      <bottom style="medium">
        <color rgb="FFCF7B79"/>
      </bottom>
      <diagonal/>
    </border>
    <border>
      <left/>
      <right style="medium">
        <color rgb="FFCF7B79"/>
      </right>
      <top style="medium">
        <color rgb="FFCF7B79"/>
      </top>
      <bottom style="medium">
        <color rgb="FFCF7B79"/>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rgb="FF000000"/>
      </left>
      <right/>
      <top/>
      <bottom/>
      <diagonal/>
    </border>
    <border>
      <left/>
      <right/>
      <top style="medium">
        <color rgb="FF000000"/>
      </top>
      <bottom/>
      <diagonal/>
    </border>
    <border>
      <left style="thin">
        <color rgb="FF000000"/>
      </left>
      <right/>
      <top style="medium">
        <color rgb="FF000000"/>
      </top>
      <bottom/>
      <diagonal/>
    </border>
    <border>
      <left style="thin">
        <color rgb="FF000000"/>
      </left>
      <right/>
      <top/>
      <bottom style="thin">
        <color rgb="FF000000"/>
      </bottom>
      <diagonal/>
    </border>
    <border>
      <left/>
      <right/>
      <top/>
      <bottom style="thin">
        <color rgb="FF000000"/>
      </bottom>
      <diagonal/>
    </border>
    <border>
      <left/>
      <right/>
      <top/>
      <bottom style="medium">
        <color rgb="FF000000"/>
      </bottom>
      <diagonal/>
    </border>
    <border>
      <left style="thin">
        <color rgb="FF000000"/>
      </left>
      <right/>
      <top/>
      <bottom style="medium">
        <color rgb="FF000000"/>
      </bottom>
      <diagonal/>
    </border>
    <border>
      <left style="thin">
        <color rgb="FF000000"/>
      </left>
      <right style="thin">
        <color rgb="FF000000"/>
      </right>
      <top/>
      <bottom style="medium">
        <color rgb="FF000000"/>
      </bottom>
      <diagonal/>
    </border>
    <border>
      <left style="thin">
        <color rgb="FF000000"/>
      </left>
      <right/>
      <top style="thin">
        <color rgb="FF000000"/>
      </top>
      <bottom/>
      <diagonal/>
    </border>
    <border>
      <left style="thin">
        <color rgb="FF000000"/>
      </left>
      <right/>
      <top style="thin">
        <color rgb="FF000000"/>
      </top>
      <bottom style="medium">
        <color rgb="FF000000"/>
      </bottom>
      <diagonal/>
    </border>
    <border>
      <left/>
      <right/>
      <top style="thin">
        <color rgb="FF000000"/>
      </top>
      <bottom/>
      <diagonal/>
    </border>
    <border>
      <left/>
      <right/>
      <top style="thin">
        <color rgb="FF000000"/>
      </top>
      <bottom style="medium">
        <color rgb="FF000000"/>
      </bottom>
      <diagonal/>
    </border>
    <border>
      <left/>
      <right/>
      <top style="medium">
        <color rgb="FFCF7B79"/>
      </top>
      <bottom/>
      <diagonal/>
    </border>
    <border>
      <left style="medium">
        <color rgb="FFCF7B79"/>
      </left>
      <right/>
      <top style="medium">
        <color rgb="FFCF7B79"/>
      </top>
      <bottom/>
      <diagonal/>
    </border>
    <border>
      <left/>
      <right style="medium">
        <color rgb="FFCF7B79"/>
      </right>
      <top style="medium">
        <color rgb="FFCF7B79"/>
      </top>
      <bottom/>
      <diagonal/>
    </border>
    <border>
      <left style="thin">
        <color rgb="FF000000"/>
      </left>
      <right style="thin">
        <color rgb="FF000000"/>
      </right>
      <top style="thin">
        <color rgb="FF000000"/>
      </top>
      <bottom style="medium">
        <color rgb="FF000000"/>
      </bottom>
      <diagonal/>
    </border>
    <border>
      <left/>
      <right style="thin">
        <color rgb="FF000000"/>
      </right>
      <top/>
      <bottom/>
      <diagonal/>
    </border>
    <border>
      <left style="thin">
        <color rgb="FF000000"/>
      </left>
      <right/>
      <top style="thin">
        <color indexed="64"/>
      </top>
      <bottom style="medium">
        <color indexed="64"/>
      </bottom>
      <diagonal/>
    </border>
    <border>
      <left/>
      <right style="thin">
        <color rgb="FF000000"/>
      </right>
      <top style="thin">
        <color indexed="64"/>
      </top>
      <bottom style="medium">
        <color indexed="64"/>
      </bottom>
      <diagonal/>
    </border>
    <border>
      <left/>
      <right style="thin">
        <color rgb="FF000000"/>
      </right>
      <top/>
      <bottom style="medium">
        <color rgb="FF000000"/>
      </bottom>
      <diagonal/>
    </border>
    <border>
      <left style="thin">
        <color rgb="FF000000"/>
      </left>
      <right/>
      <top style="thin">
        <color rgb="FF000000"/>
      </top>
      <bottom style="thin">
        <color indexed="64"/>
      </bottom>
      <diagonal/>
    </border>
    <border>
      <left/>
      <right/>
      <top style="thin">
        <color rgb="FF000000"/>
      </top>
      <bottom style="thin">
        <color indexed="64"/>
      </bottom>
      <diagonal/>
    </border>
    <border>
      <left style="thin">
        <color rgb="FF000000"/>
      </left>
      <right style="thin">
        <color rgb="FF000000"/>
      </right>
      <top style="thin">
        <color rgb="FF000000"/>
      </top>
      <bottom style="thin">
        <color indexed="64"/>
      </bottom>
      <diagonal/>
    </border>
    <border>
      <left style="thin">
        <color indexed="64"/>
      </left>
      <right/>
      <top style="medium">
        <color rgb="FF000000"/>
      </top>
      <bottom/>
      <diagonal/>
    </border>
    <border>
      <left/>
      <right style="thin">
        <color rgb="FF000000"/>
      </right>
      <top style="medium">
        <color rgb="FF000000"/>
      </top>
      <bottom/>
      <diagonal/>
    </border>
    <border>
      <left style="thin">
        <color rgb="FF000000"/>
      </left>
      <right style="thin">
        <color rgb="FF000000"/>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bottom style="thin">
        <color rgb="FF000000"/>
      </bottom>
      <diagonal/>
    </border>
    <border>
      <left/>
      <right style="thin">
        <color rgb="FF000000"/>
      </right>
      <top/>
      <bottom style="thin">
        <color rgb="FF000000"/>
      </bottom>
      <diagonal/>
    </border>
    <border>
      <left/>
      <right style="thin">
        <color indexed="64"/>
      </right>
      <top/>
      <bottom style="thin">
        <color rgb="FF000000"/>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bottom/>
      <diagonal/>
    </border>
    <border>
      <left style="thin">
        <color indexed="64"/>
      </left>
      <right style="thin">
        <color rgb="FF000000"/>
      </right>
      <top/>
      <bottom/>
      <diagonal/>
    </border>
    <border>
      <left/>
      <right/>
      <top/>
      <bottom style="medium">
        <color indexed="64"/>
      </bottom>
      <diagonal/>
    </border>
    <border>
      <left style="thin">
        <color rgb="FF000000"/>
      </left>
      <right/>
      <top/>
      <bottom style="medium">
        <color indexed="64"/>
      </bottom>
      <diagonal/>
    </border>
    <border>
      <left style="thin">
        <color rgb="FF000000"/>
      </left>
      <right/>
      <top/>
      <bottom style="thin">
        <color indexed="64"/>
      </bottom>
      <diagonal/>
    </border>
    <border>
      <left style="thin">
        <color rgb="FF000000"/>
      </left>
      <right style="thin">
        <color rgb="FF000000"/>
      </right>
      <top style="medium">
        <color rgb="FF000000"/>
      </top>
      <bottom/>
      <diagonal/>
    </border>
    <border>
      <left style="thin">
        <color rgb="FF000000"/>
      </left>
      <right style="thin">
        <color rgb="FF000000"/>
      </right>
      <top/>
      <bottom/>
      <diagonal/>
    </border>
    <border>
      <left/>
      <right style="thin">
        <color rgb="FF000000"/>
      </right>
      <top style="thin">
        <color rgb="FF000000"/>
      </top>
      <bottom style="medium">
        <color rgb="FF000000"/>
      </bottom>
      <diagonal/>
    </border>
    <border>
      <left/>
      <right style="thin">
        <color rgb="FF000000"/>
      </right>
      <top style="thin">
        <color rgb="FF000000"/>
      </top>
      <bottom/>
      <diagonal/>
    </border>
    <border>
      <left/>
      <right/>
      <top style="thin">
        <color indexed="64"/>
      </top>
      <bottom/>
      <diagonal/>
    </border>
    <border>
      <left/>
      <right style="thin">
        <color rgb="FF000000"/>
      </right>
      <top style="medium">
        <color indexed="64"/>
      </top>
      <bottom/>
      <diagonal/>
    </border>
    <border>
      <left style="thin">
        <color rgb="FF000000"/>
      </left>
      <right style="thin">
        <color rgb="FF000000"/>
      </right>
      <top style="medium">
        <color indexed="64"/>
      </top>
      <bottom/>
      <diagonal/>
    </border>
    <border>
      <left style="thin">
        <color rgb="FF000000"/>
      </left>
      <right style="thin">
        <color rgb="FF000000"/>
      </right>
      <top/>
      <bottom style="thin">
        <color indexed="64"/>
      </bottom>
      <diagonal/>
    </border>
    <border>
      <left/>
      <right style="thin">
        <color rgb="FF000000"/>
      </right>
      <top style="thin">
        <color rgb="FF000000"/>
      </top>
      <bottom style="medium">
        <color indexed="64"/>
      </bottom>
      <diagonal/>
    </border>
    <border>
      <left style="thin">
        <color rgb="FF000000"/>
      </left>
      <right style="thin">
        <color rgb="FF000000"/>
      </right>
      <top/>
      <bottom style="medium">
        <color indexed="64"/>
      </bottom>
      <diagonal/>
    </border>
    <border>
      <left/>
      <right style="thin">
        <color indexed="64"/>
      </right>
      <top/>
      <bottom style="medium">
        <color rgb="FF000000"/>
      </bottom>
      <diagonal/>
    </border>
    <border>
      <left style="thin">
        <color rgb="FF000000"/>
      </left>
      <right/>
      <top style="medium">
        <color indexed="64"/>
      </top>
      <bottom/>
      <diagonal/>
    </border>
    <border>
      <left/>
      <right/>
      <top style="medium">
        <color indexed="64"/>
      </top>
      <bottom/>
      <diagonal/>
    </border>
    <border>
      <left/>
      <right/>
      <top style="medium">
        <color rgb="FF000000"/>
      </top>
      <bottom style="thin">
        <color rgb="FF00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8">
    <xf numFmtId="0" fontId="0" fillId="0" borderId="0"/>
    <xf numFmtId="9" fontId="2" fillId="0" borderId="0" applyFont="0" applyFill="0" applyBorder="0" applyAlignment="0" applyProtection="0"/>
    <xf numFmtId="0" fontId="1" fillId="0" borderId="0"/>
    <xf numFmtId="0" fontId="5" fillId="0" borderId="0" applyNumberFormat="0" applyFill="0" applyBorder="0" applyAlignment="0" applyProtection="0"/>
    <xf numFmtId="0" fontId="18" fillId="32" borderId="0" applyNumberFormat="0" applyBorder="0" applyAlignment="0" applyProtection="0"/>
    <xf numFmtId="164" fontId="1" fillId="0" borderId="0" applyFont="0" applyFill="0" applyBorder="0" applyAlignment="0" applyProtection="0"/>
    <xf numFmtId="0" fontId="25" fillId="34" borderId="0" applyNumberFormat="0" applyBorder="0" applyAlignment="0" applyProtection="0"/>
    <xf numFmtId="9" fontId="1" fillId="0" borderId="0" applyFont="0" applyFill="0" applyBorder="0" applyAlignment="0" applyProtection="0"/>
  </cellStyleXfs>
  <cellXfs count="556">
    <xf numFmtId="0" fontId="0" fillId="0" borderId="0" xfId="0"/>
    <xf numFmtId="0" fontId="0" fillId="0" borderId="1" xfId="0" applyBorder="1" applyAlignment="1">
      <alignment horizontal="left"/>
    </xf>
    <xf numFmtId="0" fontId="6" fillId="17" borderId="0" xfId="0" applyFont="1" applyFill="1" applyAlignment="1">
      <alignment vertical="top"/>
    </xf>
    <xf numFmtId="0" fontId="5" fillId="0" borderId="0" xfId="3"/>
    <xf numFmtId="0" fontId="7" fillId="0" borderId="0" xfId="0" applyFont="1"/>
    <xf numFmtId="0" fontId="8" fillId="0" borderId="0" xfId="3" applyFont="1"/>
    <xf numFmtId="169" fontId="4" fillId="20" borderId="10" xfId="0" applyNumberFormat="1" applyFont="1" applyFill="1" applyBorder="1" applyAlignment="1">
      <alignment horizontal="center" vertical="center"/>
    </xf>
    <xf numFmtId="169" fontId="4" fillId="20" borderId="8" xfId="0" applyNumberFormat="1" applyFont="1" applyFill="1" applyBorder="1" applyAlignment="1">
      <alignment horizontal="center" vertical="center"/>
    </xf>
    <xf numFmtId="0" fontId="4" fillId="20" borderId="8" xfId="0" applyFont="1" applyFill="1" applyBorder="1" applyAlignment="1">
      <alignment horizontal="center" vertical="center"/>
    </xf>
    <xf numFmtId="0" fontId="4" fillId="20" borderId="8" xfId="0" applyFont="1" applyFill="1" applyBorder="1" applyAlignment="1" applyProtection="1">
      <alignment horizontal="center" vertical="center"/>
      <protection hidden="1"/>
    </xf>
    <xf numFmtId="167" fontId="10" fillId="0" borderId="0" xfId="0" applyNumberFormat="1" applyFont="1" applyAlignment="1">
      <alignment horizontal="center" vertical="center" wrapText="1"/>
    </xf>
    <xf numFmtId="0" fontId="10" fillId="0" borderId="0" xfId="0" applyFont="1" applyAlignment="1">
      <alignment horizontal="center" vertical="center" wrapText="1"/>
    </xf>
    <xf numFmtId="0" fontId="12" fillId="0" borderId="0" xfId="0" applyFont="1" applyAlignment="1">
      <alignment horizontal="center" vertical="center" wrapText="1"/>
    </xf>
    <xf numFmtId="167" fontId="12" fillId="0" borderId="0" xfId="0" applyNumberFormat="1" applyFont="1" applyAlignment="1">
      <alignment horizontal="center" vertical="center" wrapText="1"/>
    </xf>
    <xf numFmtId="0" fontId="10" fillId="0" borderId="8" xfId="0" applyFont="1" applyBorder="1" applyAlignment="1">
      <alignment horizontal="center" vertical="center" wrapText="1"/>
    </xf>
    <xf numFmtId="0" fontId="16" fillId="3" borderId="18" xfId="0" applyFont="1" applyFill="1" applyBorder="1" applyAlignment="1">
      <alignment horizontal="left" vertical="center"/>
    </xf>
    <xf numFmtId="0" fontId="16" fillId="3" borderId="0" xfId="0" applyFont="1" applyFill="1" applyAlignment="1">
      <alignment horizontal="left" vertical="center"/>
    </xf>
    <xf numFmtId="0" fontId="15" fillId="3" borderId="0" xfId="0" applyFont="1" applyFill="1" applyAlignment="1">
      <alignment horizontal="left" vertical="center"/>
    </xf>
    <xf numFmtId="0" fontId="3" fillId="3" borderId="9" xfId="0" applyFont="1" applyFill="1" applyBorder="1" applyAlignment="1">
      <alignment horizontal="left" vertical="center"/>
    </xf>
    <xf numFmtId="0" fontId="17" fillId="28" borderId="14" xfId="0" applyFont="1" applyFill="1" applyBorder="1" applyAlignment="1">
      <alignment horizontal="center" vertical="center" wrapText="1"/>
    </xf>
    <xf numFmtId="0" fontId="17" fillId="29" borderId="15" xfId="0" applyFont="1" applyFill="1" applyBorder="1" applyAlignment="1">
      <alignment horizontal="center" vertical="center" wrapText="1"/>
    </xf>
    <xf numFmtId="0" fontId="17" fillId="29" borderId="14" xfId="0" applyFont="1" applyFill="1" applyBorder="1" applyAlignment="1">
      <alignment horizontal="center" vertical="center" wrapText="1"/>
    </xf>
    <xf numFmtId="0" fontId="17" fillId="28" borderId="13" xfId="0" applyFont="1" applyFill="1" applyBorder="1" applyAlignment="1">
      <alignment horizontal="center" vertical="center"/>
    </xf>
    <xf numFmtId="0" fontId="0" fillId="3" borderId="0" xfId="0" applyFill="1"/>
    <xf numFmtId="0" fontId="0" fillId="13" borderId="0" xfId="0" applyFill="1"/>
    <xf numFmtId="0" fontId="0" fillId="9" borderId="0" xfId="0" applyFill="1"/>
    <xf numFmtId="0" fontId="0" fillId="23" borderId="0" xfId="0" applyFill="1"/>
    <xf numFmtId="0" fontId="10" fillId="3" borderId="17" xfId="0" applyFont="1" applyFill="1" applyBorder="1" applyAlignment="1">
      <alignment horizontal="left" vertical="center"/>
    </xf>
    <xf numFmtId="0" fontId="10" fillId="3" borderId="17" xfId="0" applyFont="1" applyFill="1" applyBorder="1" applyAlignment="1">
      <alignment horizontal="center" vertical="center" wrapText="1"/>
    </xf>
    <xf numFmtId="167" fontId="10" fillId="3" borderId="17" xfId="0" applyNumberFormat="1" applyFont="1" applyFill="1" applyBorder="1" applyAlignment="1">
      <alignment horizontal="center" vertical="center" wrapText="1"/>
    </xf>
    <xf numFmtId="9" fontId="10" fillId="3" borderId="17" xfId="0" applyNumberFormat="1" applyFont="1" applyFill="1" applyBorder="1" applyAlignment="1">
      <alignment horizontal="center" vertical="center" wrapText="1"/>
    </xf>
    <xf numFmtId="3" fontId="10" fillId="3" borderId="17" xfId="0" applyNumberFormat="1" applyFont="1" applyFill="1" applyBorder="1" applyAlignment="1">
      <alignment horizontal="center" vertical="center" wrapText="1"/>
    </xf>
    <xf numFmtId="3" fontId="10" fillId="27" borderId="17" xfId="0" applyNumberFormat="1" applyFont="1" applyFill="1" applyBorder="1" applyAlignment="1">
      <alignment horizontal="center" vertical="center" wrapText="1"/>
    </xf>
    <xf numFmtId="167" fontId="10" fillId="27" borderId="17" xfId="0" applyNumberFormat="1" applyFont="1" applyFill="1" applyBorder="1" applyAlignment="1">
      <alignment horizontal="center" vertical="center" wrapText="1"/>
    </xf>
    <xf numFmtId="0" fontId="10" fillId="3" borderId="23" xfId="0" applyFont="1" applyFill="1" applyBorder="1" applyAlignment="1">
      <alignment horizontal="center" vertical="center" wrapText="1"/>
    </xf>
    <xf numFmtId="1" fontId="10" fillId="3" borderId="17" xfId="0" applyNumberFormat="1" applyFont="1" applyFill="1" applyBorder="1" applyAlignment="1">
      <alignment horizontal="center" vertical="center" wrapText="1"/>
    </xf>
    <xf numFmtId="0" fontId="10" fillId="3" borderId="17" xfId="0" applyFont="1" applyFill="1" applyBorder="1" applyAlignment="1">
      <alignment horizontal="left" vertical="center" wrapText="1"/>
    </xf>
    <xf numFmtId="0" fontId="3" fillId="20" borderId="0" xfId="0" applyFont="1" applyFill="1" applyAlignment="1">
      <alignment horizontal="center" vertical="center"/>
    </xf>
    <xf numFmtId="169" fontId="4" fillId="20" borderId="0" xfId="0" applyNumberFormat="1" applyFont="1" applyFill="1" applyAlignment="1">
      <alignment horizontal="center" vertical="center"/>
    </xf>
    <xf numFmtId="0" fontId="4" fillId="20" borderId="0" xfId="0" applyFont="1" applyFill="1" applyAlignment="1">
      <alignment horizontal="center" vertical="center"/>
    </xf>
    <xf numFmtId="167" fontId="10" fillId="3" borderId="23" xfId="0" applyNumberFormat="1" applyFont="1" applyFill="1" applyBorder="1" applyAlignment="1">
      <alignment horizontal="center" vertical="center" wrapText="1"/>
    </xf>
    <xf numFmtId="167" fontId="12" fillId="0" borderId="8" xfId="0" applyNumberFormat="1" applyFont="1" applyBorder="1" applyAlignment="1">
      <alignment horizontal="center" vertical="center" wrapText="1"/>
    </xf>
    <xf numFmtId="167" fontId="10" fillId="0" borderId="8" xfId="0" applyNumberFormat="1" applyFont="1" applyBorder="1" applyAlignment="1">
      <alignment horizontal="center" vertical="center" wrapText="1"/>
    </xf>
    <xf numFmtId="0" fontId="17" fillId="28" borderId="27" xfId="0" applyFont="1" applyFill="1" applyBorder="1" applyAlignment="1">
      <alignment horizontal="center" vertical="center"/>
    </xf>
    <xf numFmtId="0" fontId="12" fillId="3" borderId="28" xfId="0" applyFont="1" applyFill="1" applyBorder="1" applyAlignment="1">
      <alignment horizontal="left" vertical="center"/>
    </xf>
    <xf numFmtId="1" fontId="12" fillId="19" borderId="28" xfId="0" applyNumberFormat="1" applyFont="1" applyFill="1" applyBorder="1" applyAlignment="1" applyProtection="1">
      <alignment horizontal="center" vertical="center"/>
      <protection locked="0"/>
    </xf>
    <xf numFmtId="167" fontId="12" fillId="3" borderId="28" xfId="0" applyNumberFormat="1" applyFont="1" applyFill="1" applyBorder="1" applyAlignment="1">
      <alignment horizontal="center" vertical="center"/>
    </xf>
    <xf numFmtId="167" fontId="12" fillId="3" borderId="30" xfId="0" applyNumberFormat="1" applyFont="1" applyFill="1" applyBorder="1" applyAlignment="1">
      <alignment horizontal="center" vertical="center"/>
    </xf>
    <xf numFmtId="0" fontId="12" fillId="19" borderId="28" xfId="0" applyFont="1" applyFill="1" applyBorder="1" applyAlignment="1" applyProtection="1">
      <alignment horizontal="left" vertical="center" wrapText="1"/>
      <protection locked="0"/>
    </xf>
    <xf numFmtId="1" fontId="12" fillId="19" borderId="28" xfId="0" applyNumberFormat="1" applyFont="1" applyFill="1" applyBorder="1" applyAlignment="1" applyProtection="1">
      <alignment horizontal="left" vertical="center" wrapText="1"/>
      <protection locked="0"/>
    </xf>
    <xf numFmtId="1" fontId="12" fillId="19" borderId="28" xfId="0" applyNumberFormat="1" applyFont="1" applyFill="1" applyBorder="1" applyAlignment="1" applyProtection="1">
      <alignment horizontal="center" vertical="center" wrapText="1"/>
      <protection locked="0"/>
    </xf>
    <xf numFmtId="3" fontId="12" fillId="3" borderId="28" xfId="0" applyNumberFormat="1" applyFont="1" applyFill="1" applyBorder="1" applyAlignment="1">
      <alignment horizontal="center" vertical="center"/>
    </xf>
    <xf numFmtId="0" fontId="12" fillId="3" borderId="28" xfId="0" applyFont="1" applyFill="1" applyBorder="1" applyAlignment="1">
      <alignment horizontal="center" vertical="center"/>
    </xf>
    <xf numFmtId="9" fontId="12" fillId="17" borderId="28" xfId="0" applyNumberFormat="1" applyFont="1" applyFill="1" applyBorder="1" applyAlignment="1">
      <alignment horizontal="center" vertical="center" wrapText="1"/>
    </xf>
    <xf numFmtId="167" fontId="12" fillId="17" borderId="28" xfId="0" applyNumberFormat="1" applyFont="1" applyFill="1" applyBorder="1" applyAlignment="1">
      <alignment horizontal="center" vertical="center" wrapText="1"/>
    </xf>
    <xf numFmtId="167" fontId="12" fillId="30" borderId="28" xfId="0" applyNumberFormat="1" applyFont="1" applyFill="1" applyBorder="1" applyAlignment="1" applyProtection="1">
      <alignment horizontal="center" vertical="center" wrapText="1"/>
      <protection locked="0"/>
    </xf>
    <xf numFmtId="167" fontId="12" fillId="18" borderId="28" xfId="0" applyNumberFormat="1" applyFont="1" applyFill="1" applyBorder="1" applyAlignment="1">
      <alignment horizontal="center" vertical="center"/>
    </xf>
    <xf numFmtId="167" fontId="12" fillId="18" borderId="30" xfId="0" applyNumberFormat="1" applyFont="1" applyFill="1" applyBorder="1" applyAlignment="1">
      <alignment horizontal="center" vertical="center"/>
    </xf>
    <xf numFmtId="1" fontId="12" fillId="18" borderId="28" xfId="0" applyNumberFormat="1" applyFont="1" applyFill="1" applyBorder="1" applyAlignment="1">
      <alignment horizontal="left" vertical="center" wrapText="1"/>
    </xf>
    <xf numFmtId="0" fontId="10" fillId="3" borderId="25" xfId="0" applyFont="1" applyFill="1" applyBorder="1" applyAlignment="1">
      <alignment horizontal="left" vertical="center"/>
    </xf>
    <xf numFmtId="0" fontId="10" fillId="3" borderId="25" xfId="0" applyFont="1" applyFill="1" applyBorder="1" applyAlignment="1">
      <alignment horizontal="center" vertical="center" wrapText="1"/>
    </xf>
    <xf numFmtId="167" fontId="10" fillId="3" borderId="25" xfId="0" applyNumberFormat="1" applyFont="1" applyFill="1" applyBorder="1" applyAlignment="1">
      <alignment horizontal="center" vertical="center" wrapText="1"/>
    </xf>
    <xf numFmtId="9" fontId="10" fillId="3" borderId="25" xfId="0" applyNumberFormat="1" applyFont="1" applyFill="1" applyBorder="1" applyAlignment="1">
      <alignment horizontal="center" vertical="center" wrapText="1"/>
    </xf>
    <xf numFmtId="167" fontId="10" fillId="3" borderId="33" xfId="0" applyNumberFormat="1" applyFont="1" applyFill="1" applyBorder="1" applyAlignment="1">
      <alignment horizontal="center" vertical="center" wrapText="1"/>
    </xf>
    <xf numFmtId="3" fontId="10" fillId="3" borderId="25" xfId="0" applyNumberFormat="1" applyFont="1" applyFill="1" applyBorder="1" applyAlignment="1">
      <alignment horizontal="center" vertical="center" wrapText="1"/>
    </xf>
    <xf numFmtId="3" fontId="10" fillId="27" borderId="25" xfId="0" applyNumberFormat="1" applyFont="1" applyFill="1" applyBorder="1" applyAlignment="1">
      <alignment horizontal="center" vertical="center" wrapText="1"/>
    </xf>
    <xf numFmtId="167" fontId="10" fillId="27" borderId="25" xfId="0" applyNumberFormat="1" applyFont="1" applyFill="1" applyBorder="1" applyAlignment="1">
      <alignment horizontal="center" vertical="center" wrapText="1"/>
    </xf>
    <xf numFmtId="167" fontId="10" fillId="27" borderId="33" xfId="0" applyNumberFormat="1" applyFont="1" applyFill="1" applyBorder="1" applyAlignment="1">
      <alignment horizontal="center" vertical="center" wrapText="1"/>
    </xf>
    <xf numFmtId="0" fontId="10" fillId="3" borderId="33" xfId="0" applyFont="1" applyFill="1" applyBorder="1" applyAlignment="1">
      <alignment horizontal="center" vertical="center" wrapText="1"/>
    </xf>
    <xf numFmtId="3" fontId="12" fillId="3" borderId="34" xfId="0" applyNumberFormat="1" applyFont="1" applyFill="1" applyBorder="1" applyAlignment="1">
      <alignment horizontal="center" vertical="center"/>
    </xf>
    <xf numFmtId="167" fontId="12" fillId="3" borderId="34" xfId="0" applyNumberFormat="1" applyFont="1" applyFill="1" applyBorder="1" applyAlignment="1">
      <alignment horizontal="center" vertical="center"/>
    </xf>
    <xf numFmtId="0" fontId="12" fillId="3" borderId="34" xfId="0" applyFont="1" applyFill="1" applyBorder="1" applyAlignment="1">
      <alignment horizontal="left" vertical="center"/>
    </xf>
    <xf numFmtId="1" fontId="12" fillId="19" borderId="34" xfId="0" applyNumberFormat="1" applyFont="1" applyFill="1" applyBorder="1" applyAlignment="1" applyProtection="1">
      <alignment horizontal="center" vertical="center"/>
      <protection locked="0"/>
    </xf>
    <xf numFmtId="0" fontId="12" fillId="18" borderId="28" xfId="0" applyFont="1" applyFill="1" applyBorder="1" applyAlignment="1">
      <alignment horizontal="left" vertical="center" wrapText="1"/>
    </xf>
    <xf numFmtId="0" fontId="12" fillId="18" borderId="28" xfId="0" applyFont="1" applyFill="1" applyBorder="1" applyAlignment="1">
      <alignment horizontal="center" vertical="center" wrapText="1"/>
    </xf>
    <xf numFmtId="0" fontId="12" fillId="19" borderId="29" xfId="0" applyFont="1" applyFill="1" applyBorder="1" applyAlignment="1" applyProtection="1">
      <alignment horizontal="left" vertical="center" wrapText="1"/>
      <protection locked="0"/>
    </xf>
    <xf numFmtId="0" fontId="4" fillId="18" borderId="0" xfId="0" applyFont="1" applyFill="1" applyAlignment="1">
      <alignment horizontal="left" vertical="center"/>
    </xf>
    <xf numFmtId="0" fontId="4" fillId="18" borderId="18" xfId="0" applyFont="1" applyFill="1" applyBorder="1" applyAlignment="1">
      <alignment horizontal="left" vertical="center"/>
    </xf>
    <xf numFmtId="0" fontId="3" fillId="18" borderId="12" xfId="0" applyFont="1" applyFill="1" applyBorder="1" applyAlignment="1">
      <alignment horizontal="left" vertical="center"/>
    </xf>
    <xf numFmtId="0" fontId="19" fillId="18" borderId="0" xfId="0" applyFont="1" applyFill="1" applyAlignment="1">
      <alignment horizontal="left" vertical="center"/>
    </xf>
    <xf numFmtId="0" fontId="20" fillId="18" borderId="0" xfId="0" applyFont="1" applyFill="1" applyAlignment="1">
      <alignment horizontal="left" vertical="center"/>
    </xf>
    <xf numFmtId="0" fontId="21" fillId="20" borderId="0" xfId="0" applyFont="1" applyFill="1"/>
    <xf numFmtId="0" fontId="22" fillId="0" borderId="0" xfId="0" applyFont="1" applyAlignment="1">
      <alignment horizontal="left" vertical="top"/>
    </xf>
    <xf numFmtId="0" fontId="3" fillId="0" borderId="0" xfId="0" applyFont="1" applyAlignment="1">
      <alignment horizontal="left" vertical="center"/>
    </xf>
    <xf numFmtId="0" fontId="25" fillId="34" borderId="0" xfId="6" applyAlignment="1"/>
    <xf numFmtId="0" fontId="4" fillId="20" borderId="11" xfId="0" applyFont="1" applyFill="1" applyBorder="1" applyAlignment="1" applyProtection="1">
      <alignment horizontal="center" vertical="center"/>
      <protection hidden="1"/>
    </xf>
    <xf numFmtId="0" fontId="3" fillId="20" borderId="8" xfId="0" applyFont="1" applyFill="1" applyBorder="1" applyAlignment="1">
      <alignment horizontal="center" vertical="center"/>
    </xf>
    <xf numFmtId="0" fontId="10" fillId="3" borderId="25" xfId="0" applyFont="1" applyFill="1" applyBorder="1" applyAlignment="1">
      <alignment horizontal="left" vertical="center" wrapText="1"/>
    </xf>
    <xf numFmtId="0" fontId="12" fillId="19" borderId="28" xfId="0" applyFont="1" applyFill="1" applyBorder="1" applyAlignment="1" applyProtection="1">
      <alignment vertical="center" wrapText="1"/>
      <protection locked="0"/>
    </xf>
    <xf numFmtId="1" fontId="10" fillId="3" borderId="25" xfId="0" applyNumberFormat="1" applyFont="1" applyFill="1" applyBorder="1" applyAlignment="1">
      <alignment horizontal="center" vertical="center" wrapText="1"/>
    </xf>
    <xf numFmtId="0" fontId="12" fillId="19" borderId="28" xfId="0" applyFont="1" applyFill="1" applyBorder="1" applyAlignment="1" applyProtection="1">
      <alignment horizontal="center" vertical="center" wrapText="1"/>
      <protection locked="0"/>
    </xf>
    <xf numFmtId="0" fontId="3" fillId="3" borderId="18" xfId="0" applyFont="1" applyFill="1" applyBorder="1" applyAlignment="1">
      <alignment horizontal="left" vertical="center"/>
    </xf>
    <xf numFmtId="0" fontId="14" fillId="0" borderId="0" xfId="0" applyFont="1" applyAlignment="1">
      <alignment horizontal="left" vertical="center"/>
    </xf>
    <xf numFmtId="0" fontId="21" fillId="0" borderId="0" xfId="0" applyFont="1"/>
    <xf numFmtId="0" fontId="21" fillId="4" borderId="0" xfId="0" applyFont="1" applyFill="1"/>
    <xf numFmtId="0" fontId="21" fillId="5" borderId="0" xfId="0" applyFont="1" applyFill="1"/>
    <xf numFmtId="0" fontId="21" fillId="6" borderId="0" xfId="0" applyFont="1" applyFill="1"/>
    <xf numFmtId="0" fontId="21" fillId="33" borderId="0" xfId="0" applyFont="1" applyFill="1"/>
    <xf numFmtId="0" fontId="21" fillId="3" borderId="0" xfId="0" applyFont="1" applyFill="1"/>
    <xf numFmtId="0" fontId="21" fillId="13" borderId="0" xfId="0" applyFont="1" applyFill="1"/>
    <xf numFmtId="0" fontId="21" fillId="9" borderId="0" xfId="0" applyFont="1" applyFill="1"/>
    <xf numFmtId="0" fontId="21" fillId="14" borderId="0" xfId="0" applyFont="1" applyFill="1"/>
    <xf numFmtId="0" fontId="21" fillId="15" borderId="0" xfId="0" applyFont="1" applyFill="1"/>
    <xf numFmtId="0" fontId="21" fillId="12" borderId="0" xfId="0" applyFont="1" applyFill="1"/>
    <xf numFmtId="0" fontId="21" fillId="10" borderId="0" xfId="0" applyFont="1" applyFill="1"/>
    <xf numFmtId="0" fontId="21" fillId="11" borderId="0" xfId="0" applyFont="1" applyFill="1"/>
    <xf numFmtId="0" fontId="21" fillId="7" borderId="0" xfId="0" applyFont="1" applyFill="1"/>
    <xf numFmtId="0" fontId="21" fillId="31" borderId="0" xfId="0" applyFont="1" applyFill="1"/>
    <xf numFmtId="0" fontId="21" fillId="25" borderId="0" xfId="0" applyFont="1" applyFill="1"/>
    <xf numFmtId="0" fontId="21" fillId="24" borderId="0" xfId="0" applyFont="1" applyFill="1"/>
    <xf numFmtId="0" fontId="21" fillId="8" borderId="0" xfId="0" applyFont="1" applyFill="1"/>
    <xf numFmtId="0" fontId="21" fillId="2" borderId="0" xfId="0" applyFont="1" applyFill="1"/>
    <xf numFmtId="0" fontId="21" fillId="22" borderId="0" xfId="0" applyFont="1" applyFill="1"/>
    <xf numFmtId="0" fontId="21" fillId="23" borderId="0" xfId="0" applyFont="1" applyFill="1"/>
    <xf numFmtId="0" fontId="21" fillId="16" borderId="0" xfId="0" applyFont="1" applyFill="1"/>
    <xf numFmtId="0" fontId="21" fillId="20" borderId="0" xfId="0" applyFont="1" applyFill="1" applyProtection="1">
      <protection hidden="1"/>
    </xf>
    <xf numFmtId="14" fontId="21" fillId="0" borderId="0" xfId="0" applyNumberFormat="1" applyFont="1"/>
    <xf numFmtId="0" fontId="16" fillId="0" borderId="8" xfId="0" applyFont="1" applyBorder="1"/>
    <xf numFmtId="0" fontId="16" fillId="0" borderId="0" xfId="0" applyFont="1"/>
    <xf numFmtId="0" fontId="16" fillId="0" borderId="8" xfId="0" applyFont="1" applyBorder="1" applyAlignment="1">
      <alignment horizontal="center" vertical="center" wrapText="1"/>
    </xf>
    <xf numFmtId="0" fontId="16" fillId="0" borderId="0" xfId="0" applyFont="1" applyAlignment="1">
      <alignment horizontal="center" vertical="center" wrapText="1"/>
    </xf>
    <xf numFmtId="0" fontId="16" fillId="0" borderId="8" xfId="0" applyFont="1" applyBorder="1" applyAlignment="1">
      <alignment vertical="center" wrapText="1"/>
    </xf>
    <xf numFmtId="0" fontId="16" fillId="0" borderId="0" xfId="0" applyFont="1" applyAlignment="1">
      <alignment vertical="center" wrapText="1"/>
    </xf>
    <xf numFmtId="0" fontId="16" fillId="0" borderId="0" xfId="0" applyFont="1" applyAlignment="1">
      <alignment wrapText="1"/>
    </xf>
    <xf numFmtId="0" fontId="16" fillId="0" borderId="0" xfId="0" applyFont="1" applyAlignment="1">
      <alignment vertical="center"/>
    </xf>
    <xf numFmtId="0" fontId="16" fillId="3" borderId="12" xfId="0" applyFont="1" applyFill="1" applyBorder="1" applyAlignment="1">
      <alignment vertical="center"/>
    </xf>
    <xf numFmtId="0" fontId="16" fillId="3" borderId="0" xfId="0" applyFont="1" applyFill="1" applyAlignment="1">
      <alignment vertical="center"/>
    </xf>
    <xf numFmtId="0" fontId="16" fillId="3" borderId="18" xfId="0" applyFont="1" applyFill="1" applyBorder="1"/>
    <xf numFmtId="0" fontId="21" fillId="21" borderId="0" xfId="0" applyFont="1" applyFill="1"/>
    <xf numFmtId="0" fontId="27" fillId="23" borderId="0" xfId="0" applyFont="1" applyFill="1"/>
    <xf numFmtId="47" fontId="21" fillId="0" borderId="0" xfId="0" applyNumberFormat="1" applyFont="1"/>
    <xf numFmtId="0" fontId="3" fillId="3" borderId="0" xfId="0" applyFont="1" applyFill="1" applyAlignment="1">
      <alignment horizontal="left" vertical="center"/>
    </xf>
    <xf numFmtId="0" fontId="29" fillId="3" borderId="0" xfId="0" applyFont="1" applyFill="1" applyAlignment="1">
      <alignment horizontal="left" vertical="center"/>
    </xf>
    <xf numFmtId="0" fontId="29" fillId="18" borderId="0" xfId="0" applyFont="1" applyFill="1" applyAlignment="1">
      <alignment horizontal="left" vertical="center"/>
    </xf>
    <xf numFmtId="0" fontId="29" fillId="18" borderId="18" xfId="0" applyFont="1" applyFill="1" applyBorder="1" applyAlignment="1">
      <alignment horizontal="left" vertical="center"/>
    </xf>
    <xf numFmtId="0" fontId="28" fillId="18" borderId="12" xfId="0" applyFont="1" applyFill="1" applyBorder="1" applyAlignment="1">
      <alignment horizontal="left" vertical="center"/>
    </xf>
    <xf numFmtId="165" fontId="28" fillId="3" borderId="8" xfId="0" applyNumberFormat="1" applyFont="1" applyFill="1" applyBorder="1" applyAlignment="1">
      <alignment horizontal="center" vertical="center"/>
    </xf>
    <xf numFmtId="2" fontId="29" fillId="3" borderId="0" xfId="0" applyNumberFormat="1" applyFont="1" applyFill="1" applyAlignment="1">
      <alignment horizontal="left" vertical="center"/>
    </xf>
    <xf numFmtId="0" fontId="21" fillId="0" borderId="0" xfId="0" applyFont="1" applyAlignment="1">
      <alignment horizontal="left"/>
    </xf>
    <xf numFmtId="0" fontId="4" fillId="3" borderId="0" xfId="0" applyFont="1" applyFill="1" applyAlignment="1">
      <alignment horizontal="left" vertical="center"/>
    </xf>
    <xf numFmtId="0" fontId="4" fillId="3" borderId="9" xfId="0" applyFont="1" applyFill="1" applyBorder="1" applyAlignment="1">
      <alignment horizontal="left" vertical="center"/>
    </xf>
    <xf numFmtId="0" fontId="29" fillId="3" borderId="9" xfId="0" applyFont="1" applyFill="1" applyBorder="1" applyAlignment="1">
      <alignment horizontal="left" vertical="center"/>
    </xf>
    <xf numFmtId="0" fontId="28" fillId="3" borderId="8" xfId="0" applyFont="1" applyFill="1" applyBorder="1" applyAlignment="1">
      <alignment horizontal="center" vertical="center"/>
    </xf>
    <xf numFmtId="0" fontId="28" fillId="3" borderId="14" xfId="0" applyFont="1" applyFill="1" applyBorder="1" applyAlignment="1">
      <alignment vertical="center"/>
    </xf>
    <xf numFmtId="2" fontId="29" fillId="3" borderId="9" xfId="0" applyNumberFormat="1" applyFont="1" applyFill="1" applyBorder="1" applyAlignment="1">
      <alignment horizontal="left" vertical="center"/>
    </xf>
    <xf numFmtId="2" fontId="28" fillId="3" borderId="19" xfId="0" applyNumberFormat="1" applyFont="1" applyFill="1" applyBorder="1" applyAlignment="1">
      <alignment horizontal="left" vertical="center"/>
    </xf>
    <xf numFmtId="0" fontId="29" fillId="3" borderId="9" xfId="0" applyFont="1" applyFill="1" applyBorder="1" applyAlignment="1">
      <alignment vertical="center"/>
    </xf>
    <xf numFmtId="0" fontId="29" fillId="3" borderId="0" xfId="0" applyFont="1" applyFill="1" applyAlignment="1">
      <alignment vertical="center"/>
    </xf>
    <xf numFmtId="0" fontId="30" fillId="0" borderId="0" xfId="0" applyFont="1"/>
    <xf numFmtId="0" fontId="29" fillId="0" borderId="0" xfId="0" applyFont="1"/>
    <xf numFmtId="0" fontId="29" fillId="18" borderId="0" xfId="0" applyFont="1" applyFill="1"/>
    <xf numFmtId="0" fontId="28" fillId="3" borderId="17" xfId="0" applyFont="1" applyFill="1" applyBorder="1" applyAlignment="1">
      <alignment horizontal="center" vertical="center"/>
    </xf>
    <xf numFmtId="0" fontId="29" fillId="3" borderId="8" xfId="0" applyFont="1" applyFill="1" applyBorder="1" applyAlignment="1">
      <alignment vertical="center" wrapText="1"/>
    </xf>
    <xf numFmtId="2" fontId="28" fillId="3" borderId="18" xfId="0" applyNumberFormat="1" applyFont="1" applyFill="1" applyBorder="1" applyAlignment="1">
      <alignment horizontal="left" vertical="center"/>
    </xf>
    <xf numFmtId="0" fontId="28" fillId="3" borderId="15" xfId="0" applyFont="1" applyFill="1" applyBorder="1" applyAlignment="1">
      <alignment horizontal="center" vertical="center"/>
    </xf>
    <xf numFmtId="0" fontId="28" fillId="3" borderId="14" xfId="0" applyFont="1" applyFill="1" applyBorder="1" applyAlignment="1">
      <alignment horizontal="center" vertical="center"/>
    </xf>
    <xf numFmtId="165" fontId="28" fillId="3" borderId="10" xfId="0" applyNumberFormat="1" applyFont="1" applyFill="1" applyBorder="1" applyAlignment="1">
      <alignment horizontal="center" vertical="center"/>
    </xf>
    <xf numFmtId="167" fontId="29" fillId="3" borderId="10" xfId="0" applyNumberFormat="1" applyFont="1" applyFill="1" applyBorder="1" applyAlignment="1">
      <alignment horizontal="center" vertical="center"/>
    </xf>
    <xf numFmtId="167" fontId="29" fillId="3" borderId="8" xfId="0" applyNumberFormat="1" applyFont="1" applyFill="1" applyBorder="1" applyAlignment="1">
      <alignment horizontal="center" vertical="center"/>
    </xf>
    <xf numFmtId="0" fontId="28" fillId="3" borderId="9" xfId="0" applyFont="1" applyFill="1" applyBorder="1" applyAlignment="1">
      <alignment horizontal="left" vertical="center"/>
    </xf>
    <xf numFmtId="0" fontId="29" fillId="3" borderId="12" xfId="0" applyFont="1" applyFill="1" applyBorder="1" applyAlignment="1">
      <alignment vertical="center"/>
    </xf>
    <xf numFmtId="0" fontId="28" fillId="3" borderId="0" xfId="0" applyFont="1" applyFill="1" applyAlignment="1">
      <alignment horizontal="left" vertical="center"/>
    </xf>
    <xf numFmtId="0" fontId="29" fillId="0" borderId="0" xfId="0" applyFont="1" applyAlignment="1">
      <alignment vertical="center"/>
    </xf>
    <xf numFmtId="0" fontId="29" fillId="18" borderId="0" xfId="0" applyFont="1" applyFill="1" applyAlignment="1">
      <alignment vertical="center"/>
    </xf>
    <xf numFmtId="0" fontId="28" fillId="3" borderId="19" xfId="0" applyFont="1" applyFill="1" applyBorder="1" applyAlignment="1">
      <alignment vertical="center"/>
    </xf>
    <xf numFmtId="0" fontId="29" fillId="3" borderId="1" xfId="0" applyFont="1" applyFill="1" applyBorder="1" applyAlignment="1">
      <alignment horizontal="left" vertical="center"/>
    </xf>
    <xf numFmtId="0" fontId="29" fillId="3" borderId="1" xfId="0" applyFont="1" applyFill="1" applyBorder="1" applyAlignment="1">
      <alignment vertical="center"/>
    </xf>
    <xf numFmtId="0" fontId="28" fillId="3" borderId="9" xfId="0" applyFont="1" applyFill="1" applyBorder="1" applyAlignment="1">
      <alignment horizontal="left" vertical="center" wrapText="1"/>
    </xf>
    <xf numFmtId="0" fontId="28" fillId="18" borderId="0" xfId="0" applyFont="1" applyFill="1" applyAlignment="1">
      <alignment horizontal="left" vertical="center"/>
    </xf>
    <xf numFmtId="0" fontId="29" fillId="3" borderId="12" xfId="0" applyFont="1" applyFill="1" applyBorder="1" applyAlignment="1">
      <alignment horizontal="left" vertical="center"/>
    </xf>
    <xf numFmtId="0" fontId="29" fillId="35" borderId="0" xfId="0" applyFont="1" applyFill="1" applyAlignment="1">
      <alignment horizontal="left" vertical="center"/>
    </xf>
    <xf numFmtId="2" fontId="28" fillId="3" borderId="16" xfId="0" applyNumberFormat="1" applyFont="1" applyFill="1" applyBorder="1" applyAlignment="1">
      <alignment horizontal="center" vertical="center" wrapText="1"/>
    </xf>
    <xf numFmtId="0" fontId="33" fillId="0" borderId="0" xfId="0" applyFont="1" applyAlignment="1">
      <alignment horizontal="left" vertical="center"/>
    </xf>
    <xf numFmtId="0" fontId="33" fillId="0" borderId="0" xfId="0" applyFont="1" applyAlignment="1">
      <alignment horizontal="right" vertical="center"/>
    </xf>
    <xf numFmtId="2" fontId="28" fillId="3" borderId="18" xfId="0" applyNumberFormat="1" applyFont="1" applyFill="1" applyBorder="1" applyAlignment="1">
      <alignment horizontal="left" vertical="center" wrapText="1"/>
    </xf>
    <xf numFmtId="0" fontId="28" fillId="3" borderId="8" xfId="0" applyFont="1" applyFill="1" applyBorder="1" applyAlignment="1">
      <alignment horizontal="center" vertical="center" wrapText="1"/>
    </xf>
    <xf numFmtId="0" fontId="29" fillId="0" borderId="49" xfId="0" applyFont="1" applyBorder="1"/>
    <xf numFmtId="2" fontId="28" fillId="3" borderId="8" xfId="0" applyNumberFormat="1" applyFont="1" applyFill="1" applyBorder="1" applyAlignment="1">
      <alignment horizontal="center" vertical="center" wrapText="1"/>
    </xf>
    <xf numFmtId="2" fontId="28" fillId="3" borderId="0" xfId="0" applyNumberFormat="1" applyFont="1" applyFill="1" applyAlignment="1">
      <alignment horizontal="center" vertical="center" wrapText="1"/>
    </xf>
    <xf numFmtId="169" fontId="28" fillId="3" borderId="8" xfId="0" applyNumberFormat="1" applyFont="1" applyFill="1" applyBorder="1" applyAlignment="1">
      <alignment horizontal="center" vertical="center"/>
    </xf>
    <xf numFmtId="169" fontId="28" fillId="3" borderId="0" xfId="0" applyNumberFormat="1" applyFont="1" applyFill="1" applyAlignment="1">
      <alignment horizontal="center" vertical="center"/>
    </xf>
    <xf numFmtId="0" fontId="28" fillId="3" borderId="43" xfId="0" applyFont="1" applyFill="1" applyBorder="1" applyAlignment="1">
      <alignment horizontal="center" vertical="center"/>
    </xf>
    <xf numFmtId="0" fontId="28" fillId="3" borderId="16" xfId="0" applyFont="1" applyFill="1" applyBorder="1" applyAlignment="1">
      <alignment horizontal="center" vertical="center" wrapText="1"/>
    </xf>
    <xf numFmtId="0" fontId="24" fillId="18" borderId="18" xfId="0" applyFont="1" applyFill="1" applyBorder="1" applyAlignment="1">
      <alignment horizontal="center" vertical="center"/>
    </xf>
    <xf numFmtId="0" fontId="24" fillId="18" borderId="0" xfId="0" applyFont="1" applyFill="1" applyAlignment="1">
      <alignment horizontal="center" vertical="center"/>
    </xf>
    <xf numFmtId="0" fontId="19" fillId="18" borderId="9" xfId="0" applyFont="1" applyFill="1" applyBorder="1" applyAlignment="1" applyProtection="1">
      <alignment horizontal="left" vertical="center"/>
      <protection hidden="1"/>
    </xf>
    <xf numFmtId="0" fontId="19" fillId="18" borderId="0" xfId="0" applyFont="1" applyFill="1" applyAlignment="1" applyProtection="1">
      <alignment horizontal="left" vertical="center"/>
      <protection hidden="1"/>
    </xf>
    <xf numFmtId="170" fontId="24" fillId="18" borderId="0" xfId="5" applyNumberFormat="1" applyFont="1" applyFill="1" applyAlignment="1" applyProtection="1">
      <alignment horizontal="center" vertical="center"/>
    </xf>
    <xf numFmtId="170" fontId="24" fillId="18" borderId="0" xfId="5" applyNumberFormat="1" applyFont="1" applyFill="1" applyAlignment="1" applyProtection="1">
      <alignment horizontal="left" vertical="center"/>
    </xf>
    <xf numFmtId="168" fontId="29" fillId="18" borderId="8" xfId="0" applyNumberFormat="1" applyFont="1" applyFill="1" applyBorder="1" applyAlignment="1">
      <alignment horizontal="center" vertical="center"/>
    </xf>
    <xf numFmtId="168" fontId="29" fillId="18" borderId="10" xfId="4" applyNumberFormat="1" applyFont="1" applyFill="1" applyBorder="1" applyAlignment="1" applyProtection="1">
      <alignment horizontal="center" vertical="center"/>
    </xf>
    <xf numFmtId="168" fontId="29" fillId="18" borderId="8" xfId="4" applyNumberFormat="1" applyFont="1" applyFill="1" applyBorder="1" applyAlignment="1" applyProtection="1">
      <alignment horizontal="center" vertical="center"/>
    </xf>
    <xf numFmtId="168" fontId="29" fillId="18" borderId="11" xfId="4" applyNumberFormat="1" applyFont="1" applyFill="1" applyBorder="1" applyAlignment="1" applyProtection="1">
      <alignment horizontal="center" vertical="center"/>
    </xf>
    <xf numFmtId="168" fontId="29" fillId="18" borderId="16" xfId="4" applyNumberFormat="1" applyFont="1" applyFill="1" applyBorder="1" applyAlignment="1" applyProtection="1">
      <alignment horizontal="center" vertical="center"/>
    </xf>
    <xf numFmtId="168" fontId="29" fillId="18" borderId="17" xfId="4" applyNumberFormat="1" applyFont="1" applyFill="1" applyBorder="1" applyAlignment="1" applyProtection="1">
      <alignment horizontal="center" vertical="center"/>
    </xf>
    <xf numFmtId="167" fontId="28" fillId="18" borderId="9" xfId="0" applyNumberFormat="1" applyFont="1" applyFill="1" applyBorder="1" applyAlignment="1">
      <alignment horizontal="center" vertical="center"/>
    </xf>
    <xf numFmtId="9" fontId="28" fillId="18" borderId="9" xfId="0" applyNumberFormat="1" applyFont="1" applyFill="1" applyBorder="1" applyAlignment="1">
      <alignment horizontal="center" vertical="center"/>
    </xf>
    <xf numFmtId="168" fontId="29" fillId="18" borderId="16" xfId="0" applyNumberFormat="1" applyFont="1" applyFill="1" applyBorder="1" applyAlignment="1">
      <alignment horizontal="center" vertical="center"/>
    </xf>
    <xf numFmtId="168" fontId="28" fillId="18" borderId="11" xfId="0" applyNumberFormat="1" applyFont="1" applyFill="1" applyBorder="1" applyAlignment="1">
      <alignment horizontal="center" vertical="center"/>
    </xf>
    <xf numFmtId="168" fontId="29" fillId="18" borderId="0" xfId="0" applyNumberFormat="1" applyFont="1" applyFill="1"/>
    <xf numFmtId="0" fontId="3" fillId="18" borderId="8" xfId="0" applyFont="1" applyFill="1" applyBorder="1" applyAlignment="1">
      <alignment horizontal="center" vertical="center"/>
    </xf>
    <xf numFmtId="0" fontId="3" fillId="18" borderId="14" xfId="0" applyFont="1" applyFill="1" applyBorder="1" applyAlignment="1">
      <alignment vertical="center"/>
    </xf>
    <xf numFmtId="2" fontId="4" fillId="18" borderId="9" xfId="0" applyNumberFormat="1" applyFont="1" applyFill="1" applyBorder="1" applyAlignment="1">
      <alignment horizontal="left" vertical="center"/>
    </xf>
    <xf numFmtId="0" fontId="4" fillId="18" borderId="10" xfId="0" applyFont="1" applyFill="1" applyBorder="1" applyAlignment="1">
      <alignment horizontal="center" vertical="center"/>
    </xf>
    <xf numFmtId="0" fontId="4" fillId="18" borderId="8" xfId="0" applyFont="1" applyFill="1" applyBorder="1" applyAlignment="1">
      <alignment horizontal="center" vertical="center"/>
    </xf>
    <xf numFmtId="2" fontId="29" fillId="18" borderId="0" xfId="4" applyNumberFormat="1" applyFont="1" applyFill="1" applyBorder="1" applyAlignment="1" applyProtection="1">
      <alignment horizontal="left" vertical="center"/>
    </xf>
    <xf numFmtId="0" fontId="28" fillId="18" borderId="18" xfId="0" applyFont="1" applyFill="1" applyBorder="1" applyAlignment="1">
      <alignment horizontal="left" vertical="center"/>
    </xf>
    <xf numFmtId="0" fontId="29" fillId="18" borderId="9" xfId="0" applyFont="1" applyFill="1" applyBorder="1"/>
    <xf numFmtId="168" fontId="29" fillId="18" borderId="9" xfId="0" applyNumberFormat="1" applyFont="1" applyFill="1" applyBorder="1"/>
    <xf numFmtId="168" fontId="29" fillId="18" borderId="9" xfId="0" applyNumberFormat="1" applyFont="1" applyFill="1" applyBorder="1" applyAlignment="1">
      <alignment vertical="center"/>
    </xf>
    <xf numFmtId="168" fontId="28" fillId="18" borderId="9" xfId="0" applyNumberFormat="1" applyFont="1" applyFill="1" applyBorder="1" applyAlignment="1">
      <alignment horizontal="center" vertical="center"/>
    </xf>
    <xf numFmtId="165" fontId="3" fillId="18" borderId="10" xfId="0" applyNumberFormat="1" applyFont="1" applyFill="1" applyBorder="1" applyAlignment="1">
      <alignment horizontal="center" vertical="center"/>
    </xf>
    <xf numFmtId="167" fontId="4" fillId="18" borderId="10" xfId="0" applyNumberFormat="1" applyFont="1" applyFill="1" applyBorder="1" applyAlignment="1">
      <alignment horizontal="center" vertical="center"/>
    </xf>
    <xf numFmtId="2" fontId="4" fillId="18" borderId="0" xfId="0" applyNumberFormat="1" applyFont="1" applyFill="1" applyAlignment="1">
      <alignment horizontal="left" vertical="center"/>
    </xf>
    <xf numFmtId="165" fontId="3" fillId="18" borderId="8" xfId="0" applyNumberFormat="1" applyFont="1" applyFill="1" applyBorder="1" applyAlignment="1">
      <alignment horizontal="center" vertical="center"/>
    </xf>
    <xf numFmtId="167" fontId="4" fillId="18" borderId="8" xfId="0" applyNumberFormat="1" applyFont="1" applyFill="1" applyBorder="1" applyAlignment="1">
      <alignment horizontal="center" vertical="center"/>
    </xf>
    <xf numFmtId="168" fontId="30" fillId="18" borderId="0" xfId="0" applyNumberFormat="1" applyFont="1" applyFill="1"/>
    <xf numFmtId="168" fontId="29" fillId="18" borderId="0" xfId="4" applyNumberFormat="1" applyFont="1" applyFill="1" applyBorder="1" applyAlignment="1" applyProtection="1">
      <alignment horizontal="left" vertical="center"/>
    </xf>
    <xf numFmtId="168" fontId="31" fillId="18" borderId="0" xfId="0" applyNumberFormat="1" applyFont="1" applyFill="1"/>
    <xf numFmtId="168" fontId="4" fillId="18" borderId="0" xfId="0" applyNumberFormat="1" applyFont="1" applyFill="1" applyAlignment="1">
      <alignment horizontal="left" vertical="center"/>
    </xf>
    <xf numFmtId="168" fontId="28" fillId="18" borderId="8" xfId="0" applyNumberFormat="1" applyFont="1" applyFill="1" applyBorder="1" applyAlignment="1">
      <alignment horizontal="center" vertical="center"/>
    </xf>
    <xf numFmtId="168" fontId="4" fillId="18" borderId="8" xfId="0" applyNumberFormat="1" applyFont="1" applyFill="1" applyBorder="1" applyAlignment="1">
      <alignment horizontal="center" vertical="center"/>
    </xf>
    <xf numFmtId="168" fontId="3" fillId="18" borderId="19" xfId="0" applyNumberFormat="1" applyFont="1" applyFill="1" applyBorder="1" applyAlignment="1">
      <alignment horizontal="left" vertical="center"/>
    </xf>
    <xf numFmtId="168" fontId="28" fillId="18" borderId="10" xfId="0" applyNumberFormat="1" applyFont="1" applyFill="1" applyBorder="1" applyAlignment="1">
      <alignment horizontal="center" vertical="center"/>
    </xf>
    <xf numFmtId="168" fontId="29" fillId="18" borderId="41" xfId="4" applyNumberFormat="1" applyFont="1" applyFill="1" applyBorder="1" applyAlignment="1" applyProtection="1">
      <alignment horizontal="center" vertical="center"/>
    </xf>
    <xf numFmtId="2" fontId="29" fillId="18" borderId="0" xfId="0" applyNumberFormat="1" applyFont="1" applyFill="1" applyAlignment="1">
      <alignment horizontal="left" vertical="center"/>
    </xf>
    <xf numFmtId="168" fontId="29" fillId="18" borderId="8" xfId="0" applyNumberFormat="1" applyFont="1" applyFill="1" applyBorder="1" applyAlignment="1">
      <alignment vertical="center" wrapText="1"/>
    </xf>
    <xf numFmtId="0" fontId="28" fillId="18" borderId="19" xfId="0" applyFont="1" applyFill="1" applyBorder="1" applyAlignment="1">
      <alignment horizontal="left" vertical="center"/>
    </xf>
    <xf numFmtId="170" fontId="29" fillId="18" borderId="10" xfId="4" applyNumberFormat="1" applyFont="1" applyFill="1" applyBorder="1" applyAlignment="1" applyProtection="1">
      <alignment horizontal="center" vertical="center"/>
    </xf>
    <xf numFmtId="170" fontId="29" fillId="18" borderId="8" xfId="4" applyNumberFormat="1" applyFont="1" applyFill="1" applyBorder="1" applyAlignment="1" applyProtection="1">
      <alignment horizontal="center" vertical="center"/>
    </xf>
    <xf numFmtId="170" fontId="29" fillId="18" borderId="8" xfId="0" applyNumberFormat="1" applyFont="1" applyFill="1" applyBorder="1" applyAlignment="1">
      <alignment horizontal="center" vertical="center" wrapText="1"/>
    </xf>
    <xf numFmtId="170" fontId="29" fillId="18" borderId="17" xfId="4" applyNumberFormat="1" applyFont="1" applyFill="1" applyBorder="1" applyAlignment="1" applyProtection="1">
      <alignment horizontal="center" vertical="center" wrapText="1"/>
    </xf>
    <xf numFmtId="168" fontId="29" fillId="3" borderId="8" xfId="0" applyNumberFormat="1" applyFont="1" applyFill="1" applyBorder="1" applyAlignment="1">
      <alignment horizontal="center" vertical="center"/>
    </xf>
    <xf numFmtId="2" fontId="29" fillId="18" borderId="24" xfId="4" applyNumberFormat="1" applyFont="1" applyFill="1" applyBorder="1" applyAlignment="1" applyProtection="1">
      <alignment horizontal="left" vertical="center"/>
    </xf>
    <xf numFmtId="170" fontId="29" fillId="18" borderId="0" xfId="0" applyNumberFormat="1" applyFont="1" applyFill="1"/>
    <xf numFmtId="0" fontId="29" fillId="18" borderId="8" xfId="4" applyNumberFormat="1" applyFont="1" applyFill="1" applyBorder="1" applyAlignment="1" applyProtection="1">
      <alignment horizontal="center" vertical="center"/>
      <protection hidden="1"/>
    </xf>
    <xf numFmtId="169" fontId="29" fillId="18" borderId="10" xfId="4" applyNumberFormat="1" applyFont="1" applyFill="1" applyBorder="1" applyAlignment="1" applyProtection="1">
      <alignment horizontal="center" vertical="center"/>
      <protection hidden="1"/>
    </xf>
    <xf numFmtId="169" fontId="29" fillId="18" borderId="8" xfId="4" applyNumberFormat="1" applyFont="1" applyFill="1" applyBorder="1" applyAlignment="1" applyProtection="1">
      <alignment horizontal="center" vertical="center"/>
      <protection hidden="1"/>
    </xf>
    <xf numFmtId="0" fontId="29" fillId="18" borderId="11" xfId="4" applyNumberFormat="1" applyFont="1" applyFill="1" applyBorder="1" applyAlignment="1" applyProtection="1">
      <alignment horizontal="center" vertical="center"/>
      <protection hidden="1"/>
    </xf>
    <xf numFmtId="0" fontId="29" fillId="18" borderId="1" xfId="0" applyFont="1" applyFill="1" applyBorder="1" applyAlignment="1">
      <alignment horizontal="left" vertical="center"/>
    </xf>
    <xf numFmtId="168" fontId="28" fillId="3" borderId="10" xfId="0" applyNumberFormat="1" applyFont="1" applyFill="1" applyBorder="1" applyAlignment="1">
      <alignment horizontal="center" vertical="center"/>
    </xf>
    <xf numFmtId="168" fontId="28" fillId="3" borderId="8" xfId="0" applyNumberFormat="1" applyFont="1" applyFill="1" applyBorder="1" applyAlignment="1">
      <alignment horizontal="center" vertical="center"/>
    </xf>
    <xf numFmtId="168" fontId="29" fillId="18" borderId="10" xfId="0" applyNumberFormat="1" applyFont="1" applyFill="1" applyBorder="1" applyAlignment="1">
      <alignment horizontal="center" vertical="center"/>
    </xf>
    <xf numFmtId="168" fontId="32" fillId="18" borderId="0" xfId="0" applyNumberFormat="1" applyFont="1" applyFill="1"/>
    <xf numFmtId="168" fontId="29" fillId="18" borderId="44" xfId="4" applyNumberFormat="1" applyFont="1" applyFill="1" applyBorder="1" applyAlignment="1" applyProtection="1">
      <alignment horizontal="center" vertical="center"/>
    </xf>
    <xf numFmtId="0" fontId="28" fillId="3" borderId="27" xfId="0" applyFont="1" applyFill="1" applyBorder="1" applyAlignment="1">
      <alignment horizontal="left" vertical="center" wrapText="1"/>
    </xf>
    <xf numFmtId="0" fontId="21" fillId="9" borderId="0" xfId="0" applyFont="1" applyFill="1" applyAlignment="1">
      <alignment vertical="top" wrapText="1"/>
    </xf>
    <xf numFmtId="0" fontId="34" fillId="0" borderId="0" xfId="0" applyFont="1" applyAlignment="1">
      <alignment horizontal="left" vertical="center"/>
    </xf>
    <xf numFmtId="171" fontId="29" fillId="18" borderId="16" xfId="7" applyNumberFormat="1" applyFont="1" applyFill="1" applyBorder="1" applyAlignment="1" applyProtection="1">
      <alignment horizontal="center" vertical="center"/>
    </xf>
    <xf numFmtId="171" fontId="28" fillId="18" borderId="11" xfId="7" applyNumberFormat="1" applyFont="1" applyFill="1" applyBorder="1" applyAlignment="1" applyProtection="1">
      <alignment horizontal="center" vertical="center"/>
    </xf>
    <xf numFmtId="0" fontId="3" fillId="18" borderId="0" xfId="0" applyFont="1" applyFill="1" applyAlignment="1">
      <alignment horizontal="left" vertical="center" wrapText="1"/>
    </xf>
    <xf numFmtId="0" fontId="28" fillId="3" borderId="42" xfId="0" applyFont="1" applyFill="1" applyBorder="1" applyAlignment="1">
      <alignment horizontal="left" vertical="center" wrapText="1"/>
    </xf>
    <xf numFmtId="0" fontId="19" fillId="35" borderId="0" xfId="0" applyFont="1" applyFill="1" applyAlignment="1">
      <alignment horizontal="left" vertical="center"/>
    </xf>
    <xf numFmtId="0" fontId="20" fillId="35" borderId="0" xfId="0" applyFont="1" applyFill="1" applyAlignment="1">
      <alignment horizontal="left" vertical="center"/>
    </xf>
    <xf numFmtId="0" fontId="26" fillId="18" borderId="0" xfId="0" applyFont="1" applyFill="1"/>
    <xf numFmtId="0" fontId="23" fillId="18" borderId="0" xfId="0" applyFont="1" applyFill="1" applyAlignment="1" applyProtection="1">
      <alignment horizontal="left"/>
      <protection hidden="1"/>
    </xf>
    <xf numFmtId="0" fontId="26" fillId="18" borderId="0" xfId="0" applyFont="1" applyFill="1" applyProtection="1">
      <protection hidden="1"/>
    </xf>
    <xf numFmtId="1" fontId="23" fillId="18" borderId="0" xfId="0" applyNumberFormat="1" applyFont="1" applyFill="1" applyAlignment="1" applyProtection="1">
      <alignment horizontal="left"/>
      <protection hidden="1"/>
    </xf>
    <xf numFmtId="3" fontId="23" fillId="18" borderId="0" xfId="0" applyNumberFormat="1" applyFont="1" applyFill="1" applyAlignment="1" applyProtection="1">
      <alignment horizontal="left"/>
      <protection hidden="1"/>
    </xf>
    <xf numFmtId="0" fontId="21" fillId="18" borderId="0" xfId="0" applyFont="1" applyFill="1"/>
    <xf numFmtId="168" fontId="20" fillId="18" borderId="8" xfId="0" applyNumberFormat="1" applyFont="1" applyFill="1" applyBorder="1" applyAlignment="1">
      <alignment horizontal="center" vertical="center"/>
    </xf>
    <xf numFmtId="0" fontId="20" fillId="18" borderId="8" xfId="0" applyFont="1" applyFill="1" applyBorder="1" applyAlignment="1">
      <alignment horizontal="center" vertical="center" wrapText="1"/>
    </xf>
    <xf numFmtId="172" fontId="29" fillId="18" borderId="10" xfId="7" applyNumberFormat="1" applyFont="1" applyFill="1" applyBorder="1" applyAlignment="1" applyProtection="1">
      <alignment horizontal="center" vertical="center"/>
    </xf>
    <xf numFmtId="172" fontId="29" fillId="18" borderId="8" xfId="7" applyNumberFormat="1" applyFont="1" applyFill="1" applyBorder="1" applyAlignment="1" applyProtection="1">
      <alignment horizontal="center" vertical="center"/>
    </xf>
    <xf numFmtId="172" fontId="29" fillId="18" borderId="11" xfId="7" applyNumberFormat="1" applyFont="1" applyFill="1" applyBorder="1" applyAlignment="1" applyProtection="1">
      <alignment horizontal="center" vertical="center"/>
    </xf>
    <xf numFmtId="172" fontId="29" fillId="18" borderId="17" xfId="7" applyNumberFormat="1" applyFont="1" applyFill="1" applyBorder="1" applyAlignment="1" applyProtection="1">
      <alignment horizontal="center" vertical="center"/>
    </xf>
    <xf numFmtId="172" fontId="29" fillId="18" borderId="16" xfId="7" applyNumberFormat="1" applyFont="1" applyFill="1" applyBorder="1" applyAlignment="1" applyProtection="1">
      <alignment horizontal="center" vertical="center"/>
    </xf>
    <xf numFmtId="172" fontId="28" fillId="18" borderId="11" xfId="7" applyNumberFormat="1" applyFont="1" applyFill="1" applyBorder="1" applyAlignment="1" applyProtection="1">
      <alignment horizontal="center" vertical="center"/>
    </xf>
    <xf numFmtId="172" fontId="4" fillId="18" borderId="10" xfId="7" applyNumberFormat="1" applyFont="1" applyFill="1" applyBorder="1" applyAlignment="1" applyProtection="1">
      <alignment vertical="center"/>
    </xf>
    <xf numFmtId="172" fontId="4" fillId="18" borderId="8" xfId="7" applyNumberFormat="1" applyFont="1" applyFill="1" applyBorder="1" applyAlignment="1" applyProtection="1">
      <alignment vertical="center"/>
    </xf>
    <xf numFmtId="172" fontId="29" fillId="18" borderId="0" xfId="7" applyNumberFormat="1" applyFont="1" applyFill="1"/>
    <xf numFmtId="172" fontId="30" fillId="18" borderId="0" xfId="0" applyNumberFormat="1" applyFont="1" applyFill="1"/>
    <xf numFmtId="172" fontId="20" fillId="18" borderId="10" xfId="0" applyNumberFormat="1" applyFont="1" applyFill="1" applyBorder="1" applyAlignment="1">
      <alignment horizontal="center" vertical="center"/>
    </xf>
    <xf numFmtId="172" fontId="20" fillId="18" borderId="8" xfId="0" applyNumberFormat="1" applyFont="1" applyFill="1" applyBorder="1" applyAlignment="1">
      <alignment horizontal="center" vertical="center"/>
    </xf>
    <xf numFmtId="172" fontId="19" fillId="18" borderId="8" xfId="4" applyNumberFormat="1" applyFont="1" applyFill="1" applyBorder="1" applyAlignment="1" applyProtection="1">
      <alignment horizontal="center" vertical="center"/>
    </xf>
    <xf numFmtId="172" fontId="19" fillId="18" borderId="44" xfId="4" applyNumberFormat="1" applyFont="1" applyFill="1" applyBorder="1" applyAlignment="1" applyProtection="1">
      <alignment horizontal="center" vertical="center"/>
    </xf>
    <xf numFmtId="0" fontId="3" fillId="3" borderId="19" xfId="0" applyFont="1" applyFill="1" applyBorder="1" applyAlignment="1">
      <alignment horizontal="left" vertical="center"/>
    </xf>
    <xf numFmtId="172" fontId="19" fillId="18" borderId="0" xfId="0" applyNumberFormat="1" applyFont="1" applyFill="1"/>
    <xf numFmtId="0" fontId="19" fillId="18" borderId="0" xfId="0" applyFont="1" applyFill="1"/>
    <xf numFmtId="0" fontId="19" fillId="18" borderId="45" xfId="0" applyFont="1" applyFill="1" applyBorder="1" applyAlignment="1">
      <alignment vertical="center"/>
    </xf>
    <xf numFmtId="0" fontId="19" fillId="18" borderId="46" xfId="0" applyFont="1" applyFill="1" applyBorder="1" applyAlignment="1">
      <alignment vertical="center"/>
    </xf>
    <xf numFmtId="2" fontId="19" fillId="18" borderId="8" xfId="4" applyNumberFormat="1" applyFont="1" applyFill="1" applyBorder="1" applyAlignment="1" applyProtection="1">
      <alignment horizontal="center" vertical="center"/>
    </xf>
    <xf numFmtId="0" fontId="19" fillId="18" borderId="17" xfId="4" applyNumberFormat="1" applyFont="1" applyFill="1" applyBorder="1" applyAlignment="1" applyProtection="1">
      <alignment horizontal="center" vertical="center"/>
    </xf>
    <xf numFmtId="0" fontId="28" fillId="3" borderId="54" xfId="0" applyFont="1" applyFill="1" applyBorder="1" applyAlignment="1">
      <alignment horizontal="center" vertical="center"/>
    </xf>
    <xf numFmtId="0" fontId="28" fillId="18" borderId="58" xfId="0" applyFont="1" applyFill="1" applyBorder="1" applyAlignment="1">
      <alignment horizontal="left" vertical="center"/>
    </xf>
    <xf numFmtId="168" fontId="28" fillId="18" borderId="58" xfId="0" applyNumberFormat="1" applyFont="1" applyFill="1" applyBorder="1" applyAlignment="1">
      <alignment horizontal="center" vertical="center"/>
    </xf>
    <xf numFmtId="0" fontId="19" fillId="18" borderId="50" xfId="0" applyFont="1" applyFill="1" applyBorder="1" applyAlignment="1">
      <alignment horizontal="left" vertical="center"/>
    </xf>
    <xf numFmtId="168" fontId="20" fillId="18" borderId="51" xfId="4" applyNumberFormat="1" applyFont="1" applyFill="1" applyBorder="1" applyAlignment="1" applyProtection="1">
      <alignment horizontal="center" vertical="center"/>
    </xf>
    <xf numFmtId="168" fontId="20" fillId="18" borderId="46" xfId="0" applyNumberFormat="1" applyFont="1" applyFill="1" applyBorder="1" applyAlignment="1">
      <alignment horizontal="center" vertical="center"/>
    </xf>
    <xf numFmtId="0" fontId="19" fillId="18" borderId="24" xfId="0" applyFont="1" applyFill="1" applyBorder="1" applyAlignment="1">
      <alignment horizontal="left" vertical="center"/>
    </xf>
    <xf numFmtId="168" fontId="19" fillId="18" borderId="46" xfId="4" applyNumberFormat="1" applyFont="1" applyFill="1" applyBorder="1" applyAlignment="1" applyProtection="1">
      <alignment horizontal="center" vertical="center"/>
    </xf>
    <xf numFmtId="168" fontId="19" fillId="18" borderId="46" xfId="0" applyNumberFormat="1" applyFont="1" applyFill="1" applyBorder="1" applyAlignment="1">
      <alignment horizontal="center" vertical="center"/>
    </xf>
    <xf numFmtId="168" fontId="19" fillId="18" borderId="8" xfId="0" applyNumberFormat="1" applyFont="1" applyFill="1" applyBorder="1" applyAlignment="1">
      <alignment horizontal="center" vertical="center"/>
    </xf>
    <xf numFmtId="0" fontId="20" fillId="18" borderId="53" xfId="0" applyFont="1" applyFill="1" applyBorder="1" applyAlignment="1">
      <alignment horizontal="left" vertical="center"/>
    </xf>
    <xf numFmtId="168" fontId="19" fillId="18" borderId="23" xfId="4" applyNumberFormat="1" applyFont="1" applyFill="1" applyBorder="1" applyAlignment="1" applyProtection="1">
      <alignment horizontal="center" vertical="center"/>
    </xf>
    <xf numFmtId="168" fontId="19" fillId="18" borderId="17" xfId="4" applyNumberFormat="1" applyFont="1" applyFill="1" applyBorder="1" applyAlignment="1" applyProtection="1">
      <alignment horizontal="center" vertical="center"/>
    </xf>
    <xf numFmtId="0" fontId="9" fillId="20" borderId="0" xfId="0" applyFont="1" applyFill="1" applyAlignment="1" applyProtection="1">
      <alignment horizontal="left" vertical="center"/>
      <protection hidden="1"/>
    </xf>
    <xf numFmtId="0" fontId="3" fillId="20" borderId="0" xfId="0" applyFont="1" applyFill="1" applyAlignment="1">
      <alignment horizontal="left" vertical="center"/>
    </xf>
    <xf numFmtId="0" fontId="3" fillId="20" borderId="8" xfId="0" applyFont="1" applyFill="1" applyBorder="1" applyAlignment="1">
      <alignment horizontal="center" vertical="center"/>
    </xf>
    <xf numFmtId="0" fontId="3" fillId="20" borderId="0" xfId="0" applyFont="1" applyFill="1" applyAlignment="1">
      <alignment horizontal="center" vertical="center"/>
    </xf>
    <xf numFmtId="0" fontId="4" fillId="20" borderId="9" xfId="0" applyFont="1" applyFill="1" applyBorder="1" applyAlignment="1">
      <alignment horizontal="left" vertical="center"/>
    </xf>
    <xf numFmtId="14" fontId="4" fillId="20" borderId="10" xfId="0" applyNumberFormat="1" applyFont="1" applyFill="1" applyBorder="1" applyAlignment="1" applyProtection="1">
      <alignment horizontal="center" vertical="center"/>
      <protection hidden="1"/>
    </xf>
    <xf numFmtId="14" fontId="4" fillId="20" borderId="9" xfId="0" applyNumberFormat="1" applyFont="1" applyFill="1" applyBorder="1" applyAlignment="1" applyProtection="1">
      <alignment horizontal="center" vertical="center"/>
      <protection hidden="1"/>
    </xf>
    <xf numFmtId="3" fontId="4" fillId="20" borderId="10" xfId="0" applyNumberFormat="1" applyFont="1" applyFill="1" applyBorder="1" applyAlignment="1">
      <alignment horizontal="center" vertical="center"/>
    </xf>
    <xf numFmtId="3" fontId="4" fillId="20" borderId="9" xfId="0" applyNumberFormat="1" applyFont="1" applyFill="1" applyBorder="1" applyAlignment="1">
      <alignment horizontal="center" vertical="center"/>
    </xf>
    <xf numFmtId="173" fontId="4" fillId="20" borderId="10" xfId="0" applyNumberFormat="1" applyFont="1" applyFill="1" applyBorder="1" applyAlignment="1">
      <alignment horizontal="center" vertical="center"/>
    </xf>
    <xf numFmtId="173" fontId="4" fillId="20" borderId="9" xfId="0" applyNumberFormat="1" applyFont="1" applyFill="1" applyBorder="1" applyAlignment="1">
      <alignment horizontal="center" vertical="center"/>
    </xf>
    <xf numFmtId="0" fontId="4" fillId="20" borderId="0" xfId="0" applyFont="1" applyFill="1" applyAlignment="1">
      <alignment horizontal="left" vertical="center"/>
    </xf>
    <xf numFmtId="14" fontId="4" fillId="20" borderId="8" xfId="0" applyNumberFormat="1" applyFont="1" applyFill="1" applyBorder="1" applyAlignment="1" applyProtection="1">
      <alignment horizontal="center" vertical="center"/>
      <protection hidden="1"/>
    </xf>
    <xf numFmtId="14" fontId="4" fillId="20" borderId="0" xfId="0" applyNumberFormat="1" applyFont="1" applyFill="1" applyAlignment="1" applyProtection="1">
      <alignment horizontal="center" vertical="center"/>
      <protection hidden="1"/>
    </xf>
    <xf numFmtId="3" fontId="4" fillId="20" borderId="8" xfId="0" applyNumberFormat="1" applyFont="1" applyFill="1" applyBorder="1" applyAlignment="1">
      <alignment horizontal="center" vertical="center"/>
    </xf>
    <xf numFmtId="3" fontId="4" fillId="20" borderId="0" xfId="0" applyNumberFormat="1" applyFont="1" applyFill="1" applyAlignment="1">
      <alignment horizontal="center" vertical="center"/>
    </xf>
    <xf numFmtId="173" fontId="4" fillId="20" borderId="8" xfId="0" applyNumberFormat="1" applyFont="1" applyFill="1" applyBorder="1" applyAlignment="1">
      <alignment horizontal="center" vertical="center"/>
    </xf>
    <xf numFmtId="173" fontId="4" fillId="20" borderId="0" xfId="0" applyNumberFormat="1" applyFont="1" applyFill="1" applyAlignment="1">
      <alignment horizontal="center" vertical="center"/>
    </xf>
    <xf numFmtId="14" fontId="4" fillId="20" borderId="8" xfId="0" applyNumberFormat="1" applyFont="1" applyFill="1" applyBorder="1" applyAlignment="1">
      <alignment horizontal="center" vertical="center"/>
    </xf>
    <xf numFmtId="14" fontId="4" fillId="20" borderId="0" xfId="0" applyNumberFormat="1" applyFont="1" applyFill="1" applyAlignment="1">
      <alignment horizontal="center" vertical="center"/>
    </xf>
    <xf numFmtId="0" fontId="4" fillId="20" borderId="12" xfId="0" applyFont="1" applyFill="1" applyBorder="1" applyAlignment="1">
      <alignment horizontal="left" vertical="center"/>
    </xf>
    <xf numFmtId="14" fontId="4" fillId="20" borderId="11" xfId="0" applyNumberFormat="1" applyFont="1" applyFill="1" applyBorder="1" applyAlignment="1" applyProtection="1">
      <alignment horizontal="center" vertical="center"/>
      <protection hidden="1"/>
    </xf>
    <xf numFmtId="14" fontId="4" fillId="20" borderId="12" xfId="0" applyNumberFormat="1" applyFont="1" applyFill="1" applyBorder="1" applyAlignment="1" applyProtection="1">
      <alignment horizontal="center" vertical="center"/>
      <protection hidden="1"/>
    </xf>
    <xf numFmtId="3" fontId="4" fillId="20" borderId="11" xfId="0" applyNumberFormat="1" applyFont="1" applyFill="1" applyBorder="1" applyAlignment="1">
      <alignment horizontal="center" vertical="center"/>
    </xf>
    <xf numFmtId="3" fontId="4" fillId="20" borderId="12" xfId="0" applyNumberFormat="1" applyFont="1" applyFill="1" applyBorder="1" applyAlignment="1">
      <alignment horizontal="center" vertical="center"/>
    </xf>
    <xf numFmtId="173" fontId="4" fillId="20" borderId="11" xfId="0" applyNumberFormat="1" applyFont="1" applyFill="1" applyBorder="1" applyAlignment="1">
      <alignment horizontal="center" vertical="center"/>
    </xf>
    <xf numFmtId="173" fontId="4" fillId="20" borderId="12" xfId="0" applyNumberFormat="1" applyFont="1" applyFill="1" applyBorder="1" applyAlignment="1">
      <alignment horizontal="center" vertical="center"/>
    </xf>
    <xf numFmtId="0" fontId="4" fillId="20" borderId="12" xfId="0" applyFont="1" applyFill="1" applyBorder="1" applyAlignment="1" applyProtection="1">
      <alignment horizontal="left" vertical="center"/>
      <protection hidden="1"/>
    </xf>
    <xf numFmtId="0" fontId="4" fillId="20" borderId="11" xfId="0" applyFont="1" applyFill="1" applyBorder="1" applyAlignment="1" applyProtection="1">
      <alignment horizontal="center" vertical="center" wrapText="1"/>
      <protection hidden="1"/>
    </xf>
    <xf numFmtId="0" fontId="4" fillId="20" borderId="12" xfId="0" applyFont="1" applyFill="1" applyBorder="1" applyAlignment="1" applyProtection="1">
      <alignment horizontal="center" vertical="center" wrapText="1"/>
      <protection hidden="1"/>
    </xf>
    <xf numFmtId="0" fontId="4" fillId="20" borderId="11" xfId="0" applyFont="1" applyFill="1" applyBorder="1" applyAlignment="1" applyProtection="1">
      <alignment horizontal="center" vertical="center"/>
      <protection hidden="1"/>
    </xf>
    <xf numFmtId="0" fontId="4" fillId="20" borderId="12" xfId="0" applyFont="1" applyFill="1" applyBorder="1" applyAlignment="1" applyProtection="1">
      <alignment horizontal="center" vertical="center"/>
      <protection hidden="1"/>
    </xf>
    <xf numFmtId="0" fontId="3" fillId="20" borderId="27" xfId="0" applyFont="1" applyFill="1" applyBorder="1" applyAlignment="1">
      <alignment horizontal="left" vertical="center"/>
    </xf>
    <xf numFmtId="0" fontId="3" fillId="20" borderId="15" xfId="0" applyFont="1" applyFill="1" applyBorder="1" applyAlignment="1">
      <alignment horizontal="left" vertical="center"/>
    </xf>
    <xf numFmtId="0" fontId="3" fillId="20" borderId="15" xfId="0" applyFont="1" applyFill="1" applyBorder="1" applyAlignment="1">
      <alignment horizontal="center" vertical="center"/>
    </xf>
    <xf numFmtId="0" fontId="3" fillId="20" borderId="14" xfId="0" applyFont="1" applyFill="1" applyBorder="1" applyAlignment="1">
      <alignment horizontal="center" vertical="center"/>
    </xf>
    <xf numFmtId="0" fontId="3" fillId="20" borderId="13" xfId="0" applyFont="1" applyFill="1" applyBorder="1" applyAlignment="1">
      <alignment horizontal="left" vertical="center"/>
    </xf>
    <xf numFmtId="0" fontId="3" fillId="20" borderId="13" xfId="0" applyFont="1" applyFill="1" applyBorder="1" applyAlignment="1">
      <alignment horizontal="center" vertical="center"/>
    </xf>
    <xf numFmtId="0" fontId="3" fillId="20" borderId="14" xfId="0" applyFont="1" applyFill="1" applyBorder="1" applyAlignment="1">
      <alignment horizontal="center" vertical="center" wrapText="1"/>
    </xf>
    <xf numFmtId="0" fontId="3" fillId="20" borderId="13" xfId="0" applyFont="1" applyFill="1" applyBorder="1" applyAlignment="1">
      <alignment horizontal="center" vertical="center" wrapText="1"/>
    </xf>
    <xf numFmtId="0" fontId="4" fillId="20" borderId="37" xfId="0" applyFont="1" applyFill="1" applyBorder="1" applyAlignment="1" applyProtection="1">
      <alignment horizontal="left" vertical="center"/>
      <protection hidden="1"/>
    </xf>
    <xf numFmtId="0" fontId="4" fillId="20" borderId="35" xfId="0" applyFont="1" applyFill="1" applyBorder="1" applyAlignment="1" applyProtection="1">
      <alignment horizontal="center" vertical="center"/>
      <protection hidden="1"/>
    </xf>
    <xf numFmtId="0" fontId="4" fillId="20" borderId="36" xfId="0" applyFont="1" applyFill="1" applyBorder="1" applyAlignment="1" applyProtection="1">
      <alignment horizontal="center" vertical="center"/>
      <protection hidden="1"/>
    </xf>
    <xf numFmtId="0" fontId="3" fillId="20" borderId="13" xfId="0" applyFont="1" applyFill="1" applyBorder="1" applyAlignment="1">
      <alignment vertical="center"/>
    </xf>
    <xf numFmtId="14" fontId="4" fillId="20" borderId="12" xfId="0" applyNumberFormat="1" applyFont="1" applyFill="1" applyBorder="1" applyAlignment="1" applyProtection="1">
      <alignment horizontal="left" vertical="center"/>
      <protection hidden="1"/>
    </xf>
    <xf numFmtId="0" fontId="9" fillId="20" borderId="0" xfId="0" applyFont="1" applyFill="1" applyAlignment="1" applyProtection="1">
      <alignment horizontal="left" vertical="center"/>
      <protection locked="0" hidden="1"/>
    </xf>
    <xf numFmtId="0" fontId="10" fillId="3" borderId="25" xfId="0" applyFont="1" applyFill="1" applyBorder="1" applyAlignment="1">
      <alignment horizontal="left" vertical="center" wrapText="1"/>
    </xf>
    <xf numFmtId="0" fontId="10" fillId="3" borderId="7" xfId="0" applyFont="1" applyFill="1" applyBorder="1" applyAlignment="1">
      <alignment horizontal="left" vertical="center" wrapText="1"/>
    </xf>
    <xf numFmtId="0" fontId="10" fillId="3" borderId="26" xfId="0" applyFont="1" applyFill="1" applyBorder="1" applyAlignment="1">
      <alignment horizontal="left" vertical="center" wrapText="1"/>
    </xf>
    <xf numFmtId="0" fontId="12" fillId="19" borderId="28" xfId="0" applyFont="1" applyFill="1" applyBorder="1" applyAlignment="1" applyProtection="1">
      <alignment vertical="center" wrapText="1"/>
      <protection locked="0"/>
    </xf>
    <xf numFmtId="0" fontId="12" fillId="19" borderId="29" xfId="0" applyFont="1" applyFill="1" applyBorder="1" applyAlignment="1" applyProtection="1">
      <alignment vertical="center" wrapText="1"/>
      <protection locked="0"/>
    </xf>
    <xf numFmtId="1" fontId="10" fillId="3" borderId="25" xfId="0" applyNumberFormat="1" applyFont="1" applyFill="1" applyBorder="1" applyAlignment="1">
      <alignment horizontal="center" vertical="center" wrapText="1"/>
    </xf>
    <xf numFmtId="1" fontId="10" fillId="3" borderId="7" xfId="0" applyNumberFormat="1" applyFont="1" applyFill="1" applyBorder="1" applyAlignment="1">
      <alignment horizontal="center" vertical="center" wrapText="1"/>
    </xf>
    <xf numFmtId="0" fontId="12" fillId="18" borderId="34" xfId="0" applyFont="1" applyFill="1" applyBorder="1" applyAlignment="1">
      <alignment horizontal="center" vertical="center" wrapText="1"/>
    </xf>
    <xf numFmtId="0" fontId="12" fillId="19" borderId="28" xfId="0" applyFont="1" applyFill="1" applyBorder="1" applyAlignment="1" applyProtection="1">
      <alignment horizontal="center" vertical="center" wrapText="1"/>
      <protection locked="0"/>
    </xf>
    <xf numFmtId="0" fontId="12" fillId="19" borderId="29" xfId="0" applyFont="1" applyFill="1" applyBorder="1" applyAlignment="1" applyProtection="1">
      <alignment horizontal="center" vertical="center" wrapText="1"/>
      <protection locked="0"/>
    </xf>
    <xf numFmtId="0" fontId="10" fillId="0" borderId="17" xfId="0" applyFont="1" applyBorder="1" applyAlignment="1">
      <alignment horizontal="left" vertical="center" wrapText="1"/>
    </xf>
    <xf numFmtId="0" fontId="10" fillId="0" borderId="19" xfId="0" applyFont="1" applyBorder="1" applyAlignment="1">
      <alignment horizontal="left" vertical="center" wrapText="1"/>
    </xf>
    <xf numFmtId="9" fontId="10" fillId="3" borderId="17" xfId="0" applyNumberFormat="1" applyFont="1" applyFill="1" applyBorder="1" applyAlignment="1">
      <alignment horizontal="center" vertical="center"/>
    </xf>
    <xf numFmtId="9" fontId="10" fillId="3" borderId="19" xfId="0" applyNumberFormat="1" applyFont="1" applyFill="1" applyBorder="1" applyAlignment="1">
      <alignment horizontal="center" vertical="center"/>
    </xf>
    <xf numFmtId="167" fontId="13" fillId="19" borderId="34" xfId="0" applyNumberFormat="1" applyFont="1" applyFill="1" applyBorder="1" applyAlignment="1">
      <alignment horizontal="left" vertical="center"/>
    </xf>
    <xf numFmtId="168" fontId="13" fillId="19" borderId="59" xfId="0" applyNumberFormat="1" applyFont="1" applyFill="1" applyBorder="1" applyAlignment="1">
      <alignment horizontal="right" vertical="center"/>
    </xf>
    <xf numFmtId="168" fontId="13" fillId="19" borderId="60" xfId="0" applyNumberFormat="1" applyFont="1" applyFill="1" applyBorder="1" applyAlignment="1">
      <alignment horizontal="right" vertical="center"/>
    </xf>
    <xf numFmtId="0" fontId="28" fillId="3" borderId="12" xfId="0" applyFont="1" applyFill="1" applyBorder="1" applyAlignment="1">
      <alignment horizontal="left" vertical="center" wrapText="1"/>
    </xf>
    <xf numFmtId="0" fontId="28" fillId="3" borderId="13" xfId="0" applyFont="1" applyFill="1" applyBorder="1" applyAlignment="1">
      <alignment horizontal="left" vertical="center" wrapText="1"/>
    </xf>
    <xf numFmtId="0" fontId="28" fillId="3" borderId="27" xfId="0" applyFont="1" applyFill="1" applyBorder="1" applyAlignment="1">
      <alignment horizontal="left" vertical="center" wrapText="1"/>
    </xf>
    <xf numFmtId="2" fontId="20" fillId="18" borderId="8" xfId="0" applyNumberFormat="1" applyFont="1" applyFill="1" applyBorder="1" applyAlignment="1">
      <alignment horizontal="center" vertical="center" wrapText="1"/>
    </xf>
    <xf numFmtId="2" fontId="20" fillId="18" borderId="0" xfId="0" applyNumberFormat="1" applyFont="1" applyFill="1" applyAlignment="1">
      <alignment horizontal="center" vertical="center" wrapText="1"/>
    </xf>
    <xf numFmtId="169" fontId="20" fillId="18" borderId="8" xfId="0" applyNumberFormat="1" applyFont="1" applyFill="1" applyBorder="1" applyAlignment="1">
      <alignment horizontal="center" vertical="center"/>
    </xf>
    <xf numFmtId="169" fontId="20" fillId="18" borderId="0" xfId="0" applyNumberFormat="1" applyFont="1" applyFill="1" applyAlignment="1">
      <alignment horizontal="center" vertical="center"/>
    </xf>
    <xf numFmtId="2" fontId="20" fillId="18" borderId="10" xfId="0" applyNumberFormat="1" applyFont="1" applyFill="1" applyBorder="1" applyAlignment="1">
      <alignment horizontal="center" vertical="center" wrapText="1"/>
    </xf>
    <xf numFmtId="2" fontId="20" fillId="18" borderId="9" xfId="0" applyNumberFormat="1" applyFont="1" applyFill="1" applyBorder="1" applyAlignment="1">
      <alignment horizontal="center" vertical="center" wrapText="1"/>
    </xf>
    <xf numFmtId="0" fontId="29" fillId="3" borderId="0" xfId="0" applyFont="1" applyFill="1" applyAlignment="1">
      <alignment horizontal="left" vertical="center"/>
    </xf>
    <xf numFmtId="0" fontId="29" fillId="3" borderId="9" xfId="0" applyFont="1" applyFill="1" applyBorder="1" applyAlignment="1">
      <alignment horizontal="left" vertical="center"/>
    </xf>
    <xf numFmtId="169" fontId="20" fillId="18" borderId="10" xfId="0" applyNumberFormat="1" applyFont="1" applyFill="1" applyBorder="1" applyAlignment="1">
      <alignment horizontal="center" vertical="center"/>
    </xf>
    <xf numFmtId="169" fontId="20" fillId="18" borderId="9" xfId="0" applyNumberFormat="1" applyFont="1" applyFill="1" applyBorder="1" applyAlignment="1">
      <alignment horizontal="center" vertical="center"/>
    </xf>
    <xf numFmtId="0" fontId="3" fillId="3" borderId="0" xfId="0" applyFont="1" applyFill="1" applyAlignment="1">
      <alignment horizontal="left" vertical="center"/>
    </xf>
    <xf numFmtId="0" fontId="3" fillId="3" borderId="12" xfId="0" applyFont="1" applyFill="1" applyBorder="1" applyAlignment="1">
      <alignment horizontal="center" vertical="center" wrapText="1"/>
    </xf>
    <xf numFmtId="0" fontId="14" fillId="26" borderId="21" xfId="0" applyFont="1" applyFill="1" applyBorder="1" applyAlignment="1">
      <alignment horizontal="left" vertical="center"/>
    </xf>
    <xf numFmtId="0" fontId="14" fillId="26" borderId="20" xfId="0" applyFont="1" applyFill="1" applyBorder="1" applyAlignment="1">
      <alignment horizontal="left" vertical="center"/>
    </xf>
    <xf numFmtId="0" fontId="14" fillId="26" borderId="22" xfId="0" applyFont="1" applyFill="1" applyBorder="1" applyAlignment="1">
      <alignment horizontal="left" vertical="center"/>
    </xf>
    <xf numFmtId="0" fontId="14" fillId="0" borderId="0" xfId="0" applyFont="1" applyAlignment="1">
      <alignment horizontal="left" vertical="center"/>
    </xf>
    <xf numFmtId="4" fontId="14" fillId="0" borderId="0" xfId="0" applyNumberFormat="1" applyFont="1" applyAlignment="1">
      <alignment horizontal="right" vertical="center"/>
    </xf>
    <xf numFmtId="4" fontId="14" fillId="0" borderId="0" xfId="0" applyNumberFormat="1" applyFont="1" applyAlignment="1">
      <alignment horizontal="left" vertical="center"/>
    </xf>
    <xf numFmtId="0" fontId="14" fillId="0" borderId="21" xfId="0" applyFont="1" applyBorder="1" applyAlignment="1">
      <alignment horizontal="left" vertical="center"/>
    </xf>
    <xf numFmtId="0" fontId="14" fillId="0" borderId="20" xfId="0" applyFont="1" applyBorder="1" applyAlignment="1">
      <alignment horizontal="left" vertical="center"/>
    </xf>
    <xf numFmtId="0" fontId="14" fillId="0" borderId="22" xfId="0" applyFont="1" applyBorder="1" applyAlignment="1">
      <alignment horizontal="left" vertical="center"/>
    </xf>
    <xf numFmtId="4" fontId="14" fillId="18" borderId="0" xfId="0" applyNumberFormat="1" applyFont="1" applyFill="1" applyAlignment="1">
      <alignment horizontal="right" vertical="center"/>
    </xf>
    <xf numFmtId="4" fontId="35" fillId="18" borderId="0" xfId="0" applyNumberFormat="1" applyFont="1" applyFill="1" applyAlignment="1">
      <alignment horizontal="right" vertical="center"/>
    </xf>
    <xf numFmtId="0" fontId="35" fillId="18" borderId="0" xfId="0" applyFont="1" applyFill="1" applyAlignment="1">
      <alignment horizontal="left" vertical="center"/>
    </xf>
    <xf numFmtId="0" fontId="14" fillId="26" borderId="3" xfId="0" applyFont="1" applyFill="1" applyBorder="1" applyAlignment="1">
      <alignment horizontal="left" vertical="center"/>
    </xf>
    <xf numFmtId="0" fontId="14" fillId="26" borderId="4" xfId="0" applyFont="1" applyFill="1" applyBorder="1" applyAlignment="1">
      <alignment horizontal="left" vertical="center"/>
    </xf>
    <xf numFmtId="0" fontId="14" fillId="26" borderId="5" xfId="0" applyFont="1" applyFill="1" applyBorder="1" applyAlignment="1">
      <alignment horizontal="left" vertical="center"/>
    </xf>
    <xf numFmtId="0" fontId="14" fillId="0" borderId="0" xfId="0" applyFont="1" applyAlignment="1">
      <alignment horizontal="right" vertical="center"/>
    </xf>
    <xf numFmtId="4" fontId="35" fillId="18" borderId="0" xfId="0" applyNumberFormat="1" applyFont="1" applyFill="1" applyAlignment="1">
      <alignment horizontal="left" vertical="center"/>
    </xf>
    <xf numFmtId="0" fontId="28" fillId="3" borderId="8" xfId="0" applyFont="1" applyFill="1" applyBorder="1" applyAlignment="1">
      <alignment horizontal="center" vertical="center" wrapText="1"/>
    </xf>
    <xf numFmtId="0" fontId="28" fillId="3" borderId="0" xfId="0" applyFont="1" applyFill="1" applyAlignment="1">
      <alignment horizontal="center" vertical="center" wrapText="1"/>
    </xf>
    <xf numFmtId="0" fontId="24" fillId="18" borderId="0" xfId="4" applyNumberFormat="1" applyFont="1" applyFill="1" applyBorder="1" applyAlignment="1" applyProtection="1">
      <alignment horizontal="center" vertical="center"/>
    </xf>
    <xf numFmtId="0" fontId="24" fillId="18" borderId="12" xfId="4" applyNumberFormat="1" applyFont="1" applyFill="1" applyBorder="1" applyAlignment="1" applyProtection="1">
      <alignment horizontal="center" vertical="center"/>
    </xf>
    <xf numFmtId="168" fontId="29" fillId="18" borderId="10" xfId="4" applyNumberFormat="1" applyFont="1" applyFill="1" applyBorder="1" applyAlignment="1" applyProtection="1">
      <alignment horizontal="center" vertical="center"/>
    </xf>
    <xf numFmtId="168" fontId="29" fillId="18" borderId="9" xfId="4" applyNumberFormat="1" applyFont="1" applyFill="1" applyBorder="1" applyAlignment="1" applyProtection="1">
      <alignment horizontal="center" vertical="center"/>
    </xf>
    <xf numFmtId="168" fontId="29" fillId="18" borderId="8" xfId="4" applyNumberFormat="1" applyFont="1" applyFill="1" applyBorder="1" applyAlignment="1" applyProtection="1">
      <alignment horizontal="center" vertical="center"/>
    </xf>
    <xf numFmtId="168" fontId="29" fillId="18" borderId="0" xfId="4" applyNumberFormat="1" applyFont="1" applyFill="1" applyBorder="1" applyAlignment="1" applyProtection="1">
      <alignment horizontal="center" vertical="center"/>
    </xf>
    <xf numFmtId="0" fontId="14" fillId="18" borderId="0" xfId="0" applyFont="1" applyFill="1" applyAlignment="1">
      <alignment horizontal="left" vertical="center"/>
    </xf>
    <xf numFmtId="0" fontId="14" fillId="3" borderId="0" xfId="0" applyFont="1" applyFill="1" applyAlignment="1">
      <alignment horizontal="left" vertical="center"/>
    </xf>
    <xf numFmtId="170" fontId="24" fillId="18" borderId="0" xfId="5" applyNumberFormat="1" applyFont="1" applyFill="1" applyAlignment="1" applyProtection="1">
      <alignment horizontal="center" vertical="center"/>
    </xf>
    <xf numFmtId="0" fontId="3" fillId="18" borderId="13" xfId="0" applyFont="1" applyFill="1" applyBorder="1" applyAlignment="1">
      <alignment horizontal="left" vertical="center" wrapText="1"/>
    </xf>
    <xf numFmtId="0" fontId="3" fillId="18" borderId="55" xfId="0" applyFont="1" applyFill="1" applyBorder="1" applyAlignment="1">
      <alignment horizontal="left" vertical="center" wrapText="1"/>
    </xf>
    <xf numFmtId="0" fontId="3" fillId="18" borderId="2" xfId="0" applyFont="1" applyFill="1" applyBorder="1" applyAlignment="1">
      <alignment horizontal="center" vertical="center" wrapText="1"/>
    </xf>
    <xf numFmtId="0" fontId="3" fillId="18" borderId="0" xfId="0" applyFont="1" applyFill="1" applyAlignment="1">
      <alignment horizontal="center" vertical="center" wrapText="1"/>
    </xf>
    <xf numFmtId="0" fontId="3" fillId="18" borderId="24" xfId="0" applyFont="1" applyFill="1" applyBorder="1" applyAlignment="1">
      <alignment horizontal="center" vertical="center" wrapText="1"/>
    </xf>
    <xf numFmtId="165" fontId="28" fillId="18" borderId="9" xfId="0" applyNumberFormat="1" applyFont="1" applyFill="1" applyBorder="1" applyAlignment="1">
      <alignment horizontal="left" vertical="center"/>
    </xf>
    <xf numFmtId="168" fontId="28" fillId="18" borderId="31" xfId="4" applyNumberFormat="1" applyFont="1" applyFill="1" applyBorder="1" applyAlignment="1" applyProtection="1">
      <alignment horizontal="center" vertical="center"/>
    </xf>
    <xf numFmtId="168" fontId="28" fillId="18" borderId="9" xfId="4" applyNumberFormat="1" applyFont="1" applyFill="1" applyBorder="1" applyAlignment="1" applyProtection="1">
      <alignment horizontal="center" vertical="center"/>
    </xf>
    <xf numFmtId="168" fontId="28" fillId="18" borderId="31" xfId="0" applyNumberFormat="1" applyFont="1" applyFill="1" applyBorder="1" applyAlignment="1">
      <alignment horizontal="center" vertical="center"/>
    </xf>
    <xf numFmtId="168" fontId="28" fillId="18" borderId="32" xfId="0" applyNumberFormat="1" applyFont="1" applyFill="1" applyBorder="1" applyAlignment="1">
      <alignment horizontal="center" vertical="center"/>
    </xf>
    <xf numFmtId="0" fontId="3" fillId="3" borderId="13" xfId="0" applyFont="1" applyFill="1" applyBorder="1" applyAlignment="1">
      <alignment horizontal="left" vertical="center" wrapText="1"/>
    </xf>
    <xf numFmtId="0" fontId="3" fillId="3" borderId="27" xfId="0" applyFont="1" applyFill="1" applyBorder="1" applyAlignment="1">
      <alignment horizontal="left" vertical="center" wrapText="1"/>
    </xf>
    <xf numFmtId="0" fontId="3" fillId="18" borderId="27" xfId="0" applyFont="1" applyFill="1" applyBorder="1" applyAlignment="1">
      <alignment horizontal="left" vertical="center" wrapText="1"/>
    </xf>
    <xf numFmtId="165" fontId="29" fillId="18" borderId="0" xfId="0" applyNumberFormat="1" applyFont="1" applyFill="1" applyAlignment="1">
      <alignment horizontal="left" vertical="center"/>
    </xf>
    <xf numFmtId="168" fontId="29" fillId="18" borderId="38" xfId="4" applyNumberFormat="1" applyFont="1" applyFill="1" applyBorder="1" applyAlignment="1" applyProtection="1">
      <alignment horizontal="center" vertical="center"/>
    </xf>
    <xf numFmtId="168" fontId="29" fillId="18" borderId="39" xfId="4" applyNumberFormat="1" applyFont="1" applyFill="1" applyBorder="1" applyAlignment="1" applyProtection="1">
      <alignment horizontal="center" vertical="center"/>
    </xf>
    <xf numFmtId="168" fontId="28" fillId="18" borderId="2" xfId="0" applyNumberFormat="1" applyFont="1" applyFill="1" applyBorder="1" applyAlignment="1">
      <alignment horizontal="center" vertical="center"/>
    </xf>
    <xf numFmtId="168" fontId="28" fillId="18" borderId="24" xfId="0" applyNumberFormat="1" applyFont="1" applyFill="1" applyBorder="1" applyAlignment="1">
      <alignment horizontal="center" vertical="center"/>
    </xf>
    <xf numFmtId="0" fontId="28" fillId="18" borderId="7" xfId="0" applyFont="1" applyFill="1" applyBorder="1" applyAlignment="1">
      <alignment horizontal="left" vertical="center"/>
    </xf>
    <xf numFmtId="168" fontId="28" fillId="18" borderId="17" xfId="4" applyNumberFormat="1" applyFont="1" applyFill="1" applyBorder="1" applyAlignment="1" applyProtection="1">
      <alignment horizontal="center" vertical="center"/>
    </xf>
    <xf numFmtId="168" fontId="28" fillId="18" borderId="19" xfId="4" applyNumberFormat="1" applyFont="1" applyFill="1" applyBorder="1" applyAlignment="1" applyProtection="1">
      <alignment horizontal="center" vertical="center"/>
    </xf>
    <xf numFmtId="0" fontId="28" fillId="18" borderId="6" xfId="4" applyNumberFormat="1" applyFont="1" applyFill="1" applyBorder="1" applyAlignment="1" applyProtection="1">
      <alignment horizontal="center" vertical="center"/>
    </xf>
    <xf numFmtId="0" fontId="28" fillId="18" borderId="26" xfId="4" applyNumberFormat="1" applyFont="1" applyFill="1" applyBorder="1" applyAlignment="1" applyProtection="1">
      <alignment horizontal="center" vertical="center"/>
    </xf>
    <xf numFmtId="165" fontId="28" fillId="18" borderId="0" xfId="0" applyNumberFormat="1" applyFont="1" applyFill="1" applyAlignment="1">
      <alignment horizontal="left" vertical="center"/>
    </xf>
    <xf numFmtId="168" fontId="28" fillId="18" borderId="2" xfId="4" applyNumberFormat="1" applyFont="1" applyFill="1" applyBorder="1" applyAlignment="1" applyProtection="1">
      <alignment horizontal="center" vertical="center"/>
    </xf>
    <xf numFmtId="168" fontId="28" fillId="18" borderId="40" xfId="4" applyNumberFormat="1" applyFont="1" applyFill="1" applyBorder="1" applyAlignment="1" applyProtection="1">
      <alignment horizontal="center" vertical="center"/>
    </xf>
    <xf numFmtId="168" fontId="29" fillId="18" borderId="2" xfId="4" applyNumberFormat="1" applyFont="1" applyFill="1" applyBorder="1" applyAlignment="1" applyProtection="1">
      <alignment horizontal="center" vertical="center"/>
    </xf>
    <xf numFmtId="168" fontId="29" fillId="18" borderId="40" xfId="4" applyNumberFormat="1" applyFont="1" applyFill="1" applyBorder="1" applyAlignment="1" applyProtection="1">
      <alignment horizontal="center" vertical="center"/>
    </xf>
    <xf numFmtId="172" fontId="29" fillId="18" borderId="17" xfId="4" applyNumberFormat="1" applyFont="1" applyFill="1" applyBorder="1" applyAlignment="1" applyProtection="1">
      <alignment horizontal="center" vertical="center"/>
    </xf>
    <xf numFmtId="172" fontId="29" fillId="18" borderId="47" xfId="4" applyNumberFormat="1" applyFont="1" applyFill="1" applyBorder="1" applyAlignment="1" applyProtection="1">
      <alignment horizontal="center" vertical="center"/>
    </xf>
    <xf numFmtId="0" fontId="28" fillId="3" borderId="17" xfId="0" applyFont="1" applyFill="1" applyBorder="1" applyAlignment="1">
      <alignment horizontal="center" vertical="center" wrapText="1"/>
    </xf>
    <xf numFmtId="0" fontId="28" fillId="3" borderId="19" xfId="0" applyFont="1" applyFill="1" applyBorder="1" applyAlignment="1">
      <alignment horizontal="center" vertical="center" wrapText="1"/>
    </xf>
    <xf numFmtId="2" fontId="28" fillId="3" borderId="17" xfId="0" applyNumberFormat="1" applyFont="1" applyFill="1" applyBorder="1" applyAlignment="1">
      <alignment horizontal="center" vertical="center" wrapText="1"/>
    </xf>
    <xf numFmtId="2" fontId="28" fillId="3" borderId="19" xfId="0" applyNumberFormat="1" applyFont="1" applyFill="1" applyBorder="1" applyAlignment="1">
      <alignment horizontal="center" vertical="center" wrapText="1"/>
    </xf>
    <xf numFmtId="0" fontId="3" fillId="18" borderId="8" xfId="0" applyFont="1" applyFill="1" applyBorder="1" applyAlignment="1">
      <alignment horizontal="center" vertical="center" wrapText="1"/>
    </xf>
    <xf numFmtId="172" fontId="3" fillId="18" borderId="10" xfId="0" applyNumberFormat="1" applyFont="1" applyFill="1" applyBorder="1" applyAlignment="1">
      <alignment horizontal="center" vertical="center"/>
    </xf>
    <xf numFmtId="172" fontId="3" fillId="18" borderId="9" xfId="0" applyNumberFormat="1" applyFont="1" applyFill="1" applyBorder="1" applyAlignment="1">
      <alignment horizontal="center" vertical="center"/>
    </xf>
    <xf numFmtId="172" fontId="3" fillId="18" borderId="8" xfId="0" applyNumberFormat="1" applyFont="1" applyFill="1" applyBorder="1" applyAlignment="1">
      <alignment horizontal="center" vertical="center"/>
    </xf>
    <xf numFmtId="172" fontId="3" fillId="18" borderId="0" xfId="0" applyNumberFormat="1" applyFont="1" applyFill="1" applyAlignment="1">
      <alignment horizontal="center" vertical="center"/>
    </xf>
    <xf numFmtId="172" fontId="28" fillId="18" borderId="8" xfId="0" applyNumberFormat="1" applyFont="1" applyFill="1" applyBorder="1" applyAlignment="1">
      <alignment horizontal="center" vertical="center"/>
    </xf>
    <xf numFmtId="172" fontId="28" fillId="18" borderId="24" xfId="0" applyNumberFormat="1" applyFont="1" applyFill="1" applyBorder="1" applyAlignment="1">
      <alignment horizontal="center" vertical="center"/>
    </xf>
    <xf numFmtId="172" fontId="31" fillId="18" borderId="0" xfId="0" applyNumberFormat="1" applyFont="1" applyFill="1" applyAlignment="1">
      <alignment horizontal="center"/>
    </xf>
    <xf numFmtId="172" fontId="3" fillId="18" borderId="11" xfId="0" applyNumberFormat="1" applyFont="1" applyFill="1" applyBorder="1" applyAlignment="1">
      <alignment horizontal="center" vertical="center"/>
    </xf>
    <xf numFmtId="172" fontId="3" fillId="18" borderId="36" xfId="0" applyNumberFormat="1" applyFont="1" applyFill="1" applyBorder="1" applyAlignment="1">
      <alignment horizontal="center" vertical="center"/>
    </xf>
    <xf numFmtId="168" fontId="29" fillId="18" borderId="8" xfId="4" applyNumberFormat="1" applyFont="1" applyFill="1" applyBorder="1" applyAlignment="1" applyProtection="1">
      <alignment horizontal="center" vertical="center" wrapText="1"/>
    </xf>
    <xf numFmtId="168" fontId="29" fillId="18" borderId="40" xfId="4" applyNumberFormat="1" applyFont="1" applyFill="1" applyBorder="1" applyAlignment="1" applyProtection="1">
      <alignment horizontal="center" vertical="center" wrapText="1"/>
    </xf>
    <xf numFmtId="168" fontId="29" fillId="18" borderId="2" xfId="0" applyNumberFormat="1" applyFont="1" applyFill="1" applyBorder="1" applyAlignment="1">
      <alignment horizontal="center" vertical="center" wrapText="1"/>
    </xf>
    <xf numFmtId="168" fontId="29" fillId="18" borderId="0" xfId="0" applyNumberFormat="1" applyFont="1" applyFill="1" applyAlignment="1">
      <alignment horizontal="center" vertical="center" wrapText="1"/>
    </xf>
    <xf numFmtId="168" fontId="29" fillId="18" borderId="11" xfId="0" applyNumberFormat="1" applyFont="1" applyFill="1" applyBorder="1" applyAlignment="1">
      <alignment horizontal="center" vertical="center" wrapText="1"/>
    </xf>
    <xf numFmtId="168" fontId="29" fillId="18" borderId="36" xfId="0" applyNumberFormat="1" applyFont="1" applyFill="1" applyBorder="1" applyAlignment="1">
      <alignment horizontal="center" vertical="center" wrapText="1"/>
    </xf>
    <xf numFmtId="168" fontId="29" fillId="18" borderId="12" xfId="0" applyNumberFormat="1" applyFont="1" applyFill="1" applyBorder="1" applyAlignment="1">
      <alignment horizontal="center" vertical="center" wrapText="1"/>
    </xf>
    <xf numFmtId="0" fontId="29" fillId="3" borderId="8" xfId="0" applyFont="1" applyFill="1" applyBorder="1" applyAlignment="1">
      <alignment horizontal="center" vertical="center" wrapText="1"/>
    </xf>
    <xf numFmtId="0" fontId="29" fillId="3" borderId="0" xfId="0" applyFont="1" applyFill="1" applyAlignment="1">
      <alignment horizontal="center" vertical="center" wrapText="1"/>
    </xf>
    <xf numFmtId="167" fontId="29" fillId="3" borderId="8" xfId="0" applyNumberFormat="1" applyFont="1" applyFill="1" applyBorder="1" applyAlignment="1">
      <alignment horizontal="center" vertical="center" wrapText="1"/>
    </xf>
    <xf numFmtId="167" fontId="29" fillId="3" borderId="0" xfId="0" applyNumberFormat="1" applyFont="1" applyFill="1" applyAlignment="1">
      <alignment horizontal="center" vertical="center" wrapText="1"/>
    </xf>
    <xf numFmtId="170" fontId="29" fillId="18" borderId="8" xfId="0" applyNumberFormat="1" applyFont="1" applyFill="1" applyBorder="1" applyAlignment="1">
      <alignment horizontal="center" vertical="center"/>
    </xf>
    <xf numFmtId="170" fontId="29" fillId="18" borderId="24" xfId="0" applyNumberFormat="1" applyFont="1" applyFill="1" applyBorder="1" applyAlignment="1">
      <alignment horizontal="center" vertical="center"/>
    </xf>
    <xf numFmtId="170" fontId="29" fillId="18" borderId="8" xfId="4" applyNumberFormat="1" applyFont="1" applyFill="1" applyBorder="1" applyAlignment="1" applyProtection="1">
      <alignment horizontal="center" vertical="center" wrapText="1"/>
    </xf>
    <xf numFmtId="170" fontId="29" fillId="18" borderId="0" xfId="4" applyNumberFormat="1" applyFont="1" applyFill="1" applyBorder="1" applyAlignment="1" applyProtection="1">
      <alignment horizontal="center" vertical="center" wrapText="1"/>
    </xf>
    <xf numFmtId="168" fontId="29" fillId="18" borderId="17" xfId="4" applyNumberFormat="1" applyFont="1" applyFill="1" applyBorder="1" applyAlignment="1" applyProtection="1">
      <alignment horizontal="center" vertical="center"/>
    </xf>
    <xf numFmtId="168" fontId="29" fillId="18" borderId="47" xfId="4" applyNumberFormat="1" applyFont="1" applyFill="1" applyBorder="1" applyAlignment="1" applyProtection="1">
      <alignment horizontal="center" vertical="center"/>
    </xf>
    <xf numFmtId="168" fontId="29" fillId="18" borderId="19" xfId="4" applyNumberFormat="1" applyFont="1" applyFill="1" applyBorder="1" applyAlignment="1" applyProtection="1">
      <alignment horizontal="center" vertical="center"/>
    </xf>
    <xf numFmtId="0" fontId="28" fillId="3" borderId="16" xfId="0" applyFont="1" applyFill="1" applyBorder="1" applyAlignment="1">
      <alignment horizontal="center" vertical="center" wrapText="1"/>
    </xf>
    <xf numFmtId="0" fontId="28" fillId="3" borderId="18" xfId="0" applyFont="1" applyFill="1" applyBorder="1" applyAlignment="1">
      <alignment horizontal="center" vertical="center" wrapText="1"/>
    </xf>
    <xf numFmtId="2" fontId="28" fillId="3" borderId="16" xfId="0" applyNumberFormat="1" applyFont="1" applyFill="1" applyBorder="1" applyAlignment="1">
      <alignment horizontal="center" vertical="center" wrapText="1"/>
    </xf>
    <xf numFmtId="2" fontId="28" fillId="3" borderId="18" xfId="0" applyNumberFormat="1" applyFont="1" applyFill="1" applyBorder="1" applyAlignment="1">
      <alignment horizontal="center" vertical="center" wrapText="1"/>
    </xf>
    <xf numFmtId="170" fontId="29" fillId="18" borderId="10" xfId="0" applyNumberFormat="1" applyFont="1" applyFill="1" applyBorder="1" applyAlignment="1">
      <alignment horizontal="center" vertical="center"/>
    </xf>
    <xf numFmtId="170" fontId="29" fillId="18" borderId="32" xfId="0" applyNumberFormat="1" applyFont="1" applyFill="1" applyBorder="1" applyAlignment="1">
      <alignment horizontal="center" vertical="center"/>
    </xf>
    <xf numFmtId="170" fontId="29" fillId="18" borderId="10" xfId="4" applyNumberFormat="1" applyFont="1" applyFill="1" applyBorder="1" applyAlignment="1" applyProtection="1">
      <alignment horizontal="center" vertical="center" wrapText="1"/>
    </xf>
    <xf numFmtId="170" fontId="29" fillId="18" borderId="9" xfId="4" applyNumberFormat="1" applyFont="1" applyFill="1" applyBorder="1" applyAlignment="1" applyProtection="1">
      <alignment horizontal="center" vertical="center" wrapText="1"/>
    </xf>
    <xf numFmtId="170" fontId="29" fillId="18" borderId="17" xfId="4" applyNumberFormat="1" applyFont="1" applyFill="1" applyBorder="1" applyAlignment="1" applyProtection="1">
      <alignment horizontal="center" vertical="center" wrapText="1"/>
    </xf>
    <xf numFmtId="170" fontId="29" fillId="18" borderId="47" xfId="4" applyNumberFormat="1" applyFont="1" applyFill="1" applyBorder="1" applyAlignment="1" applyProtection="1">
      <alignment horizontal="center" vertical="center" wrapText="1"/>
    </xf>
    <xf numFmtId="170" fontId="29" fillId="18" borderId="19" xfId="4" applyNumberFormat="1" applyFont="1" applyFill="1" applyBorder="1" applyAlignment="1" applyProtection="1">
      <alignment horizontal="center" vertical="center" wrapText="1"/>
    </xf>
    <xf numFmtId="0" fontId="20" fillId="18" borderId="15" xfId="0" applyFont="1" applyFill="1" applyBorder="1" applyAlignment="1">
      <alignment horizontal="center" vertical="center"/>
    </xf>
    <xf numFmtId="172" fontId="20" fillId="18" borderId="10" xfId="0" applyNumberFormat="1" applyFont="1" applyFill="1" applyBorder="1" applyAlignment="1">
      <alignment horizontal="center" vertical="center"/>
    </xf>
    <xf numFmtId="172" fontId="20" fillId="18" borderId="9" xfId="0" applyNumberFormat="1" applyFont="1" applyFill="1" applyBorder="1" applyAlignment="1">
      <alignment horizontal="center" vertical="center"/>
    </xf>
    <xf numFmtId="170" fontId="29" fillId="18" borderId="8" xfId="0" applyNumberFormat="1" applyFont="1" applyFill="1" applyBorder="1" applyAlignment="1">
      <alignment horizontal="center" vertical="center" wrapText="1"/>
    </xf>
    <xf numFmtId="170" fontId="29" fillId="18" borderId="24" xfId="0" applyNumberFormat="1" applyFont="1" applyFill="1" applyBorder="1" applyAlignment="1">
      <alignment horizontal="center" vertical="center" wrapText="1"/>
    </xf>
    <xf numFmtId="168" fontId="29" fillId="18" borderId="16" xfId="0" applyNumberFormat="1" applyFont="1" applyFill="1" applyBorder="1" applyAlignment="1">
      <alignment horizontal="center" vertical="center"/>
    </xf>
    <xf numFmtId="168" fontId="29" fillId="18" borderId="48" xfId="0" applyNumberFormat="1" applyFont="1" applyFill="1" applyBorder="1" applyAlignment="1">
      <alignment horizontal="center" vertical="center"/>
    </xf>
    <xf numFmtId="168" fontId="28" fillId="18" borderId="11" xfId="0" applyNumberFormat="1" applyFont="1" applyFill="1" applyBorder="1" applyAlignment="1">
      <alignment horizontal="center" vertical="center"/>
    </xf>
    <xf numFmtId="168" fontId="28" fillId="18" borderId="36" xfId="0" applyNumberFormat="1" applyFont="1" applyFill="1" applyBorder="1" applyAlignment="1">
      <alignment horizontal="center" vertical="center"/>
    </xf>
    <xf numFmtId="0" fontId="28" fillId="3" borderId="8" xfId="0" applyFont="1" applyFill="1" applyBorder="1" applyAlignment="1">
      <alignment horizontal="center" vertical="center"/>
    </xf>
    <xf numFmtId="0" fontId="28" fillId="3" borderId="0" xfId="0" applyFont="1" applyFill="1" applyAlignment="1">
      <alignment horizontal="center" vertical="center"/>
    </xf>
    <xf numFmtId="172" fontId="20" fillId="18" borderId="51" xfId="0" applyNumberFormat="1" applyFont="1" applyFill="1" applyBorder="1" applyAlignment="1">
      <alignment horizontal="center" vertical="center"/>
    </xf>
    <xf numFmtId="172" fontId="20" fillId="18" borderId="56" xfId="0" applyNumberFormat="1" applyFont="1" applyFill="1" applyBorder="1" applyAlignment="1">
      <alignment horizontal="center" vertical="center"/>
    </xf>
    <xf numFmtId="172" fontId="20" fillId="18" borderId="46" xfId="0" applyNumberFormat="1" applyFont="1" applyFill="1" applyBorder="1" applyAlignment="1">
      <alignment horizontal="center" vertical="center"/>
    </xf>
    <xf numFmtId="172" fontId="20" fillId="18" borderId="8" xfId="0" applyNumberFormat="1" applyFont="1" applyFill="1" applyBorder="1" applyAlignment="1">
      <alignment horizontal="center" vertical="center"/>
    </xf>
    <xf numFmtId="172" fontId="20" fillId="18" borderId="52" xfId="0" applyNumberFormat="1" applyFont="1" applyFill="1" applyBorder="1" applyAlignment="1">
      <alignment horizontal="center" vertical="center"/>
    </xf>
    <xf numFmtId="172" fontId="20" fillId="18" borderId="44" xfId="0" applyNumberFormat="1" applyFont="1" applyFill="1" applyBorder="1" applyAlignment="1">
      <alignment horizontal="center" vertical="center"/>
    </xf>
    <xf numFmtId="172" fontId="20" fillId="18" borderId="0" xfId="0" applyNumberFormat="1" applyFont="1" applyFill="1" applyAlignment="1">
      <alignment horizontal="center" vertical="center"/>
    </xf>
    <xf numFmtId="172" fontId="20" fillId="18" borderId="24" xfId="0" applyNumberFormat="1" applyFont="1" applyFill="1" applyBorder="1" applyAlignment="1">
      <alignment horizontal="center" vertical="center"/>
    </xf>
    <xf numFmtId="172" fontId="19" fillId="18" borderId="8" xfId="0" applyNumberFormat="1" applyFont="1" applyFill="1" applyBorder="1" applyAlignment="1">
      <alignment horizontal="center" vertical="center"/>
    </xf>
    <xf numFmtId="172" fontId="19" fillId="18" borderId="24" xfId="0" applyNumberFormat="1" applyFont="1" applyFill="1" applyBorder="1" applyAlignment="1">
      <alignment horizontal="center" vertical="center"/>
    </xf>
    <xf numFmtId="172" fontId="19" fillId="18" borderId="11" xfId="0" applyNumberFormat="1" applyFont="1" applyFill="1" applyBorder="1" applyAlignment="1">
      <alignment horizontal="center" vertical="center"/>
    </xf>
    <xf numFmtId="172" fontId="19" fillId="18" borderId="36" xfId="0" applyNumberFormat="1" applyFont="1" applyFill="1" applyBorder="1" applyAlignment="1">
      <alignment horizontal="center" vertical="center"/>
    </xf>
    <xf numFmtId="172" fontId="19" fillId="18" borderId="17" xfId="4" applyNumberFormat="1" applyFont="1" applyFill="1" applyBorder="1" applyAlignment="1" applyProtection="1">
      <alignment horizontal="center" vertical="center"/>
    </xf>
    <xf numFmtId="172" fontId="19" fillId="18" borderId="47" xfId="4" applyNumberFormat="1" applyFont="1" applyFill="1" applyBorder="1" applyAlignment="1" applyProtection="1">
      <alignment horizontal="center" vertical="center"/>
    </xf>
    <xf numFmtId="14" fontId="29" fillId="18" borderId="10" xfId="4" applyNumberFormat="1" applyFont="1" applyFill="1" applyBorder="1" applyAlignment="1" applyProtection="1">
      <alignment horizontal="center" vertical="center" wrapText="1"/>
    </xf>
    <xf numFmtId="14" fontId="29" fillId="18" borderId="32" xfId="4" applyNumberFormat="1" applyFont="1" applyFill="1" applyBorder="1" applyAlignment="1" applyProtection="1">
      <alignment horizontal="center" vertical="center" wrapText="1"/>
    </xf>
    <xf numFmtId="3" fontId="29" fillId="18" borderId="10" xfId="4" applyNumberFormat="1" applyFont="1" applyFill="1" applyBorder="1" applyAlignment="1" applyProtection="1">
      <alignment horizontal="center" vertical="center"/>
    </xf>
    <xf numFmtId="3" fontId="29" fillId="18" borderId="32" xfId="4" applyNumberFormat="1" applyFont="1" applyFill="1" applyBorder="1" applyAlignment="1" applyProtection="1">
      <alignment horizontal="center" vertical="center"/>
    </xf>
    <xf numFmtId="173" fontId="29" fillId="18" borderId="10" xfId="4" applyNumberFormat="1" applyFont="1" applyFill="1" applyBorder="1" applyAlignment="1" applyProtection="1">
      <alignment horizontal="center" vertical="center"/>
    </xf>
    <xf numFmtId="173" fontId="29" fillId="18" borderId="9" xfId="4" applyNumberFormat="1" applyFont="1" applyFill="1" applyBorder="1" applyAlignment="1" applyProtection="1">
      <alignment horizontal="center" vertical="center"/>
    </xf>
    <xf numFmtId="14" fontId="29" fillId="18" borderId="8" xfId="4" applyNumberFormat="1" applyFont="1" applyFill="1" applyBorder="1" applyAlignment="1" applyProtection="1">
      <alignment horizontal="center" vertical="center" wrapText="1"/>
    </xf>
    <xf numFmtId="14" fontId="29" fillId="18" borderId="24" xfId="4" applyNumberFormat="1" applyFont="1" applyFill="1" applyBorder="1" applyAlignment="1" applyProtection="1">
      <alignment horizontal="center" vertical="center" wrapText="1"/>
    </xf>
    <xf numFmtId="3" fontId="29" fillId="18" borderId="8" xfId="4" applyNumberFormat="1" applyFont="1" applyFill="1" applyBorder="1" applyAlignment="1" applyProtection="1">
      <alignment horizontal="center" vertical="center"/>
    </xf>
    <xf numFmtId="3" fontId="29" fillId="18" borderId="24" xfId="4" applyNumberFormat="1" applyFont="1" applyFill="1" applyBorder="1" applyAlignment="1" applyProtection="1">
      <alignment horizontal="center" vertical="center"/>
    </xf>
    <xf numFmtId="173" fontId="29" fillId="18" borderId="8" xfId="4" applyNumberFormat="1" applyFont="1" applyFill="1" applyBorder="1" applyAlignment="1" applyProtection="1">
      <alignment horizontal="center" vertical="center"/>
    </xf>
    <xf numFmtId="173" fontId="29" fillId="18" borderId="0" xfId="4" applyNumberFormat="1" applyFont="1" applyFill="1" applyBorder="1" applyAlignment="1" applyProtection="1">
      <alignment horizontal="center" vertical="center"/>
    </xf>
    <xf numFmtId="172" fontId="19" fillId="18" borderId="54" xfId="4" applyNumberFormat="1" applyFont="1" applyFill="1" applyBorder="1" applyAlignment="1" applyProtection="1">
      <alignment horizontal="center" vertical="center"/>
    </xf>
    <xf numFmtId="172" fontId="19" fillId="18" borderId="43" xfId="4" applyNumberFormat="1" applyFont="1" applyFill="1" applyBorder="1" applyAlignment="1" applyProtection="1">
      <alignment horizontal="center" vertical="center"/>
    </xf>
    <xf numFmtId="166" fontId="28" fillId="3" borderId="8" xfId="0" applyNumberFormat="1" applyFont="1" applyFill="1" applyBorder="1" applyAlignment="1">
      <alignment horizontal="center" vertical="center" wrapText="1"/>
    </xf>
    <xf numFmtId="166" fontId="28" fillId="3" borderId="0" xfId="0" applyNumberFormat="1" applyFont="1" applyFill="1" applyAlignment="1">
      <alignment horizontal="center" vertical="center" wrapText="1"/>
    </xf>
    <xf numFmtId="14" fontId="29" fillId="18" borderId="11" xfId="4" applyNumberFormat="1" applyFont="1" applyFill="1" applyBorder="1" applyAlignment="1" applyProtection="1">
      <alignment horizontal="center" vertical="center" wrapText="1"/>
    </xf>
    <xf numFmtId="14" fontId="29" fillId="18" borderId="36" xfId="4" applyNumberFormat="1" applyFont="1" applyFill="1" applyBorder="1" applyAlignment="1" applyProtection="1">
      <alignment horizontal="center" vertical="center" wrapText="1"/>
    </xf>
    <xf numFmtId="3" fontId="29" fillId="18" borderId="11" xfId="4" applyNumberFormat="1" applyFont="1" applyFill="1" applyBorder="1" applyAlignment="1" applyProtection="1">
      <alignment horizontal="center" vertical="center"/>
    </xf>
    <xf numFmtId="3" fontId="29" fillId="18" borderId="36" xfId="4" applyNumberFormat="1" applyFont="1" applyFill="1" applyBorder="1" applyAlignment="1" applyProtection="1">
      <alignment horizontal="center" vertical="center"/>
    </xf>
    <xf numFmtId="173" fontId="29" fillId="18" borderId="11" xfId="4" applyNumberFormat="1" applyFont="1" applyFill="1" applyBorder="1" applyAlignment="1" applyProtection="1">
      <alignment horizontal="center" vertical="center"/>
    </xf>
    <xf numFmtId="173" fontId="29" fillId="18" borderId="12" xfId="4" applyNumberFormat="1" applyFont="1" applyFill="1" applyBorder="1" applyAlignment="1" applyProtection="1">
      <alignment horizontal="center" vertical="center"/>
    </xf>
    <xf numFmtId="0" fontId="28" fillId="3" borderId="0" xfId="0" applyFont="1" applyFill="1" applyAlignment="1">
      <alignment horizontal="left" vertical="center" wrapText="1"/>
    </xf>
    <xf numFmtId="2" fontId="28" fillId="3" borderId="14" xfId="0" applyNumberFormat="1" applyFont="1" applyFill="1" applyBorder="1" applyAlignment="1">
      <alignment horizontal="center" vertical="center" wrapText="1"/>
    </xf>
    <xf numFmtId="2" fontId="28" fillId="3" borderId="27" xfId="0" applyNumberFormat="1" applyFont="1" applyFill="1" applyBorder="1" applyAlignment="1">
      <alignment horizontal="center" vertical="center" wrapText="1"/>
    </xf>
    <xf numFmtId="0" fontId="28" fillId="3" borderId="14" xfId="0" applyFont="1" applyFill="1" applyBorder="1" applyAlignment="1">
      <alignment horizontal="center" vertical="center" wrapText="1"/>
    </xf>
    <xf numFmtId="0" fontId="28" fillId="3" borderId="13" xfId="0" applyFont="1" applyFill="1" applyBorder="1" applyAlignment="1">
      <alignment horizontal="center" vertical="center" wrapText="1"/>
    </xf>
    <xf numFmtId="2" fontId="28" fillId="3" borderId="13" xfId="0" applyNumberFormat="1" applyFont="1" applyFill="1" applyBorder="1" applyAlignment="1">
      <alignment horizontal="center" vertical="center" wrapText="1"/>
    </xf>
    <xf numFmtId="2" fontId="29" fillId="3" borderId="9" xfId="0" applyNumberFormat="1" applyFont="1" applyFill="1" applyBorder="1" applyAlignment="1">
      <alignment horizontal="left" vertical="center"/>
    </xf>
    <xf numFmtId="2" fontId="28" fillId="3" borderId="10" xfId="0" applyNumberFormat="1" applyFont="1" applyFill="1" applyBorder="1" applyAlignment="1">
      <alignment horizontal="center" vertical="center" wrapText="1"/>
    </xf>
    <xf numFmtId="2" fontId="28" fillId="3" borderId="9" xfId="0" applyNumberFormat="1" applyFont="1" applyFill="1" applyBorder="1" applyAlignment="1">
      <alignment horizontal="center" vertical="center" wrapText="1"/>
    </xf>
    <xf numFmtId="2" fontId="28" fillId="3" borderId="32" xfId="0" applyNumberFormat="1" applyFont="1" applyFill="1" applyBorder="1" applyAlignment="1">
      <alignment horizontal="center" vertical="center" wrapText="1"/>
    </xf>
    <xf numFmtId="169" fontId="28" fillId="3" borderId="10" xfId="0" applyNumberFormat="1" applyFont="1" applyFill="1" applyBorder="1" applyAlignment="1">
      <alignment horizontal="center" vertical="center"/>
    </xf>
    <xf numFmtId="169" fontId="28" fillId="3" borderId="9" xfId="0" applyNumberFormat="1" applyFont="1" applyFill="1" applyBorder="1" applyAlignment="1">
      <alignment horizontal="center" vertical="center"/>
    </xf>
    <xf numFmtId="170" fontId="29" fillId="18" borderId="24" xfId="4" applyNumberFormat="1" applyFont="1" applyFill="1" applyBorder="1" applyAlignment="1" applyProtection="1">
      <alignment horizontal="center" vertical="center" wrapText="1"/>
    </xf>
    <xf numFmtId="170" fontId="29" fillId="18" borderId="8" xfId="4" applyNumberFormat="1" applyFont="1" applyFill="1" applyBorder="1" applyAlignment="1" applyProtection="1">
      <alignment horizontal="center" vertical="center"/>
    </xf>
    <xf numFmtId="170" fontId="29" fillId="18" borderId="24" xfId="4" applyNumberFormat="1" applyFont="1" applyFill="1" applyBorder="1" applyAlignment="1" applyProtection="1">
      <alignment horizontal="center" vertical="center"/>
    </xf>
    <xf numFmtId="170" fontId="29" fillId="18" borderId="0" xfId="4" applyNumberFormat="1" applyFont="1" applyFill="1" applyBorder="1" applyAlignment="1" applyProtection="1">
      <alignment horizontal="center" vertical="center"/>
    </xf>
    <xf numFmtId="170" fontId="28" fillId="18" borderId="8" xfId="0" applyNumberFormat="1" applyFont="1" applyFill="1" applyBorder="1" applyAlignment="1">
      <alignment horizontal="center" vertical="center" wrapText="1"/>
    </xf>
    <xf numFmtId="170" fontId="28" fillId="18" borderId="24" xfId="0" applyNumberFormat="1" applyFont="1" applyFill="1" applyBorder="1" applyAlignment="1">
      <alignment horizontal="center" vertical="center" wrapText="1"/>
    </xf>
    <xf numFmtId="170" fontId="28" fillId="18" borderId="0" xfId="0" applyNumberFormat="1" applyFont="1" applyFill="1" applyAlignment="1">
      <alignment horizontal="center" vertical="center" wrapText="1"/>
    </xf>
    <xf numFmtId="0" fontId="28" fillId="3" borderId="18" xfId="0" applyFont="1" applyFill="1" applyBorder="1" applyAlignment="1">
      <alignment horizontal="left" vertical="center" wrapText="1"/>
    </xf>
    <xf numFmtId="169" fontId="28" fillId="3" borderId="16" xfId="0" applyNumberFormat="1" applyFont="1" applyFill="1" applyBorder="1" applyAlignment="1">
      <alignment horizontal="center" vertical="center" wrapText="1"/>
    </xf>
    <xf numFmtId="169" fontId="28" fillId="3" borderId="18" xfId="0" applyNumberFormat="1" applyFont="1" applyFill="1" applyBorder="1" applyAlignment="1">
      <alignment horizontal="center" vertical="center" wrapText="1"/>
    </xf>
    <xf numFmtId="0" fontId="28" fillId="3" borderId="19" xfId="0" applyFont="1" applyFill="1" applyBorder="1" applyAlignment="1">
      <alignment horizontal="left" vertical="center"/>
    </xf>
    <xf numFmtId="2" fontId="19" fillId="18" borderId="17" xfId="4" applyNumberFormat="1" applyFont="1" applyFill="1" applyBorder="1" applyAlignment="1" applyProtection="1">
      <alignment horizontal="center" vertical="center" wrapText="1"/>
    </xf>
    <xf numFmtId="2" fontId="19" fillId="18" borderId="19" xfId="4" applyNumberFormat="1" applyFont="1" applyFill="1" applyBorder="1" applyAlignment="1" applyProtection="1">
      <alignment horizontal="center" vertical="center" wrapText="1"/>
    </xf>
    <xf numFmtId="0" fontId="29" fillId="3" borderId="12" xfId="0" applyFont="1" applyFill="1" applyBorder="1" applyAlignment="1">
      <alignment horizontal="left" vertical="center"/>
    </xf>
    <xf numFmtId="0" fontId="28" fillId="0" borderId="42" xfId="0" applyFont="1" applyBorder="1" applyAlignment="1">
      <alignment horizontal="left" vertical="center" wrapText="1"/>
    </xf>
    <xf numFmtId="0" fontId="28" fillId="0" borderId="43" xfId="0" applyFont="1" applyBorder="1" applyAlignment="1">
      <alignment horizontal="center" vertical="center" wrapText="1"/>
    </xf>
    <xf numFmtId="0" fontId="28" fillId="0" borderId="42" xfId="0" applyFont="1" applyBorder="1" applyAlignment="1">
      <alignment horizontal="center" vertical="center" wrapText="1"/>
    </xf>
    <xf numFmtId="0" fontId="3" fillId="3" borderId="0" xfId="0" applyFont="1" applyFill="1" applyAlignment="1">
      <alignment horizontal="left" vertical="center" wrapText="1"/>
    </xf>
    <xf numFmtId="167" fontId="28" fillId="3" borderId="56" xfId="0" applyNumberFormat="1" applyFont="1" applyFill="1" applyBorder="1" applyAlignment="1">
      <alignment horizontal="center" vertical="center"/>
    </xf>
    <xf numFmtId="167" fontId="28" fillId="3" borderId="57" xfId="0" applyNumberFormat="1" applyFont="1" applyFill="1" applyBorder="1" applyAlignment="1">
      <alignment horizontal="center" vertical="center"/>
    </xf>
    <xf numFmtId="167" fontId="29" fillId="3" borderId="56" xfId="0" applyNumberFormat="1" applyFont="1" applyFill="1" applyBorder="1" applyAlignment="1">
      <alignment horizontal="center" vertical="center"/>
    </xf>
    <xf numFmtId="167" fontId="29" fillId="3" borderId="57" xfId="0" applyNumberFormat="1" applyFont="1" applyFill="1" applyBorder="1" applyAlignment="1">
      <alignment horizontal="center" vertical="center"/>
    </xf>
  </cellXfs>
  <cellStyles count="8">
    <cellStyle name="God" xfId="4" builtinId="26"/>
    <cellStyle name="Komma" xfId="5" builtinId="3"/>
    <cellStyle name="Link" xfId="3" builtinId="8"/>
    <cellStyle name="Neutral" xfId="6" builtinId="28"/>
    <cellStyle name="Normal" xfId="0" builtinId="0"/>
    <cellStyle name="Normal 2" xfId="2" xr:uid="{00000000-0005-0000-0000-000005000000}"/>
    <cellStyle name="Percent 2" xfId="1" xr:uid="{00000000-0005-0000-0000-000006000000}"/>
    <cellStyle name="Procent" xfId="7" builtinId="5"/>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'Business casen'!$A$1</c:f>
              <c:strCache>
                <c:ptCount val="1"/>
              </c:strCache>
            </c:strRef>
          </c:tx>
          <c:yVal>
            <c:numRef>
              <c:f>'Business casen'!$A$2</c:f>
              <c:numCache>
                <c:formatCode>General</c:formatCode>
                <c:ptCount val="1"/>
              </c:numCache>
            </c:numRef>
          </c:yVal>
          <c:smooth val="1"/>
          <c:extLst>
            <c:ext xmlns:c16="http://schemas.microsoft.com/office/drawing/2014/chart" uri="{C3380CC4-5D6E-409C-BE32-E72D297353CC}">
              <c16:uniqueId val="{00000000-8EEE-4A1D-991A-578400ECEF59}"/>
            </c:ext>
          </c:extLst>
        </c:ser>
        <c:dLbls>
          <c:showLegendKey val="0"/>
          <c:showVal val="0"/>
          <c:showCatName val="0"/>
          <c:showSerName val="0"/>
          <c:showPercent val="0"/>
          <c:showBubbleSize val="0"/>
        </c:dLbls>
        <c:axId val="168729984"/>
        <c:axId val="168760448"/>
      </c:scatterChart>
      <c:valAx>
        <c:axId val="168729984"/>
        <c:scaling>
          <c:orientation val="minMax"/>
        </c:scaling>
        <c:delete val="0"/>
        <c:axPos val="b"/>
        <c:majorTickMark val="out"/>
        <c:minorTickMark val="none"/>
        <c:tickLblPos val="nextTo"/>
        <c:crossAx val="168760448"/>
        <c:crosses val="autoZero"/>
        <c:crossBetween val="midCat"/>
      </c:valAx>
      <c:valAx>
        <c:axId val="168760448"/>
        <c:scaling>
          <c:orientation val="minMax"/>
        </c:scaling>
        <c:delete val="0"/>
        <c:axPos val="l"/>
        <c:majorGridlines/>
        <c:numFmt formatCode="General" sourceLinked="1"/>
        <c:majorTickMark val="out"/>
        <c:minorTickMark val="none"/>
        <c:tickLblPos val="nextTo"/>
        <c:crossAx val="168729984"/>
        <c:crosses val="autoZero"/>
        <c:crossBetween val="midCat"/>
      </c:valAx>
    </c:plotArea>
    <c:legend>
      <c:legendPos val="r"/>
      <c:overlay val="0"/>
    </c:legend>
    <c:plotVisOnly val="1"/>
    <c:dispBlanksAs val="gap"/>
    <c:showDLblsOverMax val="0"/>
  </c:chart>
  <c:spPr>
    <a:effectLst>
      <a:outerShdw blurRad="63500" dist="35921" dir="2700002" rotWithShape="0">
        <a:srgbClr val="646464">
          <a:alpha val="50000"/>
        </a:srgbClr>
      </a:outerShdw>
    </a:effectLst>
  </c:sp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jpe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5.jpeg"/><Relationship Id="rId1" Type="http://schemas.openxmlformats.org/officeDocument/2006/relationships/image" Target="../media/image4.jpeg"/><Relationship Id="rId6" Type="http://schemas.openxmlformats.org/officeDocument/2006/relationships/image" Target="../media/image7.png"/><Relationship Id="rId5" Type="http://schemas.openxmlformats.org/officeDocument/2006/relationships/image" Target="../media/image1.png"/><Relationship Id="rId4" Type="http://schemas.openxmlformats.org/officeDocument/2006/relationships/image" Target="../media/image6.png"/></Relationships>
</file>

<file path=xl/drawings/_rels/drawing3.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5.jpeg"/><Relationship Id="rId1" Type="http://schemas.openxmlformats.org/officeDocument/2006/relationships/image" Target="../media/image4.jpeg"/><Relationship Id="rId6" Type="http://schemas.openxmlformats.org/officeDocument/2006/relationships/image" Target="../media/image7.png"/><Relationship Id="rId5" Type="http://schemas.openxmlformats.org/officeDocument/2006/relationships/image" Target="../media/image1.png"/><Relationship Id="rId4" Type="http://schemas.openxmlformats.org/officeDocument/2006/relationships/image" Target="../media/image6.png"/></Relationships>
</file>

<file path=xl/drawings/_rels/drawing4.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5.jpeg"/><Relationship Id="rId1" Type="http://schemas.openxmlformats.org/officeDocument/2006/relationships/image" Target="../media/image4.jpeg"/><Relationship Id="rId5" Type="http://schemas.openxmlformats.org/officeDocument/2006/relationships/image" Target="../media/image1.png"/><Relationship Id="rId4" Type="http://schemas.openxmlformats.org/officeDocument/2006/relationships/image" Target="../media/image6.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absolute">
    <xdr:from>
      <xdr:col>0</xdr:col>
      <xdr:colOff>357224</xdr:colOff>
      <xdr:row>0</xdr:row>
      <xdr:rowOff>837178</xdr:rowOff>
    </xdr:from>
    <xdr:to>
      <xdr:col>0</xdr:col>
      <xdr:colOff>1836964</xdr:colOff>
      <xdr:row>0</xdr:row>
      <xdr:rowOff>2571749</xdr:rowOff>
    </xdr:to>
    <xdr:sp macro="[0]!lastBackup" textlink="">
      <xdr:nvSpPr>
        <xdr:cNvPr id="3" name="LastBkp">
          <a:extLst>
            <a:ext uri="{FF2B5EF4-FFF2-40B4-BE49-F238E27FC236}">
              <a16:creationId xmlns:a16="http://schemas.microsoft.com/office/drawing/2014/main" id="{00000000-0008-0000-0000-000003000000}"/>
            </a:ext>
          </a:extLst>
        </xdr:cNvPr>
        <xdr:cNvSpPr>
          <a:spLocks/>
        </xdr:cNvSpPr>
      </xdr:nvSpPr>
      <xdr:spPr>
        <a:xfrm>
          <a:off x="357224" y="837178"/>
          <a:ext cx="1479740" cy="1734571"/>
        </a:xfrm>
        <a:prstGeom prst="rect">
          <a:avLst/>
        </a:prstGeom>
        <a:blipFill dpi="0" rotWithShape="1">
          <a:blip xmlns:r="http://schemas.openxmlformats.org/officeDocument/2006/relationships" r:embed="rId1" cstate="print"/>
          <a:srcRect/>
          <a:stretch>
            <a:fillRect/>
          </a:stretch>
        </a:blipFill>
        <a:ln>
          <a:noFill/>
        </a:ln>
        <a:effectLst>
          <a:softEdge rad="6350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36000" tIns="254000" rtlCol="0" anchor="t"/>
        <a:lstStyle/>
        <a:p>
          <a:pPr algn="ctr">
            <a:spcBef>
              <a:spcPts val="0"/>
            </a:spcBef>
          </a:pPr>
          <a:r>
            <a:rPr lang="da-DK" sz="900" b="1">
              <a:solidFill>
                <a:srgbClr val="000000"/>
              </a:solidFill>
            </a:rPr>
            <a:t>sample</a:t>
          </a:r>
        </a:p>
      </xdr:txBody>
    </xdr:sp>
    <xdr:clientData/>
  </xdr:twoCellAnchor>
  <xdr:twoCellAnchor>
    <xdr:from>
      <xdr:col>5</xdr:col>
      <xdr:colOff>598714</xdr:colOff>
      <xdr:row>0</xdr:row>
      <xdr:rowOff>244929</xdr:rowOff>
    </xdr:from>
    <xdr:to>
      <xdr:col>5</xdr:col>
      <xdr:colOff>3179988</xdr:colOff>
      <xdr:row>0</xdr:row>
      <xdr:rowOff>3106016</xdr:rowOff>
    </xdr:to>
    <xdr:pic>
      <xdr:nvPicPr>
        <xdr:cNvPr id="7" name="MCSim1" descr="https://lh4.googleusercontent.com/DGZD2F1FQQsy7KSn5GSBpFsjJyFUtK9v4PbDXGcZfq0WaU8xQfkwIxpfNsWs9kJusQoIb6u4QuM9hFoZTmDjq08Abz7EHrfpa9b4KYpR0Ki8BRdXp1K7DJU1ojLNMQ">
          <a:extLst>
            <a:ext uri="{FF2B5EF4-FFF2-40B4-BE49-F238E27FC236}">
              <a16:creationId xmlns:a16="http://schemas.microsoft.com/office/drawing/2014/main" id="{00000000-0008-0000-0000-000007000000}"/>
            </a:ext>
          </a:extLst>
        </xdr:cNvPr>
        <xdr:cNvPicPr preferRelativeResize="0">
          <a:picLocks noChangeArrowheads="1"/>
        </xdr:cNvPicPr>
      </xdr:nvPicPr>
      <xdr:blipFill>
        <a:blip xmlns:r="http://schemas.openxmlformats.org/officeDocument/2006/relationships" r:embed="rId2" cstate="print"/>
        <a:srcRect l="10470" r="10684"/>
        <a:stretch>
          <a:fillRect/>
        </a:stretch>
      </xdr:blipFill>
      <xdr:spPr bwMode="auto">
        <a:xfrm>
          <a:off x="12015107" y="244929"/>
          <a:ext cx="2581274" cy="2861087"/>
        </a:xfrm>
        <a:prstGeom prst="rect">
          <a:avLst/>
        </a:prstGeom>
        <a:noFill/>
      </xdr:spPr>
    </xdr:pic>
    <xdr:clientData/>
  </xdr:twoCellAnchor>
  <xdr:twoCellAnchor>
    <xdr:from>
      <xdr:col>6</xdr:col>
      <xdr:colOff>598714</xdr:colOff>
      <xdr:row>0</xdr:row>
      <xdr:rowOff>244929</xdr:rowOff>
    </xdr:from>
    <xdr:to>
      <xdr:col>6</xdr:col>
      <xdr:colOff>3179988</xdr:colOff>
      <xdr:row>0</xdr:row>
      <xdr:rowOff>3106016</xdr:rowOff>
    </xdr:to>
    <xdr:pic>
      <xdr:nvPicPr>
        <xdr:cNvPr id="8" name="MCSim2" descr="https://lh4.googleusercontent.com/DGZD2F1FQQsy7KSn5GSBpFsjJyFUtK9v4PbDXGcZfq0WaU8xQfkwIxpfNsWs9kJusQoIb6u4QuM9hFoZTmDjq08Abz7EHrfpa9b4KYpR0Ki8BRdXp1K7DJU1ojLNMQ">
          <a:extLst>
            <a:ext uri="{FF2B5EF4-FFF2-40B4-BE49-F238E27FC236}">
              <a16:creationId xmlns:a16="http://schemas.microsoft.com/office/drawing/2014/main" id="{00000000-0008-0000-0000-000008000000}"/>
            </a:ext>
          </a:extLst>
        </xdr:cNvPr>
        <xdr:cNvPicPr preferRelativeResize="0">
          <a:picLocks noChangeArrowheads="1"/>
        </xdr:cNvPicPr>
      </xdr:nvPicPr>
      <xdr:blipFill>
        <a:blip xmlns:r="http://schemas.openxmlformats.org/officeDocument/2006/relationships" r:embed="rId2" cstate="print"/>
        <a:srcRect l="10470" r="10684"/>
        <a:stretch>
          <a:fillRect/>
        </a:stretch>
      </xdr:blipFill>
      <xdr:spPr bwMode="auto">
        <a:xfrm>
          <a:off x="12015107" y="244929"/>
          <a:ext cx="2581274" cy="2861087"/>
        </a:xfrm>
        <a:prstGeom prst="rect">
          <a:avLst/>
        </a:prstGeom>
        <a:noFill/>
      </xdr:spPr>
    </xdr:pic>
    <xdr:clientData/>
  </xdr:twoCellAnchor>
  <xdr:twoCellAnchor editAs="oneCell">
    <xdr:from>
      <xdr:col>3</xdr:col>
      <xdr:colOff>204107</xdr:colOff>
      <xdr:row>0</xdr:row>
      <xdr:rowOff>843644</xdr:rowOff>
    </xdr:from>
    <xdr:to>
      <xdr:col>3</xdr:col>
      <xdr:colOff>1755321</xdr:colOff>
      <xdr:row>0</xdr:row>
      <xdr:rowOff>2556122</xdr:rowOff>
    </xdr:to>
    <xdr:pic>
      <xdr:nvPicPr>
        <xdr:cNvPr id="9" name="Old">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810250" y="843644"/>
          <a:ext cx="1551214" cy="1712478"/>
        </a:xfrm>
        <a:prstGeom prst="rect">
          <a:avLst/>
        </a:prstGeom>
        <a:effectLst>
          <a:softEdge rad="63500"/>
        </a:effectLst>
      </xdr:spPr>
    </xdr:pic>
    <xdr:clientData/>
  </xdr:twoCellAnchor>
  <xdr:twoCellAnchor editAs="oneCell">
    <xdr:from>
      <xdr:col>1</xdr:col>
      <xdr:colOff>136393</xdr:colOff>
      <xdr:row>0</xdr:row>
      <xdr:rowOff>884785</xdr:rowOff>
    </xdr:from>
    <xdr:to>
      <xdr:col>1</xdr:col>
      <xdr:colOff>1652170</xdr:colOff>
      <xdr:row>0</xdr:row>
      <xdr:rowOff>2558142</xdr:rowOff>
    </xdr:to>
    <xdr:pic>
      <xdr:nvPicPr>
        <xdr:cNvPr id="10" name="Ok">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286322" y="884785"/>
          <a:ext cx="1515777" cy="1673357"/>
        </a:xfrm>
        <a:prstGeom prst="rect">
          <a:avLst/>
        </a:prstGeom>
        <a:blipFill>
          <a:blip xmlns:r="http://schemas.openxmlformats.org/officeDocument/2006/relationships" r:embed="rId5" cstate="print"/>
          <a:tile tx="0" ty="0" sx="100000" sy="100000" flip="none" algn="tl"/>
        </a:blipFill>
        <a:effectLst>
          <a:softEdge rad="63500"/>
        </a:effectLst>
      </xdr:spPr>
    </xdr:pic>
    <xdr:clientData/>
  </xdr:twoCellAnchor>
  <xdr:twoCellAnchor editAs="oneCell">
    <xdr:from>
      <xdr:col>2</xdr:col>
      <xdr:colOff>150322</xdr:colOff>
      <xdr:row>0</xdr:row>
      <xdr:rowOff>885107</xdr:rowOff>
    </xdr:from>
    <xdr:to>
      <xdr:col>2</xdr:col>
      <xdr:colOff>1660073</xdr:colOff>
      <xdr:row>0</xdr:row>
      <xdr:rowOff>2551812</xdr:rowOff>
    </xdr:to>
    <xdr:pic>
      <xdr:nvPicPr>
        <xdr:cNvPr id="11" name="Unknown">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4001143" y="885107"/>
          <a:ext cx="1509751" cy="1666705"/>
        </a:xfrm>
        <a:prstGeom prst="rect">
          <a:avLst/>
        </a:prstGeom>
        <a:effectLst>
          <a:softEdge rad="63500"/>
        </a:effectLst>
      </xdr:spPr>
    </xdr:pic>
    <xdr:clientData/>
  </xdr:twoCellAnchor>
  <xdr:twoCellAnchor>
    <xdr:from>
      <xdr:col>4</xdr:col>
      <xdr:colOff>1170214</xdr:colOff>
      <xdr:row>0</xdr:row>
      <xdr:rowOff>411578</xdr:rowOff>
    </xdr:from>
    <xdr:to>
      <xdr:col>4</xdr:col>
      <xdr:colOff>7018564</xdr:colOff>
      <xdr:row>0</xdr:row>
      <xdr:rowOff>3060963</xdr:rowOff>
    </xdr:to>
    <xdr:pic>
      <xdr:nvPicPr>
        <xdr:cNvPr id="4" name="Main2Sub1Pic1">
          <a:extLst>
            <a:ext uri="{FF2B5EF4-FFF2-40B4-BE49-F238E27FC236}">
              <a16:creationId xmlns:a16="http://schemas.microsoft.com/office/drawing/2014/main" id="{00000000-0008-0000-0000-000004000000}"/>
            </a:ext>
          </a:extLst>
        </xdr:cNvPr>
        <xdr:cNvPicPr preferRelativeResize="0">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694964" y="411578"/>
          <a:ext cx="5848350" cy="2649385"/>
        </a:xfrm>
        <a:prstGeom prst="rect">
          <a:avLst/>
        </a:prstGeom>
        <a:effectLst>
          <a:glow>
            <a:schemeClr val="accent1">
              <a:alpha val="40000"/>
            </a:schemeClr>
          </a:glow>
          <a:softEdge rad="50800"/>
        </a:effec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254000</xdr:colOff>
      <xdr:row>2</xdr:row>
      <xdr:rowOff>0</xdr:rowOff>
    </xdr:from>
    <xdr:to>
      <xdr:col>14</xdr:col>
      <xdr:colOff>0</xdr:colOff>
      <xdr:row>2</xdr:row>
      <xdr:rowOff>508000</xdr:rowOff>
    </xdr:to>
    <xdr:sp macro="" textlink="" fLocksText="0">
      <xdr:nvSpPr>
        <xdr:cNvPr id="2289" name="Main1Title">
          <a:extLst>
            <a:ext uri="{FF2B5EF4-FFF2-40B4-BE49-F238E27FC236}">
              <a16:creationId xmlns:a16="http://schemas.microsoft.com/office/drawing/2014/main" id="{00000000-0008-0000-0200-0000F1080000}"/>
            </a:ext>
          </a:extLst>
        </xdr:cNvPr>
        <xdr:cNvSpPr/>
      </xdr:nvSpPr>
      <xdr:spPr>
        <a:xfrm>
          <a:off x="920750" y="361950"/>
          <a:ext cx="10642600" cy="508000"/>
        </a:xfrm>
        <a:prstGeom prst="roundRect">
          <a:avLst>
            <a:gd name="adj" fmla="val 0"/>
          </a:avLst>
        </a:prstGeom>
        <a:gradFill flip="none" rotWithShape="1">
          <a:gsLst>
            <a:gs pos="0">
              <a:srgbClr val="D9D9D9"/>
            </a:gs>
            <a:gs pos="100000">
              <a:srgbClr val="D9D9D9"/>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l"/>
          <a:r>
            <a:rPr lang="da-DK" sz="2800" b="1">
              <a:solidFill>
                <a:srgbClr val="000000"/>
              </a:solidFill>
              <a:latin typeface="Arial"/>
            </a:rPr>
            <a:t>STATENS BUSINESS CASE-MODEL</a:t>
          </a:r>
        </a:p>
      </xdr:txBody>
    </xdr:sp>
    <xdr:clientData/>
  </xdr:twoCellAnchor>
  <xdr:twoCellAnchor editAs="absolute">
    <xdr:from>
      <xdr:col>15</xdr:col>
      <xdr:colOff>0</xdr:colOff>
      <xdr:row>4</xdr:row>
      <xdr:rowOff>2380</xdr:rowOff>
    </xdr:from>
    <xdr:to>
      <xdr:col>17</xdr:col>
      <xdr:colOff>444500</xdr:colOff>
      <xdr:row>98</xdr:row>
      <xdr:rowOff>34026</xdr:rowOff>
    </xdr:to>
    <xdr:pic macro="checkVersion">
      <xdr:nvPicPr>
        <xdr:cNvPr id="306" name="Ok" hidden="1">
          <a:extLst>
            <a:ext uri="{FF2B5EF4-FFF2-40B4-BE49-F238E27FC236}">
              <a16:creationId xmlns:a16="http://schemas.microsoft.com/office/drawing/2014/main" id="{00000000-0008-0000-0200-00003201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230100" y="1057274"/>
          <a:ext cx="1778000" cy="1962840"/>
        </a:xfrm>
        <a:prstGeom prst="rect">
          <a:avLst/>
        </a:prstGeom>
        <a:noFill/>
        <a:effectLst>
          <a:softEdge rad="63500"/>
        </a:effectLst>
        <a:extLst>
          <a:ext uri="{909E8E84-426E-40DD-AFC4-6F175D3DCCD1}">
            <a14:hiddenFill xmlns:a14="http://schemas.microsoft.com/office/drawing/2010/main">
              <a:blipFill>
                <a:blip xmlns:r="http://schemas.openxmlformats.org/officeDocument/2006/relationships" r:embed="rId2" cstate="print"/>
                <a:tile tx="0" ty="0" sx="100000" sy="100000" flip="none" algn="tl"/>
              </a:blipFill>
            </a14:hiddenFill>
          </a:ext>
        </a:extLst>
      </xdr:spPr>
    </xdr:pic>
    <xdr:clientData/>
  </xdr:twoCellAnchor>
  <xdr:twoCellAnchor editAs="absolute">
    <xdr:from>
      <xdr:col>15</xdr:col>
      <xdr:colOff>0</xdr:colOff>
      <xdr:row>4</xdr:row>
      <xdr:rowOff>0</xdr:rowOff>
    </xdr:from>
    <xdr:to>
      <xdr:col>17</xdr:col>
      <xdr:colOff>444500</xdr:colOff>
      <xdr:row>98</xdr:row>
      <xdr:rowOff>34027</xdr:rowOff>
    </xdr:to>
    <xdr:pic macro="checkVersion">
      <xdr:nvPicPr>
        <xdr:cNvPr id="307" name="Old" hidden="1">
          <a:extLst>
            <a:ext uri="{FF2B5EF4-FFF2-40B4-BE49-F238E27FC236}">
              <a16:creationId xmlns:a16="http://schemas.microsoft.com/office/drawing/2014/main" id="{00000000-0008-0000-0200-00003301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230100" y="1057275"/>
          <a:ext cx="1778000" cy="1962840"/>
        </a:xfrm>
        <a:prstGeom prst="rect">
          <a:avLst/>
        </a:prstGeom>
        <a:effectLst>
          <a:softEdge rad="63500"/>
        </a:effectLst>
      </xdr:spPr>
    </xdr:pic>
    <xdr:clientData/>
  </xdr:twoCellAnchor>
  <xdr:twoCellAnchor editAs="absolute">
    <xdr:from>
      <xdr:col>15</xdr:col>
      <xdr:colOff>-1</xdr:colOff>
      <xdr:row>4</xdr:row>
      <xdr:rowOff>0</xdr:rowOff>
    </xdr:from>
    <xdr:to>
      <xdr:col>17</xdr:col>
      <xdr:colOff>444499</xdr:colOff>
      <xdr:row>98</xdr:row>
      <xdr:rowOff>34028</xdr:rowOff>
    </xdr:to>
    <xdr:pic macro="checkVersion">
      <xdr:nvPicPr>
        <xdr:cNvPr id="308" name="Unknown">
          <a:extLst>
            <a:ext uri="{FF2B5EF4-FFF2-40B4-BE49-F238E27FC236}">
              <a16:creationId xmlns:a16="http://schemas.microsoft.com/office/drawing/2014/main" id="{00000000-0008-0000-0200-00003401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2230099" y="1057275"/>
          <a:ext cx="1778000" cy="1962841"/>
        </a:xfrm>
        <a:prstGeom prst="rect">
          <a:avLst/>
        </a:prstGeom>
        <a:effectLst>
          <a:softEdge rad="63500"/>
        </a:effectLst>
      </xdr:spPr>
    </xdr:pic>
    <xdr:clientData/>
  </xdr:twoCellAnchor>
  <xdr:twoCellAnchor editAs="absolute">
    <xdr:from>
      <xdr:col>15</xdr:col>
      <xdr:colOff>0</xdr:colOff>
      <xdr:row>98</xdr:row>
      <xdr:rowOff>357186</xdr:rowOff>
    </xdr:from>
    <xdr:to>
      <xdr:col>17</xdr:col>
      <xdr:colOff>444500</xdr:colOff>
      <xdr:row>105</xdr:row>
      <xdr:rowOff>186530</xdr:rowOff>
    </xdr:to>
    <xdr:sp macro="'lastBackup &quot;LastBkp&quot;'" textlink="" fLocksText="0">
      <xdr:nvSpPr>
        <xdr:cNvPr id="309" name="MainPicLastBkp">
          <a:extLst>
            <a:ext uri="{FF2B5EF4-FFF2-40B4-BE49-F238E27FC236}">
              <a16:creationId xmlns:a16="http://schemas.microsoft.com/office/drawing/2014/main" id="{00000000-0008-0000-0200-000035010000}"/>
            </a:ext>
          </a:extLst>
        </xdr:cNvPr>
        <xdr:cNvSpPr>
          <a:spLocks/>
        </xdr:cNvSpPr>
      </xdr:nvSpPr>
      <xdr:spPr>
        <a:xfrm>
          <a:off x="12230100" y="3343274"/>
          <a:ext cx="1778000" cy="2032000"/>
        </a:xfrm>
        <a:prstGeom prst="rect">
          <a:avLst/>
        </a:prstGeom>
        <a:blipFill dpi="0" rotWithShape="1">
          <a:blip xmlns:r="http://schemas.openxmlformats.org/officeDocument/2006/relationships" r:embed="rId5" cstate="print"/>
          <a:srcRect/>
          <a:stretch>
            <a:fillRect/>
          </a:stretch>
        </a:blipFill>
        <a:ln>
          <a:noFill/>
        </a:ln>
        <a:effectLst>
          <a:softEdge rad="6350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36000" tIns="355600" rtlCol="0" anchor="t"/>
        <a:lstStyle/>
        <a:p>
          <a:pPr algn="ctr">
            <a:spcBef>
              <a:spcPts val="0"/>
            </a:spcBef>
          </a:pPr>
          <a:r>
            <a:rPr lang="da-DK" sz="1000" b="1">
              <a:solidFill>
                <a:srgbClr val="000000"/>
              </a:solidFill>
              <a:latin typeface="Arial"/>
            </a:rPr>
            <a:t> </a:t>
          </a:r>
        </a:p>
      </xdr:txBody>
    </xdr:sp>
    <xdr:clientData/>
  </xdr:twoCellAnchor>
  <xdr:twoCellAnchor>
    <xdr:from>
      <xdr:col>1</xdr:col>
      <xdr:colOff>0</xdr:colOff>
      <xdr:row>4</xdr:row>
      <xdr:rowOff>12700</xdr:rowOff>
    </xdr:from>
    <xdr:to>
      <xdr:col>14</xdr:col>
      <xdr:colOff>0</xdr:colOff>
      <xdr:row>4</xdr:row>
      <xdr:rowOff>774700</xdr:rowOff>
    </xdr:to>
    <xdr:sp macro="'expand &quot;Main1&quot;,&quot;Startside&quot;,TRUE'" textlink="" fLocksText="0">
      <xdr:nvSpPr>
        <xdr:cNvPr id="2290" name="Main1">
          <a:extLst>
            <a:ext uri="{FF2B5EF4-FFF2-40B4-BE49-F238E27FC236}">
              <a16:creationId xmlns:a16="http://schemas.microsoft.com/office/drawing/2014/main" id="{00000000-0008-0000-0200-0000F2080000}"/>
            </a:ext>
          </a:extLst>
        </xdr:cNvPr>
        <xdr:cNvSpPr/>
      </xdr:nvSpPr>
      <xdr:spPr>
        <a:xfrm>
          <a:off x="666750" y="1069975"/>
          <a:ext cx="10896600" cy="762000"/>
        </a:xfrm>
        <a:prstGeom prst="roundRect">
          <a:avLst/>
        </a:prstGeom>
        <a:gradFill flip="none" rotWithShape="1">
          <a:gsLst>
            <a:gs pos="0">
              <a:srgbClr val="646464"/>
            </a:gs>
            <a:gs pos="100000">
              <a:srgbClr val="000000"/>
            </a:gs>
          </a:gsLst>
          <a:lin ang="5400000" scaled="1"/>
          <a:tileRect/>
        </a:gradFill>
        <a:ln w="25400" cap="flat" cmpd="sng" algn="ctr">
          <a:noFill/>
          <a:prstDash val="solid"/>
        </a:ln>
        <a:effectLst>
          <a:outerShdw blurRad="1270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81000" rtlCol="0" anchor="ctr"/>
        <a:lstStyle/>
        <a:p>
          <a:pPr algn="l"/>
          <a:r>
            <a:rPr lang="da-DK" sz="2000" b="0">
              <a:solidFill>
                <a:srgbClr val="FFFFFF"/>
              </a:solidFill>
            </a:rPr>
            <a:t>Er du klar til at starte med regnearket?</a:t>
          </a:r>
        </a:p>
      </xdr:txBody>
    </xdr:sp>
    <xdr:clientData/>
  </xdr:twoCellAnchor>
  <xdr:twoCellAnchor>
    <xdr:from>
      <xdr:col>13</xdr:col>
      <xdr:colOff>228600</xdr:colOff>
      <xdr:row>4</xdr:row>
      <xdr:rowOff>230414</xdr:rowOff>
    </xdr:from>
    <xdr:to>
      <xdr:col>13</xdr:col>
      <xdr:colOff>533400</xdr:colOff>
      <xdr:row>4</xdr:row>
      <xdr:rowOff>535214</xdr:rowOff>
    </xdr:to>
    <xdr:sp macro="'expand &quot;Main1&quot;,&quot;Startside&quot;,TRUE'" textlink="">
      <xdr:nvSpPr>
        <xdr:cNvPr id="2291" name="Main1arrow">
          <a:extLst>
            <a:ext uri="{FF2B5EF4-FFF2-40B4-BE49-F238E27FC236}">
              <a16:creationId xmlns:a16="http://schemas.microsoft.com/office/drawing/2014/main" id="{00000000-0008-0000-0200-0000F3080000}"/>
            </a:ext>
          </a:extLst>
        </xdr:cNvPr>
        <xdr:cNvSpPr/>
      </xdr:nvSpPr>
      <xdr:spPr>
        <a:xfrm rot="8100000">
          <a:off x="10896600" y="1278164"/>
          <a:ext cx="304800" cy="304800"/>
        </a:xfrm>
        <a:prstGeom prst="halfFrame">
          <a:avLst>
            <a:gd name="adj1" fmla="val 15000"/>
            <a:gd name="adj2" fmla="val 15000"/>
          </a:avLst>
        </a:prstGeom>
        <a:gradFill flip="none" rotWithShape="1">
          <a:gsLst>
            <a:gs pos="0">
              <a:srgbClr val="FFFFFF"/>
            </a:gs>
            <a:gs pos="100000">
              <a:srgbClr val="FFFFFF"/>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solidFill>
              <a:schemeClr val="tx1"/>
            </a:solidFill>
          </a:endParaRPr>
        </a:p>
      </xdr:txBody>
    </xdr:sp>
    <xdr:clientData/>
  </xdr:twoCellAnchor>
  <xdr:twoCellAnchor>
    <xdr:from>
      <xdr:col>3</xdr:col>
      <xdr:colOff>0</xdr:colOff>
      <xdr:row>8</xdr:row>
      <xdr:rowOff>38100</xdr:rowOff>
    </xdr:from>
    <xdr:to>
      <xdr:col>13</xdr:col>
      <xdr:colOff>0</xdr:colOff>
      <xdr:row>8</xdr:row>
      <xdr:rowOff>1816100</xdr:rowOff>
    </xdr:to>
    <xdr:sp macro="" textlink="" fLocksText="0">
      <xdr:nvSpPr>
        <xdr:cNvPr id="2292" name="Main1Text1">
          <a:extLst>
            <a:ext uri="{FF2B5EF4-FFF2-40B4-BE49-F238E27FC236}">
              <a16:creationId xmlns:a16="http://schemas.microsoft.com/office/drawing/2014/main" id="{00000000-0008-0000-0200-0000F4080000}"/>
            </a:ext>
          </a:extLst>
        </xdr:cNvPr>
        <xdr:cNvSpPr/>
      </xdr:nvSpPr>
      <xdr:spPr>
        <a:xfrm>
          <a:off x="2343150" y="2419350"/>
          <a:ext cx="8382000" cy="1778000"/>
        </a:xfrm>
        <a:prstGeom prst="roundRect">
          <a:avLst>
            <a:gd name="adj" fmla="val 0"/>
          </a:avLst>
        </a:prstGeom>
        <a:gradFill flip="none" rotWithShape="1">
          <a:gsLst>
            <a:gs pos="0">
              <a:srgbClr val="EBB553"/>
            </a:gs>
            <a:gs pos="100000">
              <a:srgbClr val="EBB553"/>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rtlCol="0" anchor="t"/>
        <a:lstStyle/>
        <a:p>
          <a:pPr algn="l"/>
          <a:r>
            <a:rPr lang="da-DK" sz="1200" b="0">
              <a:solidFill>
                <a:srgbClr val="000000"/>
              </a:solidFill>
              <a:latin typeface="Arial"/>
            </a:rPr>
            <a:t>Forudsætningsdiagrammet skal bruges, når du arbejder med business-casen i regnearket. Derfor skal det laves først. Diagrammet laves typisk sammen med projektgruppen.
Find vejledningen og selve diagrammet her http://www.digst.dk/Styring/Statens-projektmodel/Statens-Business-Casemodel/Dowload-BC</a:t>
          </a:r>
        </a:p>
      </xdr:txBody>
    </xdr:sp>
    <xdr:clientData/>
  </xdr:twoCellAnchor>
  <xdr:twoCellAnchor>
    <xdr:from>
      <xdr:col>1</xdr:col>
      <xdr:colOff>584200</xdr:colOff>
      <xdr:row>6</xdr:row>
      <xdr:rowOff>38100</xdr:rowOff>
    </xdr:from>
    <xdr:to>
      <xdr:col>9</xdr:col>
      <xdr:colOff>0</xdr:colOff>
      <xdr:row>6</xdr:row>
      <xdr:rowOff>317500</xdr:rowOff>
    </xdr:to>
    <xdr:sp macro="" textlink="" fLocksText="0">
      <xdr:nvSpPr>
        <xdr:cNvPr id="2293" name="Main1Group1Chk1">
          <a:extLst>
            <a:ext uri="{FF2B5EF4-FFF2-40B4-BE49-F238E27FC236}">
              <a16:creationId xmlns:a16="http://schemas.microsoft.com/office/drawing/2014/main" id="{00000000-0008-0000-0200-0000F5080000}"/>
            </a:ext>
          </a:extLst>
        </xdr:cNvPr>
        <xdr:cNvSpPr/>
      </xdr:nvSpPr>
      <xdr:spPr>
        <a:xfrm>
          <a:off x="1250950" y="2057400"/>
          <a:ext cx="6121400" cy="279400"/>
        </a:xfrm>
        <a:prstGeom prst="roundRect">
          <a:avLst>
            <a:gd name="adj" fmla="val 0"/>
          </a:avLst>
        </a:prstGeom>
        <a:gradFill flip="none" rotWithShape="1">
          <a:gsLst>
            <a:gs pos="0">
              <a:srgbClr val="D9D9D9"/>
            </a:gs>
            <a:gs pos="100000">
              <a:srgbClr val="D9D9D9"/>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38100" rtlCol="0" anchor="ctr"/>
        <a:lstStyle/>
        <a:p>
          <a:pPr algn="l"/>
          <a:r>
            <a:rPr lang="da-DK" sz="1200" b="0">
              <a:solidFill>
                <a:srgbClr val="000000"/>
              </a:solidFill>
              <a:latin typeface="Arial"/>
            </a:rPr>
            <a:t>Har du udfyldt et forudsætningsdiagram?</a:t>
          </a:r>
        </a:p>
      </xdr:txBody>
    </xdr:sp>
    <xdr:clientData/>
  </xdr:twoCellAnchor>
  <xdr:twoCellAnchor>
    <xdr:from>
      <xdr:col>9</xdr:col>
      <xdr:colOff>63500</xdr:colOff>
      <xdr:row>6</xdr:row>
      <xdr:rowOff>12700</xdr:rowOff>
    </xdr:from>
    <xdr:to>
      <xdr:col>11</xdr:col>
      <xdr:colOff>0</xdr:colOff>
      <xdr:row>6</xdr:row>
      <xdr:rowOff>292100</xdr:rowOff>
    </xdr:to>
    <xdr:sp macro="'chkTextHide &quot;Main1Group1R1&quot;,&quot;Main1Text1&quot;,TRUE'" textlink="" fLocksText="0">
      <xdr:nvSpPr>
        <xdr:cNvPr id="2294" name="Main1Group1R1">
          <a:extLst>
            <a:ext uri="{FF2B5EF4-FFF2-40B4-BE49-F238E27FC236}">
              <a16:creationId xmlns:a16="http://schemas.microsoft.com/office/drawing/2014/main" id="{00000000-0008-0000-0200-0000F6080000}"/>
            </a:ext>
          </a:extLst>
        </xdr:cNvPr>
        <xdr:cNvSpPr/>
      </xdr:nvSpPr>
      <xdr:spPr>
        <a:xfrm>
          <a:off x="7435850" y="2032000"/>
          <a:ext cx="1612900" cy="279400"/>
        </a:xfrm>
        <a:prstGeom prst="roundRect">
          <a:avLst>
            <a:gd name="adj" fmla="val 0"/>
          </a:avLst>
        </a:prstGeom>
        <a:gradFill flip="none" rotWithShape="1">
          <a:gsLst>
            <a:gs pos="0">
              <a:srgbClr val="C8C8C8"/>
            </a:gs>
            <a:gs pos="100000">
              <a:srgbClr val="C8C8C8"/>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203200" rtlCol="0" anchor="ctr"/>
        <a:lstStyle/>
        <a:p>
          <a:pPr algn="ctr"/>
          <a:r>
            <a:rPr lang="da-DK" sz="1200" b="0">
              <a:solidFill>
                <a:srgbClr val="000000"/>
              </a:solidFill>
            </a:rPr>
            <a:t>Ja</a:t>
          </a:r>
        </a:p>
      </xdr:txBody>
    </xdr:sp>
    <xdr:clientData/>
  </xdr:twoCellAnchor>
  <xdr:twoCellAnchor>
    <xdr:from>
      <xdr:col>11</xdr:col>
      <xdr:colOff>63500</xdr:colOff>
      <xdr:row>6</xdr:row>
      <xdr:rowOff>12700</xdr:rowOff>
    </xdr:from>
    <xdr:to>
      <xdr:col>13</xdr:col>
      <xdr:colOff>0</xdr:colOff>
      <xdr:row>6</xdr:row>
      <xdr:rowOff>292100</xdr:rowOff>
    </xdr:to>
    <xdr:sp macro="'chkTextHide &quot;Main1Group1R2&quot;,&quot;Main1Text1&quot;,FALSE'" textlink="" fLocksText="0">
      <xdr:nvSpPr>
        <xdr:cNvPr id="2295" name="Main1Group1R2">
          <a:extLst>
            <a:ext uri="{FF2B5EF4-FFF2-40B4-BE49-F238E27FC236}">
              <a16:creationId xmlns:a16="http://schemas.microsoft.com/office/drawing/2014/main" id="{00000000-0008-0000-0200-0000F7080000}"/>
            </a:ext>
          </a:extLst>
        </xdr:cNvPr>
        <xdr:cNvSpPr/>
      </xdr:nvSpPr>
      <xdr:spPr>
        <a:xfrm>
          <a:off x="9112250" y="2032000"/>
          <a:ext cx="1612900" cy="279400"/>
        </a:xfrm>
        <a:prstGeom prst="roundRect">
          <a:avLst>
            <a:gd name="adj" fmla="val 0"/>
          </a:avLst>
        </a:prstGeom>
        <a:gradFill flip="none" rotWithShape="1">
          <a:gsLst>
            <a:gs pos="0">
              <a:srgbClr val="C8C8C8"/>
            </a:gs>
            <a:gs pos="100000">
              <a:srgbClr val="C8C8C8"/>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203200" rtlCol="0" anchor="ctr"/>
        <a:lstStyle/>
        <a:p>
          <a:pPr algn="ctr"/>
          <a:r>
            <a:rPr lang="da-DK" sz="1200" b="0">
              <a:solidFill>
                <a:srgbClr val="000000"/>
              </a:solidFill>
            </a:rPr>
            <a:t>Det ved jeg ikke...</a:t>
          </a:r>
        </a:p>
      </xdr:txBody>
    </xdr:sp>
    <xdr:clientData/>
  </xdr:twoCellAnchor>
  <xdr:twoCellAnchor>
    <xdr:from>
      <xdr:col>1</xdr:col>
      <xdr:colOff>0</xdr:colOff>
      <xdr:row>10</xdr:row>
      <xdr:rowOff>25400</xdr:rowOff>
    </xdr:from>
    <xdr:to>
      <xdr:col>13</xdr:col>
      <xdr:colOff>0</xdr:colOff>
      <xdr:row>10</xdr:row>
      <xdr:rowOff>50800</xdr:rowOff>
    </xdr:to>
    <xdr:sp macro="" textlink="">
      <xdr:nvSpPr>
        <xdr:cNvPr id="2296" name="Main1L1">
          <a:extLst>
            <a:ext uri="{FF2B5EF4-FFF2-40B4-BE49-F238E27FC236}">
              <a16:creationId xmlns:a16="http://schemas.microsoft.com/office/drawing/2014/main" id="{00000000-0008-0000-0200-0000F8080000}"/>
            </a:ext>
          </a:extLst>
        </xdr:cNvPr>
        <xdr:cNvSpPr/>
      </xdr:nvSpPr>
      <xdr:spPr>
        <a:xfrm>
          <a:off x="666750" y="4540250"/>
          <a:ext cx="10058400" cy="25400"/>
        </a:xfrm>
        <a:prstGeom prst="roundRect">
          <a:avLst/>
        </a:prstGeom>
        <a:gradFill flip="none" rotWithShape="1">
          <a:gsLst>
            <a:gs pos="0">
              <a:srgbClr val="B4B4B4"/>
            </a:gs>
            <a:gs pos="100000">
              <a:srgbClr val="646464"/>
            </a:gs>
          </a:gsLst>
          <a:lin ang="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clientData/>
  </xdr:twoCellAnchor>
  <xdr:twoCellAnchor>
    <xdr:from>
      <xdr:col>3</xdr:col>
      <xdr:colOff>0</xdr:colOff>
      <xdr:row>14</xdr:row>
      <xdr:rowOff>38100</xdr:rowOff>
    </xdr:from>
    <xdr:to>
      <xdr:col>13</xdr:col>
      <xdr:colOff>0</xdr:colOff>
      <xdr:row>14</xdr:row>
      <xdr:rowOff>1816100</xdr:rowOff>
    </xdr:to>
    <xdr:sp macro="" textlink="" fLocksText="0">
      <xdr:nvSpPr>
        <xdr:cNvPr id="2297" name="Main1Text2">
          <a:extLst>
            <a:ext uri="{FF2B5EF4-FFF2-40B4-BE49-F238E27FC236}">
              <a16:creationId xmlns:a16="http://schemas.microsoft.com/office/drawing/2014/main" id="{00000000-0008-0000-0200-0000F9080000}"/>
            </a:ext>
          </a:extLst>
        </xdr:cNvPr>
        <xdr:cNvSpPr/>
      </xdr:nvSpPr>
      <xdr:spPr>
        <a:xfrm>
          <a:off x="2343150" y="5153025"/>
          <a:ext cx="8382000" cy="1778000"/>
        </a:xfrm>
        <a:prstGeom prst="roundRect">
          <a:avLst>
            <a:gd name="adj" fmla="val 0"/>
          </a:avLst>
        </a:prstGeom>
        <a:gradFill flip="none" rotWithShape="1">
          <a:gsLst>
            <a:gs pos="0">
              <a:srgbClr val="EBB553"/>
            </a:gs>
            <a:gs pos="100000">
              <a:srgbClr val="EBB553"/>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rtlCol="0" anchor="t"/>
        <a:lstStyle/>
        <a:p>
          <a:pPr algn="l"/>
          <a:r>
            <a:rPr lang="da-DK" sz="1200" b="0">
              <a:solidFill>
                <a:srgbClr val="000000"/>
              </a:solidFill>
              <a:latin typeface="Arial"/>
            </a:rPr>
            <a:t>Punkt 2 i PID'en beskriver den forretningsmæssige begrundelse for projektet, den nuværende situation, samt den fremtidige situation hhv. hvis projektet gennemføres og hvis projektet ikke gennemføres.
Find projektinitieringsdokumentet (PID) her: http://www.digst.dk/Styring/Statens-projektmodel/IT-projektmodellen/Download</a:t>
          </a:r>
        </a:p>
      </xdr:txBody>
    </xdr:sp>
    <xdr:clientData/>
  </xdr:twoCellAnchor>
  <xdr:twoCellAnchor>
    <xdr:from>
      <xdr:col>1</xdr:col>
      <xdr:colOff>584200</xdr:colOff>
      <xdr:row>12</xdr:row>
      <xdr:rowOff>38100</xdr:rowOff>
    </xdr:from>
    <xdr:to>
      <xdr:col>9</xdr:col>
      <xdr:colOff>0</xdr:colOff>
      <xdr:row>12</xdr:row>
      <xdr:rowOff>317500</xdr:rowOff>
    </xdr:to>
    <xdr:sp macro="" textlink="" fLocksText="0">
      <xdr:nvSpPr>
        <xdr:cNvPr id="2298" name="Main1Group2Chk1">
          <a:extLst>
            <a:ext uri="{FF2B5EF4-FFF2-40B4-BE49-F238E27FC236}">
              <a16:creationId xmlns:a16="http://schemas.microsoft.com/office/drawing/2014/main" id="{00000000-0008-0000-0200-0000FA080000}"/>
            </a:ext>
          </a:extLst>
        </xdr:cNvPr>
        <xdr:cNvSpPr/>
      </xdr:nvSpPr>
      <xdr:spPr>
        <a:xfrm>
          <a:off x="1250950" y="4791075"/>
          <a:ext cx="6121400" cy="279400"/>
        </a:xfrm>
        <a:prstGeom prst="roundRect">
          <a:avLst>
            <a:gd name="adj" fmla="val 0"/>
          </a:avLst>
        </a:prstGeom>
        <a:gradFill flip="none" rotWithShape="1">
          <a:gsLst>
            <a:gs pos="0">
              <a:srgbClr val="D9D9D9"/>
            </a:gs>
            <a:gs pos="100000">
              <a:srgbClr val="D9D9D9"/>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38100" rtlCol="0" anchor="ctr"/>
        <a:lstStyle/>
        <a:p>
          <a:pPr algn="l"/>
          <a:r>
            <a:rPr lang="da-DK" sz="1200" b="0">
              <a:solidFill>
                <a:srgbClr val="000000"/>
              </a:solidFill>
              <a:latin typeface="Arial"/>
            </a:rPr>
            <a:t>Har du udfyldt punkt 2 i projektinitieringsdokumentet (PID)?</a:t>
          </a:r>
        </a:p>
      </xdr:txBody>
    </xdr:sp>
    <xdr:clientData/>
  </xdr:twoCellAnchor>
  <xdr:twoCellAnchor>
    <xdr:from>
      <xdr:col>9</xdr:col>
      <xdr:colOff>63500</xdr:colOff>
      <xdr:row>12</xdr:row>
      <xdr:rowOff>12700</xdr:rowOff>
    </xdr:from>
    <xdr:to>
      <xdr:col>11</xdr:col>
      <xdr:colOff>0</xdr:colOff>
      <xdr:row>12</xdr:row>
      <xdr:rowOff>292100</xdr:rowOff>
    </xdr:to>
    <xdr:sp macro="'chkTextHide &quot;Main1Group2R1&quot;,&quot;Main1Text2&quot;,TRUE'" textlink="" fLocksText="0">
      <xdr:nvSpPr>
        <xdr:cNvPr id="2299" name="Main1Group2R1">
          <a:extLst>
            <a:ext uri="{FF2B5EF4-FFF2-40B4-BE49-F238E27FC236}">
              <a16:creationId xmlns:a16="http://schemas.microsoft.com/office/drawing/2014/main" id="{00000000-0008-0000-0200-0000FB080000}"/>
            </a:ext>
          </a:extLst>
        </xdr:cNvPr>
        <xdr:cNvSpPr/>
      </xdr:nvSpPr>
      <xdr:spPr>
        <a:xfrm>
          <a:off x="7435850" y="4765675"/>
          <a:ext cx="1612900" cy="279400"/>
        </a:xfrm>
        <a:prstGeom prst="roundRect">
          <a:avLst>
            <a:gd name="adj" fmla="val 0"/>
          </a:avLst>
        </a:prstGeom>
        <a:gradFill flip="none" rotWithShape="1">
          <a:gsLst>
            <a:gs pos="0">
              <a:srgbClr val="C8C8C8"/>
            </a:gs>
            <a:gs pos="100000">
              <a:srgbClr val="C8C8C8"/>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203200" rtlCol="0" anchor="ctr"/>
        <a:lstStyle/>
        <a:p>
          <a:pPr algn="ctr"/>
          <a:r>
            <a:rPr lang="da-DK" sz="1200" b="0">
              <a:solidFill>
                <a:srgbClr val="000000"/>
              </a:solidFill>
            </a:rPr>
            <a:t>Ja</a:t>
          </a:r>
        </a:p>
      </xdr:txBody>
    </xdr:sp>
    <xdr:clientData/>
  </xdr:twoCellAnchor>
  <xdr:twoCellAnchor>
    <xdr:from>
      <xdr:col>11</xdr:col>
      <xdr:colOff>63500</xdr:colOff>
      <xdr:row>12</xdr:row>
      <xdr:rowOff>12700</xdr:rowOff>
    </xdr:from>
    <xdr:to>
      <xdr:col>13</xdr:col>
      <xdr:colOff>0</xdr:colOff>
      <xdr:row>12</xdr:row>
      <xdr:rowOff>292100</xdr:rowOff>
    </xdr:to>
    <xdr:sp macro="'chkTextHide &quot;Main1Group2R2&quot;,&quot;Main1Text2&quot;,FALSE'" textlink="" fLocksText="0">
      <xdr:nvSpPr>
        <xdr:cNvPr id="2300" name="Main1Group2R2">
          <a:extLst>
            <a:ext uri="{FF2B5EF4-FFF2-40B4-BE49-F238E27FC236}">
              <a16:creationId xmlns:a16="http://schemas.microsoft.com/office/drawing/2014/main" id="{00000000-0008-0000-0200-0000FC080000}"/>
            </a:ext>
          </a:extLst>
        </xdr:cNvPr>
        <xdr:cNvSpPr/>
      </xdr:nvSpPr>
      <xdr:spPr>
        <a:xfrm>
          <a:off x="9112250" y="4765675"/>
          <a:ext cx="1612900" cy="279400"/>
        </a:xfrm>
        <a:prstGeom prst="roundRect">
          <a:avLst>
            <a:gd name="adj" fmla="val 0"/>
          </a:avLst>
        </a:prstGeom>
        <a:gradFill flip="none" rotWithShape="1">
          <a:gsLst>
            <a:gs pos="0">
              <a:srgbClr val="C8C8C8"/>
            </a:gs>
            <a:gs pos="100000">
              <a:srgbClr val="C8C8C8"/>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203200" rtlCol="0" anchor="ctr"/>
        <a:lstStyle/>
        <a:p>
          <a:pPr algn="ctr"/>
          <a:r>
            <a:rPr lang="da-DK" sz="1200" b="0">
              <a:solidFill>
                <a:srgbClr val="000000"/>
              </a:solidFill>
            </a:rPr>
            <a:t>Det ved jeg ikke...</a:t>
          </a:r>
        </a:p>
      </xdr:txBody>
    </xdr:sp>
    <xdr:clientData/>
  </xdr:twoCellAnchor>
  <xdr:twoCellAnchor>
    <xdr:from>
      <xdr:col>1</xdr:col>
      <xdr:colOff>0</xdr:colOff>
      <xdr:row>16</xdr:row>
      <xdr:rowOff>25400</xdr:rowOff>
    </xdr:from>
    <xdr:to>
      <xdr:col>13</xdr:col>
      <xdr:colOff>0</xdr:colOff>
      <xdr:row>16</xdr:row>
      <xdr:rowOff>50800</xdr:rowOff>
    </xdr:to>
    <xdr:sp macro="" textlink="">
      <xdr:nvSpPr>
        <xdr:cNvPr id="2301" name="Main1L2">
          <a:extLst>
            <a:ext uri="{FF2B5EF4-FFF2-40B4-BE49-F238E27FC236}">
              <a16:creationId xmlns:a16="http://schemas.microsoft.com/office/drawing/2014/main" id="{00000000-0008-0000-0200-0000FD080000}"/>
            </a:ext>
          </a:extLst>
        </xdr:cNvPr>
        <xdr:cNvSpPr/>
      </xdr:nvSpPr>
      <xdr:spPr>
        <a:xfrm>
          <a:off x="666750" y="7273925"/>
          <a:ext cx="10058400" cy="25400"/>
        </a:xfrm>
        <a:prstGeom prst="roundRect">
          <a:avLst/>
        </a:prstGeom>
        <a:gradFill flip="none" rotWithShape="1">
          <a:gsLst>
            <a:gs pos="0">
              <a:srgbClr val="B4B4B4"/>
            </a:gs>
            <a:gs pos="100000">
              <a:srgbClr val="646464"/>
            </a:gs>
          </a:gsLst>
          <a:lin ang="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clientData/>
  </xdr:twoCellAnchor>
  <xdr:twoCellAnchor>
    <xdr:from>
      <xdr:col>3</xdr:col>
      <xdr:colOff>0</xdr:colOff>
      <xdr:row>20</xdr:row>
      <xdr:rowOff>38100</xdr:rowOff>
    </xdr:from>
    <xdr:to>
      <xdr:col>13</xdr:col>
      <xdr:colOff>0</xdr:colOff>
      <xdr:row>20</xdr:row>
      <xdr:rowOff>1816100</xdr:rowOff>
    </xdr:to>
    <xdr:sp macro="" textlink="" fLocksText="0">
      <xdr:nvSpPr>
        <xdr:cNvPr id="2302" name="Main1Text3">
          <a:extLst>
            <a:ext uri="{FF2B5EF4-FFF2-40B4-BE49-F238E27FC236}">
              <a16:creationId xmlns:a16="http://schemas.microsoft.com/office/drawing/2014/main" id="{00000000-0008-0000-0200-0000FE080000}"/>
            </a:ext>
          </a:extLst>
        </xdr:cNvPr>
        <xdr:cNvSpPr/>
      </xdr:nvSpPr>
      <xdr:spPr>
        <a:xfrm>
          <a:off x="2343150" y="7886700"/>
          <a:ext cx="8382000" cy="1778000"/>
        </a:xfrm>
        <a:prstGeom prst="roundRect">
          <a:avLst>
            <a:gd name="adj" fmla="val 0"/>
          </a:avLst>
        </a:prstGeom>
        <a:gradFill flip="none" rotWithShape="1">
          <a:gsLst>
            <a:gs pos="0">
              <a:srgbClr val="EBB553"/>
            </a:gs>
            <a:gs pos="100000">
              <a:srgbClr val="EBB553"/>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rtlCol="0" anchor="t"/>
        <a:lstStyle/>
        <a:p>
          <a:pPr algn="l"/>
          <a:r>
            <a:rPr lang="da-DK" sz="1200" b="0">
              <a:solidFill>
                <a:srgbClr val="000000"/>
              </a:solidFill>
              <a:latin typeface="Arial"/>
            </a:rPr>
            <a:t>Risikoregistreret er en systematisk måde at identificere og behandle risikofaktorer og usikkerhed på. De væsentlige risici skal skrives ind i business case-modellen, og det er derfor vigtig at dette register laves før man udfyldes business casen.
Find risikoregistreret her: http://www.digst.dk/Styring/Statens-projektmodel/IT-projektmodellen/Download</a:t>
          </a:r>
        </a:p>
      </xdr:txBody>
    </xdr:sp>
    <xdr:clientData/>
  </xdr:twoCellAnchor>
  <xdr:twoCellAnchor>
    <xdr:from>
      <xdr:col>1</xdr:col>
      <xdr:colOff>584200</xdr:colOff>
      <xdr:row>18</xdr:row>
      <xdr:rowOff>38100</xdr:rowOff>
    </xdr:from>
    <xdr:to>
      <xdr:col>9</xdr:col>
      <xdr:colOff>0</xdr:colOff>
      <xdr:row>18</xdr:row>
      <xdr:rowOff>317500</xdr:rowOff>
    </xdr:to>
    <xdr:sp macro="" textlink="" fLocksText="0">
      <xdr:nvSpPr>
        <xdr:cNvPr id="2303" name="Main1Group3Chk1">
          <a:extLst>
            <a:ext uri="{FF2B5EF4-FFF2-40B4-BE49-F238E27FC236}">
              <a16:creationId xmlns:a16="http://schemas.microsoft.com/office/drawing/2014/main" id="{00000000-0008-0000-0200-0000FF080000}"/>
            </a:ext>
          </a:extLst>
        </xdr:cNvPr>
        <xdr:cNvSpPr/>
      </xdr:nvSpPr>
      <xdr:spPr>
        <a:xfrm>
          <a:off x="1250950" y="7524750"/>
          <a:ext cx="6121400" cy="279400"/>
        </a:xfrm>
        <a:prstGeom prst="roundRect">
          <a:avLst>
            <a:gd name="adj" fmla="val 0"/>
          </a:avLst>
        </a:prstGeom>
        <a:gradFill flip="none" rotWithShape="1">
          <a:gsLst>
            <a:gs pos="0">
              <a:srgbClr val="D9D9D9"/>
            </a:gs>
            <a:gs pos="100000">
              <a:srgbClr val="D9D9D9"/>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38100" rtlCol="0" anchor="ctr"/>
        <a:lstStyle/>
        <a:p>
          <a:pPr algn="l"/>
          <a:r>
            <a:rPr lang="da-DK" sz="1200" b="0">
              <a:solidFill>
                <a:srgbClr val="000000"/>
              </a:solidFill>
              <a:latin typeface="Arial"/>
            </a:rPr>
            <a:t>Har du lavet et risikoregister for projektet?</a:t>
          </a:r>
        </a:p>
      </xdr:txBody>
    </xdr:sp>
    <xdr:clientData/>
  </xdr:twoCellAnchor>
  <xdr:twoCellAnchor>
    <xdr:from>
      <xdr:col>9</xdr:col>
      <xdr:colOff>63500</xdr:colOff>
      <xdr:row>18</xdr:row>
      <xdr:rowOff>12700</xdr:rowOff>
    </xdr:from>
    <xdr:to>
      <xdr:col>11</xdr:col>
      <xdr:colOff>0</xdr:colOff>
      <xdr:row>18</xdr:row>
      <xdr:rowOff>292100</xdr:rowOff>
    </xdr:to>
    <xdr:sp macro="'chkTextHide &quot;Main1Group3R1&quot;,&quot;Main1Text3&quot;,TRUE'" textlink="" fLocksText="0">
      <xdr:nvSpPr>
        <xdr:cNvPr id="288" name="Main1Group3R1">
          <a:extLst>
            <a:ext uri="{FF2B5EF4-FFF2-40B4-BE49-F238E27FC236}">
              <a16:creationId xmlns:a16="http://schemas.microsoft.com/office/drawing/2014/main" id="{00000000-0008-0000-0200-000020010000}"/>
            </a:ext>
          </a:extLst>
        </xdr:cNvPr>
        <xdr:cNvSpPr/>
      </xdr:nvSpPr>
      <xdr:spPr>
        <a:xfrm>
          <a:off x="7435850" y="7499350"/>
          <a:ext cx="1612900" cy="279400"/>
        </a:xfrm>
        <a:prstGeom prst="roundRect">
          <a:avLst>
            <a:gd name="adj" fmla="val 0"/>
          </a:avLst>
        </a:prstGeom>
        <a:gradFill flip="none" rotWithShape="1">
          <a:gsLst>
            <a:gs pos="0">
              <a:srgbClr val="C8C8C8"/>
            </a:gs>
            <a:gs pos="100000">
              <a:srgbClr val="C8C8C8"/>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203200" rtlCol="0" anchor="ctr"/>
        <a:lstStyle/>
        <a:p>
          <a:pPr algn="ctr"/>
          <a:r>
            <a:rPr lang="da-DK" sz="1200" b="0">
              <a:solidFill>
                <a:srgbClr val="000000"/>
              </a:solidFill>
            </a:rPr>
            <a:t>Ja</a:t>
          </a:r>
        </a:p>
      </xdr:txBody>
    </xdr:sp>
    <xdr:clientData/>
  </xdr:twoCellAnchor>
  <xdr:twoCellAnchor>
    <xdr:from>
      <xdr:col>11</xdr:col>
      <xdr:colOff>63500</xdr:colOff>
      <xdr:row>18</xdr:row>
      <xdr:rowOff>12700</xdr:rowOff>
    </xdr:from>
    <xdr:to>
      <xdr:col>13</xdr:col>
      <xdr:colOff>0</xdr:colOff>
      <xdr:row>18</xdr:row>
      <xdr:rowOff>292100</xdr:rowOff>
    </xdr:to>
    <xdr:sp macro="'chkTextHide &quot;Main1Group3R2&quot;,&quot;Main1Text3&quot;,FALSE'" textlink="" fLocksText="0">
      <xdr:nvSpPr>
        <xdr:cNvPr id="289" name="Main1Group3R2">
          <a:extLst>
            <a:ext uri="{FF2B5EF4-FFF2-40B4-BE49-F238E27FC236}">
              <a16:creationId xmlns:a16="http://schemas.microsoft.com/office/drawing/2014/main" id="{00000000-0008-0000-0200-000021010000}"/>
            </a:ext>
          </a:extLst>
        </xdr:cNvPr>
        <xdr:cNvSpPr/>
      </xdr:nvSpPr>
      <xdr:spPr>
        <a:xfrm>
          <a:off x="9112250" y="7499350"/>
          <a:ext cx="1612900" cy="279400"/>
        </a:xfrm>
        <a:prstGeom prst="roundRect">
          <a:avLst>
            <a:gd name="adj" fmla="val 0"/>
          </a:avLst>
        </a:prstGeom>
        <a:gradFill flip="none" rotWithShape="1">
          <a:gsLst>
            <a:gs pos="0">
              <a:srgbClr val="C8C8C8"/>
            </a:gs>
            <a:gs pos="100000">
              <a:srgbClr val="C8C8C8"/>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203200" rtlCol="0" anchor="ctr"/>
        <a:lstStyle/>
        <a:p>
          <a:pPr algn="ctr"/>
          <a:r>
            <a:rPr lang="da-DK" sz="1200" b="0">
              <a:solidFill>
                <a:srgbClr val="000000"/>
              </a:solidFill>
            </a:rPr>
            <a:t>Det ved jeg ikke...</a:t>
          </a:r>
        </a:p>
      </xdr:txBody>
    </xdr:sp>
    <xdr:clientData/>
  </xdr:twoCellAnchor>
  <xdr:twoCellAnchor>
    <xdr:from>
      <xdr:col>1</xdr:col>
      <xdr:colOff>0</xdr:colOff>
      <xdr:row>22</xdr:row>
      <xdr:rowOff>25400</xdr:rowOff>
    </xdr:from>
    <xdr:to>
      <xdr:col>13</xdr:col>
      <xdr:colOff>0</xdr:colOff>
      <xdr:row>22</xdr:row>
      <xdr:rowOff>50800</xdr:rowOff>
    </xdr:to>
    <xdr:sp macro="" textlink="">
      <xdr:nvSpPr>
        <xdr:cNvPr id="290" name="Main1L3">
          <a:extLst>
            <a:ext uri="{FF2B5EF4-FFF2-40B4-BE49-F238E27FC236}">
              <a16:creationId xmlns:a16="http://schemas.microsoft.com/office/drawing/2014/main" id="{00000000-0008-0000-0200-000022010000}"/>
            </a:ext>
          </a:extLst>
        </xdr:cNvPr>
        <xdr:cNvSpPr/>
      </xdr:nvSpPr>
      <xdr:spPr>
        <a:xfrm>
          <a:off x="666750" y="10007600"/>
          <a:ext cx="10058400" cy="25400"/>
        </a:xfrm>
        <a:prstGeom prst="roundRect">
          <a:avLst/>
        </a:prstGeom>
        <a:gradFill flip="none" rotWithShape="1">
          <a:gsLst>
            <a:gs pos="0">
              <a:srgbClr val="B4B4B4"/>
            </a:gs>
            <a:gs pos="100000">
              <a:srgbClr val="646464"/>
            </a:gs>
          </a:gsLst>
          <a:lin ang="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clientData/>
  </xdr:twoCellAnchor>
  <xdr:twoCellAnchor>
    <xdr:from>
      <xdr:col>3</xdr:col>
      <xdr:colOff>0</xdr:colOff>
      <xdr:row>26</xdr:row>
      <xdr:rowOff>38100</xdr:rowOff>
    </xdr:from>
    <xdr:to>
      <xdr:col>13</xdr:col>
      <xdr:colOff>0</xdr:colOff>
      <xdr:row>26</xdr:row>
      <xdr:rowOff>1816100</xdr:rowOff>
    </xdr:to>
    <xdr:sp macro="" textlink="" fLocksText="0">
      <xdr:nvSpPr>
        <xdr:cNvPr id="291" name="Main1Text4">
          <a:extLst>
            <a:ext uri="{FF2B5EF4-FFF2-40B4-BE49-F238E27FC236}">
              <a16:creationId xmlns:a16="http://schemas.microsoft.com/office/drawing/2014/main" id="{00000000-0008-0000-0200-000023010000}"/>
            </a:ext>
          </a:extLst>
        </xdr:cNvPr>
        <xdr:cNvSpPr/>
      </xdr:nvSpPr>
      <xdr:spPr>
        <a:xfrm>
          <a:off x="2343150" y="10620375"/>
          <a:ext cx="8382000" cy="1778000"/>
        </a:xfrm>
        <a:prstGeom prst="roundRect">
          <a:avLst>
            <a:gd name="adj" fmla="val 0"/>
          </a:avLst>
        </a:prstGeom>
        <a:gradFill flip="none" rotWithShape="1">
          <a:gsLst>
            <a:gs pos="0">
              <a:srgbClr val="EBB553"/>
            </a:gs>
            <a:gs pos="100000">
              <a:srgbClr val="EBB553"/>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rtlCol="0" anchor="t"/>
        <a:lstStyle/>
        <a:p>
          <a:pPr algn="l"/>
          <a:r>
            <a:rPr lang="da-DK" sz="1200" b="0">
              <a:solidFill>
                <a:srgbClr val="000000"/>
              </a:solidFill>
              <a:latin typeface="Arial"/>
            </a:rPr>
            <a:t>De andre obligatoriske produkter i modellen er: Kvalitetsplan, gevinstmålinger, gevinstrealiseringsplan.
Hertil findes en række anbefalede produkter.
Find disse produkter her: http://www.digst.dk/Styring/Statens-projektmodel/IT-projektmodellen/Download</a:t>
          </a:r>
        </a:p>
      </xdr:txBody>
    </xdr:sp>
    <xdr:clientData/>
  </xdr:twoCellAnchor>
  <xdr:twoCellAnchor>
    <xdr:from>
      <xdr:col>1</xdr:col>
      <xdr:colOff>584200</xdr:colOff>
      <xdr:row>24</xdr:row>
      <xdr:rowOff>38100</xdr:rowOff>
    </xdr:from>
    <xdr:to>
      <xdr:col>9</xdr:col>
      <xdr:colOff>0</xdr:colOff>
      <xdr:row>24</xdr:row>
      <xdr:rowOff>317500</xdr:rowOff>
    </xdr:to>
    <xdr:sp macro="" textlink="" fLocksText="0">
      <xdr:nvSpPr>
        <xdr:cNvPr id="292" name="Main1Group4Chk1">
          <a:extLst>
            <a:ext uri="{FF2B5EF4-FFF2-40B4-BE49-F238E27FC236}">
              <a16:creationId xmlns:a16="http://schemas.microsoft.com/office/drawing/2014/main" id="{00000000-0008-0000-0200-000024010000}"/>
            </a:ext>
          </a:extLst>
        </xdr:cNvPr>
        <xdr:cNvSpPr/>
      </xdr:nvSpPr>
      <xdr:spPr>
        <a:xfrm>
          <a:off x="1250950" y="10258425"/>
          <a:ext cx="6121400" cy="279400"/>
        </a:xfrm>
        <a:prstGeom prst="roundRect">
          <a:avLst>
            <a:gd name="adj" fmla="val 0"/>
          </a:avLst>
        </a:prstGeom>
        <a:gradFill flip="none" rotWithShape="1">
          <a:gsLst>
            <a:gs pos="0">
              <a:srgbClr val="D9D9D9"/>
            </a:gs>
            <a:gs pos="100000">
              <a:srgbClr val="D9D9D9"/>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38100" rtlCol="0" anchor="ctr"/>
        <a:lstStyle/>
        <a:p>
          <a:pPr algn="l"/>
          <a:r>
            <a:rPr lang="da-DK" sz="1200" b="0">
              <a:solidFill>
                <a:srgbClr val="000000"/>
              </a:solidFill>
              <a:latin typeface="Arial"/>
            </a:rPr>
            <a:t>Har du overblik over de andre produkter i modellen?</a:t>
          </a:r>
        </a:p>
      </xdr:txBody>
    </xdr:sp>
    <xdr:clientData/>
  </xdr:twoCellAnchor>
  <xdr:twoCellAnchor>
    <xdr:from>
      <xdr:col>9</xdr:col>
      <xdr:colOff>63500</xdr:colOff>
      <xdr:row>24</xdr:row>
      <xdr:rowOff>12700</xdr:rowOff>
    </xdr:from>
    <xdr:to>
      <xdr:col>11</xdr:col>
      <xdr:colOff>0</xdr:colOff>
      <xdr:row>24</xdr:row>
      <xdr:rowOff>292100</xdr:rowOff>
    </xdr:to>
    <xdr:sp macro="'chkTextHide &quot;Main1Group4R1&quot;,&quot;Main1Text4&quot;,TRUE'" textlink="" fLocksText="0">
      <xdr:nvSpPr>
        <xdr:cNvPr id="293" name="Main1Group4R1">
          <a:extLst>
            <a:ext uri="{FF2B5EF4-FFF2-40B4-BE49-F238E27FC236}">
              <a16:creationId xmlns:a16="http://schemas.microsoft.com/office/drawing/2014/main" id="{00000000-0008-0000-0200-000025010000}"/>
            </a:ext>
          </a:extLst>
        </xdr:cNvPr>
        <xdr:cNvSpPr/>
      </xdr:nvSpPr>
      <xdr:spPr>
        <a:xfrm>
          <a:off x="7435850" y="10233025"/>
          <a:ext cx="1612900" cy="279400"/>
        </a:xfrm>
        <a:prstGeom prst="roundRect">
          <a:avLst>
            <a:gd name="adj" fmla="val 0"/>
          </a:avLst>
        </a:prstGeom>
        <a:gradFill flip="none" rotWithShape="1">
          <a:gsLst>
            <a:gs pos="0">
              <a:srgbClr val="C8C8C8"/>
            </a:gs>
            <a:gs pos="100000">
              <a:srgbClr val="C8C8C8"/>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203200" rtlCol="0" anchor="ctr"/>
        <a:lstStyle/>
        <a:p>
          <a:pPr algn="ctr"/>
          <a:r>
            <a:rPr lang="da-DK" sz="1200" b="0">
              <a:solidFill>
                <a:srgbClr val="000000"/>
              </a:solidFill>
            </a:rPr>
            <a:t>Ja</a:t>
          </a:r>
        </a:p>
      </xdr:txBody>
    </xdr:sp>
    <xdr:clientData/>
  </xdr:twoCellAnchor>
  <xdr:twoCellAnchor>
    <xdr:from>
      <xdr:col>11</xdr:col>
      <xdr:colOff>63500</xdr:colOff>
      <xdr:row>24</xdr:row>
      <xdr:rowOff>12700</xdr:rowOff>
    </xdr:from>
    <xdr:to>
      <xdr:col>13</xdr:col>
      <xdr:colOff>0</xdr:colOff>
      <xdr:row>24</xdr:row>
      <xdr:rowOff>292100</xdr:rowOff>
    </xdr:to>
    <xdr:sp macro="'chkTextHide &quot;Main1Group4R2&quot;,&quot;Main1Text4&quot;,FALSE'" textlink="" fLocksText="0">
      <xdr:nvSpPr>
        <xdr:cNvPr id="294" name="Main1Group4R2">
          <a:extLst>
            <a:ext uri="{FF2B5EF4-FFF2-40B4-BE49-F238E27FC236}">
              <a16:creationId xmlns:a16="http://schemas.microsoft.com/office/drawing/2014/main" id="{00000000-0008-0000-0200-000026010000}"/>
            </a:ext>
          </a:extLst>
        </xdr:cNvPr>
        <xdr:cNvSpPr/>
      </xdr:nvSpPr>
      <xdr:spPr>
        <a:xfrm>
          <a:off x="9112250" y="10233025"/>
          <a:ext cx="1612900" cy="279400"/>
        </a:xfrm>
        <a:prstGeom prst="roundRect">
          <a:avLst>
            <a:gd name="adj" fmla="val 0"/>
          </a:avLst>
        </a:prstGeom>
        <a:gradFill flip="none" rotWithShape="1">
          <a:gsLst>
            <a:gs pos="0">
              <a:srgbClr val="C8C8C8"/>
            </a:gs>
            <a:gs pos="100000">
              <a:srgbClr val="C8C8C8"/>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203200" rtlCol="0" anchor="ctr"/>
        <a:lstStyle/>
        <a:p>
          <a:pPr algn="ctr"/>
          <a:r>
            <a:rPr lang="da-DK" sz="1200" b="0">
              <a:solidFill>
                <a:srgbClr val="000000"/>
              </a:solidFill>
            </a:rPr>
            <a:t>Det ved jeg ikke...</a:t>
          </a:r>
        </a:p>
      </xdr:txBody>
    </xdr:sp>
    <xdr:clientData/>
  </xdr:twoCellAnchor>
  <xdr:twoCellAnchor>
    <xdr:from>
      <xdr:col>1</xdr:col>
      <xdr:colOff>0</xdr:colOff>
      <xdr:row>28</xdr:row>
      <xdr:rowOff>25400</xdr:rowOff>
    </xdr:from>
    <xdr:to>
      <xdr:col>13</xdr:col>
      <xdr:colOff>0</xdr:colOff>
      <xdr:row>28</xdr:row>
      <xdr:rowOff>50800</xdr:rowOff>
    </xdr:to>
    <xdr:sp macro="" textlink="">
      <xdr:nvSpPr>
        <xdr:cNvPr id="295" name="Main1L4">
          <a:extLst>
            <a:ext uri="{FF2B5EF4-FFF2-40B4-BE49-F238E27FC236}">
              <a16:creationId xmlns:a16="http://schemas.microsoft.com/office/drawing/2014/main" id="{00000000-0008-0000-0200-000027010000}"/>
            </a:ext>
          </a:extLst>
        </xdr:cNvPr>
        <xdr:cNvSpPr/>
      </xdr:nvSpPr>
      <xdr:spPr>
        <a:xfrm>
          <a:off x="666750" y="12741275"/>
          <a:ext cx="10058400" cy="25400"/>
        </a:xfrm>
        <a:prstGeom prst="roundRect">
          <a:avLst/>
        </a:prstGeom>
        <a:gradFill flip="none" rotWithShape="1">
          <a:gsLst>
            <a:gs pos="0">
              <a:srgbClr val="B4B4B4"/>
            </a:gs>
            <a:gs pos="100000">
              <a:srgbClr val="646464"/>
            </a:gs>
          </a:gsLst>
          <a:lin ang="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clientData/>
  </xdr:twoCellAnchor>
  <xdr:twoCellAnchor>
    <xdr:from>
      <xdr:col>3</xdr:col>
      <xdr:colOff>0</xdr:colOff>
      <xdr:row>32</xdr:row>
      <xdr:rowOff>38100</xdr:rowOff>
    </xdr:from>
    <xdr:to>
      <xdr:col>13</xdr:col>
      <xdr:colOff>0</xdr:colOff>
      <xdr:row>32</xdr:row>
      <xdr:rowOff>1816100</xdr:rowOff>
    </xdr:to>
    <xdr:sp macro="" textlink="" fLocksText="0">
      <xdr:nvSpPr>
        <xdr:cNvPr id="296" name="Main1Text5">
          <a:extLst>
            <a:ext uri="{FF2B5EF4-FFF2-40B4-BE49-F238E27FC236}">
              <a16:creationId xmlns:a16="http://schemas.microsoft.com/office/drawing/2014/main" id="{00000000-0008-0000-0200-000028010000}"/>
            </a:ext>
          </a:extLst>
        </xdr:cNvPr>
        <xdr:cNvSpPr/>
      </xdr:nvSpPr>
      <xdr:spPr>
        <a:xfrm>
          <a:off x="2343150" y="13354050"/>
          <a:ext cx="8382000" cy="1778000"/>
        </a:xfrm>
        <a:prstGeom prst="roundRect">
          <a:avLst>
            <a:gd name="adj" fmla="val 0"/>
          </a:avLst>
        </a:prstGeom>
        <a:gradFill flip="none" rotWithShape="1">
          <a:gsLst>
            <a:gs pos="0">
              <a:srgbClr val="EBB553"/>
            </a:gs>
            <a:gs pos="100000">
              <a:srgbClr val="EBB553"/>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rtlCol="0" anchor="t"/>
        <a:lstStyle/>
        <a:p>
          <a:pPr algn="l"/>
          <a:r>
            <a:rPr lang="da-DK" sz="1200" b="0">
              <a:solidFill>
                <a:srgbClr val="000000"/>
              </a:solidFill>
              <a:latin typeface="Arial"/>
            </a:rPr>
            <a:t>Vejledning til statens business case-model beskriver, hvordan modellen benyttes i praksis og modellens tre procestrin; et forudsætningsdiagram, et regneark og en skabelon til ledelsesrapportering. 
Metode for statens business case-model beskriver det metodiske og analytiske grundlag for modellen, og fungerer som et mere dybdegående opslagsværk.
Find vejledningerne her: http://www.digst.dk/Styring/Statens-projektmodel/Statens-Business-Casemodel/Dowload-BC</a:t>
          </a:r>
        </a:p>
      </xdr:txBody>
    </xdr:sp>
    <xdr:clientData/>
  </xdr:twoCellAnchor>
  <xdr:twoCellAnchor>
    <xdr:from>
      <xdr:col>1</xdr:col>
      <xdr:colOff>584200</xdr:colOff>
      <xdr:row>30</xdr:row>
      <xdr:rowOff>38100</xdr:rowOff>
    </xdr:from>
    <xdr:to>
      <xdr:col>9</xdr:col>
      <xdr:colOff>0</xdr:colOff>
      <xdr:row>30</xdr:row>
      <xdr:rowOff>317500</xdr:rowOff>
    </xdr:to>
    <xdr:sp macro="" textlink="" fLocksText="0">
      <xdr:nvSpPr>
        <xdr:cNvPr id="297" name="Main1Group5Chk1">
          <a:extLst>
            <a:ext uri="{FF2B5EF4-FFF2-40B4-BE49-F238E27FC236}">
              <a16:creationId xmlns:a16="http://schemas.microsoft.com/office/drawing/2014/main" id="{00000000-0008-0000-0200-000029010000}"/>
            </a:ext>
          </a:extLst>
        </xdr:cNvPr>
        <xdr:cNvSpPr/>
      </xdr:nvSpPr>
      <xdr:spPr>
        <a:xfrm>
          <a:off x="1250950" y="12992100"/>
          <a:ext cx="6121400" cy="279400"/>
        </a:xfrm>
        <a:prstGeom prst="roundRect">
          <a:avLst>
            <a:gd name="adj" fmla="val 0"/>
          </a:avLst>
        </a:prstGeom>
        <a:gradFill flip="none" rotWithShape="1">
          <a:gsLst>
            <a:gs pos="0">
              <a:srgbClr val="D9D9D9"/>
            </a:gs>
            <a:gs pos="100000">
              <a:srgbClr val="D9D9D9"/>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38100" rtlCol="0" anchor="ctr"/>
        <a:lstStyle/>
        <a:p>
          <a:pPr algn="l"/>
          <a:r>
            <a:rPr lang="da-DK" sz="1200" b="0">
              <a:solidFill>
                <a:srgbClr val="000000"/>
              </a:solidFill>
              <a:latin typeface="Arial"/>
            </a:rPr>
            <a:t>Har du læst vejledningerne til statens business case-model?</a:t>
          </a:r>
        </a:p>
      </xdr:txBody>
    </xdr:sp>
    <xdr:clientData/>
  </xdr:twoCellAnchor>
  <xdr:twoCellAnchor>
    <xdr:from>
      <xdr:col>9</xdr:col>
      <xdr:colOff>63500</xdr:colOff>
      <xdr:row>30</xdr:row>
      <xdr:rowOff>12700</xdr:rowOff>
    </xdr:from>
    <xdr:to>
      <xdr:col>11</xdr:col>
      <xdr:colOff>0</xdr:colOff>
      <xdr:row>30</xdr:row>
      <xdr:rowOff>292100</xdr:rowOff>
    </xdr:to>
    <xdr:sp macro="'chkTextHide &quot;Main1Group5R1&quot;,&quot;Main1Text5&quot;,TRUE'" textlink="" fLocksText="0">
      <xdr:nvSpPr>
        <xdr:cNvPr id="298" name="Main1Group5R1">
          <a:extLst>
            <a:ext uri="{FF2B5EF4-FFF2-40B4-BE49-F238E27FC236}">
              <a16:creationId xmlns:a16="http://schemas.microsoft.com/office/drawing/2014/main" id="{00000000-0008-0000-0200-00002A010000}"/>
            </a:ext>
          </a:extLst>
        </xdr:cNvPr>
        <xdr:cNvSpPr/>
      </xdr:nvSpPr>
      <xdr:spPr>
        <a:xfrm>
          <a:off x="7435850" y="12966700"/>
          <a:ext cx="1612900" cy="279400"/>
        </a:xfrm>
        <a:prstGeom prst="roundRect">
          <a:avLst>
            <a:gd name="adj" fmla="val 0"/>
          </a:avLst>
        </a:prstGeom>
        <a:gradFill flip="none" rotWithShape="1">
          <a:gsLst>
            <a:gs pos="0">
              <a:srgbClr val="C8C8C8"/>
            </a:gs>
            <a:gs pos="100000">
              <a:srgbClr val="C8C8C8"/>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203200" rtlCol="0" anchor="ctr"/>
        <a:lstStyle/>
        <a:p>
          <a:pPr algn="ctr"/>
          <a:r>
            <a:rPr lang="da-DK" sz="1200" b="0">
              <a:solidFill>
                <a:srgbClr val="000000"/>
              </a:solidFill>
            </a:rPr>
            <a:t>Ja</a:t>
          </a:r>
        </a:p>
      </xdr:txBody>
    </xdr:sp>
    <xdr:clientData/>
  </xdr:twoCellAnchor>
  <xdr:twoCellAnchor>
    <xdr:from>
      <xdr:col>11</xdr:col>
      <xdr:colOff>63500</xdr:colOff>
      <xdr:row>30</xdr:row>
      <xdr:rowOff>12700</xdr:rowOff>
    </xdr:from>
    <xdr:to>
      <xdr:col>13</xdr:col>
      <xdr:colOff>0</xdr:colOff>
      <xdr:row>30</xdr:row>
      <xdr:rowOff>292100</xdr:rowOff>
    </xdr:to>
    <xdr:sp macro="'chkTextHide &quot;Main1Group5R2&quot;,&quot;Main1Text5&quot;,FALSE'" textlink="" fLocksText="0">
      <xdr:nvSpPr>
        <xdr:cNvPr id="299" name="Main1Group5R2">
          <a:extLst>
            <a:ext uri="{FF2B5EF4-FFF2-40B4-BE49-F238E27FC236}">
              <a16:creationId xmlns:a16="http://schemas.microsoft.com/office/drawing/2014/main" id="{00000000-0008-0000-0200-00002B010000}"/>
            </a:ext>
          </a:extLst>
        </xdr:cNvPr>
        <xdr:cNvSpPr/>
      </xdr:nvSpPr>
      <xdr:spPr>
        <a:xfrm>
          <a:off x="9112250" y="12966700"/>
          <a:ext cx="1612900" cy="279400"/>
        </a:xfrm>
        <a:prstGeom prst="roundRect">
          <a:avLst>
            <a:gd name="adj" fmla="val 0"/>
          </a:avLst>
        </a:prstGeom>
        <a:gradFill flip="none" rotWithShape="1">
          <a:gsLst>
            <a:gs pos="0">
              <a:srgbClr val="C8C8C8"/>
            </a:gs>
            <a:gs pos="100000">
              <a:srgbClr val="C8C8C8"/>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203200" rtlCol="0" anchor="ctr"/>
        <a:lstStyle/>
        <a:p>
          <a:pPr algn="ctr"/>
          <a:r>
            <a:rPr lang="da-DK" sz="1200" b="0">
              <a:solidFill>
                <a:srgbClr val="000000"/>
              </a:solidFill>
            </a:rPr>
            <a:t>Det ved jeg ikke...</a:t>
          </a:r>
        </a:p>
      </xdr:txBody>
    </xdr:sp>
    <xdr:clientData/>
  </xdr:twoCellAnchor>
  <xdr:twoCellAnchor>
    <xdr:from>
      <xdr:col>1</xdr:col>
      <xdr:colOff>0</xdr:colOff>
      <xdr:row>34</xdr:row>
      <xdr:rowOff>25400</xdr:rowOff>
    </xdr:from>
    <xdr:to>
      <xdr:col>13</xdr:col>
      <xdr:colOff>0</xdr:colOff>
      <xdr:row>34</xdr:row>
      <xdr:rowOff>50800</xdr:rowOff>
    </xdr:to>
    <xdr:sp macro="" textlink="">
      <xdr:nvSpPr>
        <xdr:cNvPr id="300" name="Main1L5">
          <a:extLst>
            <a:ext uri="{FF2B5EF4-FFF2-40B4-BE49-F238E27FC236}">
              <a16:creationId xmlns:a16="http://schemas.microsoft.com/office/drawing/2014/main" id="{00000000-0008-0000-0200-00002C010000}"/>
            </a:ext>
          </a:extLst>
        </xdr:cNvPr>
        <xdr:cNvSpPr/>
      </xdr:nvSpPr>
      <xdr:spPr>
        <a:xfrm>
          <a:off x="666750" y="15474950"/>
          <a:ext cx="10058400" cy="25400"/>
        </a:xfrm>
        <a:prstGeom prst="roundRect">
          <a:avLst/>
        </a:prstGeom>
        <a:gradFill flip="none" rotWithShape="1">
          <a:gsLst>
            <a:gs pos="0">
              <a:srgbClr val="B4B4B4"/>
            </a:gs>
            <a:gs pos="100000">
              <a:srgbClr val="646464"/>
            </a:gs>
          </a:gsLst>
          <a:lin ang="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clientData/>
  </xdr:twoCellAnchor>
  <xdr:twoCellAnchor>
    <xdr:from>
      <xdr:col>3</xdr:col>
      <xdr:colOff>0</xdr:colOff>
      <xdr:row>38</xdr:row>
      <xdr:rowOff>38100</xdr:rowOff>
    </xdr:from>
    <xdr:to>
      <xdr:col>13</xdr:col>
      <xdr:colOff>0</xdr:colOff>
      <xdr:row>38</xdr:row>
      <xdr:rowOff>1816100</xdr:rowOff>
    </xdr:to>
    <xdr:sp macro="" textlink="" fLocksText="0">
      <xdr:nvSpPr>
        <xdr:cNvPr id="301" name="Main1Text6">
          <a:extLst>
            <a:ext uri="{FF2B5EF4-FFF2-40B4-BE49-F238E27FC236}">
              <a16:creationId xmlns:a16="http://schemas.microsoft.com/office/drawing/2014/main" id="{00000000-0008-0000-0200-00002D010000}"/>
            </a:ext>
          </a:extLst>
        </xdr:cNvPr>
        <xdr:cNvSpPr/>
      </xdr:nvSpPr>
      <xdr:spPr>
        <a:xfrm>
          <a:off x="2343150" y="16087725"/>
          <a:ext cx="8382000" cy="1778000"/>
        </a:xfrm>
        <a:prstGeom prst="roundRect">
          <a:avLst>
            <a:gd name="adj" fmla="val 0"/>
          </a:avLst>
        </a:prstGeom>
        <a:gradFill flip="none" rotWithShape="1">
          <a:gsLst>
            <a:gs pos="0">
              <a:srgbClr val="EBB553"/>
            </a:gs>
            <a:gs pos="100000">
              <a:srgbClr val="EBB553"/>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rtlCol="0" anchor="t"/>
        <a:lstStyle/>
        <a:p>
          <a:pPr algn="l"/>
          <a:r>
            <a:rPr lang="da-DK" sz="1200" b="0">
              <a:solidFill>
                <a:srgbClr val="000000"/>
              </a:solidFill>
              <a:latin typeface="Arial"/>
            </a:rPr>
            <a:t>E-læringskurset har en varighed af ca. tre timer. Det omfatter en introduktion til business casen og øvelser, der giver et godt indtryk af, hvordan man udarbejder en business case.
Hvis du har adgang til campus, kan du finde e-læringskurset her: https://www.stat-campus.dk/Saba/Web/Main/goto/OfferingDetails?offeringId=dowbt000000000001492.
Find risikoregistreret her: http://www.digst.dk/Styring/Statens-projektmodel/IT-projektmodellen/Download</a:t>
          </a:r>
        </a:p>
      </xdr:txBody>
    </xdr:sp>
    <xdr:clientData/>
  </xdr:twoCellAnchor>
  <xdr:twoCellAnchor>
    <xdr:from>
      <xdr:col>1</xdr:col>
      <xdr:colOff>584200</xdr:colOff>
      <xdr:row>36</xdr:row>
      <xdr:rowOff>38100</xdr:rowOff>
    </xdr:from>
    <xdr:to>
      <xdr:col>9</xdr:col>
      <xdr:colOff>0</xdr:colOff>
      <xdr:row>36</xdr:row>
      <xdr:rowOff>317500</xdr:rowOff>
    </xdr:to>
    <xdr:sp macro="" textlink="" fLocksText="0">
      <xdr:nvSpPr>
        <xdr:cNvPr id="302" name="Main1Group6Chk1">
          <a:extLst>
            <a:ext uri="{FF2B5EF4-FFF2-40B4-BE49-F238E27FC236}">
              <a16:creationId xmlns:a16="http://schemas.microsoft.com/office/drawing/2014/main" id="{00000000-0008-0000-0200-00002E010000}"/>
            </a:ext>
          </a:extLst>
        </xdr:cNvPr>
        <xdr:cNvSpPr/>
      </xdr:nvSpPr>
      <xdr:spPr>
        <a:xfrm>
          <a:off x="1250950" y="15725775"/>
          <a:ext cx="6121400" cy="279400"/>
        </a:xfrm>
        <a:prstGeom prst="roundRect">
          <a:avLst>
            <a:gd name="adj" fmla="val 0"/>
          </a:avLst>
        </a:prstGeom>
        <a:gradFill flip="none" rotWithShape="1">
          <a:gsLst>
            <a:gs pos="0">
              <a:srgbClr val="D9D9D9"/>
            </a:gs>
            <a:gs pos="100000">
              <a:srgbClr val="D9D9D9"/>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38100" rtlCol="0" anchor="ctr"/>
        <a:lstStyle/>
        <a:p>
          <a:pPr algn="l"/>
          <a:r>
            <a:rPr lang="da-DK" sz="1200" b="0">
              <a:solidFill>
                <a:srgbClr val="000000"/>
              </a:solidFill>
              <a:latin typeface="Arial"/>
            </a:rPr>
            <a:t>Har du taget e-læringskurset, der ligger på campus?</a:t>
          </a:r>
        </a:p>
      </xdr:txBody>
    </xdr:sp>
    <xdr:clientData/>
  </xdr:twoCellAnchor>
  <xdr:twoCellAnchor>
    <xdr:from>
      <xdr:col>9</xdr:col>
      <xdr:colOff>63500</xdr:colOff>
      <xdr:row>36</xdr:row>
      <xdr:rowOff>12700</xdr:rowOff>
    </xdr:from>
    <xdr:to>
      <xdr:col>11</xdr:col>
      <xdr:colOff>0</xdr:colOff>
      <xdr:row>36</xdr:row>
      <xdr:rowOff>292100</xdr:rowOff>
    </xdr:to>
    <xdr:sp macro="'chkTextHide &quot;Main1Group6R1&quot;,&quot;Main1Text6&quot;,TRUE'" textlink="" fLocksText="0">
      <xdr:nvSpPr>
        <xdr:cNvPr id="303" name="Main1Group6R1">
          <a:extLst>
            <a:ext uri="{FF2B5EF4-FFF2-40B4-BE49-F238E27FC236}">
              <a16:creationId xmlns:a16="http://schemas.microsoft.com/office/drawing/2014/main" id="{00000000-0008-0000-0200-00002F010000}"/>
            </a:ext>
          </a:extLst>
        </xdr:cNvPr>
        <xdr:cNvSpPr/>
      </xdr:nvSpPr>
      <xdr:spPr>
        <a:xfrm>
          <a:off x="7435850" y="15700375"/>
          <a:ext cx="1612900" cy="279400"/>
        </a:xfrm>
        <a:prstGeom prst="roundRect">
          <a:avLst>
            <a:gd name="adj" fmla="val 0"/>
          </a:avLst>
        </a:prstGeom>
        <a:gradFill flip="none" rotWithShape="1">
          <a:gsLst>
            <a:gs pos="0">
              <a:srgbClr val="C8C8C8"/>
            </a:gs>
            <a:gs pos="100000">
              <a:srgbClr val="C8C8C8"/>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203200" rtlCol="0" anchor="ctr"/>
        <a:lstStyle/>
        <a:p>
          <a:pPr algn="ctr"/>
          <a:r>
            <a:rPr lang="da-DK" sz="1200" b="0">
              <a:solidFill>
                <a:srgbClr val="000000"/>
              </a:solidFill>
            </a:rPr>
            <a:t>Ja</a:t>
          </a:r>
        </a:p>
      </xdr:txBody>
    </xdr:sp>
    <xdr:clientData/>
  </xdr:twoCellAnchor>
  <xdr:twoCellAnchor>
    <xdr:from>
      <xdr:col>11</xdr:col>
      <xdr:colOff>63500</xdr:colOff>
      <xdr:row>36</xdr:row>
      <xdr:rowOff>12700</xdr:rowOff>
    </xdr:from>
    <xdr:to>
      <xdr:col>13</xdr:col>
      <xdr:colOff>0</xdr:colOff>
      <xdr:row>36</xdr:row>
      <xdr:rowOff>292100</xdr:rowOff>
    </xdr:to>
    <xdr:sp macro="'chkTextHide &quot;Main1Group6R2&quot;,&quot;Main1Text6&quot;,FALSE'" textlink="" fLocksText="0">
      <xdr:nvSpPr>
        <xdr:cNvPr id="304" name="Main1Group6R2">
          <a:extLst>
            <a:ext uri="{FF2B5EF4-FFF2-40B4-BE49-F238E27FC236}">
              <a16:creationId xmlns:a16="http://schemas.microsoft.com/office/drawing/2014/main" id="{00000000-0008-0000-0200-000030010000}"/>
            </a:ext>
          </a:extLst>
        </xdr:cNvPr>
        <xdr:cNvSpPr/>
      </xdr:nvSpPr>
      <xdr:spPr>
        <a:xfrm>
          <a:off x="9112250" y="15700375"/>
          <a:ext cx="1612900" cy="279400"/>
        </a:xfrm>
        <a:prstGeom prst="roundRect">
          <a:avLst>
            <a:gd name="adj" fmla="val 0"/>
          </a:avLst>
        </a:prstGeom>
        <a:gradFill flip="none" rotWithShape="1">
          <a:gsLst>
            <a:gs pos="0">
              <a:srgbClr val="C8C8C8"/>
            </a:gs>
            <a:gs pos="100000">
              <a:srgbClr val="C8C8C8"/>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203200" rtlCol="0" anchor="ctr"/>
        <a:lstStyle/>
        <a:p>
          <a:pPr algn="ctr"/>
          <a:r>
            <a:rPr lang="da-DK" sz="1200" b="0">
              <a:solidFill>
                <a:srgbClr val="000000"/>
              </a:solidFill>
            </a:rPr>
            <a:t>Det ved jeg ikke...</a:t>
          </a:r>
        </a:p>
      </xdr:txBody>
    </xdr:sp>
    <xdr:clientData/>
  </xdr:twoCellAnchor>
  <xdr:twoCellAnchor>
    <xdr:from>
      <xdr:col>1</xdr:col>
      <xdr:colOff>0</xdr:colOff>
      <xdr:row>40</xdr:row>
      <xdr:rowOff>25400</xdr:rowOff>
    </xdr:from>
    <xdr:to>
      <xdr:col>13</xdr:col>
      <xdr:colOff>0</xdr:colOff>
      <xdr:row>40</xdr:row>
      <xdr:rowOff>50800</xdr:rowOff>
    </xdr:to>
    <xdr:sp macro="" textlink="">
      <xdr:nvSpPr>
        <xdr:cNvPr id="305" name="Main1L6">
          <a:extLst>
            <a:ext uri="{FF2B5EF4-FFF2-40B4-BE49-F238E27FC236}">
              <a16:creationId xmlns:a16="http://schemas.microsoft.com/office/drawing/2014/main" id="{00000000-0008-0000-0200-000031010000}"/>
            </a:ext>
          </a:extLst>
        </xdr:cNvPr>
        <xdr:cNvSpPr/>
      </xdr:nvSpPr>
      <xdr:spPr>
        <a:xfrm>
          <a:off x="666750" y="18208625"/>
          <a:ext cx="10058400" cy="25400"/>
        </a:xfrm>
        <a:prstGeom prst="roundRect">
          <a:avLst/>
        </a:prstGeom>
        <a:gradFill flip="none" rotWithShape="1">
          <a:gsLst>
            <a:gs pos="0">
              <a:srgbClr val="B4B4B4"/>
            </a:gs>
            <a:gs pos="100000">
              <a:srgbClr val="646464"/>
            </a:gs>
          </a:gsLst>
          <a:lin ang="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clientData/>
  </xdr:twoCellAnchor>
  <xdr:twoCellAnchor>
    <xdr:from>
      <xdr:col>3</xdr:col>
      <xdr:colOff>0</xdr:colOff>
      <xdr:row>44</xdr:row>
      <xdr:rowOff>38100</xdr:rowOff>
    </xdr:from>
    <xdr:to>
      <xdr:col>13</xdr:col>
      <xdr:colOff>0</xdr:colOff>
      <xdr:row>44</xdr:row>
      <xdr:rowOff>1816100</xdr:rowOff>
    </xdr:to>
    <xdr:sp macro="" textlink="" fLocksText="0">
      <xdr:nvSpPr>
        <xdr:cNvPr id="310" name="Main1Text7">
          <a:extLst>
            <a:ext uri="{FF2B5EF4-FFF2-40B4-BE49-F238E27FC236}">
              <a16:creationId xmlns:a16="http://schemas.microsoft.com/office/drawing/2014/main" id="{00000000-0008-0000-0200-000036010000}"/>
            </a:ext>
          </a:extLst>
        </xdr:cNvPr>
        <xdr:cNvSpPr/>
      </xdr:nvSpPr>
      <xdr:spPr>
        <a:xfrm>
          <a:off x="2343150" y="18821400"/>
          <a:ext cx="8382000" cy="1778000"/>
        </a:xfrm>
        <a:prstGeom prst="roundRect">
          <a:avLst>
            <a:gd name="adj" fmla="val 0"/>
          </a:avLst>
        </a:prstGeom>
        <a:gradFill flip="none" rotWithShape="1">
          <a:gsLst>
            <a:gs pos="0">
              <a:srgbClr val="EBB553"/>
            </a:gs>
            <a:gs pos="100000">
              <a:srgbClr val="EBB553"/>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rtlCol="0" anchor="t"/>
        <a:lstStyle/>
        <a:p>
          <a:pPr algn="l"/>
          <a:r>
            <a:rPr lang="da-DK" sz="1200" b="0">
              <a:solidFill>
                <a:srgbClr val="000000"/>
              </a:solidFill>
              <a:latin typeface="Arial"/>
            </a:rPr>
            <a:t>Introduktionsfilmene giver dig et hurtig indblik i statens business case-model. Du får en basal forståelse for de forskellige trin du skal gå igennem, når du skal udarbejde en business case.
Find introduktionsfilmene her: http://www.digst.dk/Styring/Statens-projektmodel/Statens-Business-Casemodel/Introduktionsfilm</a:t>
          </a:r>
        </a:p>
      </xdr:txBody>
    </xdr:sp>
    <xdr:clientData/>
  </xdr:twoCellAnchor>
  <xdr:twoCellAnchor>
    <xdr:from>
      <xdr:col>1</xdr:col>
      <xdr:colOff>584200</xdr:colOff>
      <xdr:row>42</xdr:row>
      <xdr:rowOff>38100</xdr:rowOff>
    </xdr:from>
    <xdr:to>
      <xdr:col>9</xdr:col>
      <xdr:colOff>0</xdr:colOff>
      <xdr:row>42</xdr:row>
      <xdr:rowOff>317500</xdr:rowOff>
    </xdr:to>
    <xdr:sp macro="" textlink="" fLocksText="0">
      <xdr:nvSpPr>
        <xdr:cNvPr id="311" name="Main1Group7Chk1">
          <a:extLst>
            <a:ext uri="{FF2B5EF4-FFF2-40B4-BE49-F238E27FC236}">
              <a16:creationId xmlns:a16="http://schemas.microsoft.com/office/drawing/2014/main" id="{00000000-0008-0000-0200-000037010000}"/>
            </a:ext>
          </a:extLst>
        </xdr:cNvPr>
        <xdr:cNvSpPr/>
      </xdr:nvSpPr>
      <xdr:spPr>
        <a:xfrm>
          <a:off x="1250950" y="18459450"/>
          <a:ext cx="6121400" cy="279400"/>
        </a:xfrm>
        <a:prstGeom prst="roundRect">
          <a:avLst>
            <a:gd name="adj" fmla="val 0"/>
          </a:avLst>
        </a:prstGeom>
        <a:gradFill flip="none" rotWithShape="1">
          <a:gsLst>
            <a:gs pos="0">
              <a:srgbClr val="D9D9D9"/>
            </a:gs>
            <a:gs pos="100000">
              <a:srgbClr val="D9D9D9"/>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38100" rtlCol="0" anchor="ctr"/>
        <a:lstStyle/>
        <a:p>
          <a:pPr algn="l"/>
          <a:r>
            <a:rPr lang="da-DK" sz="1200" b="0">
              <a:solidFill>
                <a:srgbClr val="000000"/>
              </a:solidFill>
              <a:latin typeface="Arial"/>
            </a:rPr>
            <a:t>Har du set introduktionsfilmene til statens business case-model?</a:t>
          </a:r>
        </a:p>
      </xdr:txBody>
    </xdr:sp>
    <xdr:clientData/>
  </xdr:twoCellAnchor>
  <xdr:twoCellAnchor>
    <xdr:from>
      <xdr:col>9</xdr:col>
      <xdr:colOff>63500</xdr:colOff>
      <xdr:row>42</xdr:row>
      <xdr:rowOff>12700</xdr:rowOff>
    </xdr:from>
    <xdr:to>
      <xdr:col>11</xdr:col>
      <xdr:colOff>0</xdr:colOff>
      <xdr:row>42</xdr:row>
      <xdr:rowOff>292100</xdr:rowOff>
    </xdr:to>
    <xdr:sp macro="'chkTextHide &quot;Main1Group7R1&quot;,&quot;Main1Text7&quot;,TRUE'" textlink="" fLocksText="0">
      <xdr:nvSpPr>
        <xdr:cNvPr id="312" name="Main1Group7R1">
          <a:extLst>
            <a:ext uri="{FF2B5EF4-FFF2-40B4-BE49-F238E27FC236}">
              <a16:creationId xmlns:a16="http://schemas.microsoft.com/office/drawing/2014/main" id="{00000000-0008-0000-0200-000038010000}"/>
            </a:ext>
          </a:extLst>
        </xdr:cNvPr>
        <xdr:cNvSpPr/>
      </xdr:nvSpPr>
      <xdr:spPr>
        <a:xfrm>
          <a:off x="7435850" y="18434050"/>
          <a:ext cx="1612900" cy="279400"/>
        </a:xfrm>
        <a:prstGeom prst="roundRect">
          <a:avLst>
            <a:gd name="adj" fmla="val 0"/>
          </a:avLst>
        </a:prstGeom>
        <a:gradFill flip="none" rotWithShape="1">
          <a:gsLst>
            <a:gs pos="0">
              <a:srgbClr val="C8C8C8"/>
            </a:gs>
            <a:gs pos="100000">
              <a:srgbClr val="C8C8C8"/>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203200" rtlCol="0" anchor="ctr"/>
        <a:lstStyle/>
        <a:p>
          <a:pPr algn="ctr"/>
          <a:r>
            <a:rPr lang="da-DK" sz="1200" b="0">
              <a:solidFill>
                <a:srgbClr val="000000"/>
              </a:solidFill>
            </a:rPr>
            <a:t>Ja</a:t>
          </a:r>
        </a:p>
      </xdr:txBody>
    </xdr:sp>
    <xdr:clientData/>
  </xdr:twoCellAnchor>
  <xdr:twoCellAnchor>
    <xdr:from>
      <xdr:col>11</xdr:col>
      <xdr:colOff>63500</xdr:colOff>
      <xdr:row>42</xdr:row>
      <xdr:rowOff>12700</xdr:rowOff>
    </xdr:from>
    <xdr:to>
      <xdr:col>13</xdr:col>
      <xdr:colOff>0</xdr:colOff>
      <xdr:row>42</xdr:row>
      <xdr:rowOff>292100</xdr:rowOff>
    </xdr:to>
    <xdr:sp macro="'chkTextHide &quot;Main1Group7R2&quot;,&quot;Main1Text7&quot;,FALSE'" textlink="" fLocksText="0">
      <xdr:nvSpPr>
        <xdr:cNvPr id="313" name="Main1Group7R2">
          <a:extLst>
            <a:ext uri="{FF2B5EF4-FFF2-40B4-BE49-F238E27FC236}">
              <a16:creationId xmlns:a16="http://schemas.microsoft.com/office/drawing/2014/main" id="{00000000-0008-0000-0200-000039010000}"/>
            </a:ext>
          </a:extLst>
        </xdr:cNvPr>
        <xdr:cNvSpPr/>
      </xdr:nvSpPr>
      <xdr:spPr>
        <a:xfrm>
          <a:off x="9112250" y="18434050"/>
          <a:ext cx="1612900" cy="279400"/>
        </a:xfrm>
        <a:prstGeom prst="roundRect">
          <a:avLst>
            <a:gd name="adj" fmla="val 0"/>
          </a:avLst>
        </a:prstGeom>
        <a:gradFill flip="none" rotWithShape="1">
          <a:gsLst>
            <a:gs pos="0">
              <a:srgbClr val="C8C8C8"/>
            </a:gs>
            <a:gs pos="100000">
              <a:srgbClr val="C8C8C8"/>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203200" rtlCol="0" anchor="ctr"/>
        <a:lstStyle/>
        <a:p>
          <a:pPr algn="ctr"/>
          <a:r>
            <a:rPr lang="da-DK" sz="1200" b="0">
              <a:solidFill>
                <a:srgbClr val="000000"/>
              </a:solidFill>
            </a:rPr>
            <a:t>Det ved jeg ikke...</a:t>
          </a:r>
        </a:p>
      </xdr:txBody>
    </xdr:sp>
    <xdr:clientData/>
  </xdr:twoCellAnchor>
  <xdr:twoCellAnchor>
    <xdr:from>
      <xdr:col>1</xdr:col>
      <xdr:colOff>0</xdr:colOff>
      <xdr:row>46</xdr:row>
      <xdr:rowOff>12700</xdr:rowOff>
    </xdr:from>
    <xdr:to>
      <xdr:col>14</xdr:col>
      <xdr:colOff>0</xdr:colOff>
      <xdr:row>46</xdr:row>
      <xdr:rowOff>774700</xdr:rowOff>
    </xdr:to>
    <xdr:sp macro="'expand &quot;SP_Main2&quot;,&quot;Startside&quot;,TRUE'" textlink="" fLocksText="0">
      <xdr:nvSpPr>
        <xdr:cNvPr id="314" name="SP_Main2">
          <a:extLst>
            <a:ext uri="{FF2B5EF4-FFF2-40B4-BE49-F238E27FC236}">
              <a16:creationId xmlns:a16="http://schemas.microsoft.com/office/drawing/2014/main" id="{00000000-0008-0000-0200-00003A010000}"/>
            </a:ext>
          </a:extLst>
        </xdr:cNvPr>
        <xdr:cNvSpPr/>
      </xdr:nvSpPr>
      <xdr:spPr>
        <a:xfrm>
          <a:off x="666750" y="20929600"/>
          <a:ext cx="10896600" cy="762000"/>
        </a:xfrm>
        <a:prstGeom prst="roundRect">
          <a:avLst/>
        </a:prstGeom>
        <a:gradFill flip="none" rotWithShape="1">
          <a:gsLst>
            <a:gs pos="0">
              <a:srgbClr val="646464"/>
            </a:gs>
            <a:gs pos="100000">
              <a:srgbClr val="000000"/>
            </a:gs>
          </a:gsLst>
          <a:lin ang="5400000" scaled="1"/>
          <a:tileRect/>
        </a:gradFill>
        <a:ln w="25400" cap="flat" cmpd="sng" algn="ctr">
          <a:noFill/>
          <a:prstDash val="solid"/>
        </a:ln>
        <a:effectLst>
          <a:outerShdw blurRad="1270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81000" rtlCol="0" anchor="ctr"/>
        <a:lstStyle/>
        <a:p>
          <a:pPr algn="l"/>
          <a:r>
            <a:rPr lang="da-DK" sz="2000" b="0">
              <a:solidFill>
                <a:srgbClr val="FFFFFF"/>
              </a:solidFill>
            </a:rPr>
            <a:t>Hjælp, forklaringer og vejledninger</a:t>
          </a:r>
        </a:p>
      </xdr:txBody>
    </xdr:sp>
    <xdr:clientData/>
  </xdr:twoCellAnchor>
  <xdr:twoCellAnchor>
    <xdr:from>
      <xdr:col>13</xdr:col>
      <xdr:colOff>228600</xdr:colOff>
      <xdr:row>46</xdr:row>
      <xdr:rowOff>230414</xdr:rowOff>
    </xdr:from>
    <xdr:to>
      <xdr:col>13</xdr:col>
      <xdr:colOff>533400</xdr:colOff>
      <xdr:row>46</xdr:row>
      <xdr:rowOff>535214</xdr:rowOff>
    </xdr:to>
    <xdr:sp macro="'expand &quot;SP_Main2&quot;,&quot;Startside&quot;,TRUE'" textlink="">
      <xdr:nvSpPr>
        <xdr:cNvPr id="315" name="SP_Main2arrow">
          <a:extLst>
            <a:ext uri="{FF2B5EF4-FFF2-40B4-BE49-F238E27FC236}">
              <a16:creationId xmlns:a16="http://schemas.microsoft.com/office/drawing/2014/main" id="{00000000-0008-0000-0200-00003B010000}"/>
            </a:ext>
          </a:extLst>
        </xdr:cNvPr>
        <xdr:cNvSpPr/>
      </xdr:nvSpPr>
      <xdr:spPr>
        <a:xfrm rot="8100000">
          <a:off x="10896600" y="21173508"/>
          <a:ext cx="304800" cy="304800"/>
        </a:xfrm>
        <a:prstGeom prst="halfFrame">
          <a:avLst>
            <a:gd name="adj1" fmla="val 15000"/>
            <a:gd name="adj2" fmla="val 15000"/>
          </a:avLst>
        </a:prstGeom>
        <a:gradFill flip="none" rotWithShape="1">
          <a:gsLst>
            <a:gs pos="0">
              <a:srgbClr val="FFFFFF"/>
            </a:gs>
            <a:gs pos="100000">
              <a:srgbClr val="FFFFFF"/>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solidFill>
              <a:schemeClr val="tx1"/>
            </a:solidFill>
          </a:endParaRPr>
        </a:p>
      </xdr:txBody>
    </xdr:sp>
    <xdr:clientData/>
  </xdr:twoCellAnchor>
  <xdr:twoCellAnchor>
    <xdr:from>
      <xdr:col>3</xdr:col>
      <xdr:colOff>0</xdr:colOff>
      <xdr:row>48</xdr:row>
      <xdr:rowOff>0</xdr:rowOff>
    </xdr:from>
    <xdr:to>
      <xdr:col>13</xdr:col>
      <xdr:colOff>0</xdr:colOff>
      <xdr:row>48</xdr:row>
      <xdr:rowOff>1981200</xdr:rowOff>
    </xdr:to>
    <xdr:sp macro="" textlink="" fLocksText="0">
      <xdr:nvSpPr>
        <xdr:cNvPr id="316" name="SP_Main2Text1">
          <a:extLst>
            <a:ext uri="{FF2B5EF4-FFF2-40B4-BE49-F238E27FC236}">
              <a16:creationId xmlns:a16="http://schemas.microsoft.com/office/drawing/2014/main" id="{00000000-0008-0000-0200-00003C010000}"/>
            </a:ext>
          </a:extLst>
        </xdr:cNvPr>
        <xdr:cNvSpPr/>
      </xdr:nvSpPr>
      <xdr:spPr>
        <a:xfrm>
          <a:off x="2343150" y="21878925"/>
          <a:ext cx="8382000" cy="1981200"/>
        </a:xfrm>
        <a:prstGeom prst="roundRect">
          <a:avLst>
            <a:gd name="adj" fmla="val 0"/>
          </a:avLst>
        </a:prstGeom>
        <a:gradFill flip="none" rotWithShape="1">
          <a:gsLst>
            <a:gs pos="0">
              <a:srgbClr val="EBB553"/>
            </a:gs>
            <a:gs pos="100000">
              <a:srgbClr val="EBB553"/>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rtlCol="0" anchor="t"/>
        <a:lstStyle/>
        <a:p>
          <a:pPr algn="l"/>
          <a:r>
            <a:rPr lang="da-DK" sz="1200" b="0">
              <a:solidFill>
                <a:srgbClr val="000000"/>
              </a:solidFill>
              <a:latin typeface="Arial"/>
            </a:rPr>
            <a:t>En business case er en beregning af de samlede økonomiske og ikke-økonomiske konsekvenser af en potentiel investering, såsom et projekt eller et program. Den bygger på en analyse og opgørelse af, hvilken forandring man ønsker og hvordan den opnås.
Business casen estimerer således på fremtiden. I statens business case-model gøres dette ved at analysere to fremtidige scenarier og den aktuelle situation. De to fremtidige scenarier beskriver henholdsvis situationen, hvor projektet ikke gennemføres og situationen, hvor projektet gennemføres.
For uddybende forklaringer, se Vejledning til statens business case-model.</a:t>
          </a:r>
        </a:p>
      </xdr:txBody>
    </xdr:sp>
    <xdr:clientData/>
  </xdr:twoCellAnchor>
  <xdr:twoCellAnchor>
    <xdr:from>
      <xdr:col>1</xdr:col>
      <xdr:colOff>0</xdr:colOff>
      <xdr:row>50</xdr:row>
      <xdr:rowOff>12700</xdr:rowOff>
    </xdr:from>
    <xdr:to>
      <xdr:col>13</xdr:col>
      <xdr:colOff>0</xdr:colOff>
      <xdr:row>50</xdr:row>
      <xdr:rowOff>520700</xdr:rowOff>
    </xdr:to>
    <xdr:sp macro="'expand &quot;SP_Main2Sub1&quot;,&quot;Startside&quot;,TRUE'" textlink="" fLocksText="0">
      <xdr:nvSpPr>
        <xdr:cNvPr id="317" name="SP_Main2Sub1">
          <a:extLst>
            <a:ext uri="{FF2B5EF4-FFF2-40B4-BE49-F238E27FC236}">
              <a16:creationId xmlns:a16="http://schemas.microsoft.com/office/drawing/2014/main" id="{00000000-0008-0000-0200-00003D010000}"/>
            </a:ext>
          </a:extLst>
        </xdr:cNvPr>
        <xdr:cNvSpPr/>
      </xdr:nvSpPr>
      <xdr:spPr>
        <a:xfrm>
          <a:off x="666750" y="24063325"/>
          <a:ext cx="10058400" cy="508000"/>
        </a:xfrm>
        <a:prstGeom prst="roundRect">
          <a:avLst/>
        </a:prstGeom>
        <a:gradFill flip="none" rotWithShape="1">
          <a:gsLst>
            <a:gs pos="0">
              <a:srgbClr val="B4B4B4"/>
            </a:gs>
            <a:gs pos="100000">
              <a:srgbClr val="646464"/>
            </a:gs>
          </a:gsLst>
          <a:lin ang="5400000" scaled="1"/>
          <a:tileRect/>
        </a:gradFill>
        <a:ln w="25400" cap="flat" cmpd="sng" algn="ctr">
          <a:noFill/>
          <a:prstDash val="solid"/>
        </a:ln>
        <a:effectLst>
          <a:outerShdw blurRad="1016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81000" rtlCol="0" anchor="ctr"/>
        <a:lstStyle/>
        <a:p>
          <a:pPr algn="l"/>
          <a:r>
            <a:rPr lang="da-DK" sz="1800" b="0">
              <a:solidFill>
                <a:srgbClr val="FFFFFF"/>
              </a:solidFill>
            </a:rPr>
            <a:t>Sådan fungerer scenarierne </a:t>
          </a:r>
        </a:p>
      </xdr:txBody>
    </xdr:sp>
    <xdr:clientData/>
  </xdr:twoCellAnchor>
  <xdr:twoCellAnchor>
    <xdr:from>
      <xdr:col>12</xdr:col>
      <xdr:colOff>431800</xdr:colOff>
      <xdr:row>50</xdr:row>
      <xdr:rowOff>157843</xdr:rowOff>
    </xdr:from>
    <xdr:to>
      <xdr:col>12</xdr:col>
      <xdr:colOff>635000</xdr:colOff>
      <xdr:row>50</xdr:row>
      <xdr:rowOff>361043</xdr:rowOff>
    </xdr:to>
    <xdr:sp macro="'expand &quot;SP_Main2Sub1&quot;,&quot;Startside&quot;,TRUE'" textlink="">
      <xdr:nvSpPr>
        <xdr:cNvPr id="318" name="SP_Main2Sub1arrow">
          <a:extLst>
            <a:ext uri="{FF2B5EF4-FFF2-40B4-BE49-F238E27FC236}">
              <a16:creationId xmlns:a16="http://schemas.microsoft.com/office/drawing/2014/main" id="{00000000-0008-0000-0200-00003E010000}"/>
            </a:ext>
          </a:extLst>
        </xdr:cNvPr>
        <xdr:cNvSpPr/>
      </xdr:nvSpPr>
      <xdr:spPr>
        <a:xfrm rot="13500000">
          <a:off x="10318750" y="24208468"/>
          <a:ext cx="203200" cy="203200"/>
        </a:xfrm>
        <a:prstGeom prst="halfFrame">
          <a:avLst>
            <a:gd name="adj1" fmla="val 15000"/>
            <a:gd name="adj2" fmla="val 15000"/>
          </a:avLst>
        </a:prstGeom>
        <a:gradFill flip="none" rotWithShape="1">
          <a:gsLst>
            <a:gs pos="0">
              <a:srgbClr val="FFFFFF"/>
            </a:gs>
            <a:gs pos="100000">
              <a:srgbClr val="FFFFFF"/>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solidFill>
              <a:schemeClr val="tx1"/>
            </a:solidFill>
          </a:endParaRPr>
        </a:p>
      </xdr:txBody>
    </xdr:sp>
    <xdr:clientData/>
  </xdr:twoCellAnchor>
  <xdr:twoCellAnchor>
    <xdr:from>
      <xdr:col>3</xdr:col>
      <xdr:colOff>0</xdr:colOff>
      <xdr:row>52</xdr:row>
      <xdr:rowOff>0</xdr:rowOff>
    </xdr:from>
    <xdr:to>
      <xdr:col>13</xdr:col>
      <xdr:colOff>0</xdr:colOff>
      <xdr:row>52</xdr:row>
      <xdr:rowOff>711200</xdr:rowOff>
    </xdr:to>
    <xdr:sp macro="" textlink="" fLocksText="0">
      <xdr:nvSpPr>
        <xdr:cNvPr id="319" name="SP_Main2Sub1Text1">
          <a:extLst>
            <a:ext uri="{FF2B5EF4-FFF2-40B4-BE49-F238E27FC236}">
              <a16:creationId xmlns:a16="http://schemas.microsoft.com/office/drawing/2014/main" id="{00000000-0008-0000-0200-00003F010000}"/>
            </a:ext>
          </a:extLst>
        </xdr:cNvPr>
        <xdr:cNvSpPr/>
      </xdr:nvSpPr>
      <xdr:spPr>
        <a:xfrm>
          <a:off x="2343150" y="24765000"/>
          <a:ext cx="8382000" cy="711200"/>
        </a:xfrm>
        <a:prstGeom prst="roundRect">
          <a:avLst>
            <a:gd name="adj" fmla="val 0"/>
          </a:avLst>
        </a:prstGeom>
        <a:gradFill flip="none" rotWithShape="1">
          <a:gsLst>
            <a:gs pos="0">
              <a:srgbClr val="EBB553"/>
            </a:gs>
            <a:gs pos="100000">
              <a:srgbClr val="EBB553"/>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rtlCol="0" anchor="t"/>
        <a:lstStyle/>
        <a:p>
          <a:pPr algn="l"/>
          <a:r>
            <a:rPr lang="da-DK" sz="1200" b="0">
              <a:solidFill>
                <a:srgbClr val="000000"/>
              </a:solidFill>
              <a:latin typeface="Arial"/>
            </a:rPr>
            <a:t>I 0-scenariet vil der kun være driftsudgifter, mens der i 1-scenariet både vil være udgifterne til selve projektet og driftsudgifterne efter projektet er gennemført. Business casen rummer endvidere oplysninger om, hvordan investeringen ser ud hvis det aktulle udgiftsniveau fastholdes og fremskrives horisontalt (før-situationen).</a:t>
          </a:r>
        </a:p>
      </xdr:txBody>
    </xdr:sp>
    <xdr:clientData/>
  </xdr:twoCellAnchor>
  <xdr:twoCellAnchor>
    <xdr:from>
      <xdr:col>2</xdr:col>
      <xdr:colOff>838199</xdr:colOff>
      <xdr:row>54</xdr:row>
      <xdr:rowOff>0</xdr:rowOff>
    </xdr:from>
    <xdr:to>
      <xdr:col>12</xdr:col>
      <xdr:colOff>838199</xdr:colOff>
      <xdr:row>75</xdr:row>
      <xdr:rowOff>0</xdr:rowOff>
    </xdr:to>
    <xdr:pic>
      <xdr:nvPicPr>
        <xdr:cNvPr id="352" name="SP_Main2Sub1Pic1">
          <a:extLst>
            <a:ext uri="{FF2B5EF4-FFF2-40B4-BE49-F238E27FC236}">
              <a16:creationId xmlns:a16="http://schemas.microsoft.com/office/drawing/2014/main" id="{00000000-0008-0000-0200-000060010000}"/>
            </a:ext>
          </a:extLst>
        </xdr:cNvPr>
        <xdr:cNvPicPr preferRelativeResize="0">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343149" y="25669875"/>
          <a:ext cx="8382000" cy="3800475"/>
        </a:xfrm>
        <a:prstGeom prst="rect">
          <a:avLst/>
        </a:prstGeom>
        <a:effectLst>
          <a:glow>
            <a:schemeClr val="accent1">
              <a:alpha val="40000"/>
            </a:schemeClr>
          </a:glow>
          <a:softEdge rad="50800"/>
        </a:effectLst>
      </xdr:spPr>
    </xdr:pic>
    <xdr:clientData/>
  </xdr:twoCellAnchor>
  <xdr:twoCellAnchor>
    <xdr:from>
      <xdr:col>3</xdr:col>
      <xdr:colOff>0</xdr:colOff>
      <xdr:row>76</xdr:row>
      <xdr:rowOff>0</xdr:rowOff>
    </xdr:from>
    <xdr:to>
      <xdr:col>13</xdr:col>
      <xdr:colOff>0</xdr:colOff>
      <xdr:row>76</xdr:row>
      <xdr:rowOff>711200</xdr:rowOff>
    </xdr:to>
    <xdr:sp macro="" textlink="" fLocksText="0">
      <xdr:nvSpPr>
        <xdr:cNvPr id="353" name="SP_Main2Sub1Text2">
          <a:extLst>
            <a:ext uri="{FF2B5EF4-FFF2-40B4-BE49-F238E27FC236}">
              <a16:creationId xmlns:a16="http://schemas.microsoft.com/office/drawing/2014/main" id="{00000000-0008-0000-0200-000061010000}"/>
            </a:ext>
          </a:extLst>
        </xdr:cNvPr>
        <xdr:cNvSpPr/>
      </xdr:nvSpPr>
      <xdr:spPr>
        <a:xfrm>
          <a:off x="2343150" y="29651325"/>
          <a:ext cx="8382000" cy="711200"/>
        </a:xfrm>
        <a:prstGeom prst="roundRect">
          <a:avLst>
            <a:gd name="adj" fmla="val 0"/>
          </a:avLst>
        </a:prstGeom>
        <a:gradFill flip="none" rotWithShape="1">
          <a:gsLst>
            <a:gs pos="0">
              <a:srgbClr val="EBB553"/>
            </a:gs>
            <a:gs pos="100000">
              <a:srgbClr val="EBB553"/>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rtlCol="0" anchor="t"/>
        <a:lstStyle/>
        <a:p>
          <a:pPr algn="l"/>
          <a:r>
            <a:rPr lang="da-DK" sz="1200" b="0">
              <a:solidFill>
                <a:srgbClr val="000000"/>
              </a:solidFill>
              <a:latin typeface="Arial"/>
            </a:rPr>
            <a:t>Af ovenstående figur ses, at det viste projekt har en positiv gevinst, idet driftsudgifterne i 0-scenariet samlet er større end summen af projekt- og driftsudgifterne i 1-scenariet, men at det skyldes en forventning om et stigende udgiftsniveau, såfremt projektet ikke gennemføres.</a:t>
          </a:r>
        </a:p>
      </xdr:txBody>
    </xdr:sp>
    <xdr:clientData/>
  </xdr:twoCellAnchor>
  <xdr:twoCellAnchor>
    <xdr:from>
      <xdr:col>1</xdr:col>
      <xdr:colOff>0</xdr:colOff>
      <xdr:row>78</xdr:row>
      <xdr:rowOff>12700</xdr:rowOff>
    </xdr:from>
    <xdr:to>
      <xdr:col>13</xdr:col>
      <xdr:colOff>0</xdr:colOff>
      <xdr:row>78</xdr:row>
      <xdr:rowOff>520700</xdr:rowOff>
    </xdr:to>
    <xdr:sp macro="'expand &quot;SP_Main2Sub2&quot;,&quot;Startside&quot;,TRUE'" textlink="" fLocksText="0">
      <xdr:nvSpPr>
        <xdr:cNvPr id="354" name="SP_Main2Sub2">
          <a:extLst>
            <a:ext uri="{FF2B5EF4-FFF2-40B4-BE49-F238E27FC236}">
              <a16:creationId xmlns:a16="http://schemas.microsoft.com/office/drawing/2014/main" id="{00000000-0008-0000-0200-000062010000}"/>
            </a:ext>
          </a:extLst>
        </xdr:cNvPr>
        <xdr:cNvSpPr/>
      </xdr:nvSpPr>
      <xdr:spPr>
        <a:xfrm>
          <a:off x="666750" y="30568900"/>
          <a:ext cx="10058400" cy="508000"/>
        </a:xfrm>
        <a:prstGeom prst="roundRect">
          <a:avLst/>
        </a:prstGeom>
        <a:gradFill flip="none" rotWithShape="1">
          <a:gsLst>
            <a:gs pos="0">
              <a:srgbClr val="B4B4B4"/>
            </a:gs>
            <a:gs pos="100000">
              <a:srgbClr val="646464"/>
            </a:gs>
          </a:gsLst>
          <a:lin ang="5400000" scaled="1"/>
          <a:tileRect/>
        </a:gradFill>
        <a:ln w="25400" cap="flat" cmpd="sng" algn="ctr">
          <a:noFill/>
          <a:prstDash val="solid"/>
        </a:ln>
        <a:effectLst>
          <a:outerShdw blurRad="1016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81000" rtlCol="0" anchor="ctr"/>
        <a:lstStyle/>
        <a:p>
          <a:pPr algn="l"/>
          <a:r>
            <a:rPr lang="da-DK" sz="1800" b="0">
              <a:solidFill>
                <a:srgbClr val="FFFFFF"/>
              </a:solidFill>
            </a:rPr>
            <a:t>Usikkerhed og estimering</a:t>
          </a:r>
        </a:p>
      </xdr:txBody>
    </xdr:sp>
    <xdr:clientData/>
  </xdr:twoCellAnchor>
  <xdr:twoCellAnchor>
    <xdr:from>
      <xdr:col>12</xdr:col>
      <xdr:colOff>431800</xdr:colOff>
      <xdr:row>78</xdr:row>
      <xdr:rowOff>157842</xdr:rowOff>
    </xdr:from>
    <xdr:to>
      <xdr:col>12</xdr:col>
      <xdr:colOff>635000</xdr:colOff>
      <xdr:row>78</xdr:row>
      <xdr:rowOff>361042</xdr:rowOff>
    </xdr:to>
    <xdr:sp macro="'expand &quot;SP_Main2Sub2&quot;,&quot;Startside&quot;,TRUE'" textlink="">
      <xdr:nvSpPr>
        <xdr:cNvPr id="355" name="SP_Main2Sub2arrow">
          <a:extLst>
            <a:ext uri="{FF2B5EF4-FFF2-40B4-BE49-F238E27FC236}">
              <a16:creationId xmlns:a16="http://schemas.microsoft.com/office/drawing/2014/main" id="{00000000-0008-0000-0200-000063010000}"/>
            </a:ext>
          </a:extLst>
        </xdr:cNvPr>
        <xdr:cNvSpPr/>
      </xdr:nvSpPr>
      <xdr:spPr>
        <a:xfrm rot="13500000">
          <a:off x="10318750" y="30714042"/>
          <a:ext cx="203200" cy="203200"/>
        </a:xfrm>
        <a:prstGeom prst="halfFrame">
          <a:avLst>
            <a:gd name="adj1" fmla="val 15000"/>
            <a:gd name="adj2" fmla="val 15000"/>
          </a:avLst>
        </a:prstGeom>
        <a:gradFill flip="none" rotWithShape="1">
          <a:gsLst>
            <a:gs pos="0">
              <a:srgbClr val="FFFFFF"/>
            </a:gs>
            <a:gs pos="100000">
              <a:srgbClr val="FFFFFF"/>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solidFill>
              <a:schemeClr val="tx1"/>
            </a:solidFill>
          </a:endParaRPr>
        </a:p>
      </xdr:txBody>
    </xdr:sp>
    <xdr:clientData/>
  </xdr:twoCellAnchor>
  <xdr:twoCellAnchor>
    <xdr:from>
      <xdr:col>3</xdr:col>
      <xdr:colOff>0</xdr:colOff>
      <xdr:row>80</xdr:row>
      <xdr:rowOff>0</xdr:rowOff>
    </xdr:from>
    <xdr:to>
      <xdr:col>13</xdr:col>
      <xdr:colOff>0</xdr:colOff>
      <xdr:row>80</xdr:row>
      <xdr:rowOff>2794000</xdr:rowOff>
    </xdr:to>
    <xdr:sp macro="" textlink="" fLocksText="0">
      <xdr:nvSpPr>
        <xdr:cNvPr id="356" name="SP_Main2Sub2Text1">
          <a:extLst>
            <a:ext uri="{FF2B5EF4-FFF2-40B4-BE49-F238E27FC236}">
              <a16:creationId xmlns:a16="http://schemas.microsoft.com/office/drawing/2014/main" id="{00000000-0008-0000-0200-000064010000}"/>
            </a:ext>
          </a:extLst>
        </xdr:cNvPr>
        <xdr:cNvSpPr/>
      </xdr:nvSpPr>
      <xdr:spPr>
        <a:xfrm>
          <a:off x="2343150" y="31270575"/>
          <a:ext cx="8382000" cy="2794000"/>
        </a:xfrm>
        <a:prstGeom prst="roundRect">
          <a:avLst>
            <a:gd name="adj" fmla="val 0"/>
          </a:avLst>
        </a:prstGeom>
        <a:gradFill flip="none" rotWithShape="1">
          <a:gsLst>
            <a:gs pos="0">
              <a:srgbClr val="EBB553"/>
            </a:gs>
            <a:gs pos="100000">
              <a:srgbClr val="EBB553"/>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rtlCol="0" anchor="t"/>
        <a:lstStyle/>
        <a:p>
          <a:pPr algn="l"/>
          <a:r>
            <a:rPr lang="da-DK" sz="1200" b="0">
              <a:solidFill>
                <a:srgbClr val="000000"/>
              </a:solidFill>
              <a:latin typeface="Arial"/>
            </a:rPr>
            <a:t>Estimatet på en forudsætning (en budgetpost) vil ofte være forbundet med en usikkerhed, grundet forskellige risici der potentielt kan indtræffe. I statens business case-model kan forudsætningerne derfor indtastes som en tre-punktsestimering  (worst case, middel-estimat og best case). Herefter kan man indtaste sandsynligheden for hver af de tre estimater, så estimater og sandsynligheder passer med de risici der retter sig mod den givne forudsætning. På baggrund af de indlagte usikkerhedsspænd kan modellen udregne et risikojusteret resultat - enten et vægtet gennemsnit på baggrund af sandsynlighed eller ved Monte Carlo-simulering (for højrisiko-projekter). Det er derfor meget vigtigt at spændet i tre-punktsestimeringen samt sandsynligheder medtager alle risici der er forbundet med den givne forudsætning.
Husk at risici også kan være muligheder for at opnå et resultat for den givne forudsætning der er bedre end middelestimatet. Det risikojusterede beløb kan derfor godt være lavere end middelestimatet.
Du kan læse mere om estimering i metode for statens business case-model: http://www.digst.dk/Styring/Statens-projektmodel/Statens-Business-Casemodel/Dowload-BC</a:t>
          </a:r>
        </a:p>
      </xdr:txBody>
    </xdr:sp>
    <xdr:clientData/>
  </xdr:twoCellAnchor>
  <xdr:twoCellAnchor>
    <xdr:from>
      <xdr:col>1</xdr:col>
      <xdr:colOff>0</xdr:colOff>
      <xdr:row>82</xdr:row>
      <xdr:rowOff>12700</xdr:rowOff>
    </xdr:from>
    <xdr:to>
      <xdr:col>13</xdr:col>
      <xdr:colOff>0</xdr:colOff>
      <xdr:row>82</xdr:row>
      <xdr:rowOff>520700</xdr:rowOff>
    </xdr:to>
    <xdr:sp macro="'expand &quot;SP_Main2Sub3&quot;,&quot;Startside&quot;,TRUE'" textlink="" fLocksText="0">
      <xdr:nvSpPr>
        <xdr:cNvPr id="357" name="SP_Main2Sub3">
          <a:extLst>
            <a:ext uri="{FF2B5EF4-FFF2-40B4-BE49-F238E27FC236}">
              <a16:creationId xmlns:a16="http://schemas.microsoft.com/office/drawing/2014/main" id="{00000000-0008-0000-0200-000065010000}"/>
            </a:ext>
          </a:extLst>
        </xdr:cNvPr>
        <xdr:cNvSpPr/>
      </xdr:nvSpPr>
      <xdr:spPr>
        <a:xfrm>
          <a:off x="666750" y="34264600"/>
          <a:ext cx="10058400" cy="508000"/>
        </a:xfrm>
        <a:prstGeom prst="roundRect">
          <a:avLst/>
        </a:prstGeom>
        <a:gradFill flip="none" rotWithShape="1">
          <a:gsLst>
            <a:gs pos="0">
              <a:srgbClr val="B4B4B4"/>
            </a:gs>
            <a:gs pos="100000">
              <a:srgbClr val="646464"/>
            </a:gs>
          </a:gsLst>
          <a:lin ang="5400000" scaled="1"/>
          <a:tileRect/>
        </a:gradFill>
        <a:ln w="25400" cap="flat" cmpd="sng" algn="ctr">
          <a:noFill/>
          <a:prstDash val="solid"/>
        </a:ln>
        <a:effectLst>
          <a:outerShdw blurRad="1016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81000" rtlCol="0" anchor="ctr"/>
        <a:lstStyle/>
        <a:p>
          <a:pPr algn="l"/>
          <a:r>
            <a:rPr lang="da-DK" sz="1800" b="0">
              <a:solidFill>
                <a:srgbClr val="FFFFFF"/>
              </a:solidFill>
            </a:rPr>
            <a:t>Kompetencer og forankring</a:t>
          </a:r>
        </a:p>
      </xdr:txBody>
    </xdr:sp>
    <xdr:clientData/>
  </xdr:twoCellAnchor>
  <xdr:twoCellAnchor>
    <xdr:from>
      <xdr:col>12</xdr:col>
      <xdr:colOff>431800</xdr:colOff>
      <xdr:row>82</xdr:row>
      <xdr:rowOff>157842</xdr:rowOff>
    </xdr:from>
    <xdr:to>
      <xdr:col>12</xdr:col>
      <xdr:colOff>635000</xdr:colOff>
      <xdr:row>82</xdr:row>
      <xdr:rowOff>361042</xdr:rowOff>
    </xdr:to>
    <xdr:sp macro="'expand &quot;SP_Main2Sub3&quot;,&quot;Startside&quot;,TRUE'" textlink="">
      <xdr:nvSpPr>
        <xdr:cNvPr id="358" name="SP_Main2Sub3arrow">
          <a:extLst>
            <a:ext uri="{FF2B5EF4-FFF2-40B4-BE49-F238E27FC236}">
              <a16:creationId xmlns:a16="http://schemas.microsoft.com/office/drawing/2014/main" id="{00000000-0008-0000-0200-000066010000}"/>
            </a:ext>
          </a:extLst>
        </xdr:cNvPr>
        <xdr:cNvSpPr/>
      </xdr:nvSpPr>
      <xdr:spPr>
        <a:xfrm rot="13500000">
          <a:off x="10318750" y="34409742"/>
          <a:ext cx="203200" cy="203200"/>
        </a:xfrm>
        <a:prstGeom prst="halfFrame">
          <a:avLst>
            <a:gd name="adj1" fmla="val 15000"/>
            <a:gd name="adj2" fmla="val 15000"/>
          </a:avLst>
        </a:prstGeom>
        <a:gradFill flip="none" rotWithShape="1">
          <a:gsLst>
            <a:gs pos="0">
              <a:srgbClr val="FFFFFF"/>
            </a:gs>
            <a:gs pos="100000">
              <a:srgbClr val="FFFFFF"/>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solidFill>
              <a:schemeClr val="tx1"/>
            </a:solidFill>
          </a:endParaRPr>
        </a:p>
      </xdr:txBody>
    </xdr:sp>
    <xdr:clientData/>
  </xdr:twoCellAnchor>
  <xdr:twoCellAnchor>
    <xdr:from>
      <xdr:col>3</xdr:col>
      <xdr:colOff>0</xdr:colOff>
      <xdr:row>84</xdr:row>
      <xdr:rowOff>0</xdr:rowOff>
    </xdr:from>
    <xdr:to>
      <xdr:col>13</xdr:col>
      <xdr:colOff>0</xdr:colOff>
      <xdr:row>84</xdr:row>
      <xdr:rowOff>1981200</xdr:rowOff>
    </xdr:to>
    <xdr:sp macro="" textlink="" fLocksText="0">
      <xdr:nvSpPr>
        <xdr:cNvPr id="359" name="SP_Main2Sub2Text0">
          <a:extLst>
            <a:ext uri="{FF2B5EF4-FFF2-40B4-BE49-F238E27FC236}">
              <a16:creationId xmlns:a16="http://schemas.microsoft.com/office/drawing/2014/main" id="{00000000-0008-0000-0200-000067010000}"/>
            </a:ext>
          </a:extLst>
        </xdr:cNvPr>
        <xdr:cNvSpPr/>
      </xdr:nvSpPr>
      <xdr:spPr>
        <a:xfrm>
          <a:off x="2343150" y="34966275"/>
          <a:ext cx="8382000" cy="1981200"/>
        </a:xfrm>
        <a:prstGeom prst="roundRect">
          <a:avLst>
            <a:gd name="adj" fmla="val 0"/>
          </a:avLst>
        </a:prstGeom>
        <a:gradFill flip="none" rotWithShape="1">
          <a:gsLst>
            <a:gs pos="0">
              <a:srgbClr val="EBB553"/>
            </a:gs>
            <a:gs pos="100000">
              <a:srgbClr val="EBB553"/>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rtlCol="0" anchor="t"/>
        <a:lstStyle/>
        <a:p>
          <a:pPr algn="l"/>
          <a:r>
            <a:rPr lang="da-DK" sz="1200" b="0">
              <a:solidFill>
                <a:srgbClr val="000000"/>
              </a:solidFill>
              <a:latin typeface="Arial"/>
            </a:rPr>
            <a:t>Vi anbefaler, at institutionerne selv udarbejder business casen, idet det er jer der kender forretningen, og ved selv at lave business casen tages der også ejerskab til de gevinster, der dokumenteres.
For at kunne udarbejde en god business case er det nødvendigt at både projektlederen, økonomifunktionen i institutionen, samt forretningen der bliver berørt af business casen bliver hørt i forbindelse med udarbejdelsen af business casen.
Idet business casen er udgiftsbaseret kan det for økonomifunktionen, eller i forbindelse med udfærdigelse af aktstykker være relevant at få tilføjet omkostningsbaserede tal. Det er muligt at indtaste afskrivningsprofilen manuelt - den omkostningsbaserede nettoeffekt og tabeller til aktstykker vil i så fald blive automatisk beregnet i business case-arket.</a:t>
          </a:r>
        </a:p>
      </xdr:txBody>
    </xdr:sp>
    <xdr:clientData/>
  </xdr:twoCellAnchor>
  <xdr:twoCellAnchor>
    <xdr:from>
      <xdr:col>1</xdr:col>
      <xdr:colOff>0</xdr:colOff>
      <xdr:row>86</xdr:row>
      <xdr:rowOff>12700</xdr:rowOff>
    </xdr:from>
    <xdr:to>
      <xdr:col>13</xdr:col>
      <xdr:colOff>0</xdr:colOff>
      <xdr:row>86</xdr:row>
      <xdr:rowOff>520700</xdr:rowOff>
    </xdr:to>
    <xdr:sp macro="'expand &quot;SP_Main2Sub4&quot;,&quot;Startside&quot;,TRUE'" textlink="" fLocksText="0">
      <xdr:nvSpPr>
        <xdr:cNvPr id="360" name="SP_Main2Sub4">
          <a:extLst>
            <a:ext uri="{FF2B5EF4-FFF2-40B4-BE49-F238E27FC236}">
              <a16:creationId xmlns:a16="http://schemas.microsoft.com/office/drawing/2014/main" id="{00000000-0008-0000-0200-000068010000}"/>
            </a:ext>
          </a:extLst>
        </xdr:cNvPr>
        <xdr:cNvSpPr/>
      </xdr:nvSpPr>
      <xdr:spPr>
        <a:xfrm>
          <a:off x="666750" y="37150675"/>
          <a:ext cx="10058400" cy="508000"/>
        </a:xfrm>
        <a:prstGeom prst="roundRect">
          <a:avLst/>
        </a:prstGeom>
        <a:gradFill flip="none" rotWithShape="1">
          <a:gsLst>
            <a:gs pos="0">
              <a:srgbClr val="B4B4B4"/>
            </a:gs>
            <a:gs pos="100000">
              <a:srgbClr val="646464"/>
            </a:gs>
          </a:gsLst>
          <a:lin ang="5400000" scaled="1"/>
          <a:tileRect/>
        </a:gradFill>
        <a:ln w="25400" cap="flat" cmpd="sng" algn="ctr">
          <a:noFill/>
          <a:prstDash val="solid"/>
        </a:ln>
        <a:effectLst>
          <a:outerShdw blurRad="1016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81000" rtlCol="0" anchor="ctr"/>
        <a:lstStyle/>
        <a:p>
          <a:pPr algn="l"/>
          <a:r>
            <a:rPr lang="da-DK" sz="1800" b="0">
              <a:solidFill>
                <a:srgbClr val="FFFFFF"/>
              </a:solidFill>
            </a:rPr>
            <a:t>Omfanget af arbejdet</a:t>
          </a:r>
        </a:p>
      </xdr:txBody>
    </xdr:sp>
    <xdr:clientData/>
  </xdr:twoCellAnchor>
  <xdr:twoCellAnchor>
    <xdr:from>
      <xdr:col>12</xdr:col>
      <xdr:colOff>431800</xdr:colOff>
      <xdr:row>86</xdr:row>
      <xdr:rowOff>157842</xdr:rowOff>
    </xdr:from>
    <xdr:to>
      <xdr:col>12</xdr:col>
      <xdr:colOff>635000</xdr:colOff>
      <xdr:row>86</xdr:row>
      <xdr:rowOff>361042</xdr:rowOff>
    </xdr:to>
    <xdr:sp macro="'expand &quot;SP_Main2Sub4&quot;,&quot;Startside&quot;,TRUE'" textlink="">
      <xdr:nvSpPr>
        <xdr:cNvPr id="361" name="SP_Main2Sub4arrow">
          <a:extLst>
            <a:ext uri="{FF2B5EF4-FFF2-40B4-BE49-F238E27FC236}">
              <a16:creationId xmlns:a16="http://schemas.microsoft.com/office/drawing/2014/main" id="{00000000-0008-0000-0200-000069010000}"/>
            </a:ext>
          </a:extLst>
        </xdr:cNvPr>
        <xdr:cNvSpPr/>
      </xdr:nvSpPr>
      <xdr:spPr>
        <a:xfrm rot="13500000">
          <a:off x="10318750" y="37295817"/>
          <a:ext cx="203200" cy="203200"/>
        </a:xfrm>
        <a:prstGeom prst="halfFrame">
          <a:avLst>
            <a:gd name="adj1" fmla="val 15000"/>
            <a:gd name="adj2" fmla="val 15000"/>
          </a:avLst>
        </a:prstGeom>
        <a:gradFill flip="none" rotWithShape="1">
          <a:gsLst>
            <a:gs pos="0">
              <a:srgbClr val="FFFFFF"/>
            </a:gs>
            <a:gs pos="100000">
              <a:srgbClr val="FFFFFF"/>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solidFill>
              <a:schemeClr val="tx1"/>
            </a:solidFill>
          </a:endParaRPr>
        </a:p>
      </xdr:txBody>
    </xdr:sp>
    <xdr:clientData/>
  </xdr:twoCellAnchor>
  <xdr:twoCellAnchor>
    <xdr:from>
      <xdr:col>3</xdr:col>
      <xdr:colOff>0</xdr:colOff>
      <xdr:row>88</xdr:row>
      <xdr:rowOff>0</xdr:rowOff>
    </xdr:from>
    <xdr:to>
      <xdr:col>13</xdr:col>
      <xdr:colOff>0</xdr:colOff>
      <xdr:row>88</xdr:row>
      <xdr:rowOff>1270000</xdr:rowOff>
    </xdr:to>
    <xdr:sp macro="" textlink="" fLocksText="0">
      <xdr:nvSpPr>
        <xdr:cNvPr id="362" name="SP_Main2Sub4Text1">
          <a:extLst>
            <a:ext uri="{FF2B5EF4-FFF2-40B4-BE49-F238E27FC236}">
              <a16:creationId xmlns:a16="http://schemas.microsoft.com/office/drawing/2014/main" id="{00000000-0008-0000-0200-00006A010000}"/>
            </a:ext>
          </a:extLst>
        </xdr:cNvPr>
        <xdr:cNvSpPr/>
      </xdr:nvSpPr>
      <xdr:spPr>
        <a:xfrm>
          <a:off x="2343150" y="37852350"/>
          <a:ext cx="8382000" cy="1270000"/>
        </a:xfrm>
        <a:prstGeom prst="roundRect">
          <a:avLst>
            <a:gd name="adj" fmla="val 0"/>
          </a:avLst>
        </a:prstGeom>
        <a:gradFill flip="none" rotWithShape="1">
          <a:gsLst>
            <a:gs pos="0">
              <a:srgbClr val="EBB553"/>
            </a:gs>
            <a:gs pos="100000">
              <a:srgbClr val="EBB553"/>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rtlCol="0" anchor="t"/>
        <a:lstStyle/>
        <a:p>
          <a:pPr algn="l"/>
          <a:r>
            <a:rPr lang="da-DK" sz="1200" b="0">
              <a:solidFill>
                <a:srgbClr val="000000"/>
              </a:solidFill>
              <a:latin typeface="Arial"/>
            </a:rPr>
            <a:t>At lave en god business case tager tid, men en god business case er en rigtig god investering og styringsredskab i projektet. 
Ofte vil den mest tidskrævende opgave i forbindelse med udarbejdelse af business casen være indsamling af data til estimering af de forskellige udgifter, og det er derfor en god ide at sætte god tid af til denne proces.
</a:t>
          </a:r>
        </a:p>
      </xdr:txBody>
    </xdr:sp>
    <xdr:clientData/>
  </xdr:twoCellAnchor>
  <xdr:twoCellAnchor>
    <xdr:from>
      <xdr:col>1</xdr:col>
      <xdr:colOff>0</xdr:colOff>
      <xdr:row>90</xdr:row>
      <xdr:rowOff>12700</xdr:rowOff>
    </xdr:from>
    <xdr:to>
      <xdr:col>13</xdr:col>
      <xdr:colOff>0</xdr:colOff>
      <xdr:row>90</xdr:row>
      <xdr:rowOff>520700</xdr:rowOff>
    </xdr:to>
    <xdr:sp macro="'expand &quot;SP_Main2Sub5&quot;,&quot;Startside&quot;,TRUE'" textlink="" fLocksText="0">
      <xdr:nvSpPr>
        <xdr:cNvPr id="363" name="SP_Main2Sub5">
          <a:extLst>
            <a:ext uri="{FF2B5EF4-FFF2-40B4-BE49-F238E27FC236}">
              <a16:creationId xmlns:a16="http://schemas.microsoft.com/office/drawing/2014/main" id="{00000000-0008-0000-0200-00006B010000}"/>
            </a:ext>
          </a:extLst>
        </xdr:cNvPr>
        <xdr:cNvSpPr/>
      </xdr:nvSpPr>
      <xdr:spPr>
        <a:xfrm>
          <a:off x="666750" y="39322375"/>
          <a:ext cx="10058400" cy="508000"/>
        </a:xfrm>
        <a:prstGeom prst="roundRect">
          <a:avLst/>
        </a:prstGeom>
        <a:gradFill flip="none" rotWithShape="1">
          <a:gsLst>
            <a:gs pos="0">
              <a:srgbClr val="B4B4B4"/>
            </a:gs>
            <a:gs pos="100000">
              <a:srgbClr val="646464"/>
            </a:gs>
          </a:gsLst>
          <a:lin ang="5400000" scaled="1"/>
          <a:tileRect/>
        </a:gradFill>
        <a:ln w="25400" cap="flat" cmpd="sng" algn="ctr">
          <a:noFill/>
          <a:prstDash val="solid"/>
        </a:ln>
        <a:effectLst>
          <a:outerShdw blurRad="1016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81000" rtlCol="0" anchor="ctr"/>
        <a:lstStyle/>
        <a:p>
          <a:pPr algn="l"/>
          <a:r>
            <a:rPr lang="da-DK" sz="1800" b="0">
              <a:solidFill>
                <a:srgbClr val="FFFFFF"/>
              </a:solidFill>
            </a:rPr>
            <a:t>Løbende brug af business casen </a:t>
          </a:r>
        </a:p>
      </xdr:txBody>
    </xdr:sp>
    <xdr:clientData/>
  </xdr:twoCellAnchor>
  <xdr:twoCellAnchor>
    <xdr:from>
      <xdr:col>12</xdr:col>
      <xdr:colOff>431800</xdr:colOff>
      <xdr:row>90</xdr:row>
      <xdr:rowOff>157842</xdr:rowOff>
    </xdr:from>
    <xdr:to>
      <xdr:col>12</xdr:col>
      <xdr:colOff>635000</xdr:colOff>
      <xdr:row>90</xdr:row>
      <xdr:rowOff>361042</xdr:rowOff>
    </xdr:to>
    <xdr:sp macro="'expand &quot;SP_Main2Sub5&quot;,&quot;Startside&quot;,TRUE'" textlink="">
      <xdr:nvSpPr>
        <xdr:cNvPr id="364" name="SP_Main2Sub5arrow">
          <a:extLst>
            <a:ext uri="{FF2B5EF4-FFF2-40B4-BE49-F238E27FC236}">
              <a16:creationId xmlns:a16="http://schemas.microsoft.com/office/drawing/2014/main" id="{00000000-0008-0000-0200-00006C010000}"/>
            </a:ext>
          </a:extLst>
        </xdr:cNvPr>
        <xdr:cNvSpPr/>
      </xdr:nvSpPr>
      <xdr:spPr>
        <a:xfrm rot="13500000">
          <a:off x="10318750" y="39467517"/>
          <a:ext cx="203200" cy="203200"/>
        </a:xfrm>
        <a:prstGeom prst="halfFrame">
          <a:avLst>
            <a:gd name="adj1" fmla="val 15000"/>
            <a:gd name="adj2" fmla="val 15000"/>
          </a:avLst>
        </a:prstGeom>
        <a:gradFill flip="none" rotWithShape="1">
          <a:gsLst>
            <a:gs pos="0">
              <a:srgbClr val="FFFFFF"/>
            </a:gs>
            <a:gs pos="100000">
              <a:srgbClr val="FFFFFF"/>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solidFill>
              <a:schemeClr val="tx1"/>
            </a:solidFill>
          </a:endParaRPr>
        </a:p>
      </xdr:txBody>
    </xdr:sp>
    <xdr:clientData/>
  </xdr:twoCellAnchor>
  <xdr:twoCellAnchor>
    <xdr:from>
      <xdr:col>3</xdr:col>
      <xdr:colOff>0</xdr:colOff>
      <xdr:row>92</xdr:row>
      <xdr:rowOff>0</xdr:rowOff>
    </xdr:from>
    <xdr:to>
      <xdr:col>13</xdr:col>
      <xdr:colOff>0</xdr:colOff>
      <xdr:row>92</xdr:row>
      <xdr:rowOff>1270000</xdr:rowOff>
    </xdr:to>
    <xdr:sp macro="" textlink="" fLocksText="0">
      <xdr:nvSpPr>
        <xdr:cNvPr id="365" name="SP_Main2Sub5Text1">
          <a:extLst>
            <a:ext uri="{FF2B5EF4-FFF2-40B4-BE49-F238E27FC236}">
              <a16:creationId xmlns:a16="http://schemas.microsoft.com/office/drawing/2014/main" id="{00000000-0008-0000-0200-00006D010000}"/>
            </a:ext>
          </a:extLst>
        </xdr:cNvPr>
        <xdr:cNvSpPr/>
      </xdr:nvSpPr>
      <xdr:spPr>
        <a:xfrm>
          <a:off x="2343150" y="40024050"/>
          <a:ext cx="8382000" cy="1270000"/>
        </a:xfrm>
        <a:prstGeom prst="roundRect">
          <a:avLst>
            <a:gd name="adj" fmla="val 0"/>
          </a:avLst>
        </a:prstGeom>
        <a:gradFill flip="none" rotWithShape="1">
          <a:gsLst>
            <a:gs pos="0">
              <a:srgbClr val="EBB553"/>
            </a:gs>
            <a:gs pos="100000">
              <a:srgbClr val="EBB553"/>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rtlCol="0" anchor="t"/>
        <a:lstStyle/>
        <a:p>
          <a:pPr algn="l"/>
          <a:r>
            <a:rPr lang="da-DK" sz="1200" b="0">
              <a:solidFill>
                <a:srgbClr val="000000"/>
              </a:solidFill>
              <a:latin typeface="Arial"/>
            </a:rPr>
            <a:t>Business casen er et dynamisk dokument, der med fordel kan opdateres løbende undervejs i projektforløbet for at sikre maksimal ledelsesinformation, overblik og budgetkontrol. 
Business casen skal opdateres ved alle efterfølgende faseovergange eller ved væsentlige ændringer, og de opdaterede tal skal indsendes til Statens IT-projektråd ved de halvårlige statusrapporteringer.</a:t>
          </a:r>
        </a:p>
      </xdr:txBody>
    </xdr:sp>
    <xdr:clientData/>
  </xdr:twoCellAnchor>
  <xdr:twoCellAnchor>
    <xdr:from>
      <xdr:col>1</xdr:col>
      <xdr:colOff>0</xdr:colOff>
      <xdr:row>94</xdr:row>
      <xdr:rowOff>12700</xdr:rowOff>
    </xdr:from>
    <xdr:to>
      <xdr:col>13</xdr:col>
      <xdr:colOff>0</xdr:colOff>
      <xdr:row>94</xdr:row>
      <xdr:rowOff>520700</xdr:rowOff>
    </xdr:to>
    <xdr:sp macro="'expand &quot;SP_Main2Sub6&quot;,&quot;Startside&quot;,TRUE'" textlink="" fLocksText="0">
      <xdr:nvSpPr>
        <xdr:cNvPr id="366" name="SP_Main2Sub6">
          <a:extLst>
            <a:ext uri="{FF2B5EF4-FFF2-40B4-BE49-F238E27FC236}">
              <a16:creationId xmlns:a16="http://schemas.microsoft.com/office/drawing/2014/main" id="{00000000-0008-0000-0200-00006E010000}"/>
            </a:ext>
          </a:extLst>
        </xdr:cNvPr>
        <xdr:cNvSpPr/>
      </xdr:nvSpPr>
      <xdr:spPr>
        <a:xfrm>
          <a:off x="666750" y="41494075"/>
          <a:ext cx="10058400" cy="508000"/>
        </a:xfrm>
        <a:prstGeom prst="roundRect">
          <a:avLst/>
        </a:prstGeom>
        <a:gradFill flip="none" rotWithShape="1">
          <a:gsLst>
            <a:gs pos="0">
              <a:srgbClr val="B4B4B4"/>
            </a:gs>
            <a:gs pos="100000">
              <a:srgbClr val="646464"/>
            </a:gs>
          </a:gsLst>
          <a:lin ang="5400000" scaled="1"/>
          <a:tileRect/>
        </a:gradFill>
        <a:ln w="25400" cap="flat" cmpd="sng" algn="ctr">
          <a:noFill/>
          <a:prstDash val="solid"/>
        </a:ln>
        <a:effectLst>
          <a:outerShdw blurRad="1016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81000" rtlCol="0" anchor="ctr"/>
        <a:lstStyle/>
        <a:p>
          <a:pPr algn="l"/>
          <a:r>
            <a:rPr lang="da-DK" sz="1800" b="0">
              <a:solidFill>
                <a:srgbClr val="FFFFFF"/>
              </a:solidFill>
            </a:rPr>
            <a:t>Relation til andre produkter</a:t>
          </a:r>
        </a:p>
      </xdr:txBody>
    </xdr:sp>
    <xdr:clientData/>
  </xdr:twoCellAnchor>
  <xdr:twoCellAnchor>
    <xdr:from>
      <xdr:col>12</xdr:col>
      <xdr:colOff>431800</xdr:colOff>
      <xdr:row>94</xdr:row>
      <xdr:rowOff>157842</xdr:rowOff>
    </xdr:from>
    <xdr:to>
      <xdr:col>12</xdr:col>
      <xdr:colOff>635000</xdr:colOff>
      <xdr:row>94</xdr:row>
      <xdr:rowOff>361042</xdr:rowOff>
    </xdr:to>
    <xdr:sp macro="'expand &quot;SP_Main2Sub6&quot;,&quot;Startside&quot;,TRUE'" textlink="">
      <xdr:nvSpPr>
        <xdr:cNvPr id="367" name="SP_Main2Sub6arrow">
          <a:extLst>
            <a:ext uri="{FF2B5EF4-FFF2-40B4-BE49-F238E27FC236}">
              <a16:creationId xmlns:a16="http://schemas.microsoft.com/office/drawing/2014/main" id="{00000000-0008-0000-0200-00006F010000}"/>
            </a:ext>
          </a:extLst>
        </xdr:cNvPr>
        <xdr:cNvSpPr/>
      </xdr:nvSpPr>
      <xdr:spPr>
        <a:xfrm rot="13500000">
          <a:off x="10318750" y="41639217"/>
          <a:ext cx="203200" cy="203200"/>
        </a:xfrm>
        <a:prstGeom prst="halfFrame">
          <a:avLst>
            <a:gd name="adj1" fmla="val 15000"/>
            <a:gd name="adj2" fmla="val 15000"/>
          </a:avLst>
        </a:prstGeom>
        <a:gradFill flip="none" rotWithShape="1">
          <a:gsLst>
            <a:gs pos="0">
              <a:srgbClr val="FFFFFF"/>
            </a:gs>
            <a:gs pos="100000">
              <a:srgbClr val="FFFFFF"/>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solidFill>
              <a:schemeClr val="tx1"/>
            </a:solidFill>
          </a:endParaRPr>
        </a:p>
      </xdr:txBody>
    </xdr:sp>
    <xdr:clientData/>
  </xdr:twoCellAnchor>
  <xdr:twoCellAnchor>
    <xdr:from>
      <xdr:col>3</xdr:col>
      <xdr:colOff>0</xdr:colOff>
      <xdr:row>96</xdr:row>
      <xdr:rowOff>0</xdr:rowOff>
    </xdr:from>
    <xdr:to>
      <xdr:col>13</xdr:col>
      <xdr:colOff>0</xdr:colOff>
      <xdr:row>96</xdr:row>
      <xdr:rowOff>2286000</xdr:rowOff>
    </xdr:to>
    <xdr:sp macro="" textlink="" fLocksText="0">
      <xdr:nvSpPr>
        <xdr:cNvPr id="368" name="SP_Main2Sub6Text1">
          <a:extLst>
            <a:ext uri="{FF2B5EF4-FFF2-40B4-BE49-F238E27FC236}">
              <a16:creationId xmlns:a16="http://schemas.microsoft.com/office/drawing/2014/main" id="{00000000-0008-0000-0200-000070010000}"/>
            </a:ext>
          </a:extLst>
        </xdr:cNvPr>
        <xdr:cNvSpPr/>
      </xdr:nvSpPr>
      <xdr:spPr>
        <a:xfrm>
          <a:off x="2343150" y="42195750"/>
          <a:ext cx="8382000" cy="2286000"/>
        </a:xfrm>
        <a:prstGeom prst="roundRect">
          <a:avLst>
            <a:gd name="adj" fmla="val 0"/>
          </a:avLst>
        </a:prstGeom>
        <a:gradFill flip="none" rotWithShape="1">
          <a:gsLst>
            <a:gs pos="0">
              <a:srgbClr val="EBB553"/>
            </a:gs>
            <a:gs pos="100000">
              <a:srgbClr val="EBB553"/>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rtlCol="0" anchor="t"/>
        <a:lstStyle/>
        <a:p>
          <a:pPr algn="l"/>
          <a:r>
            <a:rPr lang="da-DK" sz="1200" b="0">
              <a:solidFill>
                <a:srgbClr val="000000"/>
              </a:solidFill>
              <a:latin typeface="Arial"/>
            </a:rPr>
            <a:t>Business case-modellen er en integreret del af den fællesstatslige it-projektmodel, og er et obligatorisk produkt, der skal indsendes til Statens IT-projektråd i forbindelse med risikovurderinger. 
Business casen skal derfor ses i sammenhæng med de øvrige produkter, der udarbejdes som led i planlægningen og gennemførelsen af et projekt.
Du kan læse mere om den fællesstatslige it-projektmodel her:
http://www.digst.dk/Styring/Statens-projektmodel/IT-projektmodellen
Du kan læse mere om Statens IT-projektråd her:
http://www.itprojektraad.dk/</a:t>
          </a:r>
        </a:p>
      </xdr:txBody>
    </xdr:sp>
    <xdr:clientData/>
  </xdr:twoCellAnchor>
  <xdr:twoCellAnchor>
    <xdr:from>
      <xdr:col>1</xdr:col>
      <xdr:colOff>0</xdr:colOff>
      <xdr:row>98</xdr:row>
      <xdr:rowOff>12700</xdr:rowOff>
    </xdr:from>
    <xdr:to>
      <xdr:col>14</xdr:col>
      <xdr:colOff>0</xdr:colOff>
      <xdr:row>98</xdr:row>
      <xdr:rowOff>774700</xdr:rowOff>
    </xdr:to>
    <xdr:sp macro="'expand &quot;SP_Main1&quot;,&quot;Startside&quot;,TRUE'" textlink="" fLocksText="0">
      <xdr:nvSpPr>
        <xdr:cNvPr id="369" name="SP_Main1">
          <a:extLst>
            <a:ext uri="{FF2B5EF4-FFF2-40B4-BE49-F238E27FC236}">
              <a16:creationId xmlns:a16="http://schemas.microsoft.com/office/drawing/2014/main" id="{00000000-0008-0000-0200-000071010000}"/>
            </a:ext>
          </a:extLst>
        </xdr:cNvPr>
        <xdr:cNvSpPr/>
      </xdr:nvSpPr>
      <xdr:spPr>
        <a:xfrm>
          <a:off x="666750" y="44684950"/>
          <a:ext cx="10896600" cy="762000"/>
        </a:xfrm>
        <a:prstGeom prst="roundRect">
          <a:avLst/>
        </a:prstGeom>
        <a:gradFill flip="none" rotWithShape="1">
          <a:gsLst>
            <a:gs pos="0">
              <a:srgbClr val="646464"/>
            </a:gs>
            <a:gs pos="100000">
              <a:srgbClr val="000000"/>
            </a:gs>
          </a:gsLst>
          <a:lin ang="5400000" scaled="1"/>
          <a:tileRect/>
        </a:gradFill>
        <a:ln w="25400" cap="flat" cmpd="sng" algn="ctr">
          <a:noFill/>
          <a:prstDash val="solid"/>
        </a:ln>
        <a:effectLst>
          <a:outerShdw blurRad="1270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81000" rtlCol="0" anchor="ctr"/>
        <a:lstStyle/>
        <a:p>
          <a:pPr algn="l"/>
          <a:r>
            <a:rPr lang="da-DK" sz="2000" b="0">
              <a:solidFill>
                <a:srgbClr val="FFFFFF"/>
              </a:solidFill>
            </a:rPr>
            <a:t>Guidet start</a:t>
          </a:r>
        </a:p>
      </xdr:txBody>
    </xdr:sp>
    <xdr:clientData/>
  </xdr:twoCellAnchor>
  <xdr:twoCellAnchor>
    <xdr:from>
      <xdr:col>13</xdr:col>
      <xdr:colOff>228600</xdr:colOff>
      <xdr:row>98</xdr:row>
      <xdr:rowOff>230414</xdr:rowOff>
    </xdr:from>
    <xdr:to>
      <xdr:col>13</xdr:col>
      <xdr:colOff>533400</xdr:colOff>
      <xdr:row>98</xdr:row>
      <xdr:rowOff>535214</xdr:rowOff>
    </xdr:to>
    <xdr:sp macro="'expand &quot;SP_Main1&quot;,&quot;Startside&quot;,TRUE'" textlink="">
      <xdr:nvSpPr>
        <xdr:cNvPr id="370" name="SP_Main1arrow">
          <a:extLst>
            <a:ext uri="{FF2B5EF4-FFF2-40B4-BE49-F238E27FC236}">
              <a16:creationId xmlns:a16="http://schemas.microsoft.com/office/drawing/2014/main" id="{00000000-0008-0000-0200-000072010000}"/>
            </a:ext>
          </a:extLst>
        </xdr:cNvPr>
        <xdr:cNvSpPr/>
      </xdr:nvSpPr>
      <xdr:spPr>
        <a:xfrm rot="13500000">
          <a:off x="10953750" y="44902664"/>
          <a:ext cx="304800" cy="304800"/>
        </a:xfrm>
        <a:prstGeom prst="halfFrame">
          <a:avLst>
            <a:gd name="adj1" fmla="val 15000"/>
            <a:gd name="adj2" fmla="val 15000"/>
          </a:avLst>
        </a:prstGeom>
        <a:gradFill flip="none" rotWithShape="1">
          <a:gsLst>
            <a:gs pos="0">
              <a:srgbClr val="FFFFFF"/>
            </a:gs>
            <a:gs pos="100000">
              <a:srgbClr val="FFFFFF"/>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solidFill>
              <a:schemeClr val="tx1"/>
            </a:solidFill>
          </a:endParaRPr>
        </a:p>
      </xdr:txBody>
    </xdr:sp>
    <xdr:clientData/>
  </xdr:twoCellAnchor>
  <xdr:twoCellAnchor>
    <xdr:from>
      <xdr:col>1</xdr:col>
      <xdr:colOff>0</xdr:colOff>
      <xdr:row>100</xdr:row>
      <xdr:rowOff>12700</xdr:rowOff>
    </xdr:from>
    <xdr:to>
      <xdr:col>13</xdr:col>
      <xdr:colOff>0</xdr:colOff>
      <xdr:row>100</xdr:row>
      <xdr:rowOff>520700</xdr:rowOff>
    </xdr:to>
    <xdr:sp macro="'expand &quot;SP_StamdataMain1&quot;,&quot;Startside&quot;,TRUE'" textlink="" fLocksText="0">
      <xdr:nvSpPr>
        <xdr:cNvPr id="371" name="SP_StamdataMain1">
          <a:extLst>
            <a:ext uri="{FF2B5EF4-FFF2-40B4-BE49-F238E27FC236}">
              <a16:creationId xmlns:a16="http://schemas.microsoft.com/office/drawing/2014/main" id="{00000000-0008-0000-0200-000073010000}"/>
            </a:ext>
          </a:extLst>
        </xdr:cNvPr>
        <xdr:cNvSpPr/>
      </xdr:nvSpPr>
      <xdr:spPr>
        <a:xfrm>
          <a:off x="666750" y="45646975"/>
          <a:ext cx="10058400" cy="508000"/>
        </a:xfrm>
        <a:prstGeom prst="roundRect">
          <a:avLst/>
        </a:prstGeom>
        <a:gradFill flip="none" rotWithShape="1">
          <a:gsLst>
            <a:gs pos="0">
              <a:srgbClr val="B4B4B4"/>
            </a:gs>
            <a:gs pos="100000">
              <a:srgbClr val="646464"/>
            </a:gs>
          </a:gsLst>
          <a:lin ang="5400000" scaled="1"/>
          <a:tileRect/>
        </a:gradFill>
        <a:ln w="25400" cap="flat" cmpd="sng" algn="ctr">
          <a:noFill/>
          <a:prstDash val="solid"/>
        </a:ln>
        <a:effectLst>
          <a:outerShdw blurRad="1016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81000" rtlCol="0" anchor="ctr"/>
        <a:lstStyle/>
        <a:p>
          <a:pPr algn="l"/>
          <a:r>
            <a:rPr lang="da-DK" sz="1800" b="0">
              <a:solidFill>
                <a:srgbClr val="FFFFFF"/>
              </a:solidFill>
            </a:rPr>
            <a:t>Stamdata</a:t>
          </a:r>
        </a:p>
      </xdr:txBody>
    </xdr:sp>
    <xdr:clientData/>
  </xdr:twoCellAnchor>
  <xdr:twoCellAnchor>
    <xdr:from>
      <xdr:col>12</xdr:col>
      <xdr:colOff>431800</xdr:colOff>
      <xdr:row>100</xdr:row>
      <xdr:rowOff>157842</xdr:rowOff>
    </xdr:from>
    <xdr:to>
      <xdr:col>12</xdr:col>
      <xdr:colOff>635000</xdr:colOff>
      <xdr:row>100</xdr:row>
      <xdr:rowOff>361042</xdr:rowOff>
    </xdr:to>
    <xdr:sp macro="'expand &quot;SP_StamdataMain1&quot;,&quot;Startside&quot;,TRUE'" textlink="">
      <xdr:nvSpPr>
        <xdr:cNvPr id="372" name="SP_StamdataMain1arrow">
          <a:extLst>
            <a:ext uri="{FF2B5EF4-FFF2-40B4-BE49-F238E27FC236}">
              <a16:creationId xmlns:a16="http://schemas.microsoft.com/office/drawing/2014/main" id="{00000000-0008-0000-0200-000074010000}"/>
            </a:ext>
          </a:extLst>
        </xdr:cNvPr>
        <xdr:cNvSpPr/>
      </xdr:nvSpPr>
      <xdr:spPr>
        <a:xfrm rot="13500000">
          <a:off x="10318750" y="45792117"/>
          <a:ext cx="203200" cy="203200"/>
        </a:xfrm>
        <a:prstGeom prst="halfFrame">
          <a:avLst>
            <a:gd name="adj1" fmla="val 15000"/>
            <a:gd name="adj2" fmla="val 15000"/>
          </a:avLst>
        </a:prstGeom>
        <a:gradFill flip="none" rotWithShape="1">
          <a:gsLst>
            <a:gs pos="0">
              <a:srgbClr val="FFFFFF"/>
            </a:gs>
            <a:gs pos="100000">
              <a:srgbClr val="FFFFFF"/>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solidFill>
              <a:schemeClr val="tx1"/>
            </a:solidFill>
          </a:endParaRPr>
        </a:p>
      </xdr:txBody>
    </xdr:sp>
    <xdr:clientData/>
  </xdr:twoCellAnchor>
  <xdr:twoCellAnchor>
    <xdr:from>
      <xdr:col>11</xdr:col>
      <xdr:colOff>63500</xdr:colOff>
      <xdr:row>102</xdr:row>
      <xdr:rowOff>12700</xdr:rowOff>
    </xdr:from>
    <xdr:to>
      <xdr:col>13</xdr:col>
      <xdr:colOff>0</xdr:colOff>
      <xdr:row>102</xdr:row>
      <xdr:rowOff>292100</xdr:rowOff>
    </xdr:to>
    <xdr:sp macro="'editNorm &quot;SP_StamdataT1_1&quot;,&quot;SP_StamdataT1_1Red&quot;,&quot;SP_StamdataT1Rep&quot;'" textlink="" fLocksText="0">
      <xdr:nvSpPr>
        <xdr:cNvPr id="373" name="SP_StamdataT1_1Red">
          <a:extLst>
            <a:ext uri="{FF2B5EF4-FFF2-40B4-BE49-F238E27FC236}">
              <a16:creationId xmlns:a16="http://schemas.microsoft.com/office/drawing/2014/main" id="{00000000-0008-0000-0200-000075010000}"/>
            </a:ext>
          </a:extLst>
        </xdr:cNvPr>
        <xdr:cNvSpPr/>
      </xdr:nvSpPr>
      <xdr:spPr>
        <a:xfrm>
          <a:off x="9112250" y="46361350"/>
          <a:ext cx="1612900" cy="279400"/>
        </a:xfrm>
        <a:prstGeom prst="roundRect">
          <a:avLst/>
        </a:prstGeom>
        <a:gradFill flip="none" rotWithShape="1">
          <a:gsLst>
            <a:gs pos="0">
              <a:srgbClr val="B4B4B4"/>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Rediger</a:t>
          </a:r>
        </a:p>
      </xdr:txBody>
    </xdr:sp>
    <xdr:clientData/>
  </xdr:twoCellAnchor>
  <xdr:twoCellAnchor>
    <xdr:from>
      <xdr:col>11</xdr:col>
      <xdr:colOff>63500</xdr:colOff>
      <xdr:row>102</xdr:row>
      <xdr:rowOff>12700</xdr:rowOff>
    </xdr:from>
    <xdr:to>
      <xdr:col>12</xdr:col>
      <xdr:colOff>0</xdr:colOff>
      <xdr:row>102</xdr:row>
      <xdr:rowOff>292100</xdr:rowOff>
    </xdr:to>
    <xdr:sp macro="'editNorm &quot;SP_StamdataT1_1&quot;,&quot;SP_StamdataT1_1Gem&quot;,&quot;SP_StamdataT1Rep&quot;'" textlink="" fLocksText="0">
      <xdr:nvSpPr>
        <xdr:cNvPr id="374" name="SP_StamdataT1_1Gem" hidden="1">
          <a:extLst>
            <a:ext uri="{FF2B5EF4-FFF2-40B4-BE49-F238E27FC236}">
              <a16:creationId xmlns:a16="http://schemas.microsoft.com/office/drawing/2014/main" id="{00000000-0008-0000-0200-000076010000}"/>
            </a:ext>
          </a:extLst>
        </xdr:cNvPr>
        <xdr:cNvSpPr/>
      </xdr:nvSpPr>
      <xdr:spPr>
        <a:xfrm>
          <a:off x="9112250" y="46361350"/>
          <a:ext cx="774700" cy="279400"/>
        </a:xfrm>
        <a:prstGeom prst="roundRect">
          <a:avLst/>
        </a:prstGeom>
        <a:gradFill flip="none" rotWithShape="1">
          <a:gsLst>
            <a:gs pos="0">
              <a:srgbClr val="96B412"/>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Gem</a:t>
          </a:r>
        </a:p>
      </xdr:txBody>
    </xdr:sp>
    <xdr:clientData/>
  </xdr:twoCellAnchor>
  <xdr:twoCellAnchor>
    <xdr:from>
      <xdr:col>12</xdr:col>
      <xdr:colOff>88900</xdr:colOff>
      <xdr:row>102</xdr:row>
      <xdr:rowOff>12700</xdr:rowOff>
    </xdr:from>
    <xdr:to>
      <xdr:col>13</xdr:col>
      <xdr:colOff>0</xdr:colOff>
      <xdr:row>102</xdr:row>
      <xdr:rowOff>292100</xdr:rowOff>
    </xdr:to>
    <xdr:sp macro="'editNorm &quot;SP_StamdataT1_1&quot;,&quot;SP_StamdataT1_1Cancel&quot;,&quot;SP_StamdataT1Rep&quot;'" textlink="" fLocksText="0">
      <xdr:nvSpPr>
        <xdr:cNvPr id="375" name="SP_StamdataT1_1Cancel" hidden="1">
          <a:extLst>
            <a:ext uri="{FF2B5EF4-FFF2-40B4-BE49-F238E27FC236}">
              <a16:creationId xmlns:a16="http://schemas.microsoft.com/office/drawing/2014/main" id="{00000000-0008-0000-0200-000077010000}"/>
            </a:ext>
          </a:extLst>
        </xdr:cNvPr>
        <xdr:cNvSpPr/>
      </xdr:nvSpPr>
      <xdr:spPr>
        <a:xfrm>
          <a:off x="9975850" y="46361350"/>
          <a:ext cx="749300" cy="279400"/>
        </a:xfrm>
        <a:prstGeom prst="roundRect">
          <a:avLst/>
        </a:prstGeom>
        <a:gradFill flip="none" rotWithShape="1">
          <a:gsLst>
            <a:gs pos="0">
              <a:srgbClr val="B4B4B4"/>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Annuller</a:t>
          </a:r>
        </a:p>
      </xdr:txBody>
    </xdr:sp>
    <xdr:clientData/>
  </xdr:twoCellAnchor>
  <xdr:twoCellAnchor>
    <xdr:from>
      <xdr:col>13</xdr:col>
      <xdr:colOff>88900</xdr:colOff>
      <xdr:row>102</xdr:row>
      <xdr:rowOff>12700</xdr:rowOff>
    </xdr:from>
    <xdr:to>
      <xdr:col>14</xdr:col>
      <xdr:colOff>0</xdr:colOff>
      <xdr:row>102</xdr:row>
      <xdr:rowOff>292100</xdr:rowOff>
    </xdr:to>
    <xdr:sp macro="'editNorm &quot;SP_StamdataT1_1&quot;,&quot;SP_StamdataT1_1Delete&quot;,&quot;SP_StamdataT1Rep&quot;'" textlink="" fLocksText="0">
      <xdr:nvSpPr>
        <xdr:cNvPr id="376" name="SP_StamdataT1_1Delete" hidden="1">
          <a:extLst>
            <a:ext uri="{FF2B5EF4-FFF2-40B4-BE49-F238E27FC236}">
              <a16:creationId xmlns:a16="http://schemas.microsoft.com/office/drawing/2014/main" id="{00000000-0008-0000-0200-000078010000}"/>
            </a:ext>
          </a:extLst>
        </xdr:cNvPr>
        <xdr:cNvSpPr/>
      </xdr:nvSpPr>
      <xdr:spPr>
        <a:xfrm>
          <a:off x="10814050" y="46361350"/>
          <a:ext cx="749300" cy="279400"/>
        </a:xfrm>
        <a:prstGeom prst="roundRect">
          <a:avLst/>
        </a:prstGeom>
        <a:gradFill flip="none" rotWithShape="1">
          <a:gsLst>
            <a:gs pos="0">
              <a:srgbClr val="C83232"/>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Nulstil</a:t>
          </a:r>
        </a:p>
      </xdr:txBody>
    </xdr:sp>
    <xdr:clientData/>
  </xdr:twoCellAnchor>
  <xdr:twoCellAnchor>
    <xdr:from>
      <xdr:col>9</xdr:col>
      <xdr:colOff>25400</xdr:colOff>
      <xdr:row>102</xdr:row>
      <xdr:rowOff>0</xdr:rowOff>
    </xdr:from>
    <xdr:to>
      <xdr:col>11</xdr:col>
      <xdr:colOff>0</xdr:colOff>
      <xdr:row>102</xdr:row>
      <xdr:rowOff>279400</xdr:rowOff>
    </xdr:to>
    <xdr:sp macro="" textlink="" fLocksText="0">
      <xdr:nvSpPr>
        <xdr:cNvPr id="377" name="SP_StamdataT1Obs_1">
          <a:extLst>
            <a:ext uri="{FF2B5EF4-FFF2-40B4-BE49-F238E27FC236}">
              <a16:creationId xmlns:a16="http://schemas.microsoft.com/office/drawing/2014/main" id="{00000000-0008-0000-0200-000079010000}"/>
            </a:ext>
          </a:extLst>
        </xdr:cNvPr>
        <xdr:cNvSpPr/>
      </xdr:nvSpPr>
      <xdr:spPr>
        <a:xfrm>
          <a:off x="7397750" y="46348650"/>
          <a:ext cx="1651000" cy="279400"/>
        </a:xfrm>
        <a:prstGeom prst="roundRect">
          <a:avLst>
            <a:gd name="adj" fmla="val 0"/>
          </a:avLst>
        </a:prstGeom>
        <a:gradFill flip="none" rotWithShape="1">
          <a:gsLst>
            <a:gs pos="0">
              <a:srgbClr val="D9D9D9"/>
            </a:gs>
            <a:gs pos="100000">
              <a:srgbClr val="D9D9D9"/>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da-DK" sz="1000">
              <a:solidFill>
                <a:srgbClr val="969696"/>
              </a:solidFill>
              <a:latin typeface="Arial"/>
            </a:rPr>
            <a:t>kan udfyldes senere</a:t>
          </a:r>
        </a:p>
      </xdr:txBody>
    </xdr:sp>
    <xdr:clientData/>
  </xdr:twoCellAnchor>
  <xdr:twoCellAnchor>
    <xdr:from>
      <xdr:col>3</xdr:col>
      <xdr:colOff>0</xdr:colOff>
      <xdr:row>103</xdr:row>
      <xdr:rowOff>25400</xdr:rowOff>
    </xdr:from>
    <xdr:to>
      <xdr:col>13</xdr:col>
      <xdr:colOff>0</xdr:colOff>
      <xdr:row>103</xdr:row>
      <xdr:rowOff>50800</xdr:rowOff>
    </xdr:to>
    <xdr:sp macro="" textlink="">
      <xdr:nvSpPr>
        <xdr:cNvPr id="378" name="SP_StamdataL1">
          <a:extLst>
            <a:ext uri="{FF2B5EF4-FFF2-40B4-BE49-F238E27FC236}">
              <a16:creationId xmlns:a16="http://schemas.microsoft.com/office/drawing/2014/main" id="{00000000-0008-0000-0200-00007A010000}"/>
            </a:ext>
          </a:extLst>
        </xdr:cNvPr>
        <xdr:cNvSpPr/>
      </xdr:nvSpPr>
      <xdr:spPr>
        <a:xfrm>
          <a:off x="2343150" y="46659800"/>
          <a:ext cx="8382000" cy="25400"/>
        </a:xfrm>
        <a:prstGeom prst="roundRect">
          <a:avLst/>
        </a:prstGeom>
        <a:gradFill flip="none" rotWithShape="1">
          <a:gsLst>
            <a:gs pos="0">
              <a:srgbClr val="B4B4B4"/>
            </a:gs>
            <a:gs pos="100000">
              <a:srgbClr val="646464"/>
            </a:gs>
          </a:gsLst>
          <a:lin ang="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clientData/>
  </xdr:twoCellAnchor>
  <xdr:twoCellAnchor>
    <xdr:from>
      <xdr:col>11</xdr:col>
      <xdr:colOff>63500</xdr:colOff>
      <xdr:row>105</xdr:row>
      <xdr:rowOff>12700</xdr:rowOff>
    </xdr:from>
    <xdr:to>
      <xdr:col>13</xdr:col>
      <xdr:colOff>0</xdr:colOff>
      <xdr:row>105</xdr:row>
      <xdr:rowOff>292100</xdr:rowOff>
    </xdr:to>
    <xdr:sp macro="'editNorm &quot;SP_StamdataT2_1&quot;,&quot;SP_StamdataT2_1Red&quot;,&quot;SP_StamdataT2Rep&quot;'" textlink="" fLocksText="0">
      <xdr:nvSpPr>
        <xdr:cNvPr id="379" name="SP_StamdataT2_1Red">
          <a:extLst>
            <a:ext uri="{FF2B5EF4-FFF2-40B4-BE49-F238E27FC236}">
              <a16:creationId xmlns:a16="http://schemas.microsoft.com/office/drawing/2014/main" id="{00000000-0008-0000-0200-00007B010000}"/>
            </a:ext>
          </a:extLst>
        </xdr:cNvPr>
        <xdr:cNvSpPr/>
      </xdr:nvSpPr>
      <xdr:spPr>
        <a:xfrm>
          <a:off x="9112250" y="46885225"/>
          <a:ext cx="1612900" cy="279400"/>
        </a:xfrm>
        <a:prstGeom prst="roundRect">
          <a:avLst/>
        </a:prstGeom>
        <a:gradFill flip="none" rotWithShape="1">
          <a:gsLst>
            <a:gs pos="0">
              <a:srgbClr val="B4B4B4"/>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Rediger</a:t>
          </a:r>
        </a:p>
      </xdr:txBody>
    </xdr:sp>
    <xdr:clientData/>
  </xdr:twoCellAnchor>
  <xdr:twoCellAnchor>
    <xdr:from>
      <xdr:col>11</xdr:col>
      <xdr:colOff>63500</xdr:colOff>
      <xdr:row>105</xdr:row>
      <xdr:rowOff>12700</xdr:rowOff>
    </xdr:from>
    <xdr:to>
      <xdr:col>12</xdr:col>
      <xdr:colOff>0</xdr:colOff>
      <xdr:row>105</xdr:row>
      <xdr:rowOff>292100</xdr:rowOff>
    </xdr:to>
    <xdr:sp macro="'editNorm &quot;SP_StamdataT2_1&quot;,&quot;SP_StamdataT2_1Gem&quot;,&quot;SP_StamdataT2Rep&quot;'" textlink="" fLocksText="0">
      <xdr:nvSpPr>
        <xdr:cNvPr id="380" name="SP_StamdataT2_1Gem" hidden="1">
          <a:extLst>
            <a:ext uri="{FF2B5EF4-FFF2-40B4-BE49-F238E27FC236}">
              <a16:creationId xmlns:a16="http://schemas.microsoft.com/office/drawing/2014/main" id="{00000000-0008-0000-0200-00007C010000}"/>
            </a:ext>
          </a:extLst>
        </xdr:cNvPr>
        <xdr:cNvSpPr/>
      </xdr:nvSpPr>
      <xdr:spPr>
        <a:xfrm>
          <a:off x="9112250" y="46885225"/>
          <a:ext cx="774700" cy="279400"/>
        </a:xfrm>
        <a:prstGeom prst="roundRect">
          <a:avLst/>
        </a:prstGeom>
        <a:gradFill flip="none" rotWithShape="1">
          <a:gsLst>
            <a:gs pos="0">
              <a:srgbClr val="96B412"/>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Gem</a:t>
          </a:r>
        </a:p>
      </xdr:txBody>
    </xdr:sp>
    <xdr:clientData/>
  </xdr:twoCellAnchor>
  <xdr:twoCellAnchor>
    <xdr:from>
      <xdr:col>12</xdr:col>
      <xdr:colOff>88900</xdr:colOff>
      <xdr:row>105</xdr:row>
      <xdr:rowOff>12700</xdr:rowOff>
    </xdr:from>
    <xdr:to>
      <xdr:col>13</xdr:col>
      <xdr:colOff>0</xdr:colOff>
      <xdr:row>105</xdr:row>
      <xdr:rowOff>292100</xdr:rowOff>
    </xdr:to>
    <xdr:sp macro="'editNorm &quot;SP_StamdataT2_1&quot;,&quot;SP_StamdataT2_1Cancel&quot;,&quot;SP_StamdataT2Rep&quot;'" textlink="" fLocksText="0">
      <xdr:nvSpPr>
        <xdr:cNvPr id="381" name="SP_StamdataT2_1Cancel" hidden="1">
          <a:extLst>
            <a:ext uri="{FF2B5EF4-FFF2-40B4-BE49-F238E27FC236}">
              <a16:creationId xmlns:a16="http://schemas.microsoft.com/office/drawing/2014/main" id="{00000000-0008-0000-0200-00007D010000}"/>
            </a:ext>
          </a:extLst>
        </xdr:cNvPr>
        <xdr:cNvSpPr/>
      </xdr:nvSpPr>
      <xdr:spPr>
        <a:xfrm>
          <a:off x="9975850" y="46885225"/>
          <a:ext cx="749300" cy="279400"/>
        </a:xfrm>
        <a:prstGeom prst="roundRect">
          <a:avLst/>
        </a:prstGeom>
        <a:gradFill flip="none" rotWithShape="1">
          <a:gsLst>
            <a:gs pos="0">
              <a:srgbClr val="B4B4B4"/>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Annuller</a:t>
          </a:r>
        </a:p>
      </xdr:txBody>
    </xdr:sp>
    <xdr:clientData/>
  </xdr:twoCellAnchor>
  <xdr:twoCellAnchor>
    <xdr:from>
      <xdr:col>13</xdr:col>
      <xdr:colOff>88900</xdr:colOff>
      <xdr:row>105</xdr:row>
      <xdr:rowOff>12700</xdr:rowOff>
    </xdr:from>
    <xdr:to>
      <xdr:col>14</xdr:col>
      <xdr:colOff>0</xdr:colOff>
      <xdr:row>105</xdr:row>
      <xdr:rowOff>292100</xdr:rowOff>
    </xdr:to>
    <xdr:sp macro="'editNorm &quot;SP_StamdataT2_1&quot;,&quot;SP_StamdataT2_1Delete&quot;,&quot;SP_StamdataT2Rep&quot;'" textlink="" fLocksText="0">
      <xdr:nvSpPr>
        <xdr:cNvPr id="382" name="SP_StamdataT2_1Delete" hidden="1">
          <a:extLst>
            <a:ext uri="{FF2B5EF4-FFF2-40B4-BE49-F238E27FC236}">
              <a16:creationId xmlns:a16="http://schemas.microsoft.com/office/drawing/2014/main" id="{00000000-0008-0000-0200-00007E010000}"/>
            </a:ext>
          </a:extLst>
        </xdr:cNvPr>
        <xdr:cNvSpPr/>
      </xdr:nvSpPr>
      <xdr:spPr>
        <a:xfrm>
          <a:off x="10814050" y="46885225"/>
          <a:ext cx="749300" cy="279400"/>
        </a:xfrm>
        <a:prstGeom prst="roundRect">
          <a:avLst/>
        </a:prstGeom>
        <a:gradFill flip="none" rotWithShape="1">
          <a:gsLst>
            <a:gs pos="0">
              <a:srgbClr val="C83232"/>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Nulstil</a:t>
          </a:r>
        </a:p>
      </xdr:txBody>
    </xdr:sp>
    <xdr:clientData/>
  </xdr:twoCellAnchor>
  <xdr:twoCellAnchor>
    <xdr:from>
      <xdr:col>9</xdr:col>
      <xdr:colOff>25400</xdr:colOff>
      <xdr:row>105</xdr:row>
      <xdr:rowOff>0</xdr:rowOff>
    </xdr:from>
    <xdr:to>
      <xdr:col>11</xdr:col>
      <xdr:colOff>0</xdr:colOff>
      <xdr:row>105</xdr:row>
      <xdr:rowOff>279400</xdr:rowOff>
    </xdr:to>
    <xdr:sp macro="" textlink="" fLocksText="0">
      <xdr:nvSpPr>
        <xdr:cNvPr id="383" name="SP_StamdataT2Obs_1">
          <a:extLst>
            <a:ext uri="{FF2B5EF4-FFF2-40B4-BE49-F238E27FC236}">
              <a16:creationId xmlns:a16="http://schemas.microsoft.com/office/drawing/2014/main" id="{00000000-0008-0000-0200-00007F010000}"/>
            </a:ext>
          </a:extLst>
        </xdr:cNvPr>
        <xdr:cNvSpPr/>
      </xdr:nvSpPr>
      <xdr:spPr>
        <a:xfrm>
          <a:off x="7397750" y="46872525"/>
          <a:ext cx="1651000" cy="279400"/>
        </a:xfrm>
        <a:prstGeom prst="roundRect">
          <a:avLst>
            <a:gd name="adj" fmla="val 0"/>
          </a:avLst>
        </a:prstGeom>
        <a:gradFill flip="none" rotWithShape="1">
          <a:gsLst>
            <a:gs pos="0">
              <a:srgbClr val="D9D9D9"/>
            </a:gs>
            <a:gs pos="100000">
              <a:srgbClr val="D9D9D9"/>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da-DK" sz="1000">
              <a:solidFill>
                <a:srgbClr val="969696"/>
              </a:solidFill>
              <a:latin typeface="Arial"/>
            </a:rPr>
            <a:t>kan udfyldes senere</a:t>
          </a:r>
        </a:p>
      </xdr:txBody>
    </xdr:sp>
    <xdr:clientData/>
  </xdr:twoCellAnchor>
  <xdr:twoCellAnchor>
    <xdr:from>
      <xdr:col>3</xdr:col>
      <xdr:colOff>0</xdr:colOff>
      <xdr:row>106</xdr:row>
      <xdr:rowOff>25400</xdr:rowOff>
    </xdr:from>
    <xdr:to>
      <xdr:col>13</xdr:col>
      <xdr:colOff>0</xdr:colOff>
      <xdr:row>106</xdr:row>
      <xdr:rowOff>50800</xdr:rowOff>
    </xdr:to>
    <xdr:sp macro="" textlink="">
      <xdr:nvSpPr>
        <xdr:cNvPr id="2304" name="SP_StamdataL2">
          <a:extLst>
            <a:ext uri="{FF2B5EF4-FFF2-40B4-BE49-F238E27FC236}">
              <a16:creationId xmlns:a16="http://schemas.microsoft.com/office/drawing/2014/main" id="{00000000-0008-0000-0200-000000090000}"/>
            </a:ext>
          </a:extLst>
        </xdr:cNvPr>
        <xdr:cNvSpPr/>
      </xdr:nvSpPr>
      <xdr:spPr>
        <a:xfrm>
          <a:off x="2343150" y="47183675"/>
          <a:ext cx="8382000" cy="25400"/>
        </a:xfrm>
        <a:prstGeom prst="roundRect">
          <a:avLst/>
        </a:prstGeom>
        <a:gradFill flip="none" rotWithShape="1">
          <a:gsLst>
            <a:gs pos="0">
              <a:srgbClr val="B4B4B4"/>
            </a:gs>
            <a:gs pos="100000">
              <a:srgbClr val="646464"/>
            </a:gs>
          </a:gsLst>
          <a:lin ang="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clientData/>
  </xdr:twoCellAnchor>
  <xdr:twoCellAnchor>
    <xdr:from>
      <xdr:col>11</xdr:col>
      <xdr:colOff>63500</xdr:colOff>
      <xdr:row>108</xdr:row>
      <xdr:rowOff>12700</xdr:rowOff>
    </xdr:from>
    <xdr:to>
      <xdr:col>13</xdr:col>
      <xdr:colOff>0</xdr:colOff>
      <xdr:row>108</xdr:row>
      <xdr:rowOff>292100</xdr:rowOff>
    </xdr:to>
    <xdr:sp macro="'editNorm &quot;SP_StamdataT3_1&quot;,&quot;SP_StamdataT3_1Red&quot;,&quot;SP_StamdataT3Rep&quot;'" textlink="" fLocksText="0">
      <xdr:nvSpPr>
        <xdr:cNvPr id="2305" name="SP_StamdataT3_1Red">
          <a:extLst>
            <a:ext uri="{FF2B5EF4-FFF2-40B4-BE49-F238E27FC236}">
              <a16:creationId xmlns:a16="http://schemas.microsoft.com/office/drawing/2014/main" id="{00000000-0008-0000-0200-000001090000}"/>
            </a:ext>
          </a:extLst>
        </xdr:cNvPr>
        <xdr:cNvSpPr/>
      </xdr:nvSpPr>
      <xdr:spPr>
        <a:xfrm>
          <a:off x="9112250" y="47409100"/>
          <a:ext cx="1612900" cy="279400"/>
        </a:xfrm>
        <a:prstGeom prst="roundRect">
          <a:avLst/>
        </a:prstGeom>
        <a:gradFill flip="none" rotWithShape="1">
          <a:gsLst>
            <a:gs pos="0">
              <a:srgbClr val="B4B4B4"/>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Rediger</a:t>
          </a:r>
        </a:p>
      </xdr:txBody>
    </xdr:sp>
    <xdr:clientData/>
  </xdr:twoCellAnchor>
  <xdr:twoCellAnchor>
    <xdr:from>
      <xdr:col>11</xdr:col>
      <xdr:colOff>63500</xdr:colOff>
      <xdr:row>108</xdr:row>
      <xdr:rowOff>12700</xdr:rowOff>
    </xdr:from>
    <xdr:to>
      <xdr:col>12</xdr:col>
      <xdr:colOff>0</xdr:colOff>
      <xdr:row>108</xdr:row>
      <xdr:rowOff>292100</xdr:rowOff>
    </xdr:to>
    <xdr:sp macro="'editNorm &quot;SP_StamdataT3_1&quot;,&quot;SP_StamdataT3_1Gem&quot;,&quot;SP_StamdataT3Rep&quot;'" textlink="" fLocksText="0">
      <xdr:nvSpPr>
        <xdr:cNvPr id="2306" name="SP_StamdataT3_1Gem" hidden="1">
          <a:extLst>
            <a:ext uri="{FF2B5EF4-FFF2-40B4-BE49-F238E27FC236}">
              <a16:creationId xmlns:a16="http://schemas.microsoft.com/office/drawing/2014/main" id="{00000000-0008-0000-0200-000002090000}"/>
            </a:ext>
          </a:extLst>
        </xdr:cNvPr>
        <xdr:cNvSpPr/>
      </xdr:nvSpPr>
      <xdr:spPr>
        <a:xfrm>
          <a:off x="9112250" y="47409100"/>
          <a:ext cx="774700" cy="279400"/>
        </a:xfrm>
        <a:prstGeom prst="roundRect">
          <a:avLst/>
        </a:prstGeom>
        <a:gradFill flip="none" rotWithShape="1">
          <a:gsLst>
            <a:gs pos="0">
              <a:srgbClr val="96B412"/>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Gem</a:t>
          </a:r>
        </a:p>
      </xdr:txBody>
    </xdr:sp>
    <xdr:clientData/>
  </xdr:twoCellAnchor>
  <xdr:twoCellAnchor>
    <xdr:from>
      <xdr:col>12</xdr:col>
      <xdr:colOff>88900</xdr:colOff>
      <xdr:row>108</xdr:row>
      <xdr:rowOff>12700</xdr:rowOff>
    </xdr:from>
    <xdr:to>
      <xdr:col>13</xdr:col>
      <xdr:colOff>0</xdr:colOff>
      <xdr:row>108</xdr:row>
      <xdr:rowOff>292100</xdr:rowOff>
    </xdr:to>
    <xdr:sp macro="'editNorm &quot;SP_StamdataT3_1&quot;,&quot;SP_StamdataT3_1Cancel&quot;,&quot;SP_StamdataT3Rep&quot;'" textlink="" fLocksText="0">
      <xdr:nvSpPr>
        <xdr:cNvPr id="2307" name="SP_StamdataT3_1Cancel" hidden="1">
          <a:extLst>
            <a:ext uri="{FF2B5EF4-FFF2-40B4-BE49-F238E27FC236}">
              <a16:creationId xmlns:a16="http://schemas.microsoft.com/office/drawing/2014/main" id="{00000000-0008-0000-0200-000003090000}"/>
            </a:ext>
          </a:extLst>
        </xdr:cNvPr>
        <xdr:cNvSpPr/>
      </xdr:nvSpPr>
      <xdr:spPr>
        <a:xfrm>
          <a:off x="9975850" y="47409100"/>
          <a:ext cx="749300" cy="279400"/>
        </a:xfrm>
        <a:prstGeom prst="roundRect">
          <a:avLst/>
        </a:prstGeom>
        <a:gradFill flip="none" rotWithShape="1">
          <a:gsLst>
            <a:gs pos="0">
              <a:srgbClr val="B4B4B4"/>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Annuller</a:t>
          </a:r>
        </a:p>
      </xdr:txBody>
    </xdr:sp>
    <xdr:clientData/>
  </xdr:twoCellAnchor>
  <xdr:twoCellAnchor>
    <xdr:from>
      <xdr:col>13</xdr:col>
      <xdr:colOff>88900</xdr:colOff>
      <xdr:row>108</xdr:row>
      <xdr:rowOff>12700</xdr:rowOff>
    </xdr:from>
    <xdr:to>
      <xdr:col>14</xdr:col>
      <xdr:colOff>0</xdr:colOff>
      <xdr:row>108</xdr:row>
      <xdr:rowOff>292100</xdr:rowOff>
    </xdr:to>
    <xdr:sp macro="'editNorm &quot;SP_StamdataT3_1&quot;,&quot;SP_StamdataT3_1Delete&quot;,&quot;SP_StamdataT3Rep&quot;'" textlink="" fLocksText="0">
      <xdr:nvSpPr>
        <xdr:cNvPr id="2308" name="SP_StamdataT3_1Delete" hidden="1">
          <a:extLst>
            <a:ext uri="{FF2B5EF4-FFF2-40B4-BE49-F238E27FC236}">
              <a16:creationId xmlns:a16="http://schemas.microsoft.com/office/drawing/2014/main" id="{00000000-0008-0000-0200-000004090000}"/>
            </a:ext>
          </a:extLst>
        </xdr:cNvPr>
        <xdr:cNvSpPr/>
      </xdr:nvSpPr>
      <xdr:spPr>
        <a:xfrm>
          <a:off x="10814050" y="47409100"/>
          <a:ext cx="749300" cy="279400"/>
        </a:xfrm>
        <a:prstGeom prst="roundRect">
          <a:avLst/>
        </a:prstGeom>
        <a:gradFill flip="none" rotWithShape="1">
          <a:gsLst>
            <a:gs pos="0">
              <a:srgbClr val="C83232"/>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Nulstil</a:t>
          </a:r>
        </a:p>
      </xdr:txBody>
    </xdr:sp>
    <xdr:clientData/>
  </xdr:twoCellAnchor>
  <xdr:twoCellAnchor>
    <xdr:from>
      <xdr:col>9</xdr:col>
      <xdr:colOff>25400</xdr:colOff>
      <xdr:row>108</xdr:row>
      <xdr:rowOff>0</xdr:rowOff>
    </xdr:from>
    <xdr:to>
      <xdr:col>11</xdr:col>
      <xdr:colOff>0</xdr:colOff>
      <xdr:row>108</xdr:row>
      <xdr:rowOff>279400</xdr:rowOff>
    </xdr:to>
    <xdr:sp macro="" textlink="" fLocksText="0">
      <xdr:nvSpPr>
        <xdr:cNvPr id="2309" name="SP_StamdataT3Obs_1">
          <a:extLst>
            <a:ext uri="{FF2B5EF4-FFF2-40B4-BE49-F238E27FC236}">
              <a16:creationId xmlns:a16="http://schemas.microsoft.com/office/drawing/2014/main" id="{00000000-0008-0000-0200-000005090000}"/>
            </a:ext>
          </a:extLst>
        </xdr:cNvPr>
        <xdr:cNvSpPr/>
      </xdr:nvSpPr>
      <xdr:spPr>
        <a:xfrm>
          <a:off x="7397750" y="47396400"/>
          <a:ext cx="1651000" cy="279400"/>
        </a:xfrm>
        <a:prstGeom prst="roundRect">
          <a:avLst>
            <a:gd name="adj" fmla="val 0"/>
          </a:avLst>
        </a:prstGeom>
        <a:gradFill flip="none" rotWithShape="1">
          <a:gsLst>
            <a:gs pos="0">
              <a:srgbClr val="D9D9D9"/>
            </a:gs>
            <a:gs pos="100000">
              <a:srgbClr val="D9D9D9"/>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da-DK" sz="1000">
              <a:solidFill>
                <a:srgbClr val="969696"/>
              </a:solidFill>
              <a:latin typeface="Arial"/>
            </a:rPr>
            <a:t>kan udfyldes senere</a:t>
          </a:r>
        </a:p>
      </xdr:txBody>
    </xdr:sp>
    <xdr:clientData/>
  </xdr:twoCellAnchor>
  <xdr:twoCellAnchor>
    <xdr:from>
      <xdr:col>3</xdr:col>
      <xdr:colOff>0</xdr:colOff>
      <xdr:row>109</xdr:row>
      <xdr:rowOff>25400</xdr:rowOff>
    </xdr:from>
    <xdr:to>
      <xdr:col>13</xdr:col>
      <xdr:colOff>0</xdr:colOff>
      <xdr:row>109</xdr:row>
      <xdr:rowOff>50800</xdr:rowOff>
    </xdr:to>
    <xdr:sp macro="" textlink="">
      <xdr:nvSpPr>
        <xdr:cNvPr id="2310" name="SP_StamdataL3">
          <a:extLst>
            <a:ext uri="{FF2B5EF4-FFF2-40B4-BE49-F238E27FC236}">
              <a16:creationId xmlns:a16="http://schemas.microsoft.com/office/drawing/2014/main" id="{00000000-0008-0000-0200-000006090000}"/>
            </a:ext>
          </a:extLst>
        </xdr:cNvPr>
        <xdr:cNvSpPr/>
      </xdr:nvSpPr>
      <xdr:spPr>
        <a:xfrm>
          <a:off x="2343150" y="47707550"/>
          <a:ext cx="8382000" cy="25400"/>
        </a:xfrm>
        <a:prstGeom prst="roundRect">
          <a:avLst/>
        </a:prstGeom>
        <a:gradFill flip="none" rotWithShape="1">
          <a:gsLst>
            <a:gs pos="0">
              <a:srgbClr val="B4B4B4"/>
            </a:gs>
            <a:gs pos="100000">
              <a:srgbClr val="646464"/>
            </a:gs>
          </a:gsLst>
          <a:lin ang="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clientData/>
  </xdr:twoCellAnchor>
  <xdr:twoCellAnchor>
    <xdr:from>
      <xdr:col>1</xdr:col>
      <xdr:colOff>0</xdr:colOff>
      <xdr:row>111</xdr:row>
      <xdr:rowOff>0</xdr:rowOff>
    </xdr:from>
    <xdr:to>
      <xdr:col>7</xdr:col>
      <xdr:colOff>0</xdr:colOff>
      <xdr:row>111</xdr:row>
      <xdr:rowOff>381000</xdr:rowOff>
    </xdr:to>
    <xdr:sp macro="" textlink="" fLocksText="0">
      <xdr:nvSpPr>
        <xdr:cNvPr id="2311" name="SP_StamdataT4">
          <a:extLst>
            <a:ext uri="{FF2B5EF4-FFF2-40B4-BE49-F238E27FC236}">
              <a16:creationId xmlns:a16="http://schemas.microsoft.com/office/drawing/2014/main" id="{00000000-0008-0000-0200-000007090000}"/>
            </a:ext>
          </a:extLst>
        </xdr:cNvPr>
        <xdr:cNvSpPr/>
      </xdr:nvSpPr>
      <xdr:spPr>
        <a:xfrm>
          <a:off x="666750" y="47920275"/>
          <a:ext cx="5029200" cy="381000"/>
        </a:xfrm>
        <a:prstGeom prst="roundRect">
          <a:avLst>
            <a:gd name="adj" fmla="val 0"/>
          </a:avLst>
        </a:prstGeom>
        <a:gradFill flip="none" rotWithShape="1">
          <a:gsLst>
            <a:gs pos="0">
              <a:srgbClr val="D9D9D9"/>
            </a:gs>
            <a:gs pos="100000">
              <a:srgbClr val="D9D9D9"/>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l"/>
          <a:r>
            <a:rPr lang="da-DK" sz="1400" b="1">
              <a:solidFill>
                <a:srgbClr val="000000"/>
              </a:solidFill>
              <a:latin typeface="Arial"/>
            </a:rPr>
            <a:t>Projektets / programmets primære formål</a:t>
          </a:r>
        </a:p>
      </xdr:txBody>
    </xdr:sp>
    <xdr:clientData/>
  </xdr:twoCellAnchor>
  <xdr:twoCellAnchor>
    <xdr:from>
      <xdr:col>3</xdr:col>
      <xdr:colOff>0</xdr:colOff>
      <xdr:row>113</xdr:row>
      <xdr:rowOff>38100</xdr:rowOff>
    </xdr:from>
    <xdr:to>
      <xdr:col>8</xdr:col>
      <xdr:colOff>0</xdr:colOff>
      <xdr:row>113</xdr:row>
      <xdr:rowOff>317500</xdr:rowOff>
    </xdr:to>
    <xdr:sp macro="'setType &quot;SP_StamdataT4Chk1&quot;'" textlink="" fLocksText="0">
      <xdr:nvSpPr>
        <xdr:cNvPr id="2312" name="SP_StamdataT4Chk1">
          <a:extLst>
            <a:ext uri="{FF2B5EF4-FFF2-40B4-BE49-F238E27FC236}">
              <a16:creationId xmlns:a16="http://schemas.microsoft.com/office/drawing/2014/main" id="{00000000-0008-0000-0200-000008090000}"/>
            </a:ext>
          </a:extLst>
        </xdr:cNvPr>
        <xdr:cNvSpPr/>
      </xdr:nvSpPr>
      <xdr:spPr>
        <a:xfrm>
          <a:off x="2343150" y="48529875"/>
          <a:ext cx="4191000" cy="279400"/>
        </a:xfrm>
        <a:prstGeom prst="roundRect">
          <a:avLst>
            <a:gd name="adj" fmla="val 0"/>
          </a:avLst>
        </a:prstGeom>
        <a:gradFill flip="none" rotWithShape="1">
          <a:gsLst>
            <a:gs pos="0">
              <a:srgbClr val="646464"/>
            </a:gs>
            <a:gs pos="100000">
              <a:srgbClr val="646464"/>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203200" rtlCol="0" anchor="t"/>
        <a:lstStyle/>
        <a:p>
          <a:pPr algn="l"/>
          <a:r>
            <a:rPr lang="da-DK" sz="1200">
              <a:solidFill>
                <a:srgbClr val="FFFFFF"/>
              </a:solidFill>
              <a:latin typeface="Arial"/>
            </a:rPr>
            <a:t>Effektivisering</a:t>
          </a:r>
        </a:p>
      </xdr:txBody>
    </xdr:sp>
    <xdr:clientData/>
  </xdr:twoCellAnchor>
  <xdr:twoCellAnchor>
    <xdr:from>
      <xdr:col>3</xdr:col>
      <xdr:colOff>0</xdr:colOff>
      <xdr:row>114</xdr:row>
      <xdr:rowOff>38100</xdr:rowOff>
    </xdr:from>
    <xdr:to>
      <xdr:col>8</xdr:col>
      <xdr:colOff>0</xdr:colOff>
      <xdr:row>114</xdr:row>
      <xdr:rowOff>317500</xdr:rowOff>
    </xdr:to>
    <xdr:sp macro="'setType &quot;SP_StamdataT4Chk2&quot;'" textlink="" fLocksText="0">
      <xdr:nvSpPr>
        <xdr:cNvPr id="2313" name="SP_StamdataT4Chk2">
          <a:extLst>
            <a:ext uri="{FF2B5EF4-FFF2-40B4-BE49-F238E27FC236}">
              <a16:creationId xmlns:a16="http://schemas.microsoft.com/office/drawing/2014/main" id="{00000000-0008-0000-0200-000009090000}"/>
            </a:ext>
          </a:extLst>
        </xdr:cNvPr>
        <xdr:cNvSpPr/>
      </xdr:nvSpPr>
      <xdr:spPr>
        <a:xfrm>
          <a:off x="2343150" y="48853725"/>
          <a:ext cx="4191000" cy="279400"/>
        </a:xfrm>
        <a:prstGeom prst="roundRect">
          <a:avLst>
            <a:gd name="adj" fmla="val 0"/>
          </a:avLst>
        </a:prstGeom>
        <a:gradFill flip="none" rotWithShape="1">
          <a:gsLst>
            <a:gs pos="0">
              <a:srgbClr val="C8C8C8"/>
            </a:gs>
            <a:gs pos="100000">
              <a:srgbClr val="C8C8C8"/>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203200" rtlCol="0" anchor="t"/>
        <a:lstStyle/>
        <a:p>
          <a:pPr algn="l"/>
          <a:r>
            <a:rPr lang="da-DK" sz="1200">
              <a:solidFill>
                <a:srgbClr val="010101"/>
              </a:solidFill>
              <a:latin typeface="Arial"/>
            </a:rPr>
            <a:t>Kvalitetsløft</a:t>
          </a:r>
        </a:p>
      </xdr:txBody>
    </xdr:sp>
    <xdr:clientData/>
  </xdr:twoCellAnchor>
  <xdr:twoCellAnchor>
    <xdr:from>
      <xdr:col>3</xdr:col>
      <xdr:colOff>0</xdr:colOff>
      <xdr:row>115</xdr:row>
      <xdr:rowOff>38100</xdr:rowOff>
    </xdr:from>
    <xdr:to>
      <xdr:col>8</xdr:col>
      <xdr:colOff>0</xdr:colOff>
      <xdr:row>115</xdr:row>
      <xdr:rowOff>317500</xdr:rowOff>
    </xdr:to>
    <xdr:sp macro="'setType &quot;SP_StamdataT4Chk3&quot;'" textlink="" fLocksText="0">
      <xdr:nvSpPr>
        <xdr:cNvPr id="2314" name="SP_StamdataT4Chk3">
          <a:extLst>
            <a:ext uri="{FF2B5EF4-FFF2-40B4-BE49-F238E27FC236}">
              <a16:creationId xmlns:a16="http://schemas.microsoft.com/office/drawing/2014/main" id="{00000000-0008-0000-0200-00000A090000}"/>
            </a:ext>
          </a:extLst>
        </xdr:cNvPr>
        <xdr:cNvSpPr/>
      </xdr:nvSpPr>
      <xdr:spPr>
        <a:xfrm>
          <a:off x="2343150" y="49177575"/>
          <a:ext cx="4191000" cy="279400"/>
        </a:xfrm>
        <a:prstGeom prst="roundRect">
          <a:avLst>
            <a:gd name="adj" fmla="val 0"/>
          </a:avLst>
        </a:prstGeom>
        <a:gradFill flip="none" rotWithShape="1">
          <a:gsLst>
            <a:gs pos="0">
              <a:srgbClr val="C8C8C8"/>
            </a:gs>
            <a:gs pos="100000">
              <a:srgbClr val="C8C8C8"/>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203200" rtlCol="0" anchor="t"/>
        <a:lstStyle/>
        <a:p>
          <a:pPr algn="l"/>
          <a:r>
            <a:rPr lang="da-DK" sz="1200">
              <a:solidFill>
                <a:srgbClr val="010101"/>
              </a:solidFill>
              <a:latin typeface="Arial"/>
            </a:rPr>
            <a:t>Implementering af international lovgivning</a:t>
          </a:r>
        </a:p>
      </xdr:txBody>
    </xdr:sp>
    <xdr:clientData/>
  </xdr:twoCellAnchor>
  <xdr:twoCellAnchor>
    <xdr:from>
      <xdr:col>1</xdr:col>
      <xdr:colOff>0</xdr:colOff>
      <xdr:row>117</xdr:row>
      <xdr:rowOff>25400</xdr:rowOff>
    </xdr:from>
    <xdr:to>
      <xdr:col>13</xdr:col>
      <xdr:colOff>0</xdr:colOff>
      <xdr:row>117</xdr:row>
      <xdr:rowOff>50800</xdr:rowOff>
    </xdr:to>
    <xdr:sp macro="" textlink="">
      <xdr:nvSpPr>
        <xdr:cNvPr id="2315" name="SP_StamdataL4">
          <a:extLst>
            <a:ext uri="{FF2B5EF4-FFF2-40B4-BE49-F238E27FC236}">
              <a16:creationId xmlns:a16="http://schemas.microsoft.com/office/drawing/2014/main" id="{00000000-0008-0000-0200-00000B090000}"/>
            </a:ext>
          </a:extLst>
        </xdr:cNvPr>
        <xdr:cNvSpPr/>
      </xdr:nvSpPr>
      <xdr:spPr>
        <a:xfrm>
          <a:off x="666750" y="49669700"/>
          <a:ext cx="10058400" cy="25400"/>
        </a:xfrm>
        <a:prstGeom prst="roundRect">
          <a:avLst/>
        </a:prstGeom>
        <a:gradFill flip="none" rotWithShape="1">
          <a:gsLst>
            <a:gs pos="0">
              <a:srgbClr val="B4B4B4"/>
            </a:gs>
            <a:gs pos="100000">
              <a:srgbClr val="646464"/>
            </a:gs>
          </a:gsLst>
          <a:lin ang="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clientData/>
  </xdr:twoCellAnchor>
  <xdr:twoCellAnchor>
    <xdr:from>
      <xdr:col>1</xdr:col>
      <xdr:colOff>0</xdr:colOff>
      <xdr:row>119</xdr:row>
      <xdr:rowOff>0</xdr:rowOff>
    </xdr:from>
    <xdr:to>
      <xdr:col>7</xdr:col>
      <xdr:colOff>0</xdr:colOff>
      <xdr:row>119</xdr:row>
      <xdr:rowOff>381000</xdr:rowOff>
    </xdr:to>
    <xdr:sp macro="" textlink="" fLocksText="0">
      <xdr:nvSpPr>
        <xdr:cNvPr id="2316" name="SP_StamdataT5">
          <a:extLst>
            <a:ext uri="{FF2B5EF4-FFF2-40B4-BE49-F238E27FC236}">
              <a16:creationId xmlns:a16="http://schemas.microsoft.com/office/drawing/2014/main" id="{00000000-0008-0000-0200-00000C090000}"/>
            </a:ext>
          </a:extLst>
        </xdr:cNvPr>
        <xdr:cNvSpPr/>
      </xdr:nvSpPr>
      <xdr:spPr>
        <a:xfrm>
          <a:off x="666750" y="49882425"/>
          <a:ext cx="5029200" cy="381000"/>
        </a:xfrm>
        <a:prstGeom prst="roundRect">
          <a:avLst>
            <a:gd name="adj" fmla="val 0"/>
          </a:avLst>
        </a:prstGeom>
        <a:gradFill flip="none" rotWithShape="1">
          <a:gsLst>
            <a:gs pos="0">
              <a:srgbClr val="D9D9D9"/>
            </a:gs>
            <a:gs pos="100000">
              <a:srgbClr val="D9D9D9"/>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l"/>
          <a:r>
            <a:rPr lang="da-DK" sz="1400" b="1">
              <a:solidFill>
                <a:srgbClr val="000000"/>
              </a:solidFill>
              <a:latin typeface="Arial"/>
            </a:rPr>
            <a:t>Nuværende fase</a:t>
          </a:r>
        </a:p>
      </xdr:txBody>
    </xdr:sp>
    <xdr:clientData/>
  </xdr:twoCellAnchor>
  <xdr:twoCellAnchor>
    <xdr:from>
      <xdr:col>9</xdr:col>
      <xdr:colOff>25400</xdr:colOff>
      <xdr:row>119</xdr:row>
      <xdr:rowOff>0</xdr:rowOff>
    </xdr:from>
    <xdr:to>
      <xdr:col>13</xdr:col>
      <xdr:colOff>0</xdr:colOff>
      <xdr:row>119</xdr:row>
      <xdr:rowOff>381000</xdr:rowOff>
    </xdr:to>
    <xdr:sp macro="" textlink="" fLocksText="0">
      <xdr:nvSpPr>
        <xdr:cNvPr id="2317" name="SP_StamdataT5Obs">
          <a:extLst>
            <a:ext uri="{FF2B5EF4-FFF2-40B4-BE49-F238E27FC236}">
              <a16:creationId xmlns:a16="http://schemas.microsoft.com/office/drawing/2014/main" id="{00000000-0008-0000-0200-00000D090000}"/>
            </a:ext>
          </a:extLst>
        </xdr:cNvPr>
        <xdr:cNvSpPr/>
      </xdr:nvSpPr>
      <xdr:spPr>
        <a:xfrm>
          <a:off x="7397750" y="49882425"/>
          <a:ext cx="3327400" cy="381000"/>
        </a:xfrm>
        <a:prstGeom prst="roundRect">
          <a:avLst>
            <a:gd name="adj" fmla="val 0"/>
          </a:avLst>
        </a:prstGeom>
        <a:gradFill flip="none" rotWithShape="1">
          <a:gsLst>
            <a:gs pos="0">
              <a:srgbClr val="D9D9D9"/>
            </a:gs>
            <a:gs pos="100000">
              <a:srgbClr val="D9D9D9"/>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da-DK" sz="1000">
              <a:solidFill>
                <a:srgbClr val="969696"/>
              </a:solidFill>
              <a:latin typeface="Arial"/>
            </a:rPr>
            <a:t>ikke relevant for programmer</a:t>
          </a:r>
        </a:p>
      </xdr:txBody>
    </xdr:sp>
    <xdr:clientData/>
  </xdr:twoCellAnchor>
  <xdr:twoCellAnchor>
    <xdr:from>
      <xdr:col>3</xdr:col>
      <xdr:colOff>0</xdr:colOff>
      <xdr:row>121</xdr:row>
      <xdr:rowOff>38100</xdr:rowOff>
    </xdr:from>
    <xdr:to>
      <xdr:col>8</xdr:col>
      <xdr:colOff>0</xdr:colOff>
      <xdr:row>121</xdr:row>
      <xdr:rowOff>317500</xdr:rowOff>
    </xdr:to>
    <xdr:sp macro="'setType &quot;SP_StamdataT5Chk1&quot;'" textlink="" fLocksText="0">
      <xdr:nvSpPr>
        <xdr:cNvPr id="2318" name="SP_StamdataT5Chk1">
          <a:extLst>
            <a:ext uri="{FF2B5EF4-FFF2-40B4-BE49-F238E27FC236}">
              <a16:creationId xmlns:a16="http://schemas.microsoft.com/office/drawing/2014/main" id="{00000000-0008-0000-0200-00000E090000}"/>
            </a:ext>
          </a:extLst>
        </xdr:cNvPr>
        <xdr:cNvSpPr/>
      </xdr:nvSpPr>
      <xdr:spPr>
        <a:xfrm>
          <a:off x="2343150" y="50492025"/>
          <a:ext cx="4191000" cy="279400"/>
        </a:xfrm>
        <a:prstGeom prst="roundRect">
          <a:avLst>
            <a:gd name="adj" fmla="val 0"/>
          </a:avLst>
        </a:prstGeom>
        <a:gradFill flip="none" rotWithShape="1">
          <a:gsLst>
            <a:gs pos="0">
              <a:srgbClr val="C8C8C8"/>
            </a:gs>
            <a:gs pos="100000">
              <a:srgbClr val="C8C8C8"/>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203200" rtlCol="0" anchor="t"/>
        <a:lstStyle/>
        <a:p>
          <a:pPr algn="l"/>
          <a:r>
            <a:rPr lang="da-DK" sz="1200">
              <a:solidFill>
                <a:srgbClr val="010101"/>
              </a:solidFill>
              <a:latin typeface="Arial"/>
            </a:rPr>
            <a:t>Idé</a:t>
          </a:r>
        </a:p>
      </xdr:txBody>
    </xdr:sp>
    <xdr:clientData/>
  </xdr:twoCellAnchor>
  <xdr:twoCellAnchor>
    <xdr:from>
      <xdr:col>3</xdr:col>
      <xdr:colOff>0</xdr:colOff>
      <xdr:row>122</xdr:row>
      <xdr:rowOff>38100</xdr:rowOff>
    </xdr:from>
    <xdr:to>
      <xdr:col>8</xdr:col>
      <xdr:colOff>0</xdr:colOff>
      <xdr:row>122</xdr:row>
      <xdr:rowOff>317500</xdr:rowOff>
    </xdr:to>
    <xdr:sp macro="'setType &quot;SP_StamdataT5Chk2&quot;'" textlink="" fLocksText="0">
      <xdr:nvSpPr>
        <xdr:cNvPr id="2319" name="SP_StamdataT5Chk2">
          <a:extLst>
            <a:ext uri="{FF2B5EF4-FFF2-40B4-BE49-F238E27FC236}">
              <a16:creationId xmlns:a16="http://schemas.microsoft.com/office/drawing/2014/main" id="{00000000-0008-0000-0200-00000F090000}"/>
            </a:ext>
          </a:extLst>
        </xdr:cNvPr>
        <xdr:cNvSpPr/>
      </xdr:nvSpPr>
      <xdr:spPr>
        <a:xfrm>
          <a:off x="2343150" y="50815875"/>
          <a:ext cx="4191000" cy="279400"/>
        </a:xfrm>
        <a:prstGeom prst="roundRect">
          <a:avLst>
            <a:gd name="adj" fmla="val 0"/>
          </a:avLst>
        </a:prstGeom>
        <a:gradFill flip="none" rotWithShape="1">
          <a:gsLst>
            <a:gs pos="0">
              <a:srgbClr val="646464"/>
            </a:gs>
            <a:gs pos="100000">
              <a:srgbClr val="646464"/>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203200" rtlCol="0" anchor="t"/>
        <a:lstStyle/>
        <a:p>
          <a:pPr algn="l"/>
          <a:r>
            <a:rPr lang="da-DK" sz="1200">
              <a:solidFill>
                <a:srgbClr val="FFFFFF"/>
              </a:solidFill>
              <a:latin typeface="Arial"/>
            </a:rPr>
            <a:t>Analyse</a:t>
          </a:r>
        </a:p>
      </xdr:txBody>
    </xdr:sp>
    <xdr:clientData/>
  </xdr:twoCellAnchor>
  <xdr:twoCellAnchor>
    <xdr:from>
      <xdr:col>3</xdr:col>
      <xdr:colOff>0</xdr:colOff>
      <xdr:row>123</xdr:row>
      <xdr:rowOff>38100</xdr:rowOff>
    </xdr:from>
    <xdr:to>
      <xdr:col>8</xdr:col>
      <xdr:colOff>0</xdr:colOff>
      <xdr:row>123</xdr:row>
      <xdr:rowOff>317500</xdr:rowOff>
    </xdr:to>
    <xdr:sp macro="'setType &quot;SP_StamdataT5Chk3&quot;'" textlink="" fLocksText="0">
      <xdr:nvSpPr>
        <xdr:cNvPr id="2320" name="SP_StamdataT5Chk3">
          <a:extLst>
            <a:ext uri="{FF2B5EF4-FFF2-40B4-BE49-F238E27FC236}">
              <a16:creationId xmlns:a16="http://schemas.microsoft.com/office/drawing/2014/main" id="{00000000-0008-0000-0200-000010090000}"/>
            </a:ext>
          </a:extLst>
        </xdr:cNvPr>
        <xdr:cNvSpPr/>
      </xdr:nvSpPr>
      <xdr:spPr>
        <a:xfrm>
          <a:off x="2343150" y="51139725"/>
          <a:ext cx="4191000" cy="279400"/>
        </a:xfrm>
        <a:prstGeom prst="roundRect">
          <a:avLst>
            <a:gd name="adj" fmla="val 0"/>
          </a:avLst>
        </a:prstGeom>
        <a:gradFill flip="none" rotWithShape="1">
          <a:gsLst>
            <a:gs pos="0">
              <a:srgbClr val="C8C8C8"/>
            </a:gs>
            <a:gs pos="100000">
              <a:srgbClr val="C8C8C8"/>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203200" rtlCol="0" anchor="t"/>
        <a:lstStyle/>
        <a:p>
          <a:pPr algn="l"/>
          <a:r>
            <a:rPr lang="da-DK" sz="1200">
              <a:solidFill>
                <a:srgbClr val="010101"/>
              </a:solidFill>
              <a:latin typeface="Arial"/>
            </a:rPr>
            <a:t>Anskaffelse</a:t>
          </a:r>
        </a:p>
      </xdr:txBody>
    </xdr:sp>
    <xdr:clientData/>
  </xdr:twoCellAnchor>
  <xdr:twoCellAnchor>
    <xdr:from>
      <xdr:col>3</xdr:col>
      <xdr:colOff>0</xdr:colOff>
      <xdr:row>124</xdr:row>
      <xdr:rowOff>38100</xdr:rowOff>
    </xdr:from>
    <xdr:to>
      <xdr:col>8</xdr:col>
      <xdr:colOff>0</xdr:colOff>
      <xdr:row>124</xdr:row>
      <xdr:rowOff>317500</xdr:rowOff>
    </xdr:to>
    <xdr:sp macro="'setType &quot;SP_StamdataT5Chk4&quot;'" textlink="" fLocksText="0">
      <xdr:nvSpPr>
        <xdr:cNvPr id="2321" name="SP_StamdataT5Chk4">
          <a:extLst>
            <a:ext uri="{FF2B5EF4-FFF2-40B4-BE49-F238E27FC236}">
              <a16:creationId xmlns:a16="http://schemas.microsoft.com/office/drawing/2014/main" id="{00000000-0008-0000-0200-000011090000}"/>
            </a:ext>
          </a:extLst>
        </xdr:cNvPr>
        <xdr:cNvSpPr/>
      </xdr:nvSpPr>
      <xdr:spPr>
        <a:xfrm>
          <a:off x="2343150" y="51463575"/>
          <a:ext cx="4191000" cy="279400"/>
        </a:xfrm>
        <a:prstGeom prst="roundRect">
          <a:avLst>
            <a:gd name="adj" fmla="val 0"/>
          </a:avLst>
        </a:prstGeom>
        <a:gradFill flip="none" rotWithShape="1">
          <a:gsLst>
            <a:gs pos="0">
              <a:srgbClr val="C8C8C8"/>
            </a:gs>
            <a:gs pos="100000">
              <a:srgbClr val="C8C8C8"/>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203200" rtlCol="0" anchor="t"/>
        <a:lstStyle/>
        <a:p>
          <a:pPr algn="l"/>
          <a:r>
            <a:rPr lang="da-DK" sz="1200">
              <a:solidFill>
                <a:srgbClr val="010101"/>
              </a:solidFill>
              <a:latin typeface="Arial"/>
            </a:rPr>
            <a:t>Gennemførsel</a:t>
          </a:r>
        </a:p>
      </xdr:txBody>
    </xdr:sp>
    <xdr:clientData/>
  </xdr:twoCellAnchor>
  <xdr:twoCellAnchor>
    <xdr:from>
      <xdr:col>3</xdr:col>
      <xdr:colOff>0</xdr:colOff>
      <xdr:row>125</xdr:row>
      <xdr:rowOff>38100</xdr:rowOff>
    </xdr:from>
    <xdr:to>
      <xdr:col>8</xdr:col>
      <xdr:colOff>0</xdr:colOff>
      <xdr:row>125</xdr:row>
      <xdr:rowOff>317500</xdr:rowOff>
    </xdr:to>
    <xdr:sp macro="'setType &quot;SP_StamdataT5Chk5&quot;'" textlink="" fLocksText="0">
      <xdr:nvSpPr>
        <xdr:cNvPr id="2322" name="SP_StamdataT5Chk5">
          <a:extLst>
            <a:ext uri="{FF2B5EF4-FFF2-40B4-BE49-F238E27FC236}">
              <a16:creationId xmlns:a16="http://schemas.microsoft.com/office/drawing/2014/main" id="{00000000-0008-0000-0200-000012090000}"/>
            </a:ext>
          </a:extLst>
        </xdr:cNvPr>
        <xdr:cNvSpPr/>
      </xdr:nvSpPr>
      <xdr:spPr>
        <a:xfrm>
          <a:off x="2343150" y="51787425"/>
          <a:ext cx="4191000" cy="279400"/>
        </a:xfrm>
        <a:prstGeom prst="roundRect">
          <a:avLst>
            <a:gd name="adj" fmla="val 0"/>
          </a:avLst>
        </a:prstGeom>
        <a:gradFill flip="none" rotWithShape="1">
          <a:gsLst>
            <a:gs pos="0">
              <a:srgbClr val="C8C8C8"/>
            </a:gs>
            <a:gs pos="100000">
              <a:srgbClr val="C8C8C8"/>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203200" rtlCol="0" anchor="t"/>
        <a:lstStyle/>
        <a:p>
          <a:pPr algn="l"/>
          <a:r>
            <a:rPr lang="da-DK" sz="1200">
              <a:solidFill>
                <a:srgbClr val="010101"/>
              </a:solidFill>
              <a:latin typeface="Arial"/>
            </a:rPr>
            <a:t>Realisering</a:t>
          </a:r>
        </a:p>
      </xdr:txBody>
    </xdr:sp>
    <xdr:clientData/>
  </xdr:twoCellAnchor>
  <xdr:twoCellAnchor>
    <xdr:from>
      <xdr:col>1</xdr:col>
      <xdr:colOff>0</xdr:colOff>
      <xdr:row>127</xdr:row>
      <xdr:rowOff>25400</xdr:rowOff>
    </xdr:from>
    <xdr:to>
      <xdr:col>13</xdr:col>
      <xdr:colOff>0</xdr:colOff>
      <xdr:row>127</xdr:row>
      <xdr:rowOff>50800</xdr:rowOff>
    </xdr:to>
    <xdr:sp macro="" textlink="">
      <xdr:nvSpPr>
        <xdr:cNvPr id="2323" name="SP_EndLineL1">
          <a:extLst>
            <a:ext uri="{FF2B5EF4-FFF2-40B4-BE49-F238E27FC236}">
              <a16:creationId xmlns:a16="http://schemas.microsoft.com/office/drawing/2014/main" id="{00000000-0008-0000-0200-000013090000}"/>
            </a:ext>
          </a:extLst>
        </xdr:cNvPr>
        <xdr:cNvSpPr/>
      </xdr:nvSpPr>
      <xdr:spPr>
        <a:xfrm>
          <a:off x="666750" y="52279550"/>
          <a:ext cx="10058400" cy="25400"/>
        </a:xfrm>
        <a:prstGeom prst="roundRect">
          <a:avLst/>
        </a:prstGeom>
        <a:gradFill flip="none" rotWithShape="1">
          <a:gsLst>
            <a:gs pos="0">
              <a:srgbClr val="B4B4B4"/>
            </a:gs>
            <a:gs pos="100000">
              <a:srgbClr val="646464"/>
            </a:gs>
          </a:gsLst>
          <a:lin ang="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clientData/>
  </xdr:twoCellAnchor>
  <xdr:twoCellAnchor>
    <xdr:from>
      <xdr:col>10</xdr:col>
      <xdr:colOff>254000</xdr:colOff>
      <xdr:row>129</xdr:row>
      <xdr:rowOff>38100</xdr:rowOff>
    </xdr:from>
    <xdr:to>
      <xdr:col>13</xdr:col>
      <xdr:colOff>0</xdr:colOff>
      <xdr:row>129</xdr:row>
      <xdr:rowOff>317500</xdr:rowOff>
    </xdr:to>
    <xdr:sp macro="'startRun &quot;Startside&quot;'" textlink="" fLocksText="0">
      <xdr:nvSpPr>
        <xdr:cNvPr id="2324" name="SP_StartBtn">
          <a:extLst>
            <a:ext uri="{FF2B5EF4-FFF2-40B4-BE49-F238E27FC236}">
              <a16:creationId xmlns:a16="http://schemas.microsoft.com/office/drawing/2014/main" id="{00000000-0008-0000-0200-000014090000}"/>
            </a:ext>
          </a:extLst>
        </xdr:cNvPr>
        <xdr:cNvSpPr/>
      </xdr:nvSpPr>
      <xdr:spPr>
        <a:xfrm>
          <a:off x="8464550" y="52530375"/>
          <a:ext cx="2260600" cy="279400"/>
        </a:xfrm>
        <a:prstGeom prst="roundRect">
          <a:avLst/>
        </a:prstGeom>
        <a:gradFill flip="none" rotWithShape="1">
          <a:gsLst>
            <a:gs pos="0">
              <a:srgbClr val="0589EC"/>
            </a:gs>
            <a:gs pos="100000">
              <a:srgbClr val="1058A0"/>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400">
              <a:solidFill>
                <a:srgbClr val="FFFFFF"/>
              </a:solidFill>
              <a:latin typeface="Arial"/>
            </a:rPr>
            <a:t>Start</a:t>
          </a:r>
        </a:p>
      </xdr:txBody>
    </xdr:sp>
    <xdr:clientData/>
  </xdr:twoCellAnchor>
  <xdr:twoCellAnchor>
    <xdr:from>
      <xdr:col>12</xdr:col>
      <xdr:colOff>614680</xdr:colOff>
      <xdr:row>129</xdr:row>
      <xdr:rowOff>117928</xdr:rowOff>
    </xdr:from>
    <xdr:to>
      <xdr:col>12</xdr:col>
      <xdr:colOff>728980</xdr:colOff>
      <xdr:row>129</xdr:row>
      <xdr:rowOff>232228</xdr:rowOff>
    </xdr:to>
    <xdr:sp macro="'startRun &quot;Startside&quot;'" textlink="">
      <xdr:nvSpPr>
        <xdr:cNvPr id="2325" name="SP_StartBtnarrow">
          <a:extLst>
            <a:ext uri="{FF2B5EF4-FFF2-40B4-BE49-F238E27FC236}">
              <a16:creationId xmlns:a16="http://schemas.microsoft.com/office/drawing/2014/main" id="{00000000-0008-0000-0200-000015090000}"/>
            </a:ext>
          </a:extLst>
        </xdr:cNvPr>
        <xdr:cNvSpPr/>
      </xdr:nvSpPr>
      <xdr:spPr>
        <a:xfrm rot="8100000">
          <a:off x="10501630" y="52610203"/>
          <a:ext cx="114300" cy="114300"/>
        </a:xfrm>
        <a:prstGeom prst="halfFrame">
          <a:avLst>
            <a:gd name="adj1" fmla="val 15000"/>
            <a:gd name="adj2" fmla="val 15000"/>
          </a:avLst>
        </a:prstGeom>
        <a:gradFill flip="none" rotWithShape="1">
          <a:gsLst>
            <a:gs pos="0">
              <a:srgbClr val="FFFFFF"/>
            </a:gs>
            <a:gs pos="100000">
              <a:srgbClr val="FFFFFF"/>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solidFill>
              <a:schemeClr val="tx1"/>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254000</xdr:colOff>
      <xdr:row>5</xdr:row>
      <xdr:rowOff>0</xdr:rowOff>
    </xdr:from>
    <xdr:to>
      <xdr:col>14</xdr:col>
      <xdr:colOff>0</xdr:colOff>
      <xdr:row>5</xdr:row>
      <xdr:rowOff>508000</xdr:rowOff>
    </xdr:to>
    <xdr:sp macro="" textlink="" fLocksText="0">
      <xdr:nvSpPr>
        <xdr:cNvPr id="680" name="StartsideTitle">
          <a:extLst>
            <a:ext uri="{FF2B5EF4-FFF2-40B4-BE49-F238E27FC236}">
              <a16:creationId xmlns:a16="http://schemas.microsoft.com/office/drawing/2014/main" id="{00000000-0008-0000-0300-0000A8020000}"/>
            </a:ext>
          </a:extLst>
        </xdr:cNvPr>
        <xdr:cNvSpPr/>
      </xdr:nvSpPr>
      <xdr:spPr>
        <a:xfrm>
          <a:off x="920750" y="904875"/>
          <a:ext cx="10642600" cy="508000"/>
        </a:xfrm>
        <a:prstGeom prst="roundRect">
          <a:avLst>
            <a:gd name="adj" fmla="val 0"/>
          </a:avLst>
        </a:prstGeom>
        <a:gradFill flip="none" rotWithShape="1">
          <a:gsLst>
            <a:gs pos="0">
              <a:srgbClr val="D9D9D9"/>
            </a:gs>
            <a:gs pos="100000">
              <a:srgbClr val="D9D9D9"/>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l"/>
          <a:r>
            <a:rPr lang="da-DK" sz="2800" b="1">
              <a:solidFill>
                <a:srgbClr val="000000"/>
              </a:solidFill>
              <a:latin typeface="Arial"/>
            </a:rPr>
            <a:t>STATENS BUSINESS CASE-MODEL</a:t>
          </a:r>
        </a:p>
      </xdr:txBody>
    </xdr:sp>
    <xdr:clientData/>
  </xdr:twoCellAnchor>
  <xdr:twoCellAnchor editAs="absolute">
    <xdr:from>
      <xdr:col>15</xdr:col>
      <xdr:colOff>0</xdr:colOff>
      <xdr:row>7</xdr:row>
      <xdr:rowOff>2381</xdr:rowOff>
    </xdr:from>
    <xdr:to>
      <xdr:col>17</xdr:col>
      <xdr:colOff>558800</xdr:colOff>
      <xdr:row>38</xdr:row>
      <xdr:rowOff>277911</xdr:rowOff>
    </xdr:to>
    <xdr:pic macro="checkVersion">
      <xdr:nvPicPr>
        <xdr:cNvPr id="681" name="Ok" hidden="1">
          <a:extLst>
            <a:ext uri="{FF2B5EF4-FFF2-40B4-BE49-F238E27FC236}">
              <a16:creationId xmlns:a16="http://schemas.microsoft.com/office/drawing/2014/main" id="{00000000-0008-0000-0300-0000A902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172950" y="1600199"/>
          <a:ext cx="1778000" cy="1956694"/>
        </a:xfrm>
        <a:prstGeom prst="rect">
          <a:avLst/>
        </a:prstGeom>
        <a:noFill/>
        <a:effectLst>
          <a:softEdge rad="63500"/>
        </a:effectLst>
        <a:extLst>
          <a:ext uri="{909E8E84-426E-40DD-AFC4-6F175D3DCCD1}">
            <a14:hiddenFill xmlns:a14="http://schemas.microsoft.com/office/drawing/2010/main">
              <a:blipFill>
                <a:blip xmlns:r="http://schemas.openxmlformats.org/officeDocument/2006/relationships" r:embed="rId2" cstate="print"/>
                <a:tile tx="0" ty="0" sx="100000" sy="100000" flip="none" algn="tl"/>
              </a:blipFill>
            </a14:hiddenFill>
          </a:ext>
        </a:extLst>
      </xdr:spPr>
    </xdr:pic>
    <xdr:clientData/>
  </xdr:twoCellAnchor>
  <xdr:twoCellAnchor editAs="absolute">
    <xdr:from>
      <xdr:col>15</xdr:col>
      <xdr:colOff>0</xdr:colOff>
      <xdr:row>7</xdr:row>
      <xdr:rowOff>0</xdr:rowOff>
    </xdr:from>
    <xdr:to>
      <xdr:col>17</xdr:col>
      <xdr:colOff>558800</xdr:colOff>
      <xdr:row>38</xdr:row>
      <xdr:rowOff>278052</xdr:rowOff>
    </xdr:to>
    <xdr:pic macro="checkVersion">
      <xdr:nvPicPr>
        <xdr:cNvPr id="682" name="Old" hidden="1">
          <a:extLst>
            <a:ext uri="{FF2B5EF4-FFF2-40B4-BE49-F238E27FC236}">
              <a16:creationId xmlns:a16="http://schemas.microsoft.com/office/drawing/2014/main" id="{00000000-0008-0000-0300-0000AA02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172950" y="1600200"/>
          <a:ext cx="1778000" cy="1956834"/>
        </a:xfrm>
        <a:prstGeom prst="rect">
          <a:avLst/>
        </a:prstGeom>
        <a:effectLst>
          <a:softEdge rad="63500"/>
        </a:effectLst>
      </xdr:spPr>
    </xdr:pic>
    <xdr:clientData/>
  </xdr:twoCellAnchor>
  <xdr:twoCellAnchor editAs="absolute">
    <xdr:from>
      <xdr:col>15</xdr:col>
      <xdr:colOff>2381</xdr:colOff>
      <xdr:row>7</xdr:row>
      <xdr:rowOff>0</xdr:rowOff>
    </xdr:from>
    <xdr:to>
      <xdr:col>17</xdr:col>
      <xdr:colOff>558799</xdr:colOff>
      <xdr:row>38</xdr:row>
      <xdr:rowOff>277887</xdr:rowOff>
    </xdr:to>
    <xdr:pic macro="checkVersion">
      <xdr:nvPicPr>
        <xdr:cNvPr id="683" name="Unknown">
          <a:extLst>
            <a:ext uri="{FF2B5EF4-FFF2-40B4-BE49-F238E27FC236}">
              <a16:creationId xmlns:a16="http://schemas.microsoft.com/office/drawing/2014/main" id="{00000000-0008-0000-0300-0000AB02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2172949" y="1600200"/>
          <a:ext cx="1778000" cy="1956669"/>
        </a:xfrm>
        <a:prstGeom prst="rect">
          <a:avLst/>
        </a:prstGeom>
        <a:effectLst>
          <a:softEdge rad="63500"/>
        </a:effectLst>
      </xdr:spPr>
    </xdr:pic>
    <xdr:clientData/>
  </xdr:twoCellAnchor>
  <xdr:twoCellAnchor editAs="absolute">
    <xdr:from>
      <xdr:col>15</xdr:col>
      <xdr:colOff>0</xdr:colOff>
      <xdr:row>39</xdr:row>
      <xdr:rowOff>71436</xdr:rowOff>
    </xdr:from>
    <xdr:to>
      <xdr:col>17</xdr:col>
      <xdr:colOff>558800</xdr:colOff>
      <xdr:row>50</xdr:row>
      <xdr:rowOff>55561</xdr:rowOff>
    </xdr:to>
    <xdr:sp macro="'lastBackup &quot;LastBkp&quot;'" textlink="" fLocksText="0">
      <xdr:nvSpPr>
        <xdr:cNvPr id="684" name="StartsideBackup">
          <a:extLst>
            <a:ext uri="{FF2B5EF4-FFF2-40B4-BE49-F238E27FC236}">
              <a16:creationId xmlns:a16="http://schemas.microsoft.com/office/drawing/2014/main" id="{00000000-0008-0000-0300-0000AC020000}"/>
            </a:ext>
          </a:extLst>
        </xdr:cNvPr>
        <xdr:cNvSpPr>
          <a:spLocks/>
        </xdr:cNvSpPr>
      </xdr:nvSpPr>
      <xdr:spPr>
        <a:xfrm>
          <a:off x="12172950" y="3886199"/>
          <a:ext cx="1778000" cy="2032000"/>
        </a:xfrm>
        <a:prstGeom prst="rect">
          <a:avLst/>
        </a:prstGeom>
        <a:blipFill dpi="0" rotWithShape="1">
          <a:blip xmlns:r="http://schemas.openxmlformats.org/officeDocument/2006/relationships" r:embed="rId5" cstate="print"/>
          <a:srcRect/>
          <a:stretch>
            <a:fillRect/>
          </a:stretch>
        </a:blipFill>
        <a:ln>
          <a:noFill/>
        </a:ln>
        <a:effectLst>
          <a:softEdge rad="6350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36000" tIns="355600" rtlCol="0" anchor="t"/>
        <a:lstStyle/>
        <a:p>
          <a:pPr algn="ctr">
            <a:spcBef>
              <a:spcPts val="0"/>
            </a:spcBef>
          </a:pPr>
          <a:r>
            <a:rPr lang="da-DK" sz="1000" b="1">
              <a:solidFill>
                <a:srgbClr val="000000"/>
              </a:solidFill>
              <a:latin typeface="Arial"/>
            </a:rPr>
            <a:t> </a:t>
          </a:r>
        </a:p>
      </xdr:txBody>
    </xdr:sp>
    <xdr:clientData/>
  </xdr:twoCellAnchor>
  <xdr:twoCellAnchor>
    <xdr:from>
      <xdr:col>1</xdr:col>
      <xdr:colOff>0</xdr:colOff>
      <xdr:row>7</xdr:row>
      <xdr:rowOff>12700</xdr:rowOff>
    </xdr:from>
    <xdr:to>
      <xdr:col>14</xdr:col>
      <xdr:colOff>0</xdr:colOff>
      <xdr:row>7</xdr:row>
      <xdr:rowOff>774700</xdr:rowOff>
    </xdr:to>
    <xdr:sp macro="'expand &quot;FP_Main1&quot;,&quot;Forside&quot;,TRUE'" textlink="" fLocksText="0">
      <xdr:nvSpPr>
        <xdr:cNvPr id="685" name="FP_Main1">
          <a:extLst>
            <a:ext uri="{FF2B5EF4-FFF2-40B4-BE49-F238E27FC236}">
              <a16:creationId xmlns:a16="http://schemas.microsoft.com/office/drawing/2014/main" id="{00000000-0008-0000-0300-0000AD020000}"/>
            </a:ext>
          </a:extLst>
        </xdr:cNvPr>
        <xdr:cNvSpPr/>
      </xdr:nvSpPr>
      <xdr:spPr>
        <a:xfrm>
          <a:off x="666750" y="1612900"/>
          <a:ext cx="10896600" cy="762000"/>
        </a:xfrm>
        <a:prstGeom prst="roundRect">
          <a:avLst/>
        </a:prstGeom>
        <a:gradFill flip="none" rotWithShape="1">
          <a:gsLst>
            <a:gs pos="0">
              <a:srgbClr val="646464"/>
            </a:gs>
            <a:gs pos="100000">
              <a:srgbClr val="000000"/>
            </a:gs>
          </a:gsLst>
          <a:lin ang="5400000" scaled="1"/>
          <a:tileRect/>
        </a:gradFill>
        <a:ln w="25400" cap="flat" cmpd="sng" algn="ctr">
          <a:noFill/>
          <a:prstDash val="solid"/>
        </a:ln>
        <a:effectLst>
          <a:outerShdw blurRad="1270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81000" rtlCol="0" anchor="ctr"/>
        <a:lstStyle/>
        <a:p>
          <a:pPr algn="l"/>
          <a:r>
            <a:rPr lang="da-DK" sz="2000" b="0">
              <a:solidFill>
                <a:srgbClr val="FFFFFF"/>
              </a:solidFill>
            </a:rPr>
            <a:t>Om projektet</a:t>
          </a:r>
        </a:p>
      </xdr:txBody>
    </xdr:sp>
    <xdr:clientData/>
  </xdr:twoCellAnchor>
  <xdr:twoCellAnchor>
    <xdr:from>
      <xdr:col>13</xdr:col>
      <xdr:colOff>228600</xdr:colOff>
      <xdr:row>7</xdr:row>
      <xdr:rowOff>230414</xdr:rowOff>
    </xdr:from>
    <xdr:to>
      <xdr:col>13</xdr:col>
      <xdr:colOff>533400</xdr:colOff>
      <xdr:row>7</xdr:row>
      <xdr:rowOff>535214</xdr:rowOff>
    </xdr:to>
    <xdr:sp macro="'expand &quot;FP_Main1&quot;,&quot;Forside&quot;,TRUE'" textlink="">
      <xdr:nvSpPr>
        <xdr:cNvPr id="686" name="FP_Main1arrow">
          <a:extLst>
            <a:ext uri="{FF2B5EF4-FFF2-40B4-BE49-F238E27FC236}">
              <a16:creationId xmlns:a16="http://schemas.microsoft.com/office/drawing/2014/main" id="{00000000-0008-0000-0300-0000AE020000}"/>
            </a:ext>
          </a:extLst>
        </xdr:cNvPr>
        <xdr:cNvSpPr/>
      </xdr:nvSpPr>
      <xdr:spPr>
        <a:xfrm rot="13500000">
          <a:off x="10953750" y="1830614"/>
          <a:ext cx="304800" cy="304800"/>
        </a:xfrm>
        <a:prstGeom prst="halfFrame">
          <a:avLst>
            <a:gd name="adj1" fmla="val 15000"/>
            <a:gd name="adj2" fmla="val 15000"/>
          </a:avLst>
        </a:prstGeom>
        <a:gradFill flip="none" rotWithShape="1">
          <a:gsLst>
            <a:gs pos="0">
              <a:srgbClr val="FFFFFF"/>
            </a:gs>
            <a:gs pos="100000">
              <a:srgbClr val="FFFFFF"/>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solidFill>
              <a:schemeClr val="tx1"/>
            </a:solidFill>
          </a:endParaRPr>
        </a:p>
      </xdr:txBody>
    </xdr:sp>
    <xdr:clientData/>
  </xdr:twoCellAnchor>
  <xdr:twoCellAnchor>
    <xdr:from>
      <xdr:col>1</xdr:col>
      <xdr:colOff>0</xdr:colOff>
      <xdr:row>9</xdr:row>
      <xdr:rowOff>12700</xdr:rowOff>
    </xdr:from>
    <xdr:to>
      <xdr:col>13</xdr:col>
      <xdr:colOff>0</xdr:colOff>
      <xdr:row>9</xdr:row>
      <xdr:rowOff>520700</xdr:rowOff>
    </xdr:to>
    <xdr:sp macro="'expand &quot;FP_StamdataMain1&quot;,&quot;Forside&quot;,TRUE'" textlink="" fLocksText="0">
      <xdr:nvSpPr>
        <xdr:cNvPr id="687" name="FP_StamdataMain1">
          <a:extLst>
            <a:ext uri="{FF2B5EF4-FFF2-40B4-BE49-F238E27FC236}">
              <a16:creationId xmlns:a16="http://schemas.microsoft.com/office/drawing/2014/main" id="{00000000-0008-0000-0300-0000AF020000}"/>
            </a:ext>
          </a:extLst>
        </xdr:cNvPr>
        <xdr:cNvSpPr/>
      </xdr:nvSpPr>
      <xdr:spPr>
        <a:xfrm>
          <a:off x="666750" y="2574925"/>
          <a:ext cx="10058400" cy="508000"/>
        </a:xfrm>
        <a:prstGeom prst="roundRect">
          <a:avLst/>
        </a:prstGeom>
        <a:gradFill flip="none" rotWithShape="1">
          <a:gsLst>
            <a:gs pos="0">
              <a:srgbClr val="B4B4B4"/>
            </a:gs>
            <a:gs pos="100000">
              <a:srgbClr val="646464"/>
            </a:gs>
          </a:gsLst>
          <a:lin ang="5400000" scaled="1"/>
          <a:tileRect/>
        </a:gradFill>
        <a:ln w="25400" cap="flat" cmpd="sng" algn="ctr">
          <a:noFill/>
          <a:prstDash val="solid"/>
        </a:ln>
        <a:effectLst>
          <a:outerShdw blurRad="1016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81000" rtlCol="0" anchor="ctr"/>
        <a:lstStyle/>
        <a:p>
          <a:pPr algn="l"/>
          <a:r>
            <a:rPr lang="da-DK" sz="1800" b="0">
              <a:solidFill>
                <a:srgbClr val="FFFFFF"/>
              </a:solidFill>
            </a:rPr>
            <a:t>Stamdata</a:t>
          </a:r>
        </a:p>
      </xdr:txBody>
    </xdr:sp>
    <xdr:clientData/>
  </xdr:twoCellAnchor>
  <xdr:twoCellAnchor>
    <xdr:from>
      <xdr:col>12</xdr:col>
      <xdr:colOff>431800</xdr:colOff>
      <xdr:row>9</xdr:row>
      <xdr:rowOff>157843</xdr:rowOff>
    </xdr:from>
    <xdr:to>
      <xdr:col>12</xdr:col>
      <xdr:colOff>635000</xdr:colOff>
      <xdr:row>9</xdr:row>
      <xdr:rowOff>361043</xdr:rowOff>
    </xdr:to>
    <xdr:sp macro="'expand &quot;FP_StamdataMain1&quot;,&quot;Forside&quot;,TRUE'" textlink="">
      <xdr:nvSpPr>
        <xdr:cNvPr id="688" name="FP_StamdataMain1arrow">
          <a:extLst>
            <a:ext uri="{FF2B5EF4-FFF2-40B4-BE49-F238E27FC236}">
              <a16:creationId xmlns:a16="http://schemas.microsoft.com/office/drawing/2014/main" id="{00000000-0008-0000-0300-0000B0020000}"/>
            </a:ext>
          </a:extLst>
        </xdr:cNvPr>
        <xdr:cNvSpPr/>
      </xdr:nvSpPr>
      <xdr:spPr>
        <a:xfrm rot="8100000">
          <a:off x="10266363" y="2705781"/>
          <a:ext cx="203200" cy="203200"/>
        </a:xfrm>
        <a:prstGeom prst="halfFrame">
          <a:avLst>
            <a:gd name="adj1" fmla="val 15000"/>
            <a:gd name="adj2" fmla="val 15000"/>
          </a:avLst>
        </a:prstGeom>
        <a:gradFill flip="none" rotWithShape="1">
          <a:gsLst>
            <a:gs pos="0">
              <a:srgbClr val="FFFFFF"/>
            </a:gs>
            <a:gs pos="100000">
              <a:srgbClr val="FFFFFF"/>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solidFill>
              <a:schemeClr val="tx1"/>
            </a:solidFill>
          </a:endParaRPr>
        </a:p>
      </xdr:txBody>
    </xdr:sp>
    <xdr:clientData/>
  </xdr:twoCellAnchor>
  <xdr:twoCellAnchor>
    <xdr:from>
      <xdr:col>11</xdr:col>
      <xdr:colOff>63500</xdr:colOff>
      <xdr:row>11</xdr:row>
      <xdr:rowOff>12700</xdr:rowOff>
    </xdr:from>
    <xdr:to>
      <xdr:col>13</xdr:col>
      <xdr:colOff>0</xdr:colOff>
      <xdr:row>11</xdr:row>
      <xdr:rowOff>292100</xdr:rowOff>
    </xdr:to>
    <xdr:sp macro="'editNorm &quot;FP_StamdataT1_1&quot;,&quot;FP_StamdataT1_1Red&quot;,&quot;FP_StamdataT1Rep&quot;'" textlink="" fLocksText="0">
      <xdr:nvSpPr>
        <xdr:cNvPr id="689" name="FP_StamdataT1_1Red">
          <a:extLst>
            <a:ext uri="{FF2B5EF4-FFF2-40B4-BE49-F238E27FC236}">
              <a16:creationId xmlns:a16="http://schemas.microsoft.com/office/drawing/2014/main" id="{00000000-0008-0000-0300-0000B1020000}"/>
            </a:ext>
          </a:extLst>
        </xdr:cNvPr>
        <xdr:cNvSpPr/>
      </xdr:nvSpPr>
      <xdr:spPr>
        <a:xfrm>
          <a:off x="9112250" y="3289300"/>
          <a:ext cx="1612900" cy="279400"/>
        </a:xfrm>
        <a:prstGeom prst="roundRect">
          <a:avLst/>
        </a:prstGeom>
        <a:gradFill flip="none" rotWithShape="1">
          <a:gsLst>
            <a:gs pos="0">
              <a:srgbClr val="B4B4B4"/>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Rediger</a:t>
          </a:r>
        </a:p>
      </xdr:txBody>
    </xdr:sp>
    <xdr:clientData/>
  </xdr:twoCellAnchor>
  <xdr:twoCellAnchor>
    <xdr:from>
      <xdr:col>11</xdr:col>
      <xdr:colOff>63500</xdr:colOff>
      <xdr:row>11</xdr:row>
      <xdr:rowOff>12700</xdr:rowOff>
    </xdr:from>
    <xdr:to>
      <xdr:col>12</xdr:col>
      <xdr:colOff>0</xdr:colOff>
      <xdr:row>11</xdr:row>
      <xdr:rowOff>292100</xdr:rowOff>
    </xdr:to>
    <xdr:sp macro="'editNorm &quot;FP_StamdataT1_1&quot;,&quot;FP_StamdataT1_1Gem&quot;,&quot;FP_StamdataT1Rep&quot;'" textlink="" fLocksText="0">
      <xdr:nvSpPr>
        <xdr:cNvPr id="690" name="FP_StamdataT1_1Gem" hidden="1">
          <a:extLst>
            <a:ext uri="{FF2B5EF4-FFF2-40B4-BE49-F238E27FC236}">
              <a16:creationId xmlns:a16="http://schemas.microsoft.com/office/drawing/2014/main" id="{00000000-0008-0000-0300-0000B2020000}"/>
            </a:ext>
          </a:extLst>
        </xdr:cNvPr>
        <xdr:cNvSpPr/>
      </xdr:nvSpPr>
      <xdr:spPr>
        <a:xfrm>
          <a:off x="9112250" y="3289300"/>
          <a:ext cx="774700" cy="279400"/>
        </a:xfrm>
        <a:prstGeom prst="roundRect">
          <a:avLst/>
        </a:prstGeom>
        <a:gradFill flip="none" rotWithShape="1">
          <a:gsLst>
            <a:gs pos="0">
              <a:srgbClr val="96B412"/>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Gem</a:t>
          </a:r>
        </a:p>
      </xdr:txBody>
    </xdr:sp>
    <xdr:clientData/>
  </xdr:twoCellAnchor>
  <xdr:twoCellAnchor>
    <xdr:from>
      <xdr:col>12</xdr:col>
      <xdr:colOff>88900</xdr:colOff>
      <xdr:row>11</xdr:row>
      <xdr:rowOff>12700</xdr:rowOff>
    </xdr:from>
    <xdr:to>
      <xdr:col>13</xdr:col>
      <xdr:colOff>0</xdr:colOff>
      <xdr:row>11</xdr:row>
      <xdr:rowOff>292100</xdr:rowOff>
    </xdr:to>
    <xdr:sp macro="'editNorm &quot;FP_StamdataT1_1&quot;,&quot;FP_StamdataT1_1Cancel&quot;,&quot;FP_StamdataT1Rep&quot;'" textlink="" fLocksText="0">
      <xdr:nvSpPr>
        <xdr:cNvPr id="691" name="FP_StamdataT1_1Cancel" hidden="1">
          <a:extLst>
            <a:ext uri="{FF2B5EF4-FFF2-40B4-BE49-F238E27FC236}">
              <a16:creationId xmlns:a16="http://schemas.microsoft.com/office/drawing/2014/main" id="{00000000-0008-0000-0300-0000B3020000}"/>
            </a:ext>
          </a:extLst>
        </xdr:cNvPr>
        <xdr:cNvSpPr/>
      </xdr:nvSpPr>
      <xdr:spPr>
        <a:xfrm>
          <a:off x="9975850" y="3289300"/>
          <a:ext cx="749300" cy="279400"/>
        </a:xfrm>
        <a:prstGeom prst="roundRect">
          <a:avLst/>
        </a:prstGeom>
        <a:gradFill flip="none" rotWithShape="1">
          <a:gsLst>
            <a:gs pos="0">
              <a:srgbClr val="B4B4B4"/>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Annuller</a:t>
          </a:r>
        </a:p>
      </xdr:txBody>
    </xdr:sp>
    <xdr:clientData/>
  </xdr:twoCellAnchor>
  <xdr:twoCellAnchor>
    <xdr:from>
      <xdr:col>13</xdr:col>
      <xdr:colOff>88900</xdr:colOff>
      <xdr:row>11</xdr:row>
      <xdr:rowOff>12700</xdr:rowOff>
    </xdr:from>
    <xdr:to>
      <xdr:col>14</xdr:col>
      <xdr:colOff>0</xdr:colOff>
      <xdr:row>11</xdr:row>
      <xdr:rowOff>292100</xdr:rowOff>
    </xdr:to>
    <xdr:sp macro="'editNorm &quot;FP_StamdataT1_1&quot;,&quot;FP_StamdataT1_1Delete&quot;,&quot;FP_StamdataT1Rep&quot;'" textlink="" fLocksText="0">
      <xdr:nvSpPr>
        <xdr:cNvPr id="692" name="FP_StamdataT1_1Delete" hidden="1">
          <a:extLst>
            <a:ext uri="{FF2B5EF4-FFF2-40B4-BE49-F238E27FC236}">
              <a16:creationId xmlns:a16="http://schemas.microsoft.com/office/drawing/2014/main" id="{00000000-0008-0000-0300-0000B4020000}"/>
            </a:ext>
          </a:extLst>
        </xdr:cNvPr>
        <xdr:cNvSpPr/>
      </xdr:nvSpPr>
      <xdr:spPr>
        <a:xfrm>
          <a:off x="10814050" y="3289300"/>
          <a:ext cx="749300" cy="279400"/>
        </a:xfrm>
        <a:prstGeom prst="roundRect">
          <a:avLst/>
        </a:prstGeom>
        <a:gradFill flip="none" rotWithShape="1">
          <a:gsLst>
            <a:gs pos="0">
              <a:srgbClr val="C83232"/>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Nulstil</a:t>
          </a:r>
        </a:p>
      </xdr:txBody>
    </xdr:sp>
    <xdr:clientData/>
  </xdr:twoCellAnchor>
  <xdr:twoCellAnchor>
    <xdr:from>
      <xdr:col>3</xdr:col>
      <xdr:colOff>0</xdr:colOff>
      <xdr:row>12</xdr:row>
      <xdr:rowOff>25400</xdr:rowOff>
    </xdr:from>
    <xdr:to>
      <xdr:col>13</xdr:col>
      <xdr:colOff>0</xdr:colOff>
      <xdr:row>12</xdr:row>
      <xdr:rowOff>50800</xdr:rowOff>
    </xdr:to>
    <xdr:sp macro="" textlink="">
      <xdr:nvSpPr>
        <xdr:cNvPr id="693" name="FP_StamdataL1">
          <a:extLst>
            <a:ext uri="{FF2B5EF4-FFF2-40B4-BE49-F238E27FC236}">
              <a16:creationId xmlns:a16="http://schemas.microsoft.com/office/drawing/2014/main" id="{00000000-0008-0000-0300-0000B5020000}"/>
            </a:ext>
          </a:extLst>
        </xdr:cNvPr>
        <xdr:cNvSpPr/>
      </xdr:nvSpPr>
      <xdr:spPr>
        <a:xfrm>
          <a:off x="2343150" y="3606800"/>
          <a:ext cx="8382000" cy="25400"/>
        </a:xfrm>
        <a:prstGeom prst="roundRect">
          <a:avLst/>
        </a:prstGeom>
        <a:gradFill flip="none" rotWithShape="1">
          <a:gsLst>
            <a:gs pos="0">
              <a:srgbClr val="B4B4B4"/>
            </a:gs>
            <a:gs pos="100000">
              <a:srgbClr val="646464"/>
            </a:gs>
          </a:gsLst>
          <a:lin ang="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clientData/>
  </xdr:twoCellAnchor>
  <xdr:twoCellAnchor>
    <xdr:from>
      <xdr:col>11</xdr:col>
      <xdr:colOff>63500</xdr:colOff>
      <xdr:row>14</xdr:row>
      <xdr:rowOff>12700</xdr:rowOff>
    </xdr:from>
    <xdr:to>
      <xdr:col>13</xdr:col>
      <xdr:colOff>0</xdr:colOff>
      <xdr:row>14</xdr:row>
      <xdr:rowOff>292100</xdr:rowOff>
    </xdr:to>
    <xdr:sp macro="'editNorm &quot;FP_StamdataT2_1&quot;,&quot;FP_StamdataT2_1Red&quot;,&quot;FP_StamdataT2Rep&quot;'" textlink="" fLocksText="0">
      <xdr:nvSpPr>
        <xdr:cNvPr id="694" name="FP_StamdataT2_1Red">
          <a:extLst>
            <a:ext uri="{FF2B5EF4-FFF2-40B4-BE49-F238E27FC236}">
              <a16:creationId xmlns:a16="http://schemas.microsoft.com/office/drawing/2014/main" id="{00000000-0008-0000-0300-0000B6020000}"/>
            </a:ext>
          </a:extLst>
        </xdr:cNvPr>
        <xdr:cNvSpPr/>
      </xdr:nvSpPr>
      <xdr:spPr>
        <a:xfrm>
          <a:off x="9112250" y="3832225"/>
          <a:ext cx="1612900" cy="279400"/>
        </a:xfrm>
        <a:prstGeom prst="roundRect">
          <a:avLst/>
        </a:prstGeom>
        <a:gradFill flip="none" rotWithShape="1">
          <a:gsLst>
            <a:gs pos="0">
              <a:srgbClr val="B4B4B4"/>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Rediger</a:t>
          </a:r>
        </a:p>
      </xdr:txBody>
    </xdr:sp>
    <xdr:clientData/>
  </xdr:twoCellAnchor>
  <xdr:twoCellAnchor>
    <xdr:from>
      <xdr:col>11</xdr:col>
      <xdr:colOff>63500</xdr:colOff>
      <xdr:row>14</xdr:row>
      <xdr:rowOff>12700</xdr:rowOff>
    </xdr:from>
    <xdr:to>
      <xdr:col>12</xdr:col>
      <xdr:colOff>0</xdr:colOff>
      <xdr:row>14</xdr:row>
      <xdr:rowOff>292100</xdr:rowOff>
    </xdr:to>
    <xdr:sp macro="'editNorm &quot;FP_StamdataT2_1&quot;,&quot;FP_StamdataT2_1Gem&quot;,&quot;FP_StamdataT2Rep&quot;'" textlink="" fLocksText="0">
      <xdr:nvSpPr>
        <xdr:cNvPr id="695" name="FP_StamdataT2_1Gem" hidden="1">
          <a:extLst>
            <a:ext uri="{FF2B5EF4-FFF2-40B4-BE49-F238E27FC236}">
              <a16:creationId xmlns:a16="http://schemas.microsoft.com/office/drawing/2014/main" id="{00000000-0008-0000-0300-0000B7020000}"/>
            </a:ext>
          </a:extLst>
        </xdr:cNvPr>
        <xdr:cNvSpPr/>
      </xdr:nvSpPr>
      <xdr:spPr>
        <a:xfrm>
          <a:off x="9112250" y="3832225"/>
          <a:ext cx="774700" cy="279400"/>
        </a:xfrm>
        <a:prstGeom prst="roundRect">
          <a:avLst/>
        </a:prstGeom>
        <a:gradFill flip="none" rotWithShape="1">
          <a:gsLst>
            <a:gs pos="0">
              <a:srgbClr val="96B412"/>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Gem</a:t>
          </a:r>
        </a:p>
      </xdr:txBody>
    </xdr:sp>
    <xdr:clientData/>
  </xdr:twoCellAnchor>
  <xdr:twoCellAnchor>
    <xdr:from>
      <xdr:col>12</xdr:col>
      <xdr:colOff>88900</xdr:colOff>
      <xdr:row>14</xdr:row>
      <xdr:rowOff>12700</xdr:rowOff>
    </xdr:from>
    <xdr:to>
      <xdr:col>13</xdr:col>
      <xdr:colOff>0</xdr:colOff>
      <xdr:row>14</xdr:row>
      <xdr:rowOff>292100</xdr:rowOff>
    </xdr:to>
    <xdr:sp macro="'editNorm &quot;FP_StamdataT2_1&quot;,&quot;FP_StamdataT2_1Cancel&quot;,&quot;FP_StamdataT2Rep&quot;'" textlink="" fLocksText="0">
      <xdr:nvSpPr>
        <xdr:cNvPr id="696" name="FP_StamdataT2_1Cancel" hidden="1">
          <a:extLst>
            <a:ext uri="{FF2B5EF4-FFF2-40B4-BE49-F238E27FC236}">
              <a16:creationId xmlns:a16="http://schemas.microsoft.com/office/drawing/2014/main" id="{00000000-0008-0000-0300-0000B8020000}"/>
            </a:ext>
          </a:extLst>
        </xdr:cNvPr>
        <xdr:cNvSpPr/>
      </xdr:nvSpPr>
      <xdr:spPr>
        <a:xfrm>
          <a:off x="9975850" y="3832225"/>
          <a:ext cx="749300" cy="279400"/>
        </a:xfrm>
        <a:prstGeom prst="roundRect">
          <a:avLst/>
        </a:prstGeom>
        <a:gradFill flip="none" rotWithShape="1">
          <a:gsLst>
            <a:gs pos="0">
              <a:srgbClr val="B4B4B4"/>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Annuller</a:t>
          </a:r>
        </a:p>
      </xdr:txBody>
    </xdr:sp>
    <xdr:clientData/>
  </xdr:twoCellAnchor>
  <xdr:twoCellAnchor>
    <xdr:from>
      <xdr:col>13</xdr:col>
      <xdr:colOff>88900</xdr:colOff>
      <xdr:row>14</xdr:row>
      <xdr:rowOff>12700</xdr:rowOff>
    </xdr:from>
    <xdr:to>
      <xdr:col>14</xdr:col>
      <xdr:colOff>0</xdr:colOff>
      <xdr:row>14</xdr:row>
      <xdr:rowOff>292100</xdr:rowOff>
    </xdr:to>
    <xdr:sp macro="'editNorm &quot;FP_StamdataT2_1&quot;,&quot;FP_StamdataT2_1Delete&quot;,&quot;FP_StamdataT2Rep&quot;'" textlink="" fLocksText="0">
      <xdr:nvSpPr>
        <xdr:cNvPr id="697" name="FP_StamdataT2_1Delete" hidden="1">
          <a:extLst>
            <a:ext uri="{FF2B5EF4-FFF2-40B4-BE49-F238E27FC236}">
              <a16:creationId xmlns:a16="http://schemas.microsoft.com/office/drawing/2014/main" id="{00000000-0008-0000-0300-0000B9020000}"/>
            </a:ext>
          </a:extLst>
        </xdr:cNvPr>
        <xdr:cNvSpPr/>
      </xdr:nvSpPr>
      <xdr:spPr>
        <a:xfrm>
          <a:off x="10814050" y="3832225"/>
          <a:ext cx="749300" cy="279400"/>
        </a:xfrm>
        <a:prstGeom prst="roundRect">
          <a:avLst/>
        </a:prstGeom>
        <a:gradFill flip="none" rotWithShape="1">
          <a:gsLst>
            <a:gs pos="0">
              <a:srgbClr val="C83232"/>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Nulstil</a:t>
          </a:r>
        </a:p>
      </xdr:txBody>
    </xdr:sp>
    <xdr:clientData/>
  </xdr:twoCellAnchor>
  <xdr:twoCellAnchor>
    <xdr:from>
      <xdr:col>9</xdr:col>
      <xdr:colOff>25400</xdr:colOff>
      <xdr:row>14</xdr:row>
      <xdr:rowOff>0</xdr:rowOff>
    </xdr:from>
    <xdr:to>
      <xdr:col>11</xdr:col>
      <xdr:colOff>0</xdr:colOff>
      <xdr:row>14</xdr:row>
      <xdr:rowOff>279400</xdr:rowOff>
    </xdr:to>
    <xdr:sp macro="" textlink="" fLocksText="0">
      <xdr:nvSpPr>
        <xdr:cNvPr id="698" name="FP_StamdataT2Obs_1">
          <a:extLst>
            <a:ext uri="{FF2B5EF4-FFF2-40B4-BE49-F238E27FC236}">
              <a16:creationId xmlns:a16="http://schemas.microsoft.com/office/drawing/2014/main" id="{00000000-0008-0000-0300-0000BA020000}"/>
            </a:ext>
          </a:extLst>
        </xdr:cNvPr>
        <xdr:cNvSpPr/>
      </xdr:nvSpPr>
      <xdr:spPr>
        <a:xfrm>
          <a:off x="7397750" y="3819525"/>
          <a:ext cx="1651000" cy="279400"/>
        </a:xfrm>
        <a:prstGeom prst="roundRect">
          <a:avLst>
            <a:gd name="adj" fmla="val 0"/>
          </a:avLst>
        </a:prstGeom>
        <a:gradFill flip="none" rotWithShape="1">
          <a:gsLst>
            <a:gs pos="0">
              <a:srgbClr val="D9D9D9"/>
            </a:gs>
            <a:gs pos="100000">
              <a:srgbClr val="D9D9D9"/>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da-DK" sz="1000">
              <a:solidFill>
                <a:srgbClr val="969696"/>
              </a:solidFill>
              <a:latin typeface="Arial"/>
            </a:rPr>
            <a:t>ikke obligatorisk</a:t>
          </a:r>
        </a:p>
      </xdr:txBody>
    </xdr:sp>
    <xdr:clientData/>
  </xdr:twoCellAnchor>
  <xdr:twoCellAnchor>
    <xdr:from>
      <xdr:col>3</xdr:col>
      <xdr:colOff>0</xdr:colOff>
      <xdr:row>15</xdr:row>
      <xdr:rowOff>25400</xdr:rowOff>
    </xdr:from>
    <xdr:to>
      <xdr:col>13</xdr:col>
      <xdr:colOff>0</xdr:colOff>
      <xdr:row>15</xdr:row>
      <xdr:rowOff>50800</xdr:rowOff>
    </xdr:to>
    <xdr:sp macro="" textlink="">
      <xdr:nvSpPr>
        <xdr:cNvPr id="699" name="FP_StamdataL2">
          <a:extLst>
            <a:ext uri="{FF2B5EF4-FFF2-40B4-BE49-F238E27FC236}">
              <a16:creationId xmlns:a16="http://schemas.microsoft.com/office/drawing/2014/main" id="{00000000-0008-0000-0300-0000BB020000}"/>
            </a:ext>
          </a:extLst>
        </xdr:cNvPr>
        <xdr:cNvSpPr/>
      </xdr:nvSpPr>
      <xdr:spPr>
        <a:xfrm>
          <a:off x="2343150" y="4130675"/>
          <a:ext cx="8382000" cy="25400"/>
        </a:xfrm>
        <a:prstGeom prst="roundRect">
          <a:avLst/>
        </a:prstGeom>
        <a:gradFill flip="none" rotWithShape="1">
          <a:gsLst>
            <a:gs pos="0">
              <a:srgbClr val="B4B4B4"/>
            </a:gs>
            <a:gs pos="100000">
              <a:srgbClr val="646464"/>
            </a:gs>
          </a:gsLst>
          <a:lin ang="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clientData/>
  </xdr:twoCellAnchor>
  <xdr:twoCellAnchor>
    <xdr:from>
      <xdr:col>11</xdr:col>
      <xdr:colOff>63500</xdr:colOff>
      <xdr:row>17</xdr:row>
      <xdr:rowOff>12700</xdr:rowOff>
    </xdr:from>
    <xdr:to>
      <xdr:col>13</xdr:col>
      <xdr:colOff>0</xdr:colOff>
      <xdr:row>17</xdr:row>
      <xdr:rowOff>292100</xdr:rowOff>
    </xdr:to>
    <xdr:sp macro="'editNorm &quot;FP_StamdataT3_1&quot;,&quot;FP_StamdataT3_1Red&quot;,&quot;FP_StamdataT3Rep&quot;'" textlink="" fLocksText="0">
      <xdr:nvSpPr>
        <xdr:cNvPr id="700" name="FP_StamdataT3_1Red">
          <a:extLst>
            <a:ext uri="{FF2B5EF4-FFF2-40B4-BE49-F238E27FC236}">
              <a16:creationId xmlns:a16="http://schemas.microsoft.com/office/drawing/2014/main" id="{00000000-0008-0000-0300-0000BC020000}"/>
            </a:ext>
          </a:extLst>
        </xdr:cNvPr>
        <xdr:cNvSpPr/>
      </xdr:nvSpPr>
      <xdr:spPr>
        <a:xfrm>
          <a:off x="9112250" y="4356100"/>
          <a:ext cx="1612900" cy="279400"/>
        </a:xfrm>
        <a:prstGeom prst="roundRect">
          <a:avLst/>
        </a:prstGeom>
        <a:gradFill flip="none" rotWithShape="1">
          <a:gsLst>
            <a:gs pos="0">
              <a:srgbClr val="B4B4B4"/>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Rediger</a:t>
          </a:r>
        </a:p>
      </xdr:txBody>
    </xdr:sp>
    <xdr:clientData/>
  </xdr:twoCellAnchor>
  <xdr:twoCellAnchor>
    <xdr:from>
      <xdr:col>11</xdr:col>
      <xdr:colOff>63500</xdr:colOff>
      <xdr:row>17</xdr:row>
      <xdr:rowOff>12700</xdr:rowOff>
    </xdr:from>
    <xdr:to>
      <xdr:col>12</xdr:col>
      <xdr:colOff>0</xdr:colOff>
      <xdr:row>17</xdr:row>
      <xdr:rowOff>292100</xdr:rowOff>
    </xdr:to>
    <xdr:sp macro="'editNorm &quot;FP_StamdataT3_1&quot;,&quot;FP_StamdataT3_1Gem&quot;,&quot;FP_StamdataT3Rep&quot;'" textlink="" fLocksText="0">
      <xdr:nvSpPr>
        <xdr:cNvPr id="701" name="FP_StamdataT3_1Gem" hidden="1">
          <a:extLst>
            <a:ext uri="{FF2B5EF4-FFF2-40B4-BE49-F238E27FC236}">
              <a16:creationId xmlns:a16="http://schemas.microsoft.com/office/drawing/2014/main" id="{00000000-0008-0000-0300-0000BD020000}"/>
            </a:ext>
          </a:extLst>
        </xdr:cNvPr>
        <xdr:cNvSpPr/>
      </xdr:nvSpPr>
      <xdr:spPr>
        <a:xfrm>
          <a:off x="9112250" y="4356100"/>
          <a:ext cx="774700" cy="279400"/>
        </a:xfrm>
        <a:prstGeom prst="roundRect">
          <a:avLst/>
        </a:prstGeom>
        <a:gradFill flip="none" rotWithShape="1">
          <a:gsLst>
            <a:gs pos="0">
              <a:srgbClr val="96B412"/>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Gem</a:t>
          </a:r>
        </a:p>
      </xdr:txBody>
    </xdr:sp>
    <xdr:clientData/>
  </xdr:twoCellAnchor>
  <xdr:twoCellAnchor>
    <xdr:from>
      <xdr:col>12</xdr:col>
      <xdr:colOff>88900</xdr:colOff>
      <xdr:row>17</xdr:row>
      <xdr:rowOff>12700</xdr:rowOff>
    </xdr:from>
    <xdr:to>
      <xdr:col>13</xdr:col>
      <xdr:colOff>0</xdr:colOff>
      <xdr:row>17</xdr:row>
      <xdr:rowOff>292100</xdr:rowOff>
    </xdr:to>
    <xdr:sp macro="'editNorm &quot;FP_StamdataT3_1&quot;,&quot;FP_StamdataT3_1Cancel&quot;,&quot;FP_StamdataT3Rep&quot;'" textlink="" fLocksText="0">
      <xdr:nvSpPr>
        <xdr:cNvPr id="702" name="FP_StamdataT3_1Cancel" hidden="1">
          <a:extLst>
            <a:ext uri="{FF2B5EF4-FFF2-40B4-BE49-F238E27FC236}">
              <a16:creationId xmlns:a16="http://schemas.microsoft.com/office/drawing/2014/main" id="{00000000-0008-0000-0300-0000BE020000}"/>
            </a:ext>
          </a:extLst>
        </xdr:cNvPr>
        <xdr:cNvSpPr/>
      </xdr:nvSpPr>
      <xdr:spPr>
        <a:xfrm>
          <a:off x="9975850" y="4356100"/>
          <a:ext cx="749300" cy="279400"/>
        </a:xfrm>
        <a:prstGeom prst="roundRect">
          <a:avLst/>
        </a:prstGeom>
        <a:gradFill flip="none" rotWithShape="1">
          <a:gsLst>
            <a:gs pos="0">
              <a:srgbClr val="B4B4B4"/>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Annuller</a:t>
          </a:r>
        </a:p>
      </xdr:txBody>
    </xdr:sp>
    <xdr:clientData/>
  </xdr:twoCellAnchor>
  <xdr:twoCellAnchor>
    <xdr:from>
      <xdr:col>13</xdr:col>
      <xdr:colOff>88900</xdr:colOff>
      <xdr:row>17</xdr:row>
      <xdr:rowOff>12700</xdr:rowOff>
    </xdr:from>
    <xdr:to>
      <xdr:col>14</xdr:col>
      <xdr:colOff>0</xdr:colOff>
      <xdr:row>17</xdr:row>
      <xdr:rowOff>292100</xdr:rowOff>
    </xdr:to>
    <xdr:sp macro="'editNorm &quot;FP_StamdataT3_1&quot;,&quot;FP_StamdataT3_1Delete&quot;,&quot;FP_StamdataT3Rep&quot;'" textlink="" fLocksText="0">
      <xdr:nvSpPr>
        <xdr:cNvPr id="703" name="FP_StamdataT3_1Delete" hidden="1">
          <a:extLst>
            <a:ext uri="{FF2B5EF4-FFF2-40B4-BE49-F238E27FC236}">
              <a16:creationId xmlns:a16="http://schemas.microsoft.com/office/drawing/2014/main" id="{00000000-0008-0000-0300-0000BF020000}"/>
            </a:ext>
          </a:extLst>
        </xdr:cNvPr>
        <xdr:cNvSpPr/>
      </xdr:nvSpPr>
      <xdr:spPr>
        <a:xfrm>
          <a:off x="10814050" y="4356100"/>
          <a:ext cx="749300" cy="279400"/>
        </a:xfrm>
        <a:prstGeom prst="roundRect">
          <a:avLst/>
        </a:prstGeom>
        <a:gradFill flip="none" rotWithShape="1">
          <a:gsLst>
            <a:gs pos="0">
              <a:srgbClr val="C83232"/>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Nulstil</a:t>
          </a:r>
        </a:p>
      </xdr:txBody>
    </xdr:sp>
    <xdr:clientData/>
  </xdr:twoCellAnchor>
  <xdr:twoCellAnchor>
    <xdr:from>
      <xdr:col>3</xdr:col>
      <xdr:colOff>0</xdr:colOff>
      <xdr:row>18</xdr:row>
      <xdr:rowOff>25400</xdr:rowOff>
    </xdr:from>
    <xdr:to>
      <xdr:col>13</xdr:col>
      <xdr:colOff>0</xdr:colOff>
      <xdr:row>18</xdr:row>
      <xdr:rowOff>50800</xdr:rowOff>
    </xdr:to>
    <xdr:sp macro="" textlink="">
      <xdr:nvSpPr>
        <xdr:cNvPr id="14528" name="FP_StamdataL3">
          <a:extLst>
            <a:ext uri="{FF2B5EF4-FFF2-40B4-BE49-F238E27FC236}">
              <a16:creationId xmlns:a16="http://schemas.microsoft.com/office/drawing/2014/main" id="{00000000-0008-0000-0300-0000C0380000}"/>
            </a:ext>
          </a:extLst>
        </xdr:cNvPr>
        <xdr:cNvSpPr/>
      </xdr:nvSpPr>
      <xdr:spPr>
        <a:xfrm>
          <a:off x="2343150" y="4673600"/>
          <a:ext cx="8382000" cy="25400"/>
        </a:xfrm>
        <a:prstGeom prst="roundRect">
          <a:avLst/>
        </a:prstGeom>
        <a:gradFill flip="none" rotWithShape="1">
          <a:gsLst>
            <a:gs pos="0">
              <a:srgbClr val="B4B4B4"/>
            </a:gs>
            <a:gs pos="100000">
              <a:srgbClr val="646464"/>
            </a:gs>
          </a:gsLst>
          <a:lin ang="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clientData/>
  </xdr:twoCellAnchor>
  <xdr:twoCellAnchor>
    <xdr:from>
      <xdr:col>1</xdr:col>
      <xdr:colOff>0</xdr:colOff>
      <xdr:row>20</xdr:row>
      <xdr:rowOff>0</xdr:rowOff>
    </xdr:from>
    <xdr:to>
      <xdr:col>7</xdr:col>
      <xdr:colOff>0</xdr:colOff>
      <xdr:row>20</xdr:row>
      <xdr:rowOff>381000</xdr:rowOff>
    </xdr:to>
    <xdr:sp macro="" textlink="" fLocksText="0">
      <xdr:nvSpPr>
        <xdr:cNvPr id="14529" name="FP_StamdataT4">
          <a:extLst>
            <a:ext uri="{FF2B5EF4-FFF2-40B4-BE49-F238E27FC236}">
              <a16:creationId xmlns:a16="http://schemas.microsoft.com/office/drawing/2014/main" id="{00000000-0008-0000-0300-0000C1380000}"/>
            </a:ext>
          </a:extLst>
        </xdr:cNvPr>
        <xdr:cNvSpPr/>
      </xdr:nvSpPr>
      <xdr:spPr>
        <a:xfrm>
          <a:off x="666750" y="4886325"/>
          <a:ext cx="5029200" cy="381000"/>
        </a:xfrm>
        <a:prstGeom prst="roundRect">
          <a:avLst>
            <a:gd name="adj" fmla="val 0"/>
          </a:avLst>
        </a:prstGeom>
        <a:gradFill flip="none" rotWithShape="1">
          <a:gsLst>
            <a:gs pos="0">
              <a:srgbClr val="D9D9D9"/>
            </a:gs>
            <a:gs pos="100000">
              <a:srgbClr val="D9D9D9"/>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l"/>
          <a:r>
            <a:rPr lang="da-DK" sz="1400" b="1">
              <a:solidFill>
                <a:srgbClr val="000000"/>
              </a:solidFill>
              <a:latin typeface="Arial"/>
            </a:rPr>
            <a:t>Projektets / programmets primære formål</a:t>
          </a:r>
        </a:p>
      </xdr:txBody>
    </xdr:sp>
    <xdr:clientData/>
  </xdr:twoCellAnchor>
  <xdr:twoCellAnchor>
    <xdr:from>
      <xdr:col>3</xdr:col>
      <xdr:colOff>0</xdr:colOff>
      <xdr:row>22</xdr:row>
      <xdr:rowOff>38100</xdr:rowOff>
    </xdr:from>
    <xdr:to>
      <xdr:col>8</xdr:col>
      <xdr:colOff>0</xdr:colOff>
      <xdr:row>22</xdr:row>
      <xdr:rowOff>317500</xdr:rowOff>
    </xdr:to>
    <xdr:sp macro="'setType &quot;FP_StamdataG1R1&quot;'" textlink="" fLocksText="0">
      <xdr:nvSpPr>
        <xdr:cNvPr id="14530" name="FP_StamdataG1R1">
          <a:extLst>
            <a:ext uri="{FF2B5EF4-FFF2-40B4-BE49-F238E27FC236}">
              <a16:creationId xmlns:a16="http://schemas.microsoft.com/office/drawing/2014/main" id="{00000000-0008-0000-0300-0000C2380000}"/>
            </a:ext>
          </a:extLst>
        </xdr:cNvPr>
        <xdr:cNvSpPr/>
      </xdr:nvSpPr>
      <xdr:spPr>
        <a:xfrm>
          <a:off x="2343150" y="5495925"/>
          <a:ext cx="4191000" cy="279400"/>
        </a:xfrm>
        <a:prstGeom prst="roundRect">
          <a:avLst>
            <a:gd name="adj" fmla="val 0"/>
          </a:avLst>
        </a:prstGeom>
        <a:gradFill flip="none" rotWithShape="1">
          <a:gsLst>
            <a:gs pos="0">
              <a:srgbClr val="646464"/>
            </a:gs>
            <a:gs pos="100000">
              <a:srgbClr val="646464"/>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203200" rtlCol="0" anchor="t"/>
        <a:lstStyle/>
        <a:p>
          <a:pPr algn="l"/>
          <a:r>
            <a:rPr lang="da-DK" sz="1200">
              <a:solidFill>
                <a:srgbClr val="FFFFFF"/>
              </a:solidFill>
              <a:latin typeface="Arial"/>
            </a:rPr>
            <a:t>Effektivisering</a:t>
          </a:r>
        </a:p>
      </xdr:txBody>
    </xdr:sp>
    <xdr:clientData/>
  </xdr:twoCellAnchor>
  <xdr:twoCellAnchor>
    <xdr:from>
      <xdr:col>3</xdr:col>
      <xdr:colOff>0</xdr:colOff>
      <xdr:row>23</xdr:row>
      <xdr:rowOff>38100</xdr:rowOff>
    </xdr:from>
    <xdr:to>
      <xdr:col>8</xdr:col>
      <xdr:colOff>0</xdr:colOff>
      <xdr:row>23</xdr:row>
      <xdr:rowOff>317500</xdr:rowOff>
    </xdr:to>
    <xdr:sp macro="'setType &quot;FP_StamdataG1R2&quot;'" textlink="" fLocksText="0">
      <xdr:nvSpPr>
        <xdr:cNvPr id="14531" name="FP_StamdataG1R2">
          <a:extLst>
            <a:ext uri="{FF2B5EF4-FFF2-40B4-BE49-F238E27FC236}">
              <a16:creationId xmlns:a16="http://schemas.microsoft.com/office/drawing/2014/main" id="{00000000-0008-0000-0300-0000C3380000}"/>
            </a:ext>
          </a:extLst>
        </xdr:cNvPr>
        <xdr:cNvSpPr/>
      </xdr:nvSpPr>
      <xdr:spPr>
        <a:xfrm>
          <a:off x="2343150" y="5819775"/>
          <a:ext cx="4191000" cy="279400"/>
        </a:xfrm>
        <a:prstGeom prst="roundRect">
          <a:avLst>
            <a:gd name="adj" fmla="val 0"/>
          </a:avLst>
        </a:prstGeom>
        <a:gradFill flip="none" rotWithShape="1">
          <a:gsLst>
            <a:gs pos="0">
              <a:srgbClr val="C8C8C8"/>
            </a:gs>
            <a:gs pos="100000">
              <a:srgbClr val="C8C8C8"/>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203200" rtlCol="0" anchor="t"/>
        <a:lstStyle/>
        <a:p>
          <a:pPr algn="l"/>
          <a:r>
            <a:rPr lang="da-DK" sz="1200">
              <a:solidFill>
                <a:srgbClr val="010101"/>
              </a:solidFill>
              <a:latin typeface="Arial"/>
            </a:rPr>
            <a:t>Kvalitetsløft</a:t>
          </a:r>
        </a:p>
      </xdr:txBody>
    </xdr:sp>
    <xdr:clientData/>
  </xdr:twoCellAnchor>
  <xdr:twoCellAnchor>
    <xdr:from>
      <xdr:col>3</xdr:col>
      <xdr:colOff>0</xdr:colOff>
      <xdr:row>24</xdr:row>
      <xdr:rowOff>38100</xdr:rowOff>
    </xdr:from>
    <xdr:to>
      <xdr:col>8</xdr:col>
      <xdr:colOff>0</xdr:colOff>
      <xdr:row>24</xdr:row>
      <xdr:rowOff>317500</xdr:rowOff>
    </xdr:to>
    <xdr:sp macro="'setType &quot;FP_StamdataG1R3&quot;'" textlink="" fLocksText="0">
      <xdr:nvSpPr>
        <xdr:cNvPr id="14532" name="FP_StamdataG1R3">
          <a:extLst>
            <a:ext uri="{FF2B5EF4-FFF2-40B4-BE49-F238E27FC236}">
              <a16:creationId xmlns:a16="http://schemas.microsoft.com/office/drawing/2014/main" id="{00000000-0008-0000-0300-0000C4380000}"/>
            </a:ext>
          </a:extLst>
        </xdr:cNvPr>
        <xdr:cNvSpPr/>
      </xdr:nvSpPr>
      <xdr:spPr>
        <a:xfrm>
          <a:off x="2343150" y="6143625"/>
          <a:ext cx="4191000" cy="279400"/>
        </a:xfrm>
        <a:prstGeom prst="roundRect">
          <a:avLst>
            <a:gd name="adj" fmla="val 0"/>
          </a:avLst>
        </a:prstGeom>
        <a:gradFill flip="none" rotWithShape="1">
          <a:gsLst>
            <a:gs pos="0">
              <a:srgbClr val="C8C8C8"/>
            </a:gs>
            <a:gs pos="100000">
              <a:srgbClr val="C8C8C8"/>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203200" rtlCol="0" anchor="t"/>
        <a:lstStyle/>
        <a:p>
          <a:pPr algn="l"/>
          <a:r>
            <a:rPr lang="da-DK" sz="1200">
              <a:solidFill>
                <a:srgbClr val="010101"/>
              </a:solidFill>
              <a:latin typeface="Arial"/>
            </a:rPr>
            <a:t>Implementering af international lovgivning</a:t>
          </a:r>
        </a:p>
      </xdr:txBody>
    </xdr:sp>
    <xdr:clientData/>
  </xdr:twoCellAnchor>
  <xdr:twoCellAnchor>
    <xdr:from>
      <xdr:col>1</xdr:col>
      <xdr:colOff>0</xdr:colOff>
      <xdr:row>26</xdr:row>
      <xdr:rowOff>25400</xdr:rowOff>
    </xdr:from>
    <xdr:to>
      <xdr:col>13</xdr:col>
      <xdr:colOff>0</xdr:colOff>
      <xdr:row>26</xdr:row>
      <xdr:rowOff>50800</xdr:rowOff>
    </xdr:to>
    <xdr:sp macro="" textlink="">
      <xdr:nvSpPr>
        <xdr:cNvPr id="14533" name="FP_StamdataL4">
          <a:extLst>
            <a:ext uri="{FF2B5EF4-FFF2-40B4-BE49-F238E27FC236}">
              <a16:creationId xmlns:a16="http://schemas.microsoft.com/office/drawing/2014/main" id="{00000000-0008-0000-0300-0000C5380000}"/>
            </a:ext>
          </a:extLst>
        </xdr:cNvPr>
        <xdr:cNvSpPr/>
      </xdr:nvSpPr>
      <xdr:spPr>
        <a:xfrm>
          <a:off x="666750" y="6635750"/>
          <a:ext cx="10058400" cy="25400"/>
        </a:xfrm>
        <a:prstGeom prst="roundRect">
          <a:avLst/>
        </a:prstGeom>
        <a:gradFill flip="none" rotWithShape="1">
          <a:gsLst>
            <a:gs pos="0">
              <a:srgbClr val="B4B4B4"/>
            </a:gs>
            <a:gs pos="100000">
              <a:srgbClr val="646464"/>
            </a:gs>
          </a:gsLst>
          <a:lin ang="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clientData/>
  </xdr:twoCellAnchor>
  <xdr:twoCellAnchor>
    <xdr:from>
      <xdr:col>1</xdr:col>
      <xdr:colOff>0</xdr:colOff>
      <xdr:row>28</xdr:row>
      <xdr:rowOff>0</xdr:rowOff>
    </xdr:from>
    <xdr:to>
      <xdr:col>7</xdr:col>
      <xdr:colOff>0</xdr:colOff>
      <xdr:row>28</xdr:row>
      <xdr:rowOff>381000</xdr:rowOff>
    </xdr:to>
    <xdr:sp macro="" textlink="" fLocksText="0">
      <xdr:nvSpPr>
        <xdr:cNvPr id="14534" name="FP_StamdataT5">
          <a:extLst>
            <a:ext uri="{FF2B5EF4-FFF2-40B4-BE49-F238E27FC236}">
              <a16:creationId xmlns:a16="http://schemas.microsoft.com/office/drawing/2014/main" id="{00000000-0008-0000-0300-0000C6380000}"/>
            </a:ext>
          </a:extLst>
        </xdr:cNvPr>
        <xdr:cNvSpPr/>
      </xdr:nvSpPr>
      <xdr:spPr>
        <a:xfrm>
          <a:off x="666750" y="6848475"/>
          <a:ext cx="5029200" cy="381000"/>
        </a:xfrm>
        <a:prstGeom prst="roundRect">
          <a:avLst>
            <a:gd name="adj" fmla="val 0"/>
          </a:avLst>
        </a:prstGeom>
        <a:gradFill flip="none" rotWithShape="1">
          <a:gsLst>
            <a:gs pos="0">
              <a:srgbClr val="D9D9D9"/>
            </a:gs>
            <a:gs pos="100000">
              <a:srgbClr val="D9D9D9"/>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l"/>
          <a:r>
            <a:rPr lang="da-DK" sz="1400" b="1">
              <a:solidFill>
                <a:srgbClr val="000000"/>
              </a:solidFill>
              <a:latin typeface="Arial"/>
            </a:rPr>
            <a:t>Nuværende fase</a:t>
          </a:r>
        </a:p>
      </xdr:txBody>
    </xdr:sp>
    <xdr:clientData/>
  </xdr:twoCellAnchor>
  <xdr:twoCellAnchor>
    <xdr:from>
      <xdr:col>9</xdr:col>
      <xdr:colOff>25400</xdr:colOff>
      <xdr:row>28</xdr:row>
      <xdr:rowOff>0</xdr:rowOff>
    </xdr:from>
    <xdr:to>
      <xdr:col>13</xdr:col>
      <xdr:colOff>0</xdr:colOff>
      <xdr:row>28</xdr:row>
      <xdr:rowOff>381000</xdr:rowOff>
    </xdr:to>
    <xdr:sp macro="" textlink="" fLocksText="0">
      <xdr:nvSpPr>
        <xdr:cNvPr id="14535" name="FP_StamdataT5Obs">
          <a:extLst>
            <a:ext uri="{FF2B5EF4-FFF2-40B4-BE49-F238E27FC236}">
              <a16:creationId xmlns:a16="http://schemas.microsoft.com/office/drawing/2014/main" id="{00000000-0008-0000-0300-0000C7380000}"/>
            </a:ext>
          </a:extLst>
        </xdr:cNvPr>
        <xdr:cNvSpPr/>
      </xdr:nvSpPr>
      <xdr:spPr>
        <a:xfrm>
          <a:off x="7397750" y="6848475"/>
          <a:ext cx="3327400" cy="381000"/>
        </a:xfrm>
        <a:prstGeom prst="roundRect">
          <a:avLst>
            <a:gd name="adj" fmla="val 0"/>
          </a:avLst>
        </a:prstGeom>
        <a:gradFill flip="none" rotWithShape="1">
          <a:gsLst>
            <a:gs pos="0">
              <a:srgbClr val="D9D9D9"/>
            </a:gs>
            <a:gs pos="100000">
              <a:srgbClr val="D9D9D9"/>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da-DK" sz="1000">
              <a:solidFill>
                <a:srgbClr val="969696"/>
              </a:solidFill>
              <a:latin typeface="Arial"/>
            </a:rPr>
            <a:t>ikke relevant for programmer</a:t>
          </a:r>
        </a:p>
      </xdr:txBody>
    </xdr:sp>
    <xdr:clientData/>
  </xdr:twoCellAnchor>
  <xdr:twoCellAnchor>
    <xdr:from>
      <xdr:col>3</xdr:col>
      <xdr:colOff>0</xdr:colOff>
      <xdr:row>30</xdr:row>
      <xdr:rowOff>38100</xdr:rowOff>
    </xdr:from>
    <xdr:to>
      <xdr:col>8</xdr:col>
      <xdr:colOff>0</xdr:colOff>
      <xdr:row>30</xdr:row>
      <xdr:rowOff>317500</xdr:rowOff>
    </xdr:to>
    <xdr:sp macro="'setType &quot;FP_StamdataG2R1&quot;'" textlink="" fLocksText="0">
      <xdr:nvSpPr>
        <xdr:cNvPr id="14536" name="FP_StamdataG2R1">
          <a:extLst>
            <a:ext uri="{FF2B5EF4-FFF2-40B4-BE49-F238E27FC236}">
              <a16:creationId xmlns:a16="http://schemas.microsoft.com/office/drawing/2014/main" id="{00000000-0008-0000-0300-0000C8380000}"/>
            </a:ext>
          </a:extLst>
        </xdr:cNvPr>
        <xdr:cNvSpPr/>
      </xdr:nvSpPr>
      <xdr:spPr>
        <a:xfrm>
          <a:off x="2343150" y="7458075"/>
          <a:ext cx="4191000" cy="279400"/>
        </a:xfrm>
        <a:prstGeom prst="roundRect">
          <a:avLst>
            <a:gd name="adj" fmla="val 0"/>
          </a:avLst>
        </a:prstGeom>
        <a:gradFill flip="none" rotWithShape="1">
          <a:gsLst>
            <a:gs pos="0">
              <a:srgbClr val="C8C8C8"/>
            </a:gs>
            <a:gs pos="100000">
              <a:srgbClr val="C8C8C8"/>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203200" rtlCol="0" anchor="t"/>
        <a:lstStyle/>
        <a:p>
          <a:pPr algn="l"/>
          <a:r>
            <a:rPr lang="da-DK" sz="1200">
              <a:solidFill>
                <a:srgbClr val="010101"/>
              </a:solidFill>
              <a:latin typeface="Arial"/>
            </a:rPr>
            <a:t>Idé</a:t>
          </a:r>
        </a:p>
      </xdr:txBody>
    </xdr:sp>
    <xdr:clientData/>
  </xdr:twoCellAnchor>
  <xdr:twoCellAnchor>
    <xdr:from>
      <xdr:col>3</xdr:col>
      <xdr:colOff>0</xdr:colOff>
      <xdr:row>31</xdr:row>
      <xdr:rowOff>38100</xdr:rowOff>
    </xdr:from>
    <xdr:to>
      <xdr:col>8</xdr:col>
      <xdr:colOff>0</xdr:colOff>
      <xdr:row>31</xdr:row>
      <xdr:rowOff>317500</xdr:rowOff>
    </xdr:to>
    <xdr:sp macro="'setType &quot;FP_StamdataG2R2&quot;'" textlink="" fLocksText="0">
      <xdr:nvSpPr>
        <xdr:cNvPr id="14537" name="FP_StamdataG2R2">
          <a:extLst>
            <a:ext uri="{FF2B5EF4-FFF2-40B4-BE49-F238E27FC236}">
              <a16:creationId xmlns:a16="http://schemas.microsoft.com/office/drawing/2014/main" id="{00000000-0008-0000-0300-0000C9380000}"/>
            </a:ext>
          </a:extLst>
        </xdr:cNvPr>
        <xdr:cNvSpPr/>
      </xdr:nvSpPr>
      <xdr:spPr>
        <a:xfrm>
          <a:off x="2343150" y="7781925"/>
          <a:ext cx="4191000" cy="279400"/>
        </a:xfrm>
        <a:prstGeom prst="roundRect">
          <a:avLst>
            <a:gd name="adj" fmla="val 0"/>
          </a:avLst>
        </a:prstGeom>
        <a:gradFill flip="none" rotWithShape="1">
          <a:gsLst>
            <a:gs pos="0">
              <a:srgbClr val="646464"/>
            </a:gs>
            <a:gs pos="100000">
              <a:srgbClr val="646464"/>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203200" rtlCol="0" anchor="t"/>
        <a:lstStyle/>
        <a:p>
          <a:pPr algn="l"/>
          <a:r>
            <a:rPr lang="da-DK" sz="1200">
              <a:solidFill>
                <a:srgbClr val="FFFFFF"/>
              </a:solidFill>
              <a:latin typeface="Arial"/>
            </a:rPr>
            <a:t>Analyse</a:t>
          </a:r>
        </a:p>
      </xdr:txBody>
    </xdr:sp>
    <xdr:clientData/>
  </xdr:twoCellAnchor>
  <xdr:twoCellAnchor>
    <xdr:from>
      <xdr:col>3</xdr:col>
      <xdr:colOff>0</xdr:colOff>
      <xdr:row>32</xdr:row>
      <xdr:rowOff>38100</xdr:rowOff>
    </xdr:from>
    <xdr:to>
      <xdr:col>8</xdr:col>
      <xdr:colOff>0</xdr:colOff>
      <xdr:row>32</xdr:row>
      <xdr:rowOff>317500</xdr:rowOff>
    </xdr:to>
    <xdr:sp macro="'setType &quot;FP_StamdataG2R3&quot;'" textlink="" fLocksText="0">
      <xdr:nvSpPr>
        <xdr:cNvPr id="14538" name="FP_StamdataG2R3">
          <a:extLst>
            <a:ext uri="{FF2B5EF4-FFF2-40B4-BE49-F238E27FC236}">
              <a16:creationId xmlns:a16="http://schemas.microsoft.com/office/drawing/2014/main" id="{00000000-0008-0000-0300-0000CA380000}"/>
            </a:ext>
          </a:extLst>
        </xdr:cNvPr>
        <xdr:cNvSpPr/>
      </xdr:nvSpPr>
      <xdr:spPr>
        <a:xfrm>
          <a:off x="2343150" y="8105775"/>
          <a:ext cx="4191000" cy="279400"/>
        </a:xfrm>
        <a:prstGeom prst="roundRect">
          <a:avLst>
            <a:gd name="adj" fmla="val 0"/>
          </a:avLst>
        </a:prstGeom>
        <a:gradFill flip="none" rotWithShape="1">
          <a:gsLst>
            <a:gs pos="0">
              <a:srgbClr val="C8C8C8"/>
            </a:gs>
            <a:gs pos="100000">
              <a:srgbClr val="C8C8C8"/>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203200" rtlCol="0" anchor="t"/>
        <a:lstStyle/>
        <a:p>
          <a:pPr algn="l"/>
          <a:r>
            <a:rPr lang="da-DK" sz="1200">
              <a:solidFill>
                <a:srgbClr val="010101"/>
              </a:solidFill>
              <a:latin typeface="Arial"/>
            </a:rPr>
            <a:t>Anskaffelse</a:t>
          </a:r>
        </a:p>
      </xdr:txBody>
    </xdr:sp>
    <xdr:clientData/>
  </xdr:twoCellAnchor>
  <xdr:twoCellAnchor>
    <xdr:from>
      <xdr:col>3</xdr:col>
      <xdr:colOff>0</xdr:colOff>
      <xdr:row>33</xdr:row>
      <xdr:rowOff>38100</xdr:rowOff>
    </xdr:from>
    <xdr:to>
      <xdr:col>8</xdr:col>
      <xdr:colOff>0</xdr:colOff>
      <xdr:row>33</xdr:row>
      <xdr:rowOff>317500</xdr:rowOff>
    </xdr:to>
    <xdr:sp macro="'setType &quot;FP_StamdataG2R4&quot;'" textlink="" fLocksText="0">
      <xdr:nvSpPr>
        <xdr:cNvPr id="14539" name="FP_StamdataG2R4">
          <a:extLst>
            <a:ext uri="{FF2B5EF4-FFF2-40B4-BE49-F238E27FC236}">
              <a16:creationId xmlns:a16="http://schemas.microsoft.com/office/drawing/2014/main" id="{00000000-0008-0000-0300-0000CB380000}"/>
            </a:ext>
          </a:extLst>
        </xdr:cNvPr>
        <xdr:cNvSpPr/>
      </xdr:nvSpPr>
      <xdr:spPr>
        <a:xfrm>
          <a:off x="2343150" y="8429625"/>
          <a:ext cx="4191000" cy="279400"/>
        </a:xfrm>
        <a:prstGeom prst="roundRect">
          <a:avLst>
            <a:gd name="adj" fmla="val 0"/>
          </a:avLst>
        </a:prstGeom>
        <a:gradFill flip="none" rotWithShape="1">
          <a:gsLst>
            <a:gs pos="0">
              <a:srgbClr val="C8C8C8"/>
            </a:gs>
            <a:gs pos="100000">
              <a:srgbClr val="C8C8C8"/>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203200" rtlCol="0" anchor="t"/>
        <a:lstStyle/>
        <a:p>
          <a:pPr algn="l"/>
          <a:r>
            <a:rPr lang="da-DK" sz="1200">
              <a:solidFill>
                <a:srgbClr val="010101"/>
              </a:solidFill>
              <a:latin typeface="Arial"/>
            </a:rPr>
            <a:t>Gennemførsel</a:t>
          </a:r>
        </a:p>
      </xdr:txBody>
    </xdr:sp>
    <xdr:clientData/>
  </xdr:twoCellAnchor>
  <xdr:twoCellAnchor>
    <xdr:from>
      <xdr:col>3</xdr:col>
      <xdr:colOff>0</xdr:colOff>
      <xdr:row>34</xdr:row>
      <xdr:rowOff>38100</xdr:rowOff>
    </xdr:from>
    <xdr:to>
      <xdr:col>8</xdr:col>
      <xdr:colOff>0</xdr:colOff>
      <xdr:row>34</xdr:row>
      <xdr:rowOff>317500</xdr:rowOff>
    </xdr:to>
    <xdr:sp macro="'setType &quot;FP_StamdataG2R5&quot;'" textlink="" fLocksText="0">
      <xdr:nvSpPr>
        <xdr:cNvPr id="14540" name="FP_StamdataG2R5">
          <a:extLst>
            <a:ext uri="{FF2B5EF4-FFF2-40B4-BE49-F238E27FC236}">
              <a16:creationId xmlns:a16="http://schemas.microsoft.com/office/drawing/2014/main" id="{00000000-0008-0000-0300-0000CC380000}"/>
            </a:ext>
          </a:extLst>
        </xdr:cNvPr>
        <xdr:cNvSpPr/>
      </xdr:nvSpPr>
      <xdr:spPr>
        <a:xfrm>
          <a:off x="2343150" y="8753475"/>
          <a:ext cx="4191000" cy="279400"/>
        </a:xfrm>
        <a:prstGeom prst="roundRect">
          <a:avLst>
            <a:gd name="adj" fmla="val 0"/>
          </a:avLst>
        </a:prstGeom>
        <a:gradFill flip="none" rotWithShape="1">
          <a:gsLst>
            <a:gs pos="0">
              <a:srgbClr val="C8C8C8"/>
            </a:gs>
            <a:gs pos="100000">
              <a:srgbClr val="C8C8C8"/>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203200" rtlCol="0" anchor="t"/>
        <a:lstStyle/>
        <a:p>
          <a:pPr algn="l"/>
          <a:r>
            <a:rPr lang="da-DK" sz="1200">
              <a:solidFill>
                <a:srgbClr val="010101"/>
              </a:solidFill>
              <a:latin typeface="Arial"/>
            </a:rPr>
            <a:t>Realisering</a:t>
          </a:r>
        </a:p>
      </xdr:txBody>
    </xdr:sp>
    <xdr:clientData/>
  </xdr:twoCellAnchor>
  <xdr:twoCellAnchor>
    <xdr:from>
      <xdr:col>1</xdr:col>
      <xdr:colOff>0</xdr:colOff>
      <xdr:row>38</xdr:row>
      <xdr:rowOff>12700</xdr:rowOff>
    </xdr:from>
    <xdr:to>
      <xdr:col>13</xdr:col>
      <xdr:colOff>0</xdr:colOff>
      <xdr:row>38</xdr:row>
      <xdr:rowOff>520700</xdr:rowOff>
    </xdr:to>
    <xdr:sp macro="'expand &quot;FP_Main1BCtype&quot;,&quot;Forside&quot;,TRUE'" textlink="" fLocksText="0">
      <xdr:nvSpPr>
        <xdr:cNvPr id="14541" name="FP_Main1BCtype">
          <a:extLst>
            <a:ext uri="{FF2B5EF4-FFF2-40B4-BE49-F238E27FC236}">
              <a16:creationId xmlns:a16="http://schemas.microsoft.com/office/drawing/2014/main" id="{00000000-0008-0000-0300-0000CD380000}"/>
            </a:ext>
          </a:extLst>
        </xdr:cNvPr>
        <xdr:cNvSpPr/>
      </xdr:nvSpPr>
      <xdr:spPr>
        <a:xfrm>
          <a:off x="666750" y="9594850"/>
          <a:ext cx="10058400" cy="508000"/>
        </a:xfrm>
        <a:prstGeom prst="roundRect">
          <a:avLst/>
        </a:prstGeom>
        <a:gradFill flip="none" rotWithShape="1">
          <a:gsLst>
            <a:gs pos="0">
              <a:srgbClr val="B4B4B4"/>
            </a:gs>
            <a:gs pos="100000">
              <a:srgbClr val="646464"/>
            </a:gs>
          </a:gsLst>
          <a:lin ang="5400000" scaled="1"/>
          <a:tileRect/>
        </a:gradFill>
        <a:ln w="25400" cap="flat" cmpd="sng" algn="ctr">
          <a:noFill/>
          <a:prstDash val="solid"/>
        </a:ln>
        <a:effectLst>
          <a:outerShdw blurRad="1016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81000" rtlCol="0" anchor="ctr"/>
        <a:lstStyle/>
        <a:p>
          <a:pPr algn="l"/>
          <a:r>
            <a:rPr lang="da-DK" sz="1800" b="0">
              <a:solidFill>
                <a:srgbClr val="FFFFFF"/>
              </a:solidFill>
            </a:rPr>
            <a:t>Opsætning</a:t>
          </a:r>
        </a:p>
      </xdr:txBody>
    </xdr:sp>
    <xdr:clientData/>
  </xdr:twoCellAnchor>
  <xdr:twoCellAnchor>
    <xdr:from>
      <xdr:col>12</xdr:col>
      <xdr:colOff>431800</xdr:colOff>
      <xdr:row>38</xdr:row>
      <xdr:rowOff>157843</xdr:rowOff>
    </xdr:from>
    <xdr:to>
      <xdr:col>12</xdr:col>
      <xdr:colOff>635000</xdr:colOff>
      <xdr:row>38</xdr:row>
      <xdr:rowOff>361043</xdr:rowOff>
    </xdr:to>
    <xdr:sp macro="'expand &quot;FP_Main1BCtype&quot;,&quot;Forside&quot;,TRUE'" textlink="">
      <xdr:nvSpPr>
        <xdr:cNvPr id="14542" name="FP_Main1BCtypearrow">
          <a:extLst>
            <a:ext uri="{FF2B5EF4-FFF2-40B4-BE49-F238E27FC236}">
              <a16:creationId xmlns:a16="http://schemas.microsoft.com/office/drawing/2014/main" id="{00000000-0008-0000-0300-0000CE380000}"/>
            </a:ext>
          </a:extLst>
        </xdr:cNvPr>
        <xdr:cNvSpPr/>
      </xdr:nvSpPr>
      <xdr:spPr>
        <a:xfrm rot="13500000">
          <a:off x="10318750" y="9739993"/>
          <a:ext cx="203200" cy="203200"/>
        </a:xfrm>
        <a:prstGeom prst="halfFrame">
          <a:avLst>
            <a:gd name="adj1" fmla="val 15000"/>
            <a:gd name="adj2" fmla="val 15000"/>
          </a:avLst>
        </a:prstGeom>
        <a:gradFill flip="none" rotWithShape="1">
          <a:gsLst>
            <a:gs pos="0">
              <a:srgbClr val="FFFFFF"/>
            </a:gs>
            <a:gs pos="100000">
              <a:srgbClr val="FFFFFF"/>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solidFill>
              <a:schemeClr val="tx1"/>
            </a:solidFill>
          </a:endParaRPr>
        </a:p>
      </xdr:txBody>
    </xdr:sp>
    <xdr:clientData/>
  </xdr:twoCellAnchor>
  <xdr:twoCellAnchor>
    <xdr:from>
      <xdr:col>1</xdr:col>
      <xdr:colOff>0</xdr:colOff>
      <xdr:row>40</xdr:row>
      <xdr:rowOff>0</xdr:rowOff>
    </xdr:from>
    <xdr:to>
      <xdr:col>5</xdr:col>
      <xdr:colOff>0</xdr:colOff>
      <xdr:row>40</xdr:row>
      <xdr:rowOff>381000</xdr:rowOff>
    </xdr:to>
    <xdr:sp macro="" textlink="" fLocksText="0">
      <xdr:nvSpPr>
        <xdr:cNvPr id="14543" name="FP_CfgText1a">
          <a:extLst>
            <a:ext uri="{FF2B5EF4-FFF2-40B4-BE49-F238E27FC236}">
              <a16:creationId xmlns:a16="http://schemas.microsoft.com/office/drawing/2014/main" id="{00000000-0008-0000-0300-0000CF380000}"/>
            </a:ext>
          </a:extLst>
        </xdr:cNvPr>
        <xdr:cNvSpPr/>
      </xdr:nvSpPr>
      <xdr:spPr>
        <a:xfrm>
          <a:off x="666750" y="10296525"/>
          <a:ext cx="3352800" cy="381000"/>
        </a:xfrm>
        <a:prstGeom prst="roundRect">
          <a:avLst>
            <a:gd name="adj" fmla="val 0"/>
          </a:avLst>
        </a:prstGeom>
        <a:gradFill flip="none" rotWithShape="1">
          <a:gsLst>
            <a:gs pos="0">
              <a:srgbClr val="D9D9D9"/>
            </a:gs>
            <a:gs pos="100000">
              <a:srgbClr val="D9D9D9"/>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l"/>
          <a:r>
            <a:rPr lang="da-DK" sz="1400" b="1">
              <a:solidFill>
                <a:srgbClr val="000000"/>
              </a:solidFill>
              <a:latin typeface="Arial"/>
            </a:rPr>
            <a:t>Type</a:t>
          </a:r>
        </a:p>
      </xdr:txBody>
    </xdr:sp>
    <xdr:clientData/>
  </xdr:twoCellAnchor>
  <xdr:twoCellAnchor>
    <xdr:from>
      <xdr:col>11</xdr:col>
      <xdr:colOff>63500</xdr:colOff>
      <xdr:row>40</xdr:row>
      <xdr:rowOff>12700</xdr:rowOff>
    </xdr:from>
    <xdr:to>
      <xdr:col>13</xdr:col>
      <xdr:colOff>0</xdr:colOff>
      <xdr:row>40</xdr:row>
      <xdr:rowOff>292100</xdr:rowOff>
    </xdr:to>
    <xdr:sp macro="'readMore &quot;FP_CfgGroup1Btn1&quot;,&quot;Forside&quot;,&quot;FP_CfgText1b&quot;,TRUE'" textlink="" fLocksText="0">
      <xdr:nvSpPr>
        <xdr:cNvPr id="14544" name="FP_CfgGroup1Btn1">
          <a:extLst>
            <a:ext uri="{FF2B5EF4-FFF2-40B4-BE49-F238E27FC236}">
              <a16:creationId xmlns:a16="http://schemas.microsoft.com/office/drawing/2014/main" id="{00000000-0008-0000-0300-0000D0380000}"/>
            </a:ext>
          </a:extLst>
        </xdr:cNvPr>
        <xdr:cNvSpPr/>
      </xdr:nvSpPr>
      <xdr:spPr>
        <a:xfrm>
          <a:off x="9112250" y="10309225"/>
          <a:ext cx="1612900" cy="279400"/>
        </a:xfrm>
        <a:prstGeom prst="roundRect">
          <a:avLst/>
        </a:prstGeom>
        <a:gradFill flip="none" rotWithShape="1">
          <a:gsLst>
            <a:gs pos="0">
              <a:srgbClr val="B4B4B4"/>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rtlCol="0" anchor="ctr"/>
        <a:lstStyle/>
        <a:p>
          <a:pPr algn="ctr"/>
          <a:r>
            <a:rPr lang="da-DK" sz="1200">
              <a:solidFill>
                <a:srgbClr val="FFFFFF"/>
              </a:solidFill>
              <a:latin typeface="Arial"/>
            </a:rPr>
            <a:t>Hjælp</a:t>
          </a:r>
        </a:p>
      </xdr:txBody>
    </xdr:sp>
    <xdr:clientData/>
  </xdr:twoCellAnchor>
  <xdr:twoCellAnchor>
    <xdr:from>
      <xdr:col>3</xdr:col>
      <xdr:colOff>0</xdr:colOff>
      <xdr:row>42</xdr:row>
      <xdr:rowOff>0</xdr:rowOff>
    </xdr:from>
    <xdr:to>
      <xdr:col>13</xdr:col>
      <xdr:colOff>0</xdr:colOff>
      <xdr:row>42</xdr:row>
      <xdr:rowOff>2184400</xdr:rowOff>
    </xdr:to>
    <xdr:sp macro="" textlink="" fLocksText="0">
      <xdr:nvSpPr>
        <xdr:cNvPr id="14545" name="FP_CfgText1b">
          <a:extLst>
            <a:ext uri="{FF2B5EF4-FFF2-40B4-BE49-F238E27FC236}">
              <a16:creationId xmlns:a16="http://schemas.microsoft.com/office/drawing/2014/main" id="{00000000-0008-0000-0300-0000D1380000}"/>
            </a:ext>
          </a:extLst>
        </xdr:cNvPr>
        <xdr:cNvSpPr/>
      </xdr:nvSpPr>
      <xdr:spPr>
        <a:xfrm>
          <a:off x="2343150" y="10782300"/>
          <a:ext cx="8382000" cy="2184400"/>
        </a:xfrm>
        <a:prstGeom prst="roundRect">
          <a:avLst>
            <a:gd name="adj" fmla="val 0"/>
          </a:avLst>
        </a:prstGeom>
        <a:gradFill flip="none" rotWithShape="1">
          <a:gsLst>
            <a:gs pos="0">
              <a:srgbClr val="EBB553"/>
            </a:gs>
            <a:gs pos="100000">
              <a:srgbClr val="EBB553"/>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t"/>
        <a:lstStyle/>
        <a:p>
          <a:pPr algn="l"/>
          <a:r>
            <a:rPr lang="da-DK" sz="1200" b="0">
              <a:solidFill>
                <a:srgbClr val="000000"/>
              </a:solidFill>
              <a:latin typeface="Arial"/>
            </a:rPr>
            <a:t>Et projekt indeholder både gevinster og udgifter, og bygger på den fællesstatslige it-projektmodel, herunder fasemodellen.
Et program indeholder gevinster samt udgifter både på programniveau og for underliggende projekter i programmet. Sidstnævnte kan gemmes i deres separate business cases og indlæses i program-business casen. Der bygges på den fællesstatslige programmodel.
Et projekt i program indeholder kun udgifter og ingen gevinster. Udgifterne kan gemmes og indlæses i program-business casen.
Valget kan ændres senerehen.</a:t>
          </a:r>
        </a:p>
      </xdr:txBody>
    </xdr:sp>
    <xdr:clientData/>
  </xdr:twoCellAnchor>
  <xdr:twoCellAnchor>
    <xdr:from>
      <xdr:col>3</xdr:col>
      <xdr:colOff>0</xdr:colOff>
      <xdr:row>44</xdr:row>
      <xdr:rowOff>38100</xdr:rowOff>
    </xdr:from>
    <xdr:to>
      <xdr:col>8</xdr:col>
      <xdr:colOff>0</xdr:colOff>
      <xdr:row>44</xdr:row>
      <xdr:rowOff>317500</xdr:rowOff>
    </xdr:to>
    <xdr:sp macro="'setType &quot;FP_CfgGroup1R1&quot;'" textlink="" fLocksText="0">
      <xdr:nvSpPr>
        <xdr:cNvPr id="14546" name="FP_CfgGroup1R1">
          <a:extLst>
            <a:ext uri="{FF2B5EF4-FFF2-40B4-BE49-F238E27FC236}">
              <a16:creationId xmlns:a16="http://schemas.microsoft.com/office/drawing/2014/main" id="{00000000-0008-0000-0300-0000D2380000}"/>
            </a:ext>
          </a:extLst>
        </xdr:cNvPr>
        <xdr:cNvSpPr/>
      </xdr:nvSpPr>
      <xdr:spPr>
        <a:xfrm>
          <a:off x="2343150" y="13192125"/>
          <a:ext cx="4191000" cy="279400"/>
        </a:xfrm>
        <a:prstGeom prst="roundRect">
          <a:avLst>
            <a:gd name="adj" fmla="val 0"/>
          </a:avLst>
        </a:prstGeom>
        <a:gradFill flip="none" rotWithShape="1">
          <a:gsLst>
            <a:gs pos="0">
              <a:srgbClr val="646464"/>
            </a:gs>
            <a:gs pos="100000">
              <a:srgbClr val="646464"/>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203200" rtlCol="0" anchor="t"/>
        <a:lstStyle/>
        <a:p>
          <a:pPr algn="l"/>
          <a:r>
            <a:rPr lang="da-DK" sz="1200" b="0">
              <a:solidFill>
                <a:srgbClr val="FFFFFF"/>
              </a:solidFill>
            </a:rPr>
            <a:t>Projekt</a:t>
          </a:r>
        </a:p>
      </xdr:txBody>
    </xdr:sp>
    <xdr:clientData/>
  </xdr:twoCellAnchor>
  <xdr:twoCellAnchor>
    <xdr:from>
      <xdr:col>3</xdr:col>
      <xdr:colOff>0</xdr:colOff>
      <xdr:row>45</xdr:row>
      <xdr:rowOff>38100</xdr:rowOff>
    </xdr:from>
    <xdr:to>
      <xdr:col>8</xdr:col>
      <xdr:colOff>0</xdr:colOff>
      <xdr:row>45</xdr:row>
      <xdr:rowOff>317500</xdr:rowOff>
    </xdr:to>
    <xdr:sp macro="'setType &quot;FP_CfgGroup1R2&quot;'" textlink="" fLocksText="0">
      <xdr:nvSpPr>
        <xdr:cNvPr id="14547" name="FP_CfgGroup1R2">
          <a:extLst>
            <a:ext uri="{FF2B5EF4-FFF2-40B4-BE49-F238E27FC236}">
              <a16:creationId xmlns:a16="http://schemas.microsoft.com/office/drawing/2014/main" id="{00000000-0008-0000-0300-0000D3380000}"/>
            </a:ext>
          </a:extLst>
        </xdr:cNvPr>
        <xdr:cNvSpPr/>
      </xdr:nvSpPr>
      <xdr:spPr>
        <a:xfrm>
          <a:off x="2343150" y="13515975"/>
          <a:ext cx="4191000" cy="279400"/>
        </a:xfrm>
        <a:prstGeom prst="roundRect">
          <a:avLst>
            <a:gd name="adj" fmla="val 0"/>
          </a:avLst>
        </a:prstGeom>
        <a:gradFill flip="none" rotWithShape="1">
          <a:gsLst>
            <a:gs pos="0">
              <a:srgbClr val="C8C8C8"/>
            </a:gs>
            <a:gs pos="100000">
              <a:srgbClr val="C8C8C8"/>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203200" rtlCol="0" anchor="t"/>
        <a:lstStyle/>
        <a:p>
          <a:pPr algn="l"/>
          <a:r>
            <a:rPr lang="da-DK" sz="1200" b="0">
              <a:solidFill>
                <a:srgbClr val="010101"/>
              </a:solidFill>
            </a:rPr>
            <a:t>Projekt i program</a:t>
          </a:r>
        </a:p>
      </xdr:txBody>
    </xdr:sp>
    <xdr:clientData/>
  </xdr:twoCellAnchor>
  <xdr:twoCellAnchor>
    <xdr:from>
      <xdr:col>3</xdr:col>
      <xdr:colOff>0</xdr:colOff>
      <xdr:row>46</xdr:row>
      <xdr:rowOff>38100</xdr:rowOff>
    </xdr:from>
    <xdr:to>
      <xdr:col>8</xdr:col>
      <xdr:colOff>0</xdr:colOff>
      <xdr:row>46</xdr:row>
      <xdr:rowOff>317500</xdr:rowOff>
    </xdr:to>
    <xdr:sp macro="'setType &quot;FP_CfgGroup1R3&quot;'" textlink="" fLocksText="0">
      <xdr:nvSpPr>
        <xdr:cNvPr id="14548" name="FP_CfgGroup1R3">
          <a:extLst>
            <a:ext uri="{FF2B5EF4-FFF2-40B4-BE49-F238E27FC236}">
              <a16:creationId xmlns:a16="http://schemas.microsoft.com/office/drawing/2014/main" id="{00000000-0008-0000-0300-0000D4380000}"/>
            </a:ext>
          </a:extLst>
        </xdr:cNvPr>
        <xdr:cNvSpPr/>
      </xdr:nvSpPr>
      <xdr:spPr>
        <a:xfrm>
          <a:off x="2343150" y="13839825"/>
          <a:ext cx="4191000" cy="279400"/>
        </a:xfrm>
        <a:prstGeom prst="roundRect">
          <a:avLst>
            <a:gd name="adj" fmla="val 0"/>
          </a:avLst>
        </a:prstGeom>
        <a:gradFill flip="none" rotWithShape="1">
          <a:gsLst>
            <a:gs pos="0">
              <a:srgbClr val="C8C8C8"/>
            </a:gs>
            <a:gs pos="100000">
              <a:srgbClr val="C8C8C8"/>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203200" rtlCol="0" anchor="t"/>
        <a:lstStyle/>
        <a:p>
          <a:pPr algn="l"/>
          <a:r>
            <a:rPr lang="da-DK" sz="1200" b="0">
              <a:solidFill>
                <a:srgbClr val="010101"/>
              </a:solidFill>
            </a:rPr>
            <a:t>Program</a:t>
          </a:r>
        </a:p>
      </xdr:txBody>
    </xdr:sp>
    <xdr:clientData/>
  </xdr:twoCellAnchor>
  <xdr:twoCellAnchor>
    <xdr:from>
      <xdr:col>1</xdr:col>
      <xdr:colOff>0</xdr:colOff>
      <xdr:row>49</xdr:row>
      <xdr:rowOff>25400</xdr:rowOff>
    </xdr:from>
    <xdr:to>
      <xdr:col>13</xdr:col>
      <xdr:colOff>0</xdr:colOff>
      <xdr:row>49</xdr:row>
      <xdr:rowOff>50800</xdr:rowOff>
    </xdr:to>
    <xdr:sp macro="" textlink="">
      <xdr:nvSpPr>
        <xdr:cNvPr id="14549" name="FP_CfgGroup1L1">
          <a:extLst>
            <a:ext uri="{FF2B5EF4-FFF2-40B4-BE49-F238E27FC236}">
              <a16:creationId xmlns:a16="http://schemas.microsoft.com/office/drawing/2014/main" id="{00000000-0008-0000-0300-0000D5380000}"/>
            </a:ext>
          </a:extLst>
        </xdr:cNvPr>
        <xdr:cNvSpPr/>
      </xdr:nvSpPr>
      <xdr:spPr>
        <a:xfrm>
          <a:off x="666750" y="14512925"/>
          <a:ext cx="10058400" cy="25400"/>
        </a:xfrm>
        <a:prstGeom prst="roundRect">
          <a:avLst/>
        </a:prstGeom>
        <a:gradFill flip="none" rotWithShape="1">
          <a:gsLst>
            <a:gs pos="0">
              <a:srgbClr val="B4B4B4"/>
            </a:gs>
            <a:gs pos="100000">
              <a:srgbClr val="646464"/>
            </a:gs>
          </a:gsLst>
          <a:lin ang="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clientData/>
  </xdr:twoCellAnchor>
  <xdr:twoCellAnchor>
    <xdr:from>
      <xdr:col>1</xdr:col>
      <xdr:colOff>0</xdr:colOff>
      <xdr:row>52</xdr:row>
      <xdr:rowOff>0</xdr:rowOff>
    </xdr:from>
    <xdr:to>
      <xdr:col>5</xdr:col>
      <xdr:colOff>0</xdr:colOff>
      <xdr:row>52</xdr:row>
      <xdr:rowOff>381000</xdr:rowOff>
    </xdr:to>
    <xdr:sp macro="" textlink="" fLocksText="0">
      <xdr:nvSpPr>
        <xdr:cNvPr id="14550" name="FP_CfgText2a">
          <a:extLst>
            <a:ext uri="{FF2B5EF4-FFF2-40B4-BE49-F238E27FC236}">
              <a16:creationId xmlns:a16="http://schemas.microsoft.com/office/drawing/2014/main" id="{00000000-0008-0000-0300-0000D6380000}"/>
            </a:ext>
          </a:extLst>
        </xdr:cNvPr>
        <xdr:cNvSpPr/>
      </xdr:nvSpPr>
      <xdr:spPr>
        <a:xfrm>
          <a:off x="666750" y="14906625"/>
          <a:ext cx="3352800" cy="381000"/>
        </a:xfrm>
        <a:prstGeom prst="roundRect">
          <a:avLst>
            <a:gd name="adj" fmla="val 0"/>
          </a:avLst>
        </a:prstGeom>
        <a:gradFill flip="none" rotWithShape="1">
          <a:gsLst>
            <a:gs pos="0">
              <a:srgbClr val="D9D9D9"/>
            </a:gs>
            <a:gs pos="100000">
              <a:srgbClr val="D9D9D9"/>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l"/>
          <a:r>
            <a:rPr lang="da-DK" sz="1400" b="1">
              <a:solidFill>
                <a:srgbClr val="000000"/>
              </a:solidFill>
              <a:latin typeface="Arial"/>
            </a:rPr>
            <a:t>Risikoprofil</a:t>
          </a:r>
        </a:p>
      </xdr:txBody>
    </xdr:sp>
    <xdr:clientData/>
  </xdr:twoCellAnchor>
  <xdr:twoCellAnchor>
    <xdr:from>
      <xdr:col>11</xdr:col>
      <xdr:colOff>63500</xdr:colOff>
      <xdr:row>52</xdr:row>
      <xdr:rowOff>12700</xdr:rowOff>
    </xdr:from>
    <xdr:to>
      <xdr:col>13</xdr:col>
      <xdr:colOff>0</xdr:colOff>
      <xdr:row>52</xdr:row>
      <xdr:rowOff>292100</xdr:rowOff>
    </xdr:to>
    <xdr:sp macro="'readMore &quot;FP_CfgGroup2Btn2&quot;,&quot;Forside&quot;,&quot;FP_CfgText2b&quot;,TRUE'" textlink="" fLocksText="0">
      <xdr:nvSpPr>
        <xdr:cNvPr id="14551" name="FP_CfgGroup2Btn2">
          <a:extLst>
            <a:ext uri="{FF2B5EF4-FFF2-40B4-BE49-F238E27FC236}">
              <a16:creationId xmlns:a16="http://schemas.microsoft.com/office/drawing/2014/main" id="{00000000-0008-0000-0300-0000D7380000}"/>
            </a:ext>
          </a:extLst>
        </xdr:cNvPr>
        <xdr:cNvSpPr/>
      </xdr:nvSpPr>
      <xdr:spPr>
        <a:xfrm>
          <a:off x="9112250" y="14919325"/>
          <a:ext cx="1612900" cy="279400"/>
        </a:xfrm>
        <a:prstGeom prst="roundRect">
          <a:avLst/>
        </a:prstGeom>
        <a:gradFill flip="none" rotWithShape="1">
          <a:gsLst>
            <a:gs pos="0">
              <a:srgbClr val="B4B4B4"/>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rtlCol="0" anchor="ctr"/>
        <a:lstStyle/>
        <a:p>
          <a:pPr algn="ctr"/>
          <a:r>
            <a:rPr lang="da-DK" sz="1200">
              <a:solidFill>
                <a:srgbClr val="FFFFFF"/>
              </a:solidFill>
              <a:latin typeface="Arial"/>
            </a:rPr>
            <a:t>Hjælp</a:t>
          </a:r>
        </a:p>
      </xdr:txBody>
    </xdr:sp>
    <xdr:clientData/>
  </xdr:twoCellAnchor>
  <xdr:twoCellAnchor>
    <xdr:from>
      <xdr:col>3</xdr:col>
      <xdr:colOff>0</xdr:colOff>
      <xdr:row>54</xdr:row>
      <xdr:rowOff>0</xdr:rowOff>
    </xdr:from>
    <xdr:to>
      <xdr:col>13</xdr:col>
      <xdr:colOff>0</xdr:colOff>
      <xdr:row>54</xdr:row>
      <xdr:rowOff>2108200</xdr:rowOff>
    </xdr:to>
    <xdr:sp macro="" textlink="" fLocksText="0">
      <xdr:nvSpPr>
        <xdr:cNvPr id="14552" name="FP_CfgText2b">
          <a:extLst>
            <a:ext uri="{FF2B5EF4-FFF2-40B4-BE49-F238E27FC236}">
              <a16:creationId xmlns:a16="http://schemas.microsoft.com/office/drawing/2014/main" id="{00000000-0008-0000-0300-0000D8380000}"/>
            </a:ext>
          </a:extLst>
        </xdr:cNvPr>
        <xdr:cNvSpPr/>
      </xdr:nvSpPr>
      <xdr:spPr>
        <a:xfrm>
          <a:off x="2343150" y="15392400"/>
          <a:ext cx="8382000" cy="2108200"/>
        </a:xfrm>
        <a:prstGeom prst="roundRect">
          <a:avLst>
            <a:gd name="adj" fmla="val 0"/>
          </a:avLst>
        </a:prstGeom>
        <a:gradFill flip="none" rotWithShape="1">
          <a:gsLst>
            <a:gs pos="0">
              <a:srgbClr val="EBB553"/>
            </a:gs>
            <a:gs pos="100000">
              <a:srgbClr val="EBB553"/>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t"/>
        <a:lstStyle/>
        <a:p>
          <a:pPr algn="l"/>
          <a:r>
            <a:rPr lang="da-DK" sz="1200" b="0">
              <a:solidFill>
                <a:srgbClr val="000000"/>
              </a:solidFill>
              <a:latin typeface="Arial"/>
            </a:rPr>
            <a:t>Hvis et projekt af Statens IT-projektråd vurderes at have høj risiko vil de risikojusterede udgifter og gevinster skulle udregnes ved Monte Carlo-simulering i stedet for ved de vægtede gennemsnit som er tilfældet for projekter med normal risiko. Monte Carlo-simulering kan foretages ved brug af programmet @Risk. Alternativt, kan business casen indsendes til ministeriernes projektkontor i Digitaliseringsstyrelsen som vil forestå simuleringen.
Projekter / programmer over 60 mio. kr. vil som udgangspunkt stå til at være med høj risiko, og skal derfor som udgangspunkt Monte carlo-simuleres inden risikovurdering.
Valget kan ændres senerehen.</a:t>
          </a:r>
        </a:p>
      </xdr:txBody>
    </xdr:sp>
    <xdr:clientData/>
  </xdr:twoCellAnchor>
  <xdr:twoCellAnchor>
    <xdr:from>
      <xdr:col>3</xdr:col>
      <xdr:colOff>0</xdr:colOff>
      <xdr:row>56</xdr:row>
      <xdr:rowOff>38100</xdr:rowOff>
    </xdr:from>
    <xdr:to>
      <xdr:col>8</xdr:col>
      <xdr:colOff>0</xdr:colOff>
      <xdr:row>56</xdr:row>
      <xdr:rowOff>317500</xdr:rowOff>
    </xdr:to>
    <xdr:sp macro="'setType &quot;FP_CfgGroup2R1&quot;'" textlink="" fLocksText="0">
      <xdr:nvSpPr>
        <xdr:cNvPr id="14553" name="FP_CfgGroup2R1">
          <a:extLst>
            <a:ext uri="{FF2B5EF4-FFF2-40B4-BE49-F238E27FC236}">
              <a16:creationId xmlns:a16="http://schemas.microsoft.com/office/drawing/2014/main" id="{00000000-0008-0000-0300-0000D9380000}"/>
            </a:ext>
          </a:extLst>
        </xdr:cNvPr>
        <xdr:cNvSpPr/>
      </xdr:nvSpPr>
      <xdr:spPr>
        <a:xfrm>
          <a:off x="2343150" y="17726025"/>
          <a:ext cx="4191000" cy="279400"/>
        </a:xfrm>
        <a:prstGeom prst="roundRect">
          <a:avLst>
            <a:gd name="adj" fmla="val 0"/>
          </a:avLst>
        </a:prstGeom>
        <a:gradFill flip="none" rotWithShape="1">
          <a:gsLst>
            <a:gs pos="0">
              <a:srgbClr val="646464"/>
            </a:gs>
            <a:gs pos="100000">
              <a:srgbClr val="646464"/>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203200" rtlCol="0" anchor="t"/>
        <a:lstStyle/>
        <a:p>
          <a:pPr algn="l"/>
          <a:r>
            <a:rPr lang="da-DK" sz="1200" b="0">
              <a:solidFill>
                <a:srgbClr val="FFFFFF"/>
              </a:solidFill>
            </a:rPr>
            <a:t>Normal risiko</a:t>
          </a:r>
        </a:p>
      </xdr:txBody>
    </xdr:sp>
    <xdr:clientData/>
  </xdr:twoCellAnchor>
  <xdr:twoCellAnchor>
    <xdr:from>
      <xdr:col>3</xdr:col>
      <xdr:colOff>0</xdr:colOff>
      <xdr:row>57</xdr:row>
      <xdr:rowOff>38100</xdr:rowOff>
    </xdr:from>
    <xdr:to>
      <xdr:col>8</xdr:col>
      <xdr:colOff>0</xdr:colOff>
      <xdr:row>57</xdr:row>
      <xdr:rowOff>317500</xdr:rowOff>
    </xdr:to>
    <xdr:sp macro="'setType &quot;FP_CfgGroup2R2&quot;'" textlink="" fLocksText="0">
      <xdr:nvSpPr>
        <xdr:cNvPr id="14554" name="FP_CfgGroup2R2">
          <a:extLst>
            <a:ext uri="{FF2B5EF4-FFF2-40B4-BE49-F238E27FC236}">
              <a16:creationId xmlns:a16="http://schemas.microsoft.com/office/drawing/2014/main" id="{00000000-0008-0000-0300-0000DA380000}"/>
            </a:ext>
          </a:extLst>
        </xdr:cNvPr>
        <xdr:cNvSpPr/>
      </xdr:nvSpPr>
      <xdr:spPr>
        <a:xfrm>
          <a:off x="2343150" y="18049875"/>
          <a:ext cx="4191000" cy="279400"/>
        </a:xfrm>
        <a:prstGeom prst="roundRect">
          <a:avLst>
            <a:gd name="adj" fmla="val 0"/>
          </a:avLst>
        </a:prstGeom>
        <a:gradFill flip="none" rotWithShape="1">
          <a:gsLst>
            <a:gs pos="0">
              <a:srgbClr val="C8C8C8"/>
            </a:gs>
            <a:gs pos="100000">
              <a:srgbClr val="C8C8C8"/>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203200" rtlCol="0" anchor="t"/>
        <a:lstStyle/>
        <a:p>
          <a:pPr algn="l"/>
          <a:r>
            <a:rPr lang="da-DK" sz="1200" b="0">
              <a:solidFill>
                <a:srgbClr val="010101"/>
              </a:solidFill>
            </a:rPr>
            <a:t>Høj risiko</a:t>
          </a:r>
        </a:p>
      </xdr:txBody>
    </xdr:sp>
    <xdr:clientData/>
  </xdr:twoCellAnchor>
  <xdr:twoCellAnchor>
    <xdr:from>
      <xdr:col>1</xdr:col>
      <xdr:colOff>0</xdr:colOff>
      <xdr:row>60</xdr:row>
      <xdr:rowOff>25400</xdr:rowOff>
    </xdr:from>
    <xdr:to>
      <xdr:col>13</xdr:col>
      <xdr:colOff>0</xdr:colOff>
      <xdr:row>60</xdr:row>
      <xdr:rowOff>50800</xdr:rowOff>
    </xdr:to>
    <xdr:sp macro="" textlink="">
      <xdr:nvSpPr>
        <xdr:cNvPr id="14555" name="FP_CfgGroup2L1">
          <a:extLst>
            <a:ext uri="{FF2B5EF4-FFF2-40B4-BE49-F238E27FC236}">
              <a16:creationId xmlns:a16="http://schemas.microsoft.com/office/drawing/2014/main" id="{00000000-0008-0000-0300-0000DB380000}"/>
            </a:ext>
          </a:extLst>
        </xdr:cNvPr>
        <xdr:cNvSpPr/>
      </xdr:nvSpPr>
      <xdr:spPr>
        <a:xfrm>
          <a:off x="666750" y="18722975"/>
          <a:ext cx="10058400" cy="25400"/>
        </a:xfrm>
        <a:prstGeom prst="roundRect">
          <a:avLst/>
        </a:prstGeom>
        <a:gradFill flip="none" rotWithShape="1">
          <a:gsLst>
            <a:gs pos="0">
              <a:srgbClr val="B4B4B4"/>
            </a:gs>
            <a:gs pos="100000">
              <a:srgbClr val="646464"/>
            </a:gs>
          </a:gsLst>
          <a:lin ang="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clientData/>
  </xdr:twoCellAnchor>
  <xdr:twoCellAnchor>
    <xdr:from>
      <xdr:col>1</xdr:col>
      <xdr:colOff>0</xdr:colOff>
      <xdr:row>62</xdr:row>
      <xdr:rowOff>0</xdr:rowOff>
    </xdr:from>
    <xdr:to>
      <xdr:col>5</xdr:col>
      <xdr:colOff>0</xdr:colOff>
      <xdr:row>62</xdr:row>
      <xdr:rowOff>381000</xdr:rowOff>
    </xdr:to>
    <xdr:sp macro="" textlink="" fLocksText="0">
      <xdr:nvSpPr>
        <xdr:cNvPr id="14556" name="FP_CfgText3a">
          <a:extLst>
            <a:ext uri="{FF2B5EF4-FFF2-40B4-BE49-F238E27FC236}">
              <a16:creationId xmlns:a16="http://schemas.microsoft.com/office/drawing/2014/main" id="{00000000-0008-0000-0300-0000DC380000}"/>
            </a:ext>
          </a:extLst>
        </xdr:cNvPr>
        <xdr:cNvSpPr/>
      </xdr:nvSpPr>
      <xdr:spPr>
        <a:xfrm>
          <a:off x="666750" y="18935700"/>
          <a:ext cx="3352800" cy="381000"/>
        </a:xfrm>
        <a:prstGeom prst="roundRect">
          <a:avLst>
            <a:gd name="adj" fmla="val 0"/>
          </a:avLst>
        </a:prstGeom>
        <a:gradFill flip="none" rotWithShape="1">
          <a:gsLst>
            <a:gs pos="0">
              <a:srgbClr val="D9D9D9"/>
            </a:gs>
            <a:gs pos="100000">
              <a:srgbClr val="D9D9D9"/>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rtlCol="0" anchor="ctr"/>
        <a:lstStyle/>
        <a:p>
          <a:pPr algn="l"/>
          <a:r>
            <a:rPr lang="da-DK" sz="1400" b="1">
              <a:solidFill>
                <a:srgbClr val="000000"/>
              </a:solidFill>
              <a:latin typeface="Arial"/>
            </a:rPr>
            <a:t>Størrelse</a:t>
          </a:r>
        </a:p>
      </xdr:txBody>
    </xdr:sp>
    <xdr:clientData/>
  </xdr:twoCellAnchor>
  <xdr:twoCellAnchor>
    <xdr:from>
      <xdr:col>11</xdr:col>
      <xdr:colOff>63500</xdr:colOff>
      <xdr:row>62</xdr:row>
      <xdr:rowOff>12700</xdr:rowOff>
    </xdr:from>
    <xdr:to>
      <xdr:col>13</xdr:col>
      <xdr:colOff>0</xdr:colOff>
      <xdr:row>62</xdr:row>
      <xdr:rowOff>292100</xdr:rowOff>
    </xdr:to>
    <xdr:sp macro="'readMore &quot;FP_CfgGroup3Btn3&quot;,&quot;Forside&quot;,&quot;FP_CfgText3b&quot;,TRUE'" textlink="" fLocksText="0">
      <xdr:nvSpPr>
        <xdr:cNvPr id="14557" name="FP_CfgGroup3Btn3">
          <a:extLst>
            <a:ext uri="{FF2B5EF4-FFF2-40B4-BE49-F238E27FC236}">
              <a16:creationId xmlns:a16="http://schemas.microsoft.com/office/drawing/2014/main" id="{00000000-0008-0000-0300-0000DD380000}"/>
            </a:ext>
          </a:extLst>
        </xdr:cNvPr>
        <xdr:cNvSpPr/>
      </xdr:nvSpPr>
      <xdr:spPr>
        <a:xfrm>
          <a:off x="9112250" y="18948400"/>
          <a:ext cx="1612900" cy="279400"/>
        </a:xfrm>
        <a:prstGeom prst="roundRect">
          <a:avLst/>
        </a:prstGeom>
        <a:gradFill flip="none" rotWithShape="1">
          <a:gsLst>
            <a:gs pos="0">
              <a:srgbClr val="B4B4B4"/>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Hjælp</a:t>
          </a:r>
        </a:p>
      </xdr:txBody>
    </xdr:sp>
    <xdr:clientData/>
  </xdr:twoCellAnchor>
  <xdr:twoCellAnchor>
    <xdr:from>
      <xdr:col>3</xdr:col>
      <xdr:colOff>0</xdr:colOff>
      <xdr:row>64</xdr:row>
      <xdr:rowOff>0</xdr:rowOff>
    </xdr:from>
    <xdr:to>
      <xdr:col>13</xdr:col>
      <xdr:colOff>0</xdr:colOff>
      <xdr:row>64</xdr:row>
      <xdr:rowOff>1524000</xdr:rowOff>
    </xdr:to>
    <xdr:sp macro="" textlink="" fLocksText="0">
      <xdr:nvSpPr>
        <xdr:cNvPr id="14558" name="FP_CfgText3b">
          <a:extLst>
            <a:ext uri="{FF2B5EF4-FFF2-40B4-BE49-F238E27FC236}">
              <a16:creationId xmlns:a16="http://schemas.microsoft.com/office/drawing/2014/main" id="{00000000-0008-0000-0300-0000DE380000}"/>
            </a:ext>
          </a:extLst>
        </xdr:cNvPr>
        <xdr:cNvSpPr/>
      </xdr:nvSpPr>
      <xdr:spPr>
        <a:xfrm>
          <a:off x="2343150" y="19421475"/>
          <a:ext cx="8382000" cy="1524000"/>
        </a:xfrm>
        <a:prstGeom prst="roundRect">
          <a:avLst>
            <a:gd name="adj" fmla="val 0"/>
          </a:avLst>
        </a:prstGeom>
        <a:gradFill flip="none" rotWithShape="1">
          <a:gsLst>
            <a:gs pos="0">
              <a:srgbClr val="EBB553"/>
            </a:gs>
            <a:gs pos="100000">
              <a:srgbClr val="EBB553"/>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t"/>
        <a:lstStyle/>
        <a:p>
          <a:pPr algn="l"/>
          <a:r>
            <a:rPr lang="da-DK" sz="1200" b="0">
              <a:solidFill>
                <a:srgbClr val="000000"/>
              </a:solidFill>
              <a:latin typeface="Arial"/>
            </a:rPr>
            <a:t>For mindre projekter kan det være relevant kun at regne med hovedforudsætninger for at nedsætte detaljeringsniveauet. Vælges 'Under 10 mio. kr.', vil der automatisk blive indsat de gængse hovedforudsætninger for mindre projekter som så kan udfyldes. Der kan stadig tilføjes og fjernes forudsætninger (også underforudsætninger) så business casen tilpasses til konteksten for det pågældende projekt. Der ændres altså ikke i hverken metode eller funktionalitet, men blot muligheden for hurtigere indtastning af standard-hovedforudsætninger.
Der kan ikke vælges om, da de indsatte forudsætninger ikke ændrer på hverken metode eller funktionalitet.</a:t>
          </a:r>
        </a:p>
      </xdr:txBody>
    </xdr:sp>
    <xdr:clientData/>
  </xdr:twoCellAnchor>
  <xdr:twoCellAnchor>
    <xdr:from>
      <xdr:col>3</xdr:col>
      <xdr:colOff>0</xdr:colOff>
      <xdr:row>66</xdr:row>
      <xdr:rowOff>38100</xdr:rowOff>
    </xdr:from>
    <xdr:to>
      <xdr:col>8</xdr:col>
      <xdr:colOff>0</xdr:colOff>
      <xdr:row>66</xdr:row>
      <xdr:rowOff>317500</xdr:rowOff>
    </xdr:to>
    <xdr:sp macro="'setType &quot;FP_CfgGroup3R1&quot;'" textlink="" fLocksText="0">
      <xdr:nvSpPr>
        <xdr:cNvPr id="14559" name="FP_CfgGroup3R1">
          <a:extLst>
            <a:ext uri="{FF2B5EF4-FFF2-40B4-BE49-F238E27FC236}">
              <a16:creationId xmlns:a16="http://schemas.microsoft.com/office/drawing/2014/main" id="{00000000-0008-0000-0300-0000DF380000}"/>
            </a:ext>
          </a:extLst>
        </xdr:cNvPr>
        <xdr:cNvSpPr/>
      </xdr:nvSpPr>
      <xdr:spPr>
        <a:xfrm>
          <a:off x="2343150" y="21174075"/>
          <a:ext cx="4191000" cy="279400"/>
        </a:xfrm>
        <a:prstGeom prst="roundRect">
          <a:avLst>
            <a:gd name="adj" fmla="val 0"/>
          </a:avLst>
        </a:prstGeom>
        <a:gradFill flip="none" rotWithShape="1">
          <a:gsLst>
            <a:gs pos="0">
              <a:srgbClr val="C8C8C8"/>
            </a:gs>
            <a:gs pos="100000">
              <a:srgbClr val="C8C8C8"/>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203200" rtlCol="0" anchor="t"/>
        <a:lstStyle/>
        <a:p>
          <a:pPr algn="l"/>
          <a:r>
            <a:rPr lang="da-DK" sz="1200" b="0">
              <a:solidFill>
                <a:srgbClr val="010101"/>
              </a:solidFill>
            </a:rPr>
            <a:t>Under 10 mio. kr.</a:t>
          </a:r>
        </a:p>
      </xdr:txBody>
    </xdr:sp>
    <xdr:clientData/>
  </xdr:twoCellAnchor>
  <xdr:twoCellAnchor>
    <xdr:from>
      <xdr:col>3</xdr:col>
      <xdr:colOff>0</xdr:colOff>
      <xdr:row>67</xdr:row>
      <xdr:rowOff>38100</xdr:rowOff>
    </xdr:from>
    <xdr:to>
      <xdr:col>8</xdr:col>
      <xdr:colOff>0</xdr:colOff>
      <xdr:row>67</xdr:row>
      <xdr:rowOff>317500</xdr:rowOff>
    </xdr:to>
    <xdr:sp macro="'setType &quot;FP_CfgGroup3R2&quot;'" textlink="" fLocksText="0">
      <xdr:nvSpPr>
        <xdr:cNvPr id="14560" name="FP_CfgGroup3R2">
          <a:extLst>
            <a:ext uri="{FF2B5EF4-FFF2-40B4-BE49-F238E27FC236}">
              <a16:creationId xmlns:a16="http://schemas.microsoft.com/office/drawing/2014/main" id="{00000000-0008-0000-0300-0000E0380000}"/>
            </a:ext>
          </a:extLst>
        </xdr:cNvPr>
        <xdr:cNvSpPr/>
      </xdr:nvSpPr>
      <xdr:spPr>
        <a:xfrm>
          <a:off x="2343150" y="21497925"/>
          <a:ext cx="4191000" cy="279400"/>
        </a:xfrm>
        <a:prstGeom prst="roundRect">
          <a:avLst>
            <a:gd name="adj" fmla="val 0"/>
          </a:avLst>
        </a:prstGeom>
        <a:gradFill flip="none" rotWithShape="1">
          <a:gsLst>
            <a:gs pos="0">
              <a:srgbClr val="646464"/>
            </a:gs>
            <a:gs pos="100000">
              <a:srgbClr val="646464"/>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203200" rtlCol="0" anchor="t"/>
        <a:lstStyle/>
        <a:p>
          <a:pPr algn="l"/>
          <a:r>
            <a:rPr lang="da-DK" sz="1200" b="0">
              <a:solidFill>
                <a:srgbClr val="FFFFFF"/>
              </a:solidFill>
            </a:rPr>
            <a:t>Over 10 mio. kr.</a:t>
          </a:r>
        </a:p>
      </xdr:txBody>
    </xdr:sp>
    <xdr:clientData/>
  </xdr:twoCellAnchor>
  <xdr:twoCellAnchor>
    <xdr:from>
      <xdr:col>1</xdr:col>
      <xdr:colOff>0</xdr:colOff>
      <xdr:row>70</xdr:row>
      <xdr:rowOff>25400</xdr:rowOff>
    </xdr:from>
    <xdr:to>
      <xdr:col>13</xdr:col>
      <xdr:colOff>0</xdr:colOff>
      <xdr:row>70</xdr:row>
      <xdr:rowOff>50800</xdr:rowOff>
    </xdr:to>
    <xdr:sp macro="" textlink="">
      <xdr:nvSpPr>
        <xdr:cNvPr id="14561" name="FP_CfgGroup3L1">
          <a:extLst>
            <a:ext uri="{FF2B5EF4-FFF2-40B4-BE49-F238E27FC236}">
              <a16:creationId xmlns:a16="http://schemas.microsoft.com/office/drawing/2014/main" id="{00000000-0008-0000-0300-0000E1380000}"/>
            </a:ext>
          </a:extLst>
        </xdr:cNvPr>
        <xdr:cNvSpPr/>
      </xdr:nvSpPr>
      <xdr:spPr>
        <a:xfrm>
          <a:off x="666750" y="22171025"/>
          <a:ext cx="10058400" cy="25400"/>
        </a:xfrm>
        <a:prstGeom prst="roundRect">
          <a:avLst/>
        </a:prstGeom>
        <a:gradFill flip="none" rotWithShape="1">
          <a:gsLst>
            <a:gs pos="0">
              <a:srgbClr val="B4B4B4"/>
            </a:gs>
            <a:gs pos="100000">
              <a:srgbClr val="646464"/>
            </a:gs>
          </a:gsLst>
          <a:lin ang="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clientData/>
  </xdr:twoCellAnchor>
  <xdr:twoCellAnchor>
    <xdr:from>
      <xdr:col>1</xdr:col>
      <xdr:colOff>0</xdr:colOff>
      <xdr:row>72</xdr:row>
      <xdr:rowOff>0</xdr:rowOff>
    </xdr:from>
    <xdr:to>
      <xdr:col>5</xdr:col>
      <xdr:colOff>0</xdr:colOff>
      <xdr:row>72</xdr:row>
      <xdr:rowOff>381000</xdr:rowOff>
    </xdr:to>
    <xdr:sp macro="" textlink="" fLocksText="0">
      <xdr:nvSpPr>
        <xdr:cNvPr id="14562" name="FP_CfgText4a">
          <a:extLst>
            <a:ext uri="{FF2B5EF4-FFF2-40B4-BE49-F238E27FC236}">
              <a16:creationId xmlns:a16="http://schemas.microsoft.com/office/drawing/2014/main" id="{00000000-0008-0000-0300-0000E2380000}"/>
            </a:ext>
          </a:extLst>
        </xdr:cNvPr>
        <xdr:cNvSpPr/>
      </xdr:nvSpPr>
      <xdr:spPr>
        <a:xfrm>
          <a:off x="666750" y="22383750"/>
          <a:ext cx="3352800" cy="381000"/>
        </a:xfrm>
        <a:prstGeom prst="roundRect">
          <a:avLst>
            <a:gd name="adj" fmla="val 0"/>
          </a:avLst>
        </a:prstGeom>
        <a:gradFill flip="none" rotWithShape="1">
          <a:gsLst>
            <a:gs pos="0">
              <a:srgbClr val="D9D9D9"/>
            </a:gs>
            <a:gs pos="100000">
              <a:srgbClr val="D9D9D9"/>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rtlCol="0" anchor="ctr"/>
        <a:lstStyle/>
        <a:p>
          <a:pPr algn="l"/>
          <a:r>
            <a:rPr lang="da-DK" sz="1400" b="1">
              <a:solidFill>
                <a:srgbClr val="000000"/>
              </a:solidFill>
              <a:latin typeface="Arial"/>
            </a:rPr>
            <a:t>Finanskonti</a:t>
          </a:r>
        </a:p>
      </xdr:txBody>
    </xdr:sp>
    <xdr:clientData/>
  </xdr:twoCellAnchor>
  <xdr:twoCellAnchor>
    <xdr:from>
      <xdr:col>11</xdr:col>
      <xdr:colOff>63500</xdr:colOff>
      <xdr:row>72</xdr:row>
      <xdr:rowOff>12700</xdr:rowOff>
    </xdr:from>
    <xdr:to>
      <xdr:col>13</xdr:col>
      <xdr:colOff>0</xdr:colOff>
      <xdr:row>72</xdr:row>
      <xdr:rowOff>292100</xdr:rowOff>
    </xdr:to>
    <xdr:sp macro="'readMore &quot;FP_CfgGroup4Btn4&quot;,&quot;Forside&quot;,&quot;FP_Cfg1Text4b&quot;,TRUE'" textlink="" fLocksText="0">
      <xdr:nvSpPr>
        <xdr:cNvPr id="14563" name="FP_CfgGroup4Btn4">
          <a:extLst>
            <a:ext uri="{FF2B5EF4-FFF2-40B4-BE49-F238E27FC236}">
              <a16:creationId xmlns:a16="http://schemas.microsoft.com/office/drawing/2014/main" id="{00000000-0008-0000-0300-0000E3380000}"/>
            </a:ext>
          </a:extLst>
        </xdr:cNvPr>
        <xdr:cNvSpPr/>
      </xdr:nvSpPr>
      <xdr:spPr>
        <a:xfrm>
          <a:off x="9112250" y="22396450"/>
          <a:ext cx="1612900" cy="279400"/>
        </a:xfrm>
        <a:prstGeom prst="roundRect">
          <a:avLst/>
        </a:prstGeom>
        <a:gradFill flip="none" rotWithShape="1">
          <a:gsLst>
            <a:gs pos="0">
              <a:srgbClr val="B4B4B4"/>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Hjælp</a:t>
          </a:r>
        </a:p>
      </xdr:txBody>
    </xdr:sp>
    <xdr:clientData/>
  </xdr:twoCellAnchor>
  <xdr:twoCellAnchor>
    <xdr:from>
      <xdr:col>3</xdr:col>
      <xdr:colOff>0</xdr:colOff>
      <xdr:row>74</xdr:row>
      <xdr:rowOff>0</xdr:rowOff>
    </xdr:from>
    <xdr:to>
      <xdr:col>13</xdr:col>
      <xdr:colOff>0</xdr:colOff>
      <xdr:row>74</xdr:row>
      <xdr:rowOff>762000</xdr:rowOff>
    </xdr:to>
    <xdr:sp macro="" textlink="" fLocksText="0">
      <xdr:nvSpPr>
        <xdr:cNvPr id="14564" name="FP_Cfg1Text4b">
          <a:extLst>
            <a:ext uri="{FF2B5EF4-FFF2-40B4-BE49-F238E27FC236}">
              <a16:creationId xmlns:a16="http://schemas.microsoft.com/office/drawing/2014/main" id="{00000000-0008-0000-0300-0000E4380000}"/>
            </a:ext>
          </a:extLst>
        </xdr:cNvPr>
        <xdr:cNvSpPr/>
      </xdr:nvSpPr>
      <xdr:spPr>
        <a:xfrm>
          <a:off x="2343150" y="22869525"/>
          <a:ext cx="8382000" cy="762000"/>
        </a:xfrm>
        <a:prstGeom prst="roundRect">
          <a:avLst>
            <a:gd name="adj" fmla="val 0"/>
          </a:avLst>
        </a:prstGeom>
        <a:gradFill flip="none" rotWithShape="1">
          <a:gsLst>
            <a:gs pos="0">
              <a:srgbClr val="EBB553"/>
            </a:gs>
            <a:gs pos="100000">
              <a:srgbClr val="EBB553"/>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t"/>
        <a:lstStyle/>
        <a:p>
          <a:pPr algn="l"/>
          <a:r>
            <a:rPr lang="da-DK" sz="1200" b="0">
              <a:solidFill>
                <a:srgbClr val="000000"/>
              </a:solidFill>
              <a:latin typeface="Arial"/>
            </a:rPr>
            <a:t>Kontotyper kan variere mellem stat, kommuner og regioner. Ovenstående er de otte hovedkontotyper for it-projekter i staten. Såfremt projektet/programmet er af tværoffentlig karakter, eller kun består af kommuner/regioner kan de ovenstående konti ændres så de passer til det pågældende institutionelle setup.</a:t>
          </a:r>
        </a:p>
      </xdr:txBody>
    </xdr:sp>
    <xdr:clientData/>
  </xdr:twoCellAnchor>
  <xdr:twoCellAnchor>
    <xdr:from>
      <xdr:col>11</xdr:col>
      <xdr:colOff>63500</xdr:colOff>
      <xdr:row>76</xdr:row>
      <xdr:rowOff>12700</xdr:rowOff>
    </xdr:from>
    <xdr:to>
      <xdr:col>13</xdr:col>
      <xdr:colOff>0</xdr:colOff>
      <xdr:row>76</xdr:row>
      <xdr:rowOff>292100</xdr:rowOff>
    </xdr:to>
    <xdr:sp macro="'editNorm &quot;FP_Finanskonti_1&quot;,&quot;FP_Finanskonti_1Red&quot;,&quot;Finanskonti&quot;'" textlink="" fLocksText="0">
      <xdr:nvSpPr>
        <xdr:cNvPr id="14565" name="FP_Finanskonti_1Red">
          <a:extLst>
            <a:ext uri="{FF2B5EF4-FFF2-40B4-BE49-F238E27FC236}">
              <a16:creationId xmlns:a16="http://schemas.microsoft.com/office/drawing/2014/main" id="{00000000-0008-0000-0300-0000E5380000}"/>
            </a:ext>
          </a:extLst>
        </xdr:cNvPr>
        <xdr:cNvSpPr/>
      </xdr:nvSpPr>
      <xdr:spPr>
        <a:xfrm>
          <a:off x="9112250" y="23834725"/>
          <a:ext cx="1612900" cy="279400"/>
        </a:xfrm>
        <a:prstGeom prst="roundRect">
          <a:avLst/>
        </a:prstGeom>
        <a:gradFill flip="none" rotWithShape="1">
          <a:gsLst>
            <a:gs pos="0">
              <a:srgbClr val="B4B4B4"/>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Rediger</a:t>
          </a:r>
        </a:p>
      </xdr:txBody>
    </xdr:sp>
    <xdr:clientData/>
  </xdr:twoCellAnchor>
  <xdr:twoCellAnchor>
    <xdr:from>
      <xdr:col>11</xdr:col>
      <xdr:colOff>63500</xdr:colOff>
      <xdr:row>76</xdr:row>
      <xdr:rowOff>12700</xdr:rowOff>
    </xdr:from>
    <xdr:to>
      <xdr:col>12</xdr:col>
      <xdr:colOff>0</xdr:colOff>
      <xdr:row>76</xdr:row>
      <xdr:rowOff>292100</xdr:rowOff>
    </xdr:to>
    <xdr:sp macro="'editNorm &quot;FP_Finanskonti_1&quot;,&quot;FP_Finanskonti_1Gem&quot;,&quot;Finanskonti&quot;'" textlink="" fLocksText="0">
      <xdr:nvSpPr>
        <xdr:cNvPr id="14566" name="FP_Finanskonti_1Gem" hidden="1">
          <a:extLst>
            <a:ext uri="{FF2B5EF4-FFF2-40B4-BE49-F238E27FC236}">
              <a16:creationId xmlns:a16="http://schemas.microsoft.com/office/drawing/2014/main" id="{00000000-0008-0000-0300-0000E6380000}"/>
            </a:ext>
          </a:extLst>
        </xdr:cNvPr>
        <xdr:cNvSpPr/>
      </xdr:nvSpPr>
      <xdr:spPr>
        <a:xfrm>
          <a:off x="9112250" y="23834725"/>
          <a:ext cx="774700" cy="279400"/>
        </a:xfrm>
        <a:prstGeom prst="roundRect">
          <a:avLst/>
        </a:prstGeom>
        <a:gradFill flip="none" rotWithShape="1">
          <a:gsLst>
            <a:gs pos="0">
              <a:srgbClr val="96B412"/>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Gem</a:t>
          </a:r>
        </a:p>
      </xdr:txBody>
    </xdr:sp>
    <xdr:clientData/>
  </xdr:twoCellAnchor>
  <xdr:twoCellAnchor>
    <xdr:from>
      <xdr:col>12</xdr:col>
      <xdr:colOff>88900</xdr:colOff>
      <xdr:row>76</xdr:row>
      <xdr:rowOff>12700</xdr:rowOff>
    </xdr:from>
    <xdr:to>
      <xdr:col>13</xdr:col>
      <xdr:colOff>0</xdr:colOff>
      <xdr:row>76</xdr:row>
      <xdr:rowOff>292100</xdr:rowOff>
    </xdr:to>
    <xdr:sp macro="'editNorm &quot;FP_Finanskonti_1&quot;,&quot;FP_Finanskonti_1Cancel&quot;,&quot;Finanskonti&quot;'" textlink="" fLocksText="0">
      <xdr:nvSpPr>
        <xdr:cNvPr id="14567" name="FP_Finanskonti_1Cancel" hidden="1">
          <a:extLst>
            <a:ext uri="{FF2B5EF4-FFF2-40B4-BE49-F238E27FC236}">
              <a16:creationId xmlns:a16="http://schemas.microsoft.com/office/drawing/2014/main" id="{00000000-0008-0000-0300-0000E7380000}"/>
            </a:ext>
          </a:extLst>
        </xdr:cNvPr>
        <xdr:cNvSpPr/>
      </xdr:nvSpPr>
      <xdr:spPr>
        <a:xfrm>
          <a:off x="9975850" y="23834725"/>
          <a:ext cx="749300" cy="279400"/>
        </a:xfrm>
        <a:prstGeom prst="roundRect">
          <a:avLst/>
        </a:prstGeom>
        <a:gradFill flip="none" rotWithShape="1">
          <a:gsLst>
            <a:gs pos="0">
              <a:srgbClr val="B4B4B4"/>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Annuller</a:t>
          </a:r>
        </a:p>
      </xdr:txBody>
    </xdr:sp>
    <xdr:clientData/>
  </xdr:twoCellAnchor>
  <xdr:twoCellAnchor>
    <xdr:from>
      <xdr:col>13</xdr:col>
      <xdr:colOff>88900</xdr:colOff>
      <xdr:row>76</xdr:row>
      <xdr:rowOff>12700</xdr:rowOff>
    </xdr:from>
    <xdr:to>
      <xdr:col>14</xdr:col>
      <xdr:colOff>0</xdr:colOff>
      <xdr:row>76</xdr:row>
      <xdr:rowOff>292100</xdr:rowOff>
    </xdr:to>
    <xdr:sp macro="'editNorm &quot;FP_Finanskonti_1&quot;,&quot;FP_Finanskonti_1Delete&quot;,&quot;Finanskonti&quot;'" textlink="" fLocksText="0">
      <xdr:nvSpPr>
        <xdr:cNvPr id="14568" name="FP_Finanskonti_1Delete" hidden="1">
          <a:extLst>
            <a:ext uri="{FF2B5EF4-FFF2-40B4-BE49-F238E27FC236}">
              <a16:creationId xmlns:a16="http://schemas.microsoft.com/office/drawing/2014/main" id="{00000000-0008-0000-0300-0000E8380000}"/>
            </a:ext>
          </a:extLst>
        </xdr:cNvPr>
        <xdr:cNvSpPr/>
      </xdr:nvSpPr>
      <xdr:spPr>
        <a:xfrm>
          <a:off x="10814050" y="23834725"/>
          <a:ext cx="749300" cy="279400"/>
        </a:xfrm>
        <a:prstGeom prst="roundRect">
          <a:avLst/>
        </a:prstGeom>
        <a:gradFill flip="none" rotWithShape="1">
          <a:gsLst>
            <a:gs pos="0">
              <a:srgbClr val="C83232"/>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Slet</a:t>
          </a:r>
        </a:p>
      </xdr:txBody>
    </xdr:sp>
    <xdr:clientData/>
  </xdr:twoCellAnchor>
  <xdr:twoCellAnchor>
    <xdr:from>
      <xdr:col>3</xdr:col>
      <xdr:colOff>0</xdr:colOff>
      <xdr:row>77</xdr:row>
      <xdr:rowOff>25400</xdr:rowOff>
    </xdr:from>
    <xdr:to>
      <xdr:col>13</xdr:col>
      <xdr:colOff>0</xdr:colOff>
      <xdr:row>77</xdr:row>
      <xdr:rowOff>50800</xdr:rowOff>
    </xdr:to>
    <xdr:sp macro="" textlink="">
      <xdr:nvSpPr>
        <xdr:cNvPr id="14569" name="FP_FinanskontiL1_1">
          <a:extLst>
            <a:ext uri="{FF2B5EF4-FFF2-40B4-BE49-F238E27FC236}">
              <a16:creationId xmlns:a16="http://schemas.microsoft.com/office/drawing/2014/main" id="{00000000-0008-0000-0300-0000E9380000}"/>
            </a:ext>
          </a:extLst>
        </xdr:cNvPr>
        <xdr:cNvSpPr/>
      </xdr:nvSpPr>
      <xdr:spPr>
        <a:xfrm>
          <a:off x="2343150" y="24152225"/>
          <a:ext cx="8382000" cy="25400"/>
        </a:xfrm>
        <a:prstGeom prst="roundRect">
          <a:avLst/>
        </a:prstGeom>
        <a:gradFill flip="none" rotWithShape="1">
          <a:gsLst>
            <a:gs pos="0">
              <a:srgbClr val="B4B4B4"/>
            </a:gs>
            <a:gs pos="100000">
              <a:srgbClr val="646464"/>
            </a:gs>
          </a:gsLst>
          <a:lin ang="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clientData/>
  </xdr:twoCellAnchor>
  <xdr:twoCellAnchor>
    <xdr:from>
      <xdr:col>11</xdr:col>
      <xdr:colOff>63500</xdr:colOff>
      <xdr:row>79</xdr:row>
      <xdr:rowOff>12700</xdr:rowOff>
    </xdr:from>
    <xdr:to>
      <xdr:col>13</xdr:col>
      <xdr:colOff>0</xdr:colOff>
      <xdr:row>79</xdr:row>
      <xdr:rowOff>292100</xdr:rowOff>
    </xdr:to>
    <xdr:sp macro="'editNorm &quot;FP_Finanskonti_2&quot;,&quot;FP_Finanskonti_2Red&quot;,&quot;Finanskonti&quot;'" textlink="" fLocksText="0">
      <xdr:nvSpPr>
        <xdr:cNvPr id="14570" name="FP_Finanskonti_2Red">
          <a:extLst>
            <a:ext uri="{FF2B5EF4-FFF2-40B4-BE49-F238E27FC236}">
              <a16:creationId xmlns:a16="http://schemas.microsoft.com/office/drawing/2014/main" id="{00000000-0008-0000-0300-0000EA380000}"/>
            </a:ext>
          </a:extLst>
        </xdr:cNvPr>
        <xdr:cNvSpPr/>
      </xdr:nvSpPr>
      <xdr:spPr>
        <a:xfrm>
          <a:off x="9112250" y="24377650"/>
          <a:ext cx="1612900" cy="279400"/>
        </a:xfrm>
        <a:prstGeom prst="roundRect">
          <a:avLst/>
        </a:prstGeom>
        <a:gradFill flip="none" rotWithShape="1">
          <a:gsLst>
            <a:gs pos="0">
              <a:srgbClr val="B4B4B4"/>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Rediger</a:t>
          </a:r>
        </a:p>
      </xdr:txBody>
    </xdr:sp>
    <xdr:clientData/>
  </xdr:twoCellAnchor>
  <xdr:twoCellAnchor>
    <xdr:from>
      <xdr:col>11</xdr:col>
      <xdr:colOff>63500</xdr:colOff>
      <xdr:row>79</xdr:row>
      <xdr:rowOff>12700</xdr:rowOff>
    </xdr:from>
    <xdr:to>
      <xdr:col>12</xdr:col>
      <xdr:colOff>0</xdr:colOff>
      <xdr:row>79</xdr:row>
      <xdr:rowOff>292100</xdr:rowOff>
    </xdr:to>
    <xdr:sp macro="'editNorm &quot;FP_Finanskonti_2&quot;,&quot;FP_Finanskonti_2Gem&quot;,&quot;Finanskonti&quot;'" textlink="" fLocksText="0">
      <xdr:nvSpPr>
        <xdr:cNvPr id="14571" name="FP_Finanskonti_2Gem" hidden="1">
          <a:extLst>
            <a:ext uri="{FF2B5EF4-FFF2-40B4-BE49-F238E27FC236}">
              <a16:creationId xmlns:a16="http://schemas.microsoft.com/office/drawing/2014/main" id="{00000000-0008-0000-0300-0000EB380000}"/>
            </a:ext>
          </a:extLst>
        </xdr:cNvPr>
        <xdr:cNvSpPr/>
      </xdr:nvSpPr>
      <xdr:spPr>
        <a:xfrm>
          <a:off x="9112250" y="24377650"/>
          <a:ext cx="774700" cy="279400"/>
        </a:xfrm>
        <a:prstGeom prst="roundRect">
          <a:avLst/>
        </a:prstGeom>
        <a:gradFill flip="none" rotWithShape="1">
          <a:gsLst>
            <a:gs pos="0">
              <a:srgbClr val="96B412"/>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Gem</a:t>
          </a:r>
        </a:p>
      </xdr:txBody>
    </xdr:sp>
    <xdr:clientData/>
  </xdr:twoCellAnchor>
  <xdr:twoCellAnchor>
    <xdr:from>
      <xdr:col>12</xdr:col>
      <xdr:colOff>88900</xdr:colOff>
      <xdr:row>79</xdr:row>
      <xdr:rowOff>12700</xdr:rowOff>
    </xdr:from>
    <xdr:to>
      <xdr:col>13</xdr:col>
      <xdr:colOff>0</xdr:colOff>
      <xdr:row>79</xdr:row>
      <xdr:rowOff>292100</xdr:rowOff>
    </xdr:to>
    <xdr:sp macro="'editNorm &quot;FP_Finanskonti_2&quot;,&quot;FP_Finanskonti_2Cancel&quot;,&quot;Finanskonti&quot;'" textlink="" fLocksText="0">
      <xdr:nvSpPr>
        <xdr:cNvPr id="14572" name="FP_Finanskonti_2Cancel" hidden="1">
          <a:extLst>
            <a:ext uri="{FF2B5EF4-FFF2-40B4-BE49-F238E27FC236}">
              <a16:creationId xmlns:a16="http://schemas.microsoft.com/office/drawing/2014/main" id="{00000000-0008-0000-0300-0000EC380000}"/>
            </a:ext>
          </a:extLst>
        </xdr:cNvPr>
        <xdr:cNvSpPr/>
      </xdr:nvSpPr>
      <xdr:spPr>
        <a:xfrm>
          <a:off x="9975850" y="24377650"/>
          <a:ext cx="749300" cy="279400"/>
        </a:xfrm>
        <a:prstGeom prst="roundRect">
          <a:avLst/>
        </a:prstGeom>
        <a:gradFill flip="none" rotWithShape="1">
          <a:gsLst>
            <a:gs pos="0">
              <a:srgbClr val="B4B4B4"/>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Annuller</a:t>
          </a:r>
        </a:p>
      </xdr:txBody>
    </xdr:sp>
    <xdr:clientData/>
  </xdr:twoCellAnchor>
  <xdr:twoCellAnchor>
    <xdr:from>
      <xdr:col>13</xdr:col>
      <xdr:colOff>88900</xdr:colOff>
      <xdr:row>79</xdr:row>
      <xdr:rowOff>12700</xdr:rowOff>
    </xdr:from>
    <xdr:to>
      <xdr:col>14</xdr:col>
      <xdr:colOff>0</xdr:colOff>
      <xdr:row>79</xdr:row>
      <xdr:rowOff>292100</xdr:rowOff>
    </xdr:to>
    <xdr:sp macro="'editNorm &quot;FP_Finanskonti_2&quot;,&quot;FP_Finanskonti_2Delete&quot;,&quot;Finanskonti&quot;'" textlink="" fLocksText="0">
      <xdr:nvSpPr>
        <xdr:cNvPr id="14573" name="FP_Finanskonti_2Delete" hidden="1">
          <a:extLst>
            <a:ext uri="{FF2B5EF4-FFF2-40B4-BE49-F238E27FC236}">
              <a16:creationId xmlns:a16="http://schemas.microsoft.com/office/drawing/2014/main" id="{00000000-0008-0000-0300-0000ED380000}"/>
            </a:ext>
          </a:extLst>
        </xdr:cNvPr>
        <xdr:cNvSpPr/>
      </xdr:nvSpPr>
      <xdr:spPr>
        <a:xfrm>
          <a:off x="10814050" y="24377650"/>
          <a:ext cx="749300" cy="279400"/>
        </a:xfrm>
        <a:prstGeom prst="roundRect">
          <a:avLst/>
        </a:prstGeom>
        <a:gradFill flip="none" rotWithShape="1">
          <a:gsLst>
            <a:gs pos="0">
              <a:srgbClr val="C83232"/>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Slet</a:t>
          </a:r>
        </a:p>
      </xdr:txBody>
    </xdr:sp>
    <xdr:clientData/>
  </xdr:twoCellAnchor>
  <xdr:twoCellAnchor>
    <xdr:from>
      <xdr:col>3</xdr:col>
      <xdr:colOff>0</xdr:colOff>
      <xdr:row>80</xdr:row>
      <xdr:rowOff>25400</xdr:rowOff>
    </xdr:from>
    <xdr:to>
      <xdr:col>13</xdr:col>
      <xdr:colOff>0</xdr:colOff>
      <xdr:row>80</xdr:row>
      <xdr:rowOff>50800</xdr:rowOff>
    </xdr:to>
    <xdr:sp macro="" textlink="">
      <xdr:nvSpPr>
        <xdr:cNvPr id="14574" name="FP_FinanskontiL1_2">
          <a:extLst>
            <a:ext uri="{FF2B5EF4-FFF2-40B4-BE49-F238E27FC236}">
              <a16:creationId xmlns:a16="http://schemas.microsoft.com/office/drawing/2014/main" id="{00000000-0008-0000-0300-0000EE380000}"/>
            </a:ext>
          </a:extLst>
        </xdr:cNvPr>
        <xdr:cNvSpPr/>
      </xdr:nvSpPr>
      <xdr:spPr>
        <a:xfrm>
          <a:off x="2343150" y="24695150"/>
          <a:ext cx="8382000" cy="25400"/>
        </a:xfrm>
        <a:prstGeom prst="roundRect">
          <a:avLst/>
        </a:prstGeom>
        <a:gradFill flip="none" rotWithShape="1">
          <a:gsLst>
            <a:gs pos="0">
              <a:srgbClr val="B4B4B4"/>
            </a:gs>
            <a:gs pos="100000">
              <a:srgbClr val="646464"/>
            </a:gs>
          </a:gsLst>
          <a:lin ang="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clientData/>
  </xdr:twoCellAnchor>
  <xdr:twoCellAnchor>
    <xdr:from>
      <xdr:col>11</xdr:col>
      <xdr:colOff>63500</xdr:colOff>
      <xdr:row>82</xdr:row>
      <xdr:rowOff>12700</xdr:rowOff>
    </xdr:from>
    <xdr:to>
      <xdr:col>13</xdr:col>
      <xdr:colOff>0</xdr:colOff>
      <xdr:row>82</xdr:row>
      <xdr:rowOff>292100</xdr:rowOff>
    </xdr:to>
    <xdr:sp macro="'editNorm &quot;FP_Finanskonti_3&quot;,&quot;FP_Finanskonti_3Red&quot;,&quot;Finanskonti&quot;'" textlink="" fLocksText="0">
      <xdr:nvSpPr>
        <xdr:cNvPr id="14575" name="FP_Finanskonti_3Red">
          <a:extLst>
            <a:ext uri="{FF2B5EF4-FFF2-40B4-BE49-F238E27FC236}">
              <a16:creationId xmlns:a16="http://schemas.microsoft.com/office/drawing/2014/main" id="{00000000-0008-0000-0300-0000EF380000}"/>
            </a:ext>
          </a:extLst>
        </xdr:cNvPr>
        <xdr:cNvSpPr/>
      </xdr:nvSpPr>
      <xdr:spPr>
        <a:xfrm>
          <a:off x="9112250" y="24920575"/>
          <a:ext cx="1612900" cy="279400"/>
        </a:xfrm>
        <a:prstGeom prst="roundRect">
          <a:avLst/>
        </a:prstGeom>
        <a:gradFill flip="none" rotWithShape="1">
          <a:gsLst>
            <a:gs pos="0">
              <a:srgbClr val="B4B4B4"/>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Rediger</a:t>
          </a:r>
        </a:p>
      </xdr:txBody>
    </xdr:sp>
    <xdr:clientData/>
  </xdr:twoCellAnchor>
  <xdr:twoCellAnchor>
    <xdr:from>
      <xdr:col>11</xdr:col>
      <xdr:colOff>63500</xdr:colOff>
      <xdr:row>82</xdr:row>
      <xdr:rowOff>12700</xdr:rowOff>
    </xdr:from>
    <xdr:to>
      <xdr:col>12</xdr:col>
      <xdr:colOff>0</xdr:colOff>
      <xdr:row>82</xdr:row>
      <xdr:rowOff>292100</xdr:rowOff>
    </xdr:to>
    <xdr:sp macro="'editNorm &quot;FP_Finanskonti_3&quot;,&quot;FP_Finanskonti_3Gem&quot;,&quot;Finanskonti&quot;'" textlink="" fLocksText="0">
      <xdr:nvSpPr>
        <xdr:cNvPr id="14576" name="FP_Finanskonti_3Gem" hidden="1">
          <a:extLst>
            <a:ext uri="{FF2B5EF4-FFF2-40B4-BE49-F238E27FC236}">
              <a16:creationId xmlns:a16="http://schemas.microsoft.com/office/drawing/2014/main" id="{00000000-0008-0000-0300-0000F0380000}"/>
            </a:ext>
          </a:extLst>
        </xdr:cNvPr>
        <xdr:cNvSpPr/>
      </xdr:nvSpPr>
      <xdr:spPr>
        <a:xfrm>
          <a:off x="9112250" y="24920575"/>
          <a:ext cx="774700" cy="279400"/>
        </a:xfrm>
        <a:prstGeom prst="roundRect">
          <a:avLst/>
        </a:prstGeom>
        <a:gradFill flip="none" rotWithShape="1">
          <a:gsLst>
            <a:gs pos="0">
              <a:srgbClr val="96B412"/>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Gem</a:t>
          </a:r>
        </a:p>
      </xdr:txBody>
    </xdr:sp>
    <xdr:clientData/>
  </xdr:twoCellAnchor>
  <xdr:twoCellAnchor>
    <xdr:from>
      <xdr:col>12</xdr:col>
      <xdr:colOff>88900</xdr:colOff>
      <xdr:row>82</xdr:row>
      <xdr:rowOff>12700</xdr:rowOff>
    </xdr:from>
    <xdr:to>
      <xdr:col>13</xdr:col>
      <xdr:colOff>0</xdr:colOff>
      <xdr:row>82</xdr:row>
      <xdr:rowOff>292100</xdr:rowOff>
    </xdr:to>
    <xdr:sp macro="'editNorm &quot;FP_Finanskonti_3&quot;,&quot;FP_Finanskonti_3Cancel&quot;,&quot;Finanskonti&quot;'" textlink="" fLocksText="0">
      <xdr:nvSpPr>
        <xdr:cNvPr id="14577" name="FP_Finanskonti_3Cancel" hidden="1">
          <a:extLst>
            <a:ext uri="{FF2B5EF4-FFF2-40B4-BE49-F238E27FC236}">
              <a16:creationId xmlns:a16="http://schemas.microsoft.com/office/drawing/2014/main" id="{00000000-0008-0000-0300-0000F1380000}"/>
            </a:ext>
          </a:extLst>
        </xdr:cNvPr>
        <xdr:cNvSpPr/>
      </xdr:nvSpPr>
      <xdr:spPr>
        <a:xfrm>
          <a:off x="9975850" y="24920575"/>
          <a:ext cx="749300" cy="279400"/>
        </a:xfrm>
        <a:prstGeom prst="roundRect">
          <a:avLst/>
        </a:prstGeom>
        <a:gradFill flip="none" rotWithShape="1">
          <a:gsLst>
            <a:gs pos="0">
              <a:srgbClr val="B4B4B4"/>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Annuller</a:t>
          </a:r>
        </a:p>
      </xdr:txBody>
    </xdr:sp>
    <xdr:clientData/>
  </xdr:twoCellAnchor>
  <xdr:twoCellAnchor>
    <xdr:from>
      <xdr:col>13</xdr:col>
      <xdr:colOff>88900</xdr:colOff>
      <xdr:row>82</xdr:row>
      <xdr:rowOff>12700</xdr:rowOff>
    </xdr:from>
    <xdr:to>
      <xdr:col>14</xdr:col>
      <xdr:colOff>0</xdr:colOff>
      <xdr:row>82</xdr:row>
      <xdr:rowOff>292100</xdr:rowOff>
    </xdr:to>
    <xdr:sp macro="'editNorm &quot;FP_Finanskonti_3&quot;,&quot;FP_Finanskonti_3Delete&quot;,&quot;Finanskonti&quot;'" textlink="" fLocksText="0">
      <xdr:nvSpPr>
        <xdr:cNvPr id="14578" name="FP_Finanskonti_3Delete" hidden="1">
          <a:extLst>
            <a:ext uri="{FF2B5EF4-FFF2-40B4-BE49-F238E27FC236}">
              <a16:creationId xmlns:a16="http://schemas.microsoft.com/office/drawing/2014/main" id="{00000000-0008-0000-0300-0000F2380000}"/>
            </a:ext>
          </a:extLst>
        </xdr:cNvPr>
        <xdr:cNvSpPr/>
      </xdr:nvSpPr>
      <xdr:spPr>
        <a:xfrm>
          <a:off x="10814050" y="24920575"/>
          <a:ext cx="749300" cy="279400"/>
        </a:xfrm>
        <a:prstGeom prst="roundRect">
          <a:avLst/>
        </a:prstGeom>
        <a:gradFill flip="none" rotWithShape="1">
          <a:gsLst>
            <a:gs pos="0">
              <a:srgbClr val="C83232"/>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Slet</a:t>
          </a:r>
        </a:p>
      </xdr:txBody>
    </xdr:sp>
    <xdr:clientData/>
  </xdr:twoCellAnchor>
  <xdr:twoCellAnchor>
    <xdr:from>
      <xdr:col>3</xdr:col>
      <xdr:colOff>0</xdr:colOff>
      <xdr:row>83</xdr:row>
      <xdr:rowOff>25400</xdr:rowOff>
    </xdr:from>
    <xdr:to>
      <xdr:col>13</xdr:col>
      <xdr:colOff>0</xdr:colOff>
      <xdr:row>83</xdr:row>
      <xdr:rowOff>50800</xdr:rowOff>
    </xdr:to>
    <xdr:sp macro="" textlink="">
      <xdr:nvSpPr>
        <xdr:cNvPr id="14579" name="FP_FinanskontiL1_3">
          <a:extLst>
            <a:ext uri="{FF2B5EF4-FFF2-40B4-BE49-F238E27FC236}">
              <a16:creationId xmlns:a16="http://schemas.microsoft.com/office/drawing/2014/main" id="{00000000-0008-0000-0300-0000F3380000}"/>
            </a:ext>
          </a:extLst>
        </xdr:cNvPr>
        <xdr:cNvSpPr/>
      </xdr:nvSpPr>
      <xdr:spPr>
        <a:xfrm>
          <a:off x="2343150" y="25238075"/>
          <a:ext cx="8382000" cy="25400"/>
        </a:xfrm>
        <a:prstGeom prst="roundRect">
          <a:avLst/>
        </a:prstGeom>
        <a:gradFill flip="none" rotWithShape="1">
          <a:gsLst>
            <a:gs pos="0">
              <a:srgbClr val="B4B4B4"/>
            </a:gs>
            <a:gs pos="100000">
              <a:srgbClr val="646464"/>
            </a:gs>
          </a:gsLst>
          <a:lin ang="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clientData/>
  </xdr:twoCellAnchor>
  <xdr:twoCellAnchor>
    <xdr:from>
      <xdr:col>11</xdr:col>
      <xdr:colOff>63500</xdr:colOff>
      <xdr:row>85</xdr:row>
      <xdr:rowOff>12700</xdr:rowOff>
    </xdr:from>
    <xdr:to>
      <xdr:col>13</xdr:col>
      <xdr:colOff>0</xdr:colOff>
      <xdr:row>85</xdr:row>
      <xdr:rowOff>292100</xdr:rowOff>
    </xdr:to>
    <xdr:sp macro="'editNorm &quot;FP_Finanskonti_4&quot;,&quot;FP_Finanskonti_4Red&quot;,&quot;Finanskonti&quot;'" textlink="" fLocksText="0">
      <xdr:nvSpPr>
        <xdr:cNvPr id="14580" name="FP_Finanskonti_4Red">
          <a:extLst>
            <a:ext uri="{FF2B5EF4-FFF2-40B4-BE49-F238E27FC236}">
              <a16:creationId xmlns:a16="http://schemas.microsoft.com/office/drawing/2014/main" id="{00000000-0008-0000-0300-0000F4380000}"/>
            </a:ext>
          </a:extLst>
        </xdr:cNvPr>
        <xdr:cNvSpPr/>
      </xdr:nvSpPr>
      <xdr:spPr>
        <a:xfrm>
          <a:off x="9112250" y="25463500"/>
          <a:ext cx="1612900" cy="279400"/>
        </a:xfrm>
        <a:prstGeom prst="roundRect">
          <a:avLst/>
        </a:prstGeom>
        <a:gradFill flip="none" rotWithShape="1">
          <a:gsLst>
            <a:gs pos="0">
              <a:srgbClr val="B4B4B4"/>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Rediger</a:t>
          </a:r>
        </a:p>
      </xdr:txBody>
    </xdr:sp>
    <xdr:clientData/>
  </xdr:twoCellAnchor>
  <xdr:twoCellAnchor>
    <xdr:from>
      <xdr:col>11</xdr:col>
      <xdr:colOff>63500</xdr:colOff>
      <xdr:row>85</xdr:row>
      <xdr:rowOff>12700</xdr:rowOff>
    </xdr:from>
    <xdr:to>
      <xdr:col>12</xdr:col>
      <xdr:colOff>0</xdr:colOff>
      <xdr:row>85</xdr:row>
      <xdr:rowOff>292100</xdr:rowOff>
    </xdr:to>
    <xdr:sp macro="'editNorm &quot;FP_Finanskonti_4&quot;,&quot;FP_Finanskonti_4Gem&quot;,&quot;Finanskonti&quot;'" textlink="" fLocksText="0">
      <xdr:nvSpPr>
        <xdr:cNvPr id="14581" name="FP_Finanskonti_4Gem" hidden="1">
          <a:extLst>
            <a:ext uri="{FF2B5EF4-FFF2-40B4-BE49-F238E27FC236}">
              <a16:creationId xmlns:a16="http://schemas.microsoft.com/office/drawing/2014/main" id="{00000000-0008-0000-0300-0000F5380000}"/>
            </a:ext>
          </a:extLst>
        </xdr:cNvPr>
        <xdr:cNvSpPr/>
      </xdr:nvSpPr>
      <xdr:spPr>
        <a:xfrm>
          <a:off x="9112250" y="25463500"/>
          <a:ext cx="774700" cy="279400"/>
        </a:xfrm>
        <a:prstGeom prst="roundRect">
          <a:avLst/>
        </a:prstGeom>
        <a:gradFill flip="none" rotWithShape="1">
          <a:gsLst>
            <a:gs pos="0">
              <a:srgbClr val="96B412"/>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Gem</a:t>
          </a:r>
        </a:p>
      </xdr:txBody>
    </xdr:sp>
    <xdr:clientData/>
  </xdr:twoCellAnchor>
  <xdr:twoCellAnchor>
    <xdr:from>
      <xdr:col>12</xdr:col>
      <xdr:colOff>88900</xdr:colOff>
      <xdr:row>85</xdr:row>
      <xdr:rowOff>12700</xdr:rowOff>
    </xdr:from>
    <xdr:to>
      <xdr:col>13</xdr:col>
      <xdr:colOff>0</xdr:colOff>
      <xdr:row>85</xdr:row>
      <xdr:rowOff>292100</xdr:rowOff>
    </xdr:to>
    <xdr:sp macro="'editNorm &quot;FP_Finanskonti_4&quot;,&quot;FP_Finanskonti_4Cancel&quot;,&quot;Finanskonti&quot;'" textlink="" fLocksText="0">
      <xdr:nvSpPr>
        <xdr:cNvPr id="14582" name="FP_Finanskonti_4Cancel" hidden="1">
          <a:extLst>
            <a:ext uri="{FF2B5EF4-FFF2-40B4-BE49-F238E27FC236}">
              <a16:creationId xmlns:a16="http://schemas.microsoft.com/office/drawing/2014/main" id="{00000000-0008-0000-0300-0000F6380000}"/>
            </a:ext>
          </a:extLst>
        </xdr:cNvPr>
        <xdr:cNvSpPr/>
      </xdr:nvSpPr>
      <xdr:spPr>
        <a:xfrm>
          <a:off x="9975850" y="25463500"/>
          <a:ext cx="749300" cy="279400"/>
        </a:xfrm>
        <a:prstGeom prst="roundRect">
          <a:avLst/>
        </a:prstGeom>
        <a:gradFill flip="none" rotWithShape="1">
          <a:gsLst>
            <a:gs pos="0">
              <a:srgbClr val="B4B4B4"/>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Annuller</a:t>
          </a:r>
        </a:p>
      </xdr:txBody>
    </xdr:sp>
    <xdr:clientData/>
  </xdr:twoCellAnchor>
  <xdr:twoCellAnchor>
    <xdr:from>
      <xdr:col>13</xdr:col>
      <xdr:colOff>88900</xdr:colOff>
      <xdr:row>85</xdr:row>
      <xdr:rowOff>12700</xdr:rowOff>
    </xdr:from>
    <xdr:to>
      <xdr:col>14</xdr:col>
      <xdr:colOff>0</xdr:colOff>
      <xdr:row>85</xdr:row>
      <xdr:rowOff>292100</xdr:rowOff>
    </xdr:to>
    <xdr:sp macro="'editNorm &quot;FP_Finanskonti_4&quot;,&quot;FP_Finanskonti_4Delete&quot;,&quot;Finanskonti&quot;'" textlink="" fLocksText="0">
      <xdr:nvSpPr>
        <xdr:cNvPr id="14583" name="FP_Finanskonti_4Delete" hidden="1">
          <a:extLst>
            <a:ext uri="{FF2B5EF4-FFF2-40B4-BE49-F238E27FC236}">
              <a16:creationId xmlns:a16="http://schemas.microsoft.com/office/drawing/2014/main" id="{00000000-0008-0000-0300-0000F7380000}"/>
            </a:ext>
          </a:extLst>
        </xdr:cNvPr>
        <xdr:cNvSpPr/>
      </xdr:nvSpPr>
      <xdr:spPr>
        <a:xfrm>
          <a:off x="10814050" y="25463500"/>
          <a:ext cx="749300" cy="279400"/>
        </a:xfrm>
        <a:prstGeom prst="roundRect">
          <a:avLst/>
        </a:prstGeom>
        <a:gradFill flip="none" rotWithShape="1">
          <a:gsLst>
            <a:gs pos="0">
              <a:srgbClr val="C83232"/>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Slet</a:t>
          </a:r>
        </a:p>
      </xdr:txBody>
    </xdr:sp>
    <xdr:clientData/>
  </xdr:twoCellAnchor>
  <xdr:twoCellAnchor>
    <xdr:from>
      <xdr:col>3</xdr:col>
      <xdr:colOff>0</xdr:colOff>
      <xdr:row>86</xdr:row>
      <xdr:rowOff>25400</xdr:rowOff>
    </xdr:from>
    <xdr:to>
      <xdr:col>13</xdr:col>
      <xdr:colOff>0</xdr:colOff>
      <xdr:row>86</xdr:row>
      <xdr:rowOff>50800</xdr:rowOff>
    </xdr:to>
    <xdr:sp macro="" textlink="">
      <xdr:nvSpPr>
        <xdr:cNvPr id="14584" name="FP_FinanskontiL1_4">
          <a:extLst>
            <a:ext uri="{FF2B5EF4-FFF2-40B4-BE49-F238E27FC236}">
              <a16:creationId xmlns:a16="http://schemas.microsoft.com/office/drawing/2014/main" id="{00000000-0008-0000-0300-0000F8380000}"/>
            </a:ext>
          </a:extLst>
        </xdr:cNvPr>
        <xdr:cNvSpPr/>
      </xdr:nvSpPr>
      <xdr:spPr>
        <a:xfrm>
          <a:off x="2343150" y="25781000"/>
          <a:ext cx="8382000" cy="25400"/>
        </a:xfrm>
        <a:prstGeom prst="roundRect">
          <a:avLst/>
        </a:prstGeom>
        <a:gradFill flip="none" rotWithShape="1">
          <a:gsLst>
            <a:gs pos="0">
              <a:srgbClr val="B4B4B4"/>
            </a:gs>
            <a:gs pos="100000">
              <a:srgbClr val="646464"/>
            </a:gs>
          </a:gsLst>
          <a:lin ang="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clientData/>
  </xdr:twoCellAnchor>
  <xdr:twoCellAnchor>
    <xdr:from>
      <xdr:col>11</xdr:col>
      <xdr:colOff>63500</xdr:colOff>
      <xdr:row>88</xdr:row>
      <xdr:rowOff>12700</xdr:rowOff>
    </xdr:from>
    <xdr:to>
      <xdr:col>13</xdr:col>
      <xdr:colOff>0</xdr:colOff>
      <xdr:row>88</xdr:row>
      <xdr:rowOff>292100</xdr:rowOff>
    </xdr:to>
    <xdr:sp macro="'editNorm &quot;FP_Finanskonti_5&quot;,&quot;FP_Finanskonti_5Red&quot;,&quot;Finanskonti&quot;'" textlink="" fLocksText="0">
      <xdr:nvSpPr>
        <xdr:cNvPr id="14585" name="FP_Finanskonti_5Red">
          <a:extLst>
            <a:ext uri="{FF2B5EF4-FFF2-40B4-BE49-F238E27FC236}">
              <a16:creationId xmlns:a16="http://schemas.microsoft.com/office/drawing/2014/main" id="{00000000-0008-0000-0300-0000F9380000}"/>
            </a:ext>
          </a:extLst>
        </xdr:cNvPr>
        <xdr:cNvSpPr/>
      </xdr:nvSpPr>
      <xdr:spPr>
        <a:xfrm>
          <a:off x="9112250" y="26006425"/>
          <a:ext cx="1612900" cy="279400"/>
        </a:xfrm>
        <a:prstGeom prst="roundRect">
          <a:avLst/>
        </a:prstGeom>
        <a:gradFill flip="none" rotWithShape="1">
          <a:gsLst>
            <a:gs pos="0">
              <a:srgbClr val="B4B4B4"/>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Rediger</a:t>
          </a:r>
        </a:p>
      </xdr:txBody>
    </xdr:sp>
    <xdr:clientData/>
  </xdr:twoCellAnchor>
  <xdr:twoCellAnchor>
    <xdr:from>
      <xdr:col>11</xdr:col>
      <xdr:colOff>63500</xdr:colOff>
      <xdr:row>88</xdr:row>
      <xdr:rowOff>12700</xdr:rowOff>
    </xdr:from>
    <xdr:to>
      <xdr:col>12</xdr:col>
      <xdr:colOff>0</xdr:colOff>
      <xdr:row>88</xdr:row>
      <xdr:rowOff>292100</xdr:rowOff>
    </xdr:to>
    <xdr:sp macro="'editNorm &quot;FP_Finanskonti_5&quot;,&quot;FP_Finanskonti_5Gem&quot;,&quot;Finanskonti&quot;'" textlink="" fLocksText="0">
      <xdr:nvSpPr>
        <xdr:cNvPr id="14586" name="FP_Finanskonti_5Gem" hidden="1">
          <a:extLst>
            <a:ext uri="{FF2B5EF4-FFF2-40B4-BE49-F238E27FC236}">
              <a16:creationId xmlns:a16="http://schemas.microsoft.com/office/drawing/2014/main" id="{00000000-0008-0000-0300-0000FA380000}"/>
            </a:ext>
          </a:extLst>
        </xdr:cNvPr>
        <xdr:cNvSpPr/>
      </xdr:nvSpPr>
      <xdr:spPr>
        <a:xfrm>
          <a:off x="9112250" y="26006425"/>
          <a:ext cx="774700" cy="279400"/>
        </a:xfrm>
        <a:prstGeom prst="roundRect">
          <a:avLst/>
        </a:prstGeom>
        <a:gradFill flip="none" rotWithShape="1">
          <a:gsLst>
            <a:gs pos="0">
              <a:srgbClr val="96B412"/>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Gem</a:t>
          </a:r>
        </a:p>
      </xdr:txBody>
    </xdr:sp>
    <xdr:clientData/>
  </xdr:twoCellAnchor>
  <xdr:twoCellAnchor>
    <xdr:from>
      <xdr:col>12</xdr:col>
      <xdr:colOff>88900</xdr:colOff>
      <xdr:row>88</xdr:row>
      <xdr:rowOff>12700</xdr:rowOff>
    </xdr:from>
    <xdr:to>
      <xdr:col>13</xdr:col>
      <xdr:colOff>0</xdr:colOff>
      <xdr:row>88</xdr:row>
      <xdr:rowOff>292100</xdr:rowOff>
    </xdr:to>
    <xdr:sp macro="'editNorm &quot;FP_Finanskonti_5&quot;,&quot;FP_Finanskonti_5Cancel&quot;,&quot;Finanskonti&quot;'" textlink="" fLocksText="0">
      <xdr:nvSpPr>
        <xdr:cNvPr id="14587" name="FP_Finanskonti_5Cancel" hidden="1">
          <a:extLst>
            <a:ext uri="{FF2B5EF4-FFF2-40B4-BE49-F238E27FC236}">
              <a16:creationId xmlns:a16="http://schemas.microsoft.com/office/drawing/2014/main" id="{00000000-0008-0000-0300-0000FB380000}"/>
            </a:ext>
          </a:extLst>
        </xdr:cNvPr>
        <xdr:cNvSpPr/>
      </xdr:nvSpPr>
      <xdr:spPr>
        <a:xfrm>
          <a:off x="9975850" y="26006425"/>
          <a:ext cx="749300" cy="279400"/>
        </a:xfrm>
        <a:prstGeom prst="roundRect">
          <a:avLst/>
        </a:prstGeom>
        <a:gradFill flip="none" rotWithShape="1">
          <a:gsLst>
            <a:gs pos="0">
              <a:srgbClr val="B4B4B4"/>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Annuller</a:t>
          </a:r>
        </a:p>
      </xdr:txBody>
    </xdr:sp>
    <xdr:clientData/>
  </xdr:twoCellAnchor>
  <xdr:twoCellAnchor>
    <xdr:from>
      <xdr:col>13</xdr:col>
      <xdr:colOff>88900</xdr:colOff>
      <xdr:row>88</xdr:row>
      <xdr:rowOff>12700</xdr:rowOff>
    </xdr:from>
    <xdr:to>
      <xdr:col>14</xdr:col>
      <xdr:colOff>0</xdr:colOff>
      <xdr:row>88</xdr:row>
      <xdr:rowOff>292100</xdr:rowOff>
    </xdr:to>
    <xdr:sp macro="'editNorm &quot;FP_Finanskonti_5&quot;,&quot;FP_Finanskonti_5Delete&quot;,&quot;Finanskonti&quot;'" textlink="" fLocksText="0">
      <xdr:nvSpPr>
        <xdr:cNvPr id="14588" name="FP_Finanskonti_5Delete" hidden="1">
          <a:extLst>
            <a:ext uri="{FF2B5EF4-FFF2-40B4-BE49-F238E27FC236}">
              <a16:creationId xmlns:a16="http://schemas.microsoft.com/office/drawing/2014/main" id="{00000000-0008-0000-0300-0000FC380000}"/>
            </a:ext>
          </a:extLst>
        </xdr:cNvPr>
        <xdr:cNvSpPr/>
      </xdr:nvSpPr>
      <xdr:spPr>
        <a:xfrm>
          <a:off x="10814050" y="26006425"/>
          <a:ext cx="749300" cy="279400"/>
        </a:xfrm>
        <a:prstGeom prst="roundRect">
          <a:avLst/>
        </a:prstGeom>
        <a:gradFill flip="none" rotWithShape="1">
          <a:gsLst>
            <a:gs pos="0">
              <a:srgbClr val="C83232"/>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Slet</a:t>
          </a:r>
        </a:p>
      </xdr:txBody>
    </xdr:sp>
    <xdr:clientData/>
  </xdr:twoCellAnchor>
  <xdr:twoCellAnchor>
    <xdr:from>
      <xdr:col>3</xdr:col>
      <xdr:colOff>0</xdr:colOff>
      <xdr:row>89</xdr:row>
      <xdr:rowOff>25400</xdr:rowOff>
    </xdr:from>
    <xdr:to>
      <xdr:col>13</xdr:col>
      <xdr:colOff>0</xdr:colOff>
      <xdr:row>89</xdr:row>
      <xdr:rowOff>50800</xdr:rowOff>
    </xdr:to>
    <xdr:sp macro="" textlink="">
      <xdr:nvSpPr>
        <xdr:cNvPr id="14589" name="FP_FinanskontiL1_5">
          <a:extLst>
            <a:ext uri="{FF2B5EF4-FFF2-40B4-BE49-F238E27FC236}">
              <a16:creationId xmlns:a16="http://schemas.microsoft.com/office/drawing/2014/main" id="{00000000-0008-0000-0300-0000FD380000}"/>
            </a:ext>
          </a:extLst>
        </xdr:cNvPr>
        <xdr:cNvSpPr/>
      </xdr:nvSpPr>
      <xdr:spPr>
        <a:xfrm>
          <a:off x="2343150" y="26323925"/>
          <a:ext cx="8382000" cy="25400"/>
        </a:xfrm>
        <a:prstGeom prst="roundRect">
          <a:avLst/>
        </a:prstGeom>
        <a:gradFill flip="none" rotWithShape="1">
          <a:gsLst>
            <a:gs pos="0">
              <a:srgbClr val="B4B4B4"/>
            </a:gs>
            <a:gs pos="100000">
              <a:srgbClr val="646464"/>
            </a:gs>
          </a:gsLst>
          <a:lin ang="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clientData/>
  </xdr:twoCellAnchor>
  <xdr:twoCellAnchor>
    <xdr:from>
      <xdr:col>11</xdr:col>
      <xdr:colOff>63500</xdr:colOff>
      <xdr:row>91</xdr:row>
      <xdr:rowOff>12700</xdr:rowOff>
    </xdr:from>
    <xdr:to>
      <xdr:col>13</xdr:col>
      <xdr:colOff>0</xdr:colOff>
      <xdr:row>91</xdr:row>
      <xdr:rowOff>292100</xdr:rowOff>
    </xdr:to>
    <xdr:sp macro="'editNorm &quot;FP_Finanskonti_6&quot;,&quot;FP_Finanskonti_6Red&quot;,&quot;Finanskonti&quot;'" textlink="" fLocksText="0">
      <xdr:nvSpPr>
        <xdr:cNvPr id="14590" name="FP_Finanskonti_6Red">
          <a:extLst>
            <a:ext uri="{FF2B5EF4-FFF2-40B4-BE49-F238E27FC236}">
              <a16:creationId xmlns:a16="http://schemas.microsoft.com/office/drawing/2014/main" id="{00000000-0008-0000-0300-0000FE380000}"/>
            </a:ext>
          </a:extLst>
        </xdr:cNvPr>
        <xdr:cNvSpPr/>
      </xdr:nvSpPr>
      <xdr:spPr>
        <a:xfrm>
          <a:off x="9112250" y="26549350"/>
          <a:ext cx="1612900" cy="279400"/>
        </a:xfrm>
        <a:prstGeom prst="roundRect">
          <a:avLst/>
        </a:prstGeom>
        <a:gradFill flip="none" rotWithShape="1">
          <a:gsLst>
            <a:gs pos="0">
              <a:srgbClr val="B4B4B4"/>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Rediger</a:t>
          </a:r>
        </a:p>
      </xdr:txBody>
    </xdr:sp>
    <xdr:clientData/>
  </xdr:twoCellAnchor>
  <xdr:twoCellAnchor>
    <xdr:from>
      <xdr:col>11</xdr:col>
      <xdr:colOff>63500</xdr:colOff>
      <xdr:row>91</xdr:row>
      <xdr:rowOff>12700</xdr:rowOff>
    </xdr:from>
    <xdr:to>
      <xdr:col>12</xdr:col>
      <xdr:colOff>0</xdr:colOff>
      <xdr:row>91</xdr:row>
      <xdr:rowOff>292100</xdr:rowOff>
    </xdr:to>
    <xdr:sp macro="'editNorm &quot;FP_Finanskonti_6&quot;,&quot;FP_Finanskonti_6Gem&quot;,&quot;Finanskonti&quot;'" textlink="" fLocksText="0">
      <xdr:nvSpPr>
        <xdr:cNvPr id="14591" name="FP_Finanskonti_6Gem" hidden="1">
          <a:extLst>
            <a:ext uri="{FF2B5EF4-FFF2-40B4-BE49-F238E27FC236}">
              <a16:creationId xmlns:a16="http://schemas.microsoft.com/office/drawing/2014/main" id="{00000000-0008-0000-0300-0000FF380000}"/>
            </a:ext>
          </a:extLst>
        </xdr:cNvPr>
        <xdr:cNvSpPr/>
      </xdr:nvSpPr>
      <xdr:spPr>
        <a:xfrm>
          <a:off x="9112250" y="26549350"/>
          <a:ext cx="774700" cy="279400"/>
        </a:xfrm>
        <a:prstGeom prst="roundRect">
          <a:avLst/>
        </a:prstGeom>
        <a:gradFill flip="none" rotWithShape="1">
          <a:gsLst>
            <a:gs pos="0">
              <a:srgbClr val="96B412"/>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Gem</a:t>
          </a:r>
        </a:p>
      </xdr:txBody>
    </xdr:sp>
    <xdr:clientData/>
  </xdr:twoCellAnchor>
  <xdr:twoCellAnchor>
    <xdr:from>
      <xdr:col>12</xdr:col>
      <xdr:colOff>88900</xdr:colOff>
      <xdr:row>91</xdr:row>
      <xdr:rowOff>12700</xdr:rowOff>
    </xdr:from>
    <xdr:to>
      <xdr:col>13</xdr:col>
      <xdr:colOff>0</xdr:colOff>
      <xdr:row>91</xdr:row>
      <xdr:rowOff>292100</xdr:rowOff>
    </xdr:to>
    <xdr:sp macro="'editNorm &quot;FP_Finanskonti_6&quot;,&quot;FP_Finanskonti_6Cancel&quot;,&quot;Finanskonti&quot;'" textlink="" fLocksText="0">
      <xdr:nvSpPr>
        <xdr:cNvPr id="14592" name="FP_Finanskonti_6Cancel" hidden="1">
          <a:extLst>
            <a:ext uri="{FF2B5EF4-FFF2-40B4-BE49-F238E27FC236}">
              <a16:creationId xmlns:a16="http://schemas.microsoft.com/office/drawing/2014/main" id="{00000000-0008-0000-0300-000000390000}"/>
            </a:ext>
          </a:extLst>
        </xdr:cNvPr>
        <xdr:cNvSpPr/>
      </xdr:nvSpPr>
      <xdr:spPr>
        <a:xfrm>
          <a:off x="9975850" y="26549350"/>
          <a:ext cx="749300" cy="279400"/>
        </a:xfrm>
        <a:prstGeom prst="roundRect">
          <a:avLst/>
        </a:prstGeom>
        <a:gradFill flip="none" rotWithShape="1">
          <a:gsLst>
            <a:gs pos="0">
              <a:srgbClr val="B4B4B4"/>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Annuller</a:t>
          </a:r>
        </a:p>
      </xdr:txBody>
    </xdr:sp>
    <xdr:clientData/>
  </xdr:twoCellAnchor>
  <xdr:twoCellAnchor>
    <xdr:from>
      <xdr:col>13</xdr:col>
      <xdr:colOff>88900</xdr:colOff>
      <xdr:row>91</xdr:row>
      <xdr:rowOff>12700</xdr:rowOff>
    </xdr:from>
    <xdr:to>
      <xdr:col>14</xdr:col>
      <xdr:colOff>0</xdr:colOff>
      <xdr:row>91</xdr:row>
      <xdr:rowOff>292100</xdr:rowOff>
    </xdr:to>
    <xdr:sp macro="'editNorm &quot;FP_Finanskonti_6&quot;,&quot;FP_Finanskonti_6Delete&quot;,&quot;Finanskonti&quot;'" textlink="" fLocksText="0">
      <xdr:nvSpPr>
        <xdr:cNvPr id="14593" name="FP_Finanskonti_6Delete" hidden="1">
          <a:extLst>
            <a:ext uri="{FF2B5EF4-FFF2-40B4-BE49-F238E27FC236}">
              <a16:creationId xmlns:a16="http://schemas.microsoft.com/office/drawing/2014/main" id="{00000000-0008-0000-0300-000001390000}"/>
            </a:ext>
          </a:extLst>
        </xdr:cNvPr>
        <xdr:cNvSpPr/>
      </xdr:nvSpPr>
      <xdr:spPr>
        <a:xfrm>
          <a:off x="10814050" y="26549350"/>
          <a:ext cx="749300" cy="279400"/>
        </a:xfrm>
        <a:prstGeom prst="roundRect">
          <a:avLst/>
        </a:prstGeom>
        <a:gradFill flip="none" rotWithShape="1">
          <a:gsLst>
            <a:gs pos="0">
              <a:srgbClr val="C83232"/>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Slet</a:t>
          </a:r>
        </a:p>
      </xdr:txBody>
    </xdr:sp>
    <xdr:clientData/>
  </xdr:twoCellAnchor>
  <xdr:twoCellAnchor>
    <xdr:from>
      <xdr:col>3</xdr:col>
      <xdr:colOff>0</xdr:colOff>
      <xdr:row>92</xdr:row>
      <xdr:rowOff>25400</xdr:rowOff>
    </xdr:from>
    <xdr:to>
      <xdr:col>13</xdr:col>
      <xdr:colOff>0</xdr:colOff>
      <xdr:row>92</xdr:row>
      <xdr:rowOff>50800</xdr:rowOff>
    </xdr:to>
    <xdr:sp macro="" textlink="">
      <xdr:nvSpPr>
        <xdr:cNvPr id="14594" name="FP_FinanskontiL1_6">
          <a:extLst>
            <a:ext uri="{FF2B5EF4-FFF2-40B4-BE49-F238E27FC236}">
              <a16:creationId xmlns:a16="http://schemas.microsoft.com/office/drawing/2014/main" id="{00000000-0008-0000-0300-000002390000}"/>
            </a:ext>
          </a:extLst>
        </xdr:cNvPr>
        <xdr:cNvSpPr/>
      </xdr:nvSpPr>
      <xdr:spPr>
        <a:xfrm>
          <a:off x="2343150" y="26866850"/>
          <a:ext cx="8382000" cy="25400"/>
        </a:xfrm>
        <a:prstGeom prst="roundRect">
          <a:avLst/>
        </a:prstGeom>
        <a:gradFill flip="none" rotWithShape="1">
          <a:gsLst>
            <a:gs pos="0">
              <a:srgbClr val="B4B4B4"/>
            </a:gs>
            <a:gs pos="100000">
              <a:srgbClr val="646464"/>
            </a:gs>
          </a:gsLst>
          <a:lin ang="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clientData/>
  </xdr:twoCellAnchor>
  <xdr:twoCellAnchor>
    <xdr:from>
      <xdr:col>11</xdr:col>
      <xdr:colOff>63500</xdr:colOff>
      <xdr:row>94</xdr:row>
      <xdr:rowOff>12700</xdr:rowOff>
    </xdr:from>
    <xdr:to>
      <xdr:col>13</xdr:col>
      <xdr:colOff>0</xdr:colOff>
      <xdr:row>94</xdr:row>
      <xdr:rowOff>292100</xdr:rowOff>
    </xdr:to>
    <xdr:sp macro="'editNorm &quot;FP_Finanskonti_7&quot;,&quot;FP_Finanskonti_7Red&quot;,&quot;Finanskonti&quot;'" textlink="" fLocksText="0">
      <xdr:nvSpPr>
        <xdr:cNvPr id="14595" name="FP_Finanskonti_7Red">
          <a:extLst>
            <a:ext uri="{FF2B5EF4-FFF2-40B4-BE49-F238E27FC236}">
              <a16:creationId xmlns:a16="http://schemas.microsoft.com/office/drawing/2014/main" id="{00000000-0008-0000-0300-000003390000}"/>
            </a:ext>
          </a:extLst>
        </xdr:cNvPr>
        <xdr:cNvSpPr/>
      </xdr:nvSpPr>
      <xdr:spPr>
        <a:xfrm>
          <a:off x="9112250" y="27092275"/>
          <a:ext cx="1612900" cy="279400"/>
        </a:xfrm>
        <a:prstGeom prst="roundRect">
          <a:avLst/>
        </a:prstGeom>
        <a:gradFill flip="none" rotWithShape="1">
          <a:gsLst>
            <a:gs pos="0">
              <a:srgbClr val="B4B4B4"/>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Rediger</a:t>
          </a:r>
        </a:p>
      </xdr:txBody>
    </xdr:sp>
    <xdr:clientData/>
  </xdr:twoCellAnchor>
  <xdr:twoCellAnchor>
    <xdr:from>
      <xdr:col>11</xdr:col>
      <xdr:colOff>63500</xdr:colOff>
      <xdr:row>94</xdr:row>
      <xdr:rowOff>12700</xdr:rowOff>
    </xdr:from>
    <xdr:to>
      <xdr:col>12</xdr:col>
      <xdr:colOff>0</xdr:colOff>
      <xdr:row>94</xdr:row>
      <xdr:rowOff>292100</xdr:rowOff>
    </xdr:to>
    <xdr:sp macro="'editNorm &quot;FP_Finanskonti_7&quot;,&quot;FP_Finanskonti_7Gem&quot;,&quot;Finanskonti&quot;'" textlink="" fLocksText="0">
      <xdr:nvSpPr>
        <xdr:cNvPr id="14596" name="FP_Finanskonti_7Gem" hidden="1">
          <a:extLst>
            <a:ext uri="{FF2B5EF4-FFF2-40B4-BE49-F238E27FC236}">
              <a16:creationId xmlns:a16="http://schemas.microsoft.com/office/drawing/2014/main" id="{00000000-0008-0000-0300-000004390000}"/>
            </a:ext>
          </a:extLst>
        </xdr:cNvPr>
        <xdr:cNvSpPr/>
      </xdr:nvSpPr>
      <xdr:spPr>
        <a:xfrm>
          <a:off x="9112250" y="27092275"/>
          <a:ext cx="774700" cy="279400"/>
        </a:xfrm>
        <a:prstGeom prst="roundRect">
          <a:avLst/>
        </a:prstGeom>
        <a:gradFill flip="none" rotWithShape="1">
          <a:gsLst>
            <a:gs pos="0">
              <a:srgbClr val="96B412"/>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Gem</a:t>
          </a:r>
        </a:p>
      </xdr:txBody>
    </xdr:sp>
    <xdr:clientData/>
  </xdr:twoCellAnchor>
  <xdr:twoCellAnchor>
    <xdr:from>
      <xdr:col>12</xdr:col>
      <xdr:colOff>88900</xdr:colOff>
      <xdr:row>94</xdr:row>
      <xdr:rowOff>12700</xdr:rowOff>
    </xdr:from>
    <xdr:to>
      <xdr:col>13</xdr:col>
      <xdr:colOff>0</xdr:colOff>
      <xdr:row>94</xdr:row>
      <xdr:rowOff>292100</xdr:rowOff>
    </xdr:to>
    <xdr:sp macro="'editNorm &quot;FP_Finanskonti_7&quot;,&quot;FP_Finanskonti_7Cancel&quot;,&quot;Finanskonti&quot;'" textlink="" fLocksText="0">
      <xdr:nvSpPr>
        <xdr:cNvPr id="14597" name="FP_Finanskonti_7Cancel" hidden="1">
          <a:extLst>
            <a:ext uri="{FF2B5EF4-FFF2-40B4-BE49-F238E27FC236}">
              <a16:creationId xmlns:a16="http://schemas.microsoft.com/office/drawing/2014/main" id="{00000000-0008-0000-0300-000005390000}"/>
            </a:ext>
          </a:extLst>
        </xdr:cNvPr>
        <xdr:cNvSpPr/>
      </xdr:nvSpPr>
      <xdr:spPr>
        <a:xfrm>
          <a:off x="9975850" y="27092275"/>
          <a:ext cx="749300" cy="279400"/>
        </a:xfrm>
        <a:prstGeom prst="roundRect">
          <a:avLst/>
        </a:prstGeom>
        <a:gradFill flip="none" rotWithShape="1">
          <a:gsLst>
            <a:gs pos="0">
              <a:srgbClr val="B4B4B4"/>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Annuller</a:t>
          </a:r>
        </a:p>
      </xdr:txBody>
    </xdr:sp>
    <xdr:clientData/>
  </xdr:twoCellAnchor>
  <xdr:twoCellAnchor>
    <xdr:from>
      <xdr:col>13</xdr:col>
      <xdr:colOff>88900</xdr:colOff>
      <xdr:row>94</xdr:row>
      <xdr:rowOff>12700</xdr:rowOff>
    </xdr:from>
    <xdr:to>
      <xdr:col>14</xdr:col>
      <xdr:colOff>0</xdr:colOff>
      <xdr:row>94</xdr:row>
      <xdr:rowOff>292100</xdr:rowOff>
    </xdr:to>
    <xdr:sp macro="'editNorm &quot;FP_Finanskonti_7&quot;,&quot;FP_Finanskonti_7Delete&quot;,&quot;Finanskonti&quot;'" textlink="" fLocksText="0">
      <xdr:nvSpPr>
        <xdr:cNvPr id="14598" name="FP_Finanskonti_7Delete" hidden="1">
          <a:extLst>
            <a:ext uri="{FF2B5EF4-FFF2-40B4-BE49-F238E27FC236}">
              <a16:creationId xmlns:a16="http://schemas.microsoft.com/office/drawing/2014/main" id="{00000000-0008-0000-0300-000006390000}"/>
            </a:ext>
          </a:extLst>
        </xdr:cNvPr>
        <xdr:cNvSpPr/>
      </xdr:nvSpPr>
      <xdr:spPr>
        <a:xfrm>
          <a:off x="10814050" y="27092275"/>
          <a:ext cx="749300" cy="279400"/>
        </a:xfrm>
        <a:prstGeom prst="roundRect">
          <a:avLst/>
        </a:prstGeom>
        <a:gradFill flip="none" rotWithShape="1">
          <a:gsLst>
            <a:gs pos="0">
              <a:srgbClr val="C83232"/>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Slet</a:t>
          </a:r>
        </a:p>
      </xdr:txBody>
    </xdr:sp>
    <xdr:clientData/>
  </xdr:twoCellAnchor>
  <xdr:twoCellAnchor>
    <xdr:from>
      <xdr:col>3</xdr:col>
      <xdr:colOff>0</xdr:colOff>
      <xdr:row>95</xdr:row>
      <xdr:rowOff>25400</xdr:rowOff>
    </xdr:from>
    <xdr:to>
      <xdr:col>13</xdr:col>
      <xdr:colOff>0</xdr:colOff>
      <xdr:row>95</xdr:row>
      <xdr:rowOff>50800</xdr:rowOff>
    </xdr:to>
    <xdr:sp macro="" textlink="">
      <xdr:nvSpPr>
        <xdr:cNvPr id="14599" name="FP_FinanskontiL1_7">
          <a:extLst>
            <a:ext uri="{FF2B5EF4-FFF2-40B4-BE49-F238E27FC236}">
              <a16:creationId xmlns:a16="http://schemas.microsoft.com/office/drawing/2014/main" id="{00000000-0008-0000-0300-000007390000}"/>
            </a:ext>
          </a:extLst>
        </xdr:cNvPr>
        <xdr:cNvSpPr/>
      </xdr:nvSpPr>
      <xdr:spPr>
        <a:xfrm>
          <a:off x="2343150" y="27409775"/>
          <a:ext cx="8382000" cy="25400"/>
        </a:xfrm>
        <a:prstGeom prst="roundRect">
          <a:avLst/>
        </a:prstGeom>
        <a:gradFill flip="none" rotWithShape="1">
          <a:gsLst>
            <a:gs pos="0">
              <a:srgbClr val="B4B4B4"/>
            </a:gs>
            <a:gs pos="100000">
              <a:srgbClr val="646464"/>
            </a:gs>
          </a:gsLst>
          <a:lin ang="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clientData/>
  </xdr:twoCellAnchor>
  <xdr:twoCellAnchor>
    <xdr:from>
      <xdr:col>11</xdr:col>
      <xdr:colOff>63500</xdr:colOff>
      <xdr:row>97</xdr:row>
      <xdr:rowOff>12700</xdr:rowOff>
    </xdr:from>
    <xdr:to>
      <xdr:col>13</xdr:col>
      <xdr:colOff>0</xdr:colOff>
      <xdr:row>97</xdr:row>
      <xdr:rowOff>292100</xdr:rowOff>
    </xdr:to>
    <xdr:sp macro="'editNorm &quot;FP_Finanskonti_8&quot;,&quot;FP_Finanskonti_8Red&quot;,&quot;Finanskonti&quot;'" textlink="" fLocksText="0">
      <xdr:nvSpPr>
        <xdr:cNvPr id="14600" name="FP_Finanskonti_8Red">
          <a:extLst>
            <a:ext uri="{FF2B5EF4-FFF2-40B4-BE49-F238E27FC236}">
              <a16:creationId xmlns:a16="http://schemas.microsoft.com/office/drawing/2014/main" id="{00000000-0008-0000-0300-000008390000}"/>
            </a:ext>
          </a:extLst>
        </xdr:cNvPr>
        <xdr:cNvSpPr/>
      </xdr:nvSpPr>
      <xdr:spPr>
        <a:xfrm>
          <a:off x="9112250" y="27635200"/>
          <a:ext cx="1612900" cy="279400"/>
        </a:xfrm>
        <a:prstGeom prst="roundRect">
          <a:avLst/>
        </a:prstGeom>
        <a:gradFill flip="none" rotWithShape="1">
          <a:gsLst>
            <a:gs pos="0">
              <a:srgbClr val="B4B4B4"/>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Rediger</a:t>
          </a:r>
        </a:p>
      </xdr:txBody>
    </xdr:sp>
    <xdr:clientData/>
  </xdr:twoCellAnchor>
  <xdr:twoCellAnchor>
    <xdr:from>
      <xdr:col>11</xdr:col>
      <xdr:colOff>63500</xdr:colOff>
      <xdr:row>97</xdr:row>
      <xdr:rowOff>12700</xdr:rowOff>
    </xdr:from>
    <xdr:to>
      <xdr:col>12</xdr:col>
      <xdr:colOff>0</xdr:colOff>
      <xdr:row>97</xdr:row>
      <xdr:rowOff>292100</xdr:rowOff>
    </xdr:to>
    <xdr:sp macro="'editNorm &quot;FP_Finanskonti_8&quot;,&quot;FP_Finanskonti_8Gem&quot;,&quot;Finanskonti&quot;'" textlink="" fLocksText="0">
      <xdr:nvSpPr>
        <xdr:cNvPr id="14601" name="FP_Finanskonti_8Gem" hidden="1">
          <a:extLst>
            <a:ext uri="{FF2B5EF4-FFF2-40B4-BE49-F238E27FC236}">
              <a16:creationId xmlns:a16="http://schemas.microsoft.com/office/drawing/2014/main" id="{00000000-0008-0000-0300-000009390000}"/>
            </a:ext>
          </a:extLst>
        </xdr:cNvPr>
        <xdr:cNvSpPr/>
      </xdr:nvSpPr>
      <xdr:spPr>
        <a:xfrm>
          <a:off x="9112250" y="27635200"/>
          <a:ext cx="774700" cy="279400"/>
        </a:xfrm>
        <a:prstGeom prst="roundRect">
          <a:avLst/>
        </a:prstGeom>
        <a:gradFill flip="none" rotWithShape="1">
          <a:gsLst>
            <a:gs pos="0">
              <a:srgbClr val="96B412"/>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Gem</a:t>
          </a:r>
        </a:p>
      </xdr:txBody>
    </xdr:sp>
    <xdr:clientData/>
  </xdr:twoCellAnchor>
  <xdr:twoCellAnchor>
    <xdr:from>
      <xdr:col>12</xdr:col>
      <xdr:colOff>88900</xdr:colOff>
      <xdr:row>97</xdr:row>
      <xdr:rowOff>12700</xdr:rowOff>
    </xdr:from>
    <xdr:to>
      <xdr:col>13</xdr:col>
      <xdr:colOff>0</xdr:colOff>
      <xdr:row>97</xdr:row>
      <xdr:rowOff>292100</xdr:rowOff>
    </xdr:to>
    <xdr:sp macro="'editNorm &quot;FP_Finanskonti_8&quot;,&quot;FP_Finanskonti_8Cancel&quot;,&quot;Finanskonti&quot;'" textlink="" fLocksText="0">
      <xdr:nvSpPr>
        <xdr:cNvPr id="14602" name="FP_Finanskonti_8Cancel" hidden="1">
          <a:extLst>
            <a:ext uri="{FF2B5EF4-FFF2-40B4-BE49-F238E27FC236}">
              <a16:creationId xmlns:a16="http://schemas.microsoft.com/office/drawing/2014/main" id="{00000000-0008-0000-0300-00000A390000}"/>
            </a:ext>
          </a:extLst>
        </xdr:cNvPr>
        <xdr:cNvSpPr/>
      </xdr:nvSpPr>
      <xdr:spPr>
        <a:xfrm>
          <a:off x="9975850" y="27635200"/>
          <a:ext cx="749300" cy="279400"/>
        </a:xfrm>
        <a:prstGeom prst="roundRect">
          <a:avLst/>
        </a:prstGeom>
        <a:gradFill flip="none" rotWithShape="1">
          <a:gsLst>
            <a:gs pos="0">
              <a:srgbClr val="B4B4B4"/>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Annuller</a:t>
          </a:r>
        </a:p>
      </xdr:txBody>
    </xdr:sp>
    <xdr:clientData/>
  </xdr:twoCellAnchor>
  <xdr:twoCellAnchor>
    <xdr:from>
      <xdr:col>13</xdr:col>
      <xdr:colOff>88900</xdr:colOff>
      <xdr:row>97</xdr:row>
      <xdr:rowOff>12700</xdr:rowOff>
    </xdr:from>
    <xdr:to>
      <xdr:col>14</xdr:col>
      <xdr:colOff>0</xdr:colOff>
      <xdr:row>97</xdr:row>
      <xdr:rowOff>292100</xdr:rowOff>
    </xdr:to>
    <xdr:sp macro="'editNorm &quot;FP_Finanskonti_8&quot;,&quot;FP_Finanskonti_8Delete&quot;,&quot;Finanskonti&quot;'" textlink="" fLocksText="0">
      <xdr:nvSpPr>
        <xdr:cNvPr id="14603" name="FP_Finanskonti_8Delete" hidden="1">
          <a:extLst>
            <a:ext uri="{FF2B5EF4-FFF2-40B4-BE49-F238E27FC236}">
              <a16:creationId xmlns:a16="http://schemas.microsoft.com/office/drawing/2014/main" id="{00000000-0008-0000-0300-00000B390000}"/>
            </a:ext>
          </a:extLst>
        </xdr:cNvPr>
        <xdr:cNvSpPr/>
      </xdr:nvSpPr>
      <xdr:spPr>
        <a:xfrm>
          <a:off x="10814050" y="27635200"/>
          <a:ext cx="749300" cy="279400"/>
        </a:xfrm>
        <a:prstGeom prst="roundRect">
          <a:avLst/>
        </a:prstGeom>
        <a:gradFill flip="none" rotWithShape="1">
          <a:gsLst>
            <a:gs pos="0">
              <a:srgbClr val="C83232"/>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Slet</a:t>
          </a:r>
        </a:p>
      </xdr:txBody>
    </xdr:sp>
    <xdr:clientData/>
  </xdr:twoCellAnchor>
  <xdr:twoCellAnchor>
    <xdr:from>
      <xdr:col>3</xdr:col>
      <xdr:colOff>0</xdr:colOff>
      <xdr:row>98</xdr:row>
      <xdr:rowOff>25400</xdr:rowOff>
    </xdr:from>
    <xdr:to>
      <xdr:col>13</xdr:col>
      <xdr:colOff>0</xdr:colOff>
      <xdr:row>98</xdr:row>
      <xdr:rowOff>50800</xdr:rowOff>
    </xdr:to>
    <xdr:sp macro="" textlink="">
      <xdr:nvSpPr>
        <xdr:cNvPr id="14604" name="FP_FinanskontiL1_8">
          <a:extLst>
            <a:ext uri="{FF2B5EF4-FFF2-40B4-BE49-F238E27FC236}">
              <a16:creationId xmlns:a16="http://schemas.microsoft.com/office/drawing/2014/main" id="{00000000-0008-0000-0300-00000C390000}"/>
            </a:ext>
          </a:extLst>
        </xdr:cNvPr>
        <xdr:cNvSpPr/>
      </xdr:nvSpPr>
      <xdr:spPr>
        <a:xfrm>
          <a:off x="2343150" y="27952700"/>
          <a:ext cx="8382000" cy="25400"/>
        </a:xfrm>
        <a:prstGeom prst="roundRect">
          <a:avLst/>
        </a:prstGeom>
        <a:gradFill flip="none" rotWithShape="1">
          <a:gsLst>
            <a:gs pos="0">
              <a:srgbClr val="B4B4B4"/>
            </a:gs>
            <a:gs pos="100000">
              <a:srgbClr val="646464"/>
            </a:gs>
          </a:gsLst>
          <a:lin ang="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clientData/>
  </xdr:twoCellAnchor>
  <xdr:twoCellAnchor>
    <xdr:from>
      <xdr:col>11</xdr:col>
      <xdr:colOff>63500</xdr:colOff>
      <xdr:row>100</xdr:row>
      <xdr:rowOff>12700</xdr:rowOff>
    </xdr:from>
    <xdr:to>
      <xdr:col>13</xdr:col>
      <xdr:colOff>0</xdr:colOff>
      <xdr:row>100</xdr:row>
      <xdr:rowOff>292100</xdr:rowOff>
    </xdr:to>
    <xdr:sp macro="'editNorm &quot;FP_Finanskonti_9&quot;,&quot;FP_Finanskonti_9Red&quot;,&quot;Finanskonti&quot;'" textlink="" fLocksText="0">
      <xdr:nvSpPr>
        <xdr:cNvPr id="14605" name="FP_Finanskonti_9Red">
          <a:extLst>
            <a:ext uri="{FF2B5EF4-FFF2-40B4-BE49-F238E27FC236}">
              <a16:creationId xmlns:a16="http://schemas.microsoft.com/office/drawing/2014/main" id="{00000000-0008-0000-0300-00000D390000}"/>
            </a:ext>
          </a:extLst>
        </xdr:cNvPr>
        <xdr:cNvSpPr/>
      </xdr:nvSpPr>
      <xdr:spPr>
        <a:xfrm>
          <a:off x="9112250" y="28178125"/>
          <a:ext cx="1612900" cy="279400"/>
        </a:xfrm>
        <a:prstGeom prst="roundRect">
          <a:avLst/>
        </a:prstGeom>
        <a:gradFill flip="none" rotWithShape="1">
          <a:gsLst>
            <a:gs pos="0">
              <a:srgbClr val="B4B4B4"/>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Rediger</a:t>
          </a:r>
        </a:p>
      </xdr:txBody>
    </xdr:sp>
    <xdr:clientData/>
  </xdr:twoCellAnchor>
  <xdr:twoCellAnchor>
    <xdr:from>
      <xdr:col>11</xdr:col>
      <xdr:colOff>63500</xdr:colOff>
      <xdr:row>100</xdr:row>
      <xdr:rowOff>12700</xdr:rowOff>
    </xdr:from>
    <xdr:to>
      <xdr:col>12</xdr:col>
      <xdr:colOff>0</xdr:colOff>
      <xdr:row>100</xdr:row>
      <xdr:rowOff>292100</xdr:rowOff>
    </xdr:to>
    <xdr:sp macro="'editNorm &quot;FP_Finanskonti_9&quot;,&quot;FP_Finanskonti_9Gem&quot;,&quot;Finanskonti&quot;'" textlink="" fLocksText="0">
      <xdr:nvSpPr>
        <xdr:cNvPr id="14606" name="FP_Finanskonti_9Gem" hidden="1">
          <a:extLst>
            <a:ext uri="{FF2B5EF4-FFF2-40B4-BE49-F238E27FC236}">
              <a16:creationId xmlns:a16="http://schemas.microsoft.com/office/drawing/2014/main" id="{00000000-0008-0000-0300-00000E390000}"/>
            </a:ext>
          </a:extLst>
        </xdr:cNvPr>
        <xdr:cNvSpPr/>
      </xdr:nvSpPr>
      <xdr:spPr>
        <a:xfrm>
          <a:off x="9112250" y="28178125"/>
          <a:ext cx="774700" cy="279400"/>
        </a:xfrm>
        <a:prstGeom prst="roundRect">
          <a:avLst/>
        </a:prstGeom>
        <a:gradFill flip="none" rotWithShape="1">
          <a:gsLst>
            <a:gs pos="0">
              <a:srgbClr val="96B412"/>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Gem</a:t>
          </a:r>
        </a:p>
      </xdr:txBody>
    </xdr:sp>
    <xdr:clientData/>
  </xdr:twoCellAnchor>
  <xdr:twoCellAnchor>
    <xdr:from>
      <xdr:col>12</xdr:col>
      <xdr:colOff>88900</xdr:colOff>
      <xdr:row>100</xdr:row>
      <xdr:rowOff>12700</xdr:rowOff>
    </xdr:from>
    <xdr:to>
      <xdr:col>13</xdr:col>
      <xdr:colOff>0</xdr:colOff>
      <xdr:row>100</xdr:row>
      <xdr:rowOff>292100</xdr:rowOff>
    </xdr:to>
    <xdr:sp macro="'editNorm &quot;FP_Finanskonti_9&quot;,&quot;FP_Finanskonti_9Cancel&quot;,&quot;Finanskonti&quot;'" textlink="" fLocksText="0">
      <xdr:nvSpPr>
        <xdr:cNvPr id="14607" name="FP_Finanskonti_9Cancel" hidden="1">
          <a:extLst>
            <a:ext uri="{FF2B5EF4-FFF2-40B4-BE49-F238E27FC236}">
              <a16:creationId xmlns:a16="http://schemas.microsoft.com/office/drawing/2014/main" id="{00000000-0008-0000-0300-00000F390000}"/>
            </a:ext>
          </a:extLst>
        </xdr:cNvPr>
        <xdr:cNvSpPr/>
      </xdr:nvSpPr>
      <xdr:spPr>
        <a:xfrm>
          <a:off x="9975850" y="28178125"/>
          <a:ext cx="749300" cy="279400"/>
        </a:xfrm>
        <a:prstGeom prst="roundRect">
          <a:avLst/>
        </a:prstGeom>
        <a:gradFill flip="none" rotWithShape="1">
          <a:gsLst>
            <a:gs pos="0">
              <a:srgbClr val="B4B4B4"/>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Annuller</a:t>
          </a:r>
        </a:p>
      </xdr:txBody>
    </xdr:sp>
    <xdr:clientData/>
  </xdr:twoCellAnchor>
  <xdr:twoCellAnchor>
    <xdr:from>
      <xdr:col>13</xdr:col>
      <xdr:colOff>88900</xdr:colOff>
      <xdr:row>100</xdr:row>
      <xdr:rowOff>12700</xdr:rowOff>
    </xdr:from>
    <xdr:to>
      <xdr:col>14</xdr:col>
      <xdr:colOff>0</xdr:colOff>
      <xdr:row>100</xdr:row>
      <xdr:rowOff>292100</xdr:rowOff>
    </xdr:to>
    <xdr:sp macro="'editNorm &quot;FP_Finanskonti_9&quot;,&quot;FP_Finanskonti_9Delete&quot;,&quot;Finanskonti&quot;'" textlink="" fLocksText="0">
      <xdr:nvSpPr>
        <xdr:cNvPr id="14608" name="FP_Finanskonti_9Delete" hidden="1">
          <a:extLst>
            <a:ext uri="{FF2B5EF4-FFF2-40B4-BE49-F238E27FC236}">
              <a16:creationId xmlns:a16="http://schemas.microsoft.com/office/drawing/2014/main" id="{00000000-0008-0000-0300-000010390000}"/>
            </a:ext>
          </a:extLst>
        </xdr:cNvPr>
        <xdr:cNvSpPr/>
      </xdr:nvSpPr>
      <xdr:spPr>
        <a:xfrm>
          <a:off x="10814050" y="28178125"/>
          <a:ext cx="749300" cy="279400"/>
        </a:xfrm>
        <a:prstGeom prst="roundRect">
          <a:avLst/>
        </a:prstGeom>
        <a:gradFill flip="none" rotWithShape="1">
          <a:gsLst>
            <a:gs pos="0">
              <a:srgbClr val="C83232"/>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Slet</a:t>
          </a:r>
        </a:p>
      </xdr:txBody>
    </xdr:sp>
    <xdr:clientData/>
  </xdr:twoCellAnchor>
  <xdr:twoCellAnchor>
    <xdr:from>
      <xdr:col>3</xdr:col>
      <xdr:colOff>0</xdr:colOff>
      <xdr:row>101</xdr:row>
      <xdr:rowOff>25400</xdr:rowOff>
    </xdr:from>
    <xdr:to>
      <xdr:col>13</xdr:col>
      <xdr:colOff>0</xdr:colOff>
      <xdr:row>101</xdr:row>
      <xdr:rowOff>50800</xdr:rowOff>
    </xdr:to>
    <xdr:sp macro="" textlink="">
      <xdr:nvSpPr>
        <xdr:cNvPr id="14609" name="FP_FinanskontiL1_9">
          <a:extLst>
            <a:ext uri="{FF2B5EF4-FFF2-40B4-BE49-F238E27FC236}">
              <a16:creationId xmlns:a16="http://schemas.microsoft.com/office/drawing/2014/main" id="{00000000-0008-0000-0300-000011390000}"/>
            </a:ext>
          </a:extLst>
        </xdr:cNvPr>
        <xdr:cNvSpPr/>
      </xdr:nvSpPr>
      <xdr:spPr>
        <a:xfrm>
          <a:off x="2343150" y="28495625"/>
          <a:ext cx="8382000" cy="25400"/>
        </a:xfrm>
        <a:prstGeom prst="roundRect">
          <a:avLst/>
        </a:prstGeom>
        <a:gradFill flip="none" rotWithShape="1">
          <a:gsLst>
            <a:gs pos="0">
              <a:srgbClr val="B4B4B4"/>
            </a:gs>
            <a:gs pos="100000">
              <a:srgbClr val="646464"/>
            </a:gs>
          </a:gsLst>
          <a:lin ang="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clientData/>
  </xdr:twoCellAnchor>
  <xdr:twoCellAnchor>
    <xdr:from>
      <xdr:col>11</xdr:col>
      <xdr:colOff>63500</xdr:colOff>
      <xdr:row>103</xdr:row>
      <xdr:rowOff>12700</xdr:rowOff>
    </xdr:from>
    <xdr:to>
      <xdr:col>13</xdr:col>
      <xdr:colOff>0</xdr:colOff>
      <xdr:row>103</xdr:row>
      <xdr:rowOff>292100</xdr:rowOff>
    </xdr:to>
    <xdr:sp macro="'groupAdd &quot;Finanskonti&quot;'" textlink="" fLocksText="0">
      <xdr:nvSpPr>
        <xdr:cNvPr id="14610" name="FP_FinanskontiAdd">
          <a:extLst>
            <a:ext uri="{FF2B5EF4-FFF2-40B4-BE49-F238E27FC236}">
              <a16:creationId xmlns:a16="http://schemas.microsoft.com/office/drawing/2014/main" id="{00000000-0008-0000-0300-000012390000}"/>
            </a:ext>
          </a:extLst>
        </xdr:cNvPr>
        <xdr:cNvSpPr/>
      </xdr:nvSpPr>
      <xdr:spPr>
        <a:xfrm>
          <a:off x="9112250" y="28721050"/>
          <a:ext cx="1612900" cy="279400"/>
        </a:xfrm>
        <a:prstGeom prst="roundRect">
          <a:avLst/>
        </a:prstGeom>
        <a:gradFill flip="none" rotWithShape="1">
          <a:gsLst>
            <a:gs pos="0">
              <a:srgbClr val="B4B4B4"/>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Tilføj</a:t>
          </a:r>
        </a:p>
      </xdr:txBody>
    </xdr:sp>
    <xdr:clientData/>
  </xdr:twoCellAnchor>
  <xdr:twoCellAnchor>
    <xdr:from>
      <xdr:col>1</xdr:col>
      <xdr:colOff>0</xdr:colOff>
      <xdr:row>105</xdr:row>
      <xdr:rowOff>12700</xdr:rowOff>
    </xdr:from>
    <xdr:to>
      <xdr:col>13</xdr:col>
      <xdr:colOff>0</xdr:colOff>
      <xdr:row>105</xdr:row>
      <xdr:rowOff>520700</xdr:rowOff>
    </xdr:to>
    <xdr:sp macro="'expand &quot;FP_Main1Tidsplan&quot;,&quot;Forside&quot;,TRUE'" textlink="" fLocksText="0">
      <xdr:nvSpPr>
        <xdr:cNvPr id="14611" name="FP_Main1Tidsplan">
          <a:extLst>
            <a:ext uri="{FF2B5EF4-FFF2-40B4-BE49-F238E27FC236}">
              <a16:creationId xmlns:a16="http://schemas.microsoft.com/office/drawing/2014/main" id="{00000000-0008-0000-0300-000013390000}"/>
            </a:ext>
          </a:extLst>
        </xdr:cNvPr>
        <xdr:cNvSpPr/>
      </xdr:nvSpPr>
      <xdr:spPr>
        <a:xfrm>
          <a:off x="666750" y="29206825"/>
          <a:ext cx="10058400" cy="508000"/>
        </a:xfrm>
        <a:prstGeom prst="roundRect">
          <a:avLst/>
        </a:prstGeom>
        <a:gradFill flip="none" rotWithShape="1">
          <a:gsLst>
            <a:gs pos="0">
              <a:srgbClr val="B4B4B4"/>
            </a:gs>
            <a:gs pos="100000">
              <a:srgbClr val="646464"/>
            </a:gs>
          </a:gsLst>
          <a:lin ang="5400000" scaled="1"/>
          <a:tileRect/>
        </a:gradFill>
        <a:ln w="25400" cap="flat" cmpd="sng" algn="ctr">
          <a:noFill/>
          <a:prstDash val="solid"/>
        </a:ln>
        <a:effectLst>
          <a:outerShdw blurRad="1016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81000" rtlCol="0" anchor="ctr"/>
        <a:lstStyle/>
        <a:p>
          <a:pPr algn="l"/>
          <a:r>
            <a:rPr lang="da-DK" sz="1800" b="0">
              <a:solidFill>
                <a:srgbClr val="FFFFFF"/>
              </a:solidFill>
            </a:rPr>
            <a:t>Tidsplan</a:t>
          </a:r>
        </a:p>
      </xdr:txBody>
    </xdr:sp>
    <xdr:clientData/>
  </xdr:twoCellAnchor>
  <xdr:twoCellAnchor>
    <xdr:from>
      <xdr:col>12</xdr:col>
      <xdr:colOff>431800</xdr:colOff>
      <xdr:row>105</xdr:row>
      <xdr:rowOff>157842</xdr:rowOff>
    </xdr:from>
    <xdr:to>
      <xdr:col>12</xdr:col>
      <xdr:colOff>635000</xdr:colOff>
      <xdr:row>105</xdr:row>
      <xdr:rowOff>361042</xdr:rowOff>
    </xdr:to>
    <xdr:sp macro="'expand &quot;FP_Main1Tidsplan&quot;,&quot;Forside&quot;,TRUE'" textlink="">
      <xdr:nvSpPr>
        <xdr:cNvPr id="14612" name="FP_Main1Tidsplanarrow">
          <a:extLst>
            <a:ext uri="{FF2B5EF4-FFF2-40B4-BE49-F238E27FC236}">
              <a16:creationId xmlns:a16="http://schemas.microsoft.com/office/drawing/2014/main" id="{00000000-0008-0000-0300-000014390000}"/>
            </a:ext>
          </a:extLst>
        </xdr:cNvPr>
        <xdr:cNvSpPr/>
      </xdr:nvSpPr>
      <xdr:spPr>
        <a:xfrm rot="13500000">
          <a:off x="10318750" y="29351967"/>
          <a:ext cx="203200" cy="203200"/>
        </a:xfrm>
        <a:prstGeom prst="halfFrame">
          <a:avLst>
            <a:gd name="adj1" fmla="val 15000"/>
            <a:gd name="adj2" fmla="val 15000"/>
          </a:avLst>
        </a:prstGeom>
        <a:gradFill flip="none" rotWithShape="1">
          <a:gsLst>
            <a:gs pos="0">
              <a:srgbClr val="FFFFFF"/>
            </a:gs>
            <a:gs pos="100000">
              <a:srgbClr val="FFFFFF"/>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solidFill>
              <a:schemeClr val="tx1"/>
            </a:solidFill>
          </a:endParaRPr>
        </a:p>
      </xdr:txBody>
    </xdr:sp>
    <xdr:clientData/>
  </xdr:twoCellAnchor>
  <xdr:twoCellAnchor>
    <xdr:from>
      <xdr:col>11</xdr:col>
      <xdr:colOff>63500</xdr:colOff>
      <xdr:row>107</xdr:row>
      <xdr:rowOff>152400</xdr:rowOff>
    </xdr:from>
    <xdr:to>
      <xdr:col>13</xdr:col>
      <xdr:colOff>0</xdr:colOff>
      <xdr:row>107</xdr:row>
      <xdr:rowOff>431800</xdr:rowOff>
    </xdr:to>
    <xdr:sp macro="'editNorm &quot;FP_Main1TidsplanTable_1&quot;,&quot;FP_Main1TidsplanTable_1Red&quot;,&quot;TidsPlan&quot;'" textlink="" fLocksText="0">
      <xdr:nvSpPr>
        <xdr:cNvPr id="14613" name="FP_Main1TidsplanTable_1Red">
          <a:extLst>
            <a:ext uri="{FF2B5EF4-FFF2-40B4-BE49-F238E27FC236}">
              <a16:creationId xmlns:a16="http://schemas.microsoft.com/office/drawing/2014/main" id="{00000000-0008-0000-0300-000015390000}"/>
            </a:ext>
          </a:extLst>
        </xdr:cNvPr>
        <xdr:cNvSpPr/>
      </xdr:nvSpPr>
      <xdr:spPr>
        <a:xfrm>
          <a:off x="9112250" y="30060900"/>
          <a:ext cx="1612900" cy="279400"/>
        </a:xfrm>
        <a:prstGeom prst="roundRect">
          <a:avLst/>
        </a:prstGeom>
        <a:gradFill flip="none" rotWithShape="1">
          <a:gsLst>
            <a:gs pos="0">
              <a:srgbClr val="B4B4B4"/>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Rediger</a:t>
          </a:r>
        </a:p>
      </xdr:txBody>
    </xdr:sp>
    <xdr:clientData/>
  </xdr:twoCellAnchor>
  <xdr:twoCellAnchor>
    <xdr:from>
      <xdr:col>11</xdr:col>
      <xdr:colOff>63500</xdr:colOff>
      <xdr:row>107</xdr:row>
      <xdr:rowOff>152400</xdr:rowOff>
    </xdr:from>
    <xdr:to>
      <xdr:col>12</xdr:col>
      <xdr:colOff>0</xdr:colOff>
      <xdr:row>107</xdr:row>
      <xdr:rowOff>431800</xdr:rowOff>
    </xdr:to>
    <xdr:sp macro="'editNorm &quot;FP_Main1TidsplanTable_1&quot;,&quot;FP_Main1TidsplanTable_1Gem&quot;,&quot;TidsPlan&quot;'" textlink="" fLocksText="0">
      <xdr:nvSpPr>
        <xdr:cNvPr id="14614" name="FP_Main1TidsplanTable_1Gem" hidden="1">
          <a:extLst>
            <a:ext uri="{FF2B5EF4-FFF2-40B4-BE49-F238E27FC236}">
              <a16:creationId xmlns:a16="http://schemas.microsoft.com/office/drawing/2014/main" id="{00000000-0008-0000-0300-000016390000}"/>
            </a:ext>
          </a:extLst>
        </xdr:cNvPr>
        <xdr:cNvSpPr/>
      </xdr:nvSpPr>
      <xdr:spPr>
        <a:xfrm>
          <a:off x="9112250" y="30060900"/>
          <a:ext cx="774700" cy="279400"/>
        </a:xfrm>
        <a:prstGeom prst="roundRect">
          <a:avLst/>
        </a:prstGeom>
        <a:gradFill flip="none" rotWithShape="1">
          <a:gsLst>
            <a:gs pos="0">
              <a:srgbClr val="96B412"/>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Gem</a:t>
          </a:r>
        </a:p>
      </xdr:txBody>
    </xdr:sp>
    <xdr:clientData/>
  </xdr:twoCellAnchor>
  <xdr:twoCellAnchor>
    <xdr:from>
      <xdr:col>12</xdr:col>
      <xdr:colOff>88900</xdr:colOff>
      <xdr:row>107</xdr:row>
      <xdr:rowOff>152400</xdr:rowOff>
    </xdr:from>
    <xdr:to>
      <xdr:col>13</xdr:col>
      <xdr:colOff>0</xdr:colOff>
      <xdr:row>107</xdr:row>
      <xdr:rowOff>431800</xdr:rowOff>
    </xdr:to>
    <xdr:sp macro="'editNorm &quot;FP_Main1TidsplanTable_1&quot;,&quot;FP_Main1TidsplanTable_1Cancel&quot;,&quot;TidsPlan&quot;'" textlink="" fLocksText="0">
      <xdr:nvSpPr>
        <xdr:cNvPr id="14615" name="FP_Main1TidsplanTable_1Cancel" hidden="1">
          <a:extLst>
            <a:ext uri="{FF2B5EF4-FFF2-40B4-BE49-F238E27FC236}">
              <a16:creationId xmlns:a16="http://schemas.microsoft.com/office/drawing/2014/main" id="{00000000-0008-0000-0300-000017390000}"/>
            </a:ext>
          </a:extLst>
        </xdr:cNvPr>
        <xdr:cNvSpPr/>
      </xdr:nvSpPr>
      <xdr:spPr>
        <a:xfrm>
          <a:off x="9975850" y="30060900"/>
          <a:ext cx="749300" cy="279400"/>
        </a:xfrm>
        <a:prstGeom prst="roundRect">
          <a:avLst/>
        </a:prstGeom>
        <a:gradFill flip="none" rotWithShape="1">
          <a:gsLst>
            <a:gs pos="0">
              <a:srgbClr val="B4B4B4"/>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Annuller</a:t>
          </a:r>
        </a:p>
      </xdr:txBody>
    </xdr:sp>
    <xdr:clientData/>
  </xdr:twoCellAnchor>
  <xdr:twoCellAnchor>
    <xdr:from>
      <xdr:col>13</xdr:col>
      <xdr:colOff>88900</xdr:colOff>
      <xdr:row>107</xdr:row>
      <xdr:rowOff>152400</xdr:rowOff>
    </xdr:from>
    <xdr:to>
      <xdr:col>14</xdr:col>
      <xdr:colOff>0</xdr:colOff>
      <xdr:row>107</xdr:row>
      <xdr:rowOff>431800</xdr:rowOff>
    </xdr:to>
    <xdr:sp macro="'editNorm &quot;FP_Main1TidsplanTable_1&quot;,&quot;FP_Main1TidsplanTable_1Delete&quot;,&quot;TidsPlan&quot;'" textlink="" fLocksText="0">
      <xdr:nvSpPr>
        <xdr:cNvPr id="14616" name="FP_Main1TidsplanTable_1Delete" hidden="1">
          <a:extLst>
            <a:ext uri="{FF2B5EF4-FFF2-40B4-BE49-F238E27FC236}">
              <a16:creationId xmlns:a16="http://schemas.microsoft.com/office/drawing/2014/main" id="{00000000-0008-0000-0300-000018390000}"/>
            </a:ext>
          </a:extLst>
        </xdr:cNvPr>
        <xdr:cNvSpPr/>
      </xdr:nvSpPr>
      <xdr:spPr>
        <a:xfrm>
          <a:off x="10814050" y="30060900"/>
          <a:ext cx="749300" cy="279400"/>
        </a:xfrm>
        <a:prstGeom prst="roundRect">
          <a:avLst/>
        </a:prstGeom>
        <a:gradFill flip="none" rotWithShape="1">
          <a:gsLst>
            <a:gs pos="0">
              <a:srgbClr val="C83232"/>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Nulstil</a:t>
          </a:r>
        </a:p>
      </xdr:txBody>
    </xdr:sp>
    <xdr:clientData/>
  </xdr:twoCellAnchor>
  <xdr:twoCellAnchor>
    <xdr:from>
      <xdr:col>1</xdr:col>
      <xdr:colOff>0</xdr:colOff>
      <xdr:row>116</xdr:row>
      <xdr:rowOff>12700</xdr:rowOff>
    </xdr:from>
    <xdr:to>
      <xdr:col>13</xdr:col>
      <xdr:colOff>0</xdr:colOff>
      <xdr:row>116</xdr:row>
      <xdr:rowOff>520700</xdr:rowOff>
    </xdr:to>
    <xdr:sp macro="'expand &quot;FP_Main1Risici&quot;,&quot;Forside&quot;,TRUE'" textlink="" fLocksText="0">
      <xdr:nvSpPr>
        <xdr:cNvPr id="14617" name="FP_Main1Risici">
          <a:extLst>
            <a:ext uri="{FF2B5EF4-FFF2-40B4-BE49-F238E27FC236}">
              <a16:creationId xmlns:a16="http://schemas.microsoft.com/office/drawing/2014/main" id="{00000000-0008-0000-0300-000019390000}"/>
            </a:ext>
          </a:extLst>
        </xdr:cNvPr>
        <xdr:cNvSpPr/>
      </xdr:nvSpPr>
      <xdr:spPr>
        <a:xfrm>
          <a:off x="666750" y="32740600"/>
          <a:ext cx="10058400" cy="508000"/>
        </a:xfrm>
        <a:prstGeom prst="roundRect">
          <a:avLst/>
        </a:prstGeom>
        <a:gradFill flip="none" rotWithShape="1">
          <a:gsLst>
            <a:gs pos="0">
              <a:srgbClr val="B4B4B4"/>
            </a:gs>
            <a:gs pos="100000">
              <a:srgbClr val="646464"/>
            </a:gs>
          </a:gsLst>
          <a:lin ang="5400000" scaled="1"/>
          <a:tileRect/>
        </a:gradFill>
        <a:ln w="25400" cap="flat" cmpd="sng" algn="ctr">
          <a:noFill/>
          <a:prstDash val="solid"/>
        </a:ln>
        <a:effectLst>
          <a:outerShdw blurRad="1016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81000" rtlCol="0" anchor="ctr"/>
        <a:lstStyle/>
        <a:p>
          <a:pPr algn="l"/>
          <a:r>
            <a:rPr lang="da-DK" sz="1800" b="0">
              <a:solidFill>
                <a:srgbClr val="FFFFFF"/>
              </a:solidFill>
            </a:rPr>
            <a:t>Risici</a:t>
          </a:r>
        </a:p>
      </xdr:txBody>
    </xdr:sp>
    <xdr:clientData/>
  </xdr:twoCellAnchor>
  <xdr:twoCellAnchor>
    <xdr:from>
      <xdr:col>12</xdr:col>
      <xdr:colOff>431800</xdr:colOff>
      <xdr:row>116</xdr:row>
      <xdr:rowOff>157842</xdr:rowOff>
    </xdr:from>
    <xdr:to>
      <xdr:col>12</xdr:col>
      <xdr:colOff>635000</xdr:colOff>
      <xdr:row>116</xdr:row>
      <xdr:rowOff>361042</xdr:rowOff>
    </xdr:to>
    <xdr:sp macro="'expand &quot;FP_Main1Risici&quot;,&quot;Forside&quot;,TRUE'" textlink="">
      <xdr:nvSpPr>
        <xdr:cNvPr id="14618" name="FP_Main1Risiciarrow">
          <a:extLst>
            <a:ext uri="{FF2B5EF4-FFF2-40B4-BE49-F238E27FC236}">
              <a16:creationId xmlns:a16="http://schemas.microsoft.com/office/drawing/2014/main" id="{00000000-0008-0000-0300-00001A390000}"/>
            </a:ext>
          </a:extLst>
        </xdr:cNvPr>
        <xdr:cNvSpPr/>
      </xdr:nvSpPr>
      <xdr:spPr>
        <a:xfrm rot="8100000">
          <a:off x="10266363" y="32840498"/>
          <a:ext cx="203200" cy="203200"/>
        </a:xfrm>
        <a:prstGeom prst="halfFrame">
          <a:avLst>
            <a:gd name="adj1" fmla="val 15000"/>
            <a:gd name="adj2" fmla="val 15000"/>
          </a:avLst>
        </a:prstGeom>
        <a:gradFill flip="none" rotWithShape="1">
          <a:gsLst>
            <a:gs pos="0">
              <a:srgbClr val="FFFFFF"/>
            </a:gs>
            <a:gs pos="100000">
              <a:srgbClr val="FFFFFF"/>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solidFill>
              <a:schemeClr val="tx1"/>
            </a:solidFill>
          </a:endParaRPr>
        </a:p>
      </xdr:txBody>
    </xdr:sp>
    <xdr:clientData/>
  </xdr:twoCellAnchor>
  <xdr:twoCellAnchor>
    <xdr:from>
      <xdr:col>11</xdr:col>
      <xdr:colOff>63500</xdr:colOff>
      <xdr:row>119</xdr:row>
      <xdr:rowOff>101600</xdr:rowOff>
    </xdr:from>
    <xdr:to>
      <xdr:col>13</xdr:col>
      <xdr:colOff>0</xdr:colOff>
      <xdr:row>120</xdr:row>
      <xdr:rowOff>0</xdr:rowOff>
    </xdr:to>
    <xdr:sp macro="'editNorm &quot;FP_Main1RisciTable_V_1&quot;,&quot;FP_Main1RisciTable_V_1Red&quot;,&quot;Risci&quot;'" textlink="" fLocksText="0">
      <xdr:nvSpPr>
        <xdr:cNvPr id="14619" name="FP_Main1RisciTable_V_1Red">
          <a:extLst>
            <a:ext uri="{FF2B5EF4-FFF2-40B4-BE49-F238E27FC236}">
              <a16:creationId xmlns:a16="http://schemas.microsoft.com/office/drawing/2014/main" id="{00000000-0008-0000-0300-00001B390000}"/>
            </a:ext>
          </a:extLst>
        </xdr:cNvPr>
        <xdr:cNvSpPr/>
      </xdr:nvSpPr>
      <xdr:spPr>
        <a:xfrm>
          <a:off x="9112250" y="33972500"/>
          <a:ext cx="1612900" cy="279400"/>
        </a:xfrm>
        <a:prstGeom prst="roundRect">
          <a:avLst/>
        </a:prstGeom>
        <a:gradFill flip="none" rotWithShape="1">
          <a:gsLst>
            <a:gs pos="0">
              <a:srgbClr val="B4B4B4"/>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Rediger</a:t>
          </a:r>
        </a:p>
      </xdr:txBody>
    </xdr:sp>
    <xdr:clientData/>
  </xdr:twoCellAnchor>
  <xdr:twoCellAnchor>
    <xdr:from>
      <xdr:col>11</xdr:col>
      <xdr:colOff>63500</xdr:colOff>
      <xdr:row>119</xdr:row>
      <xdr:rowOff>101600</xdr:rowOff>
    </xdr:from>
    <xdr:to>
      <xdr:col>12</xdr:col>
      <xdr:colOff>0</xdr:colOff>
      <xdr:row>120</xdr:row>
      <xdr:rowOff>0</xdr:rowOff>
    </xdr:to>
    <xdr:sp macro="'editNorm &quot;FP_Main1RisciTable_V_1&quot;,&quot;FP_Main1RisciTable_V_1Gem&quot;,&quot;Risci&quot;'" textlink="" fLocksText="0">
      <xdr:nvSpPr>
        <xdr:cNvPr id="14620" name="FP_Main1RisciTable_V_1Gem" hidden="1">
          <a:extLst>
            <a:ext uri="{FF2B5EF4-FFF2-40B4-BE49-F238E27FC236}">
              <a16:creationId xmlns:a16="http://schemas.microsoft.com/office/drawing/2014/main" id="{00000000-0008-0000-0300-00001C390000}"/>
            </a:ext>
          </a:extLst>
        </xdr:cNvPr>
        <xdr:cNvSpPr/>
      </xdr:nvSpPr>
      <xdr:spPr>
        <a:xfrm>
          <a:off x="9112250" y="33972500"/>
          <a:ext cx="774700" cy="279400"/>
        </a:xfrm>
        <a:prstGeom prst="roundRect">
          <a:avLst/>
        </a:prstGeom>
        <a:gradFill flip="none" rotWithShape="1">
          <a:gsLst>
            <a:gs pos="0">
              <a:srgbClr val="96B412"/>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Gem</a:t>
          </a:r>
        </a:p>
      </xdr:txBody>
    </xdr:sp>
    <xdr:clientData/>
  </xdr:twoCellAnchor>
  <xdr:twoCellAnchor>
    <xdr:from>
      <xdr:col>12</xdr:col>
      <xdr:colOff>88900</xdr:colOff>
      <xdr:row>119</xdr:row>
      <xdr:rowOff>101600</xdr:rowOff>
    </xdr:from>
    <xdr:to>
      <xdr:col>13</xdr:col>
      <xdr:colOff>0</xdr:colOff>
      <xdr:row>120</xdr:row>
      <xdr:rowOff>0</xdr:rowOff>
    </xdr:to>
    <xdr:sp macro="'editNorm &quot;FP_Main1RisciTable_V_1&quot;,&quot;FP_Main1RisciTable_V_1Cancel&quot;,&quot;Risci&quot;'" textlink="" fLocksText="0">
      <xdr:nvSpPr>
        <xdr:cNvPr id="14621" name="FP_Main1RisciTable_V_1Cancel" hidden="1">
          <a:extLst>
            <a:ext uri="{FF2B5EF4-FFF2-40B4-BE49-F238E27FC236}">
              <a16:creationId xmlns:a16="http://schemas.microsoft.com/office/drawing/2014/main" id="{00000000-0008-0000-0300-00001D390000}"/>
            </a:ext>
          </a:extLst>
        </xdr:cNvPr>
        <xdr:cNvSpPr/>
      </xdr:nvSpPr>
      <xdr:spPr>
        <a:xfrm>
          <a:off x="9975850" y="33972500"/>
          <a:ext cx="749300" cy="279400"/>
        </a:xfrm>
        <a:prstGeom prst="roundRect">
          <a:avLst/>
        </a:prstGeom>
        <a:gradFill flip="none" rotWithShape="1">
          <a:gsLst>
            <a:gs pos="0">
              <a:srgbClr val="B4B4B4"/>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Annuller</a:t>
          </a:r>
        </a:p>
      </xdr:txBody>
    </xdr:sp>
    <xdr:clientData/>
  </xdr:twoCellAnchor>
  <xdr:twoCellAnchor>
    <xdr:from>
      <xdr:col>13</xdr:col>
      <xdr:colOff>88900</xdr:colOff>
      <xdr:row>119</xdr:row>
      <xdr:rowOff>101600</xdr:rowOff>
    </xdr:from>
    <xdr:to>
      <xdr:col>14</xdr:col>
      <xdr:colOff>0</xdr:colOff>
      <xdr:row>120</xdr:row>
      <xdr:rowOff>0</xdr:rowOff>
    </xdr:to>
    <xdr:sp macro="'editNorm &quot;FP_Main1RisciTable_V_1&quot;,&quot;FP_Main1RisciTable_V_1Delete&quot;,&quot;Risci&quot;'" textlink="" fLocksText="0">
      <xdr:nvSpPr>
        <xdr:cNvPr id="14622" name="FP_Main1RisciTable_V_1Delete" hidden="1">
          <a:extLst>
            <a:ext uri="{FF2B5EF4-FFF2-40B4-BE49-F238E27FC236}">
              <a16:creationId xmlns:a16="http://schemas.microsoft.com/office/drawing/2014/main" id="{00000000-0008-0000-0300-00001E390000}"/>
            </a:ext>
          </a:extLst>
        </xdr:cNvPr>
        <xdr:cNvSpPr/>
      </xdr:nvSpPr>
      <xdr:spPr>
        <a:xfrm>
          <a:off x="10814050" y="33972500"/>
          <a:ext cx="749300" cy="279400"/>
        </a:xfrm>
        <a:prstGeom prst="roundRect">
          <a:avLst/>
        </a:prstGeom>
        <a:gradFill flip="none" rotWithShape="1">
          <a:gsLst>
            <a:gs pos="0">
              <a:srgbClr val="C83232"/>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Slet</a:t>
          </a:r>
        </a:p>
      </xdr:txBody>
    </xdr:sp>
    <xdr:clientData/>
  </xdr:twoCellAnchor>
  <xdr:twoCellAnchor>
    <xdr:from>
      <xdr:col>11</xdr:col>
      <xdr:colOff>63500</xdr:colOff>
      <xdr:row>120</xdr:row>
      <xdr:rowOff>101600</xdr:rowOff>
    </xdr:from>
    <xdr:to>
      <xdr:col>13</xdr:col>
      <xdr:colOff>0</xdr:colOff>
      <xdr:row>121</xdr:row>
      <xdr:rowOff>0</xdr:rowOff>
    </xdr:to>
    <xdr:sp macro="'editNorm &quot;FP_Main1RisciTable_V_2&quot;,&quot;FP_Main1RisciTable_V_2Red&quot;,&quot;Risci&quot;'" textlink="" fLocksText="0">
      <xdr:nvSpPr>
        <xdr:cNvPr id="14623" name="FP_Main1RisciTable_V_2Red">
          <a:extLst>
            <a:ext uri="{FF2B5EF4-FFF2-40B4-BE49-F238E27FC236}">
              <a16:creationId xmlns:a16="http://schemas.microsoft.com/office/drawing/2014/main" id="{00000000-0008-0000-0300-00001F390000}"/>
            </a:ext>
          </a:extLst>
        </xdr:cNvPr>
        <xdr:cNvSpPr/>
      </xdr:nvSpPr>
      <xdr:spPr>
        <a:xfrm>
          <a:off x="9112250" y="34353500"/>
          <a:ext cx="1612900" cy="279400"/>
        </a:xfrm>
        <a:prstGeom prst="roundRect">
          <a:avLst/>
        </a:prstGeom>
        <a:gradFill flip="none" rotWithShape="1">
          <a:gsLst>
            <a:gs pos="0">
              <a:srgbClr val="B4B4B4"/>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Rediger</a:t>
          </a:r>
        </a:p>
      </xdr:txBody>
    </xdr:sp>
    <xdr:clientData/>
  </xdr:twoCellAnchor>
  <xdr:twoCellAnchor>
    <xdr:from>
      <xdr:col>11</xdr:col>
      <xdr:colOff>63500</xdr:colOff>
      <xdr:row>120</xdr:row>
      <xdr:rowOff>101600</xdr:rowOff>
    </xdr:from>
    <xdr:to>
      <xdr:col>12</xdr:col>
      <xdr:colOff>0</xdr:colOff>
      <xdr:row>121</xdr:row>
      <xdr:rowOff>0</xdr:rowOff>
    </xdr:to>
    <xdr:sp macro="'editNorm &quot;FP_Main1RisciTable_V_2&quot;,&quot;FP_Main1RisciTable_V_2Gem&quot;,&quot;Risci&quot;'" textlink="" fLocksText="0">
      <xdr:nvSpPr>
        <xdr:cNvPr id="14624" name="FP_Main1RisciTable_V_2Gem" hidden="1">
          <a:extLst>
            <a:ext uri="{FF2B5EF4-FFF2-40B4-BE49-F238E27FC236}">
              <a16:creationId xmlns:a16="http://schemas.microsoft.com/office/drawing/2014/main" id="{00000000-0008-0000-0300-000020390000}"/>
            </a:ext>
          </a:extLst>
        </xdr:cNvPr>
        <xdr:cNvSpPr/>
      </xdr:nvSpPr>
      <xdr:spPr>
        <a:xfrm>
          <a:off x="9112250" y="34353500"/>
          <a:ext cx="774700" cy="279400"/>
        </a:xfrm>
        <a:prstGeom prst="roundRect">
          <a:avLst/>
        </a:prstGeom>
        <a:gradFill flip="none" rotWithShape="1">
          <a:gsLst>
            <a:gs pos="0">
              <a:srgbClr val="96B412"/>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Gem</a:t>
          </a:r>
        </a:p>
      </xdr:txBody>
    </xdr:sp>
    <xdr:clientData/>
  </xdr:twoCellAnchor>
  <xdr:twoCellAnchor>
    <xdr:from>
      <xdr:col>12</xdr:col>
      <xdr:colOff>88900</xdr:colOff>
      <xdr:row>120</xdr:row>
      <xdr:rowOff>101600</xdr:rowOff>
    </xdr:from>
    <xdr:to>
      <xdr:col>13</xdr:col>
      <xdr:colOff>0</xdr:colOff>
      <xdr:row>121</xdr:row>
      <xdr:rowOff>0</xdr:rowOff>
    </xdr:to>
    <xdr:sp macro="'editNorm &quot;FP_Main1RisciTable_V_2&quot;,&quot;FP_Main1RisciTable_V_2Cancel&quot;,&quot;Risci&quot;'" textlink="" fLocksText="0">
      <xdr:nvSpPr>
        <xdr:cNvPr id="14625" name="FP_Main1RisciTable_V_2Cancel" hidden="1">
          <a:extLst>
            <a:ext uri="{FF2B5EF4-FFF2-40B4-BE49-F238E27FC236}">
              <a16:creationId xmlns:a16="http://schemas.microsoft.com/office/drawing/2014/main" id="{00000000-0008-0000-0300-000021390000}"/>
            </a:ext>
          </a:extLst>
        </xdr:cNvPr>
        <xdr:cNvSpPr/>
      </xdr:nvSpPr>
      <xdr:spPr>
        <a:xfrm>
          <a:off x="9975850" y="34353500"/>
          <a:ext cx="749300" cy="279400"/>
        </a:xfrm>
        <a:prstGeom prst="roundRect">
          <a:avLst/>
        </a:prstGeom>
        <a:gradFill flip="none" rotWithShape="1">
          <a:gsLst>
            <a:gs pos="0">
              <a:srgbClr val="B4B4B4"/>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Annuller</a:t>
          </a:r>
        </a:p>
      </xdr:txBody>
    </xdr:sp>
    <xdr:clientData/>
  </xdr:twoCellAnchor>
  <xdr:twoCellAnchor>
    <xdr:from>
      <xdr:col>13</xdr:col>
      <xdr:colOff>88900</xdr:colOff>
      <xdr:row>120</xdr:row>
      <xdr:rowOff>101600</xdr:rowOff>
    </xdr:from>
    <xdr:to>
      <xdr:col>14</xdr:col>
      <xdr:colOff>0</xdr:colOff>
      <xdr:row>121</xdr:row>
      <xdr:rowOff>0</xdr:rowOff>
    </xdr:to>
    <xdr:sp macro="'editNorm &quot;FP_Main1RisciTable_V_2&quot;,&quot;FP_Main1RisciTable_V_2Delete&quot;,&quot;Risci&quot;'" textlink="" fLocksText="0">
      <xdr:nvSpPr>
        <xdr:cNvPr id="14626" name="FP_Main1RisciTable_V_2Delete" hidden="1">
          <a:extLst>
            <a:ext uri="{FF2B5EF4-FFF2-40B4-BE49-F238E27FC236}">
              <a16:creationId xmlns:a16="http://schemas.microsoft.com/office/drawing/2014/main" id="{00000000-0008-0000-0300-000022390000}"/>
            </a:ext>
          </a:extLst>
        </xdr:cNvPr>
        <xdr:cNvSpPr/>
      </xdr:nvSpPr>
      <xdr:spPr>
        <a:xfrm>
          <a:off x="10814050" y="34353500"/>
          <a:ext cx="749300" cy="279400"/>
        </a:xfrm>
        <a:prstGeom prst="roundRect">
          <a:avLst/>
        </a:prstGeom>
        <a:gradFill flip="none" rotWithShape="1">
          <a:gsLst>
            <a:gs pos="0">
              <a:srgbClr val="C83232"/>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Slet</a:t>
          </a:r>
        </a:p>
      </xdr:txBody>
    </xdr:sp>
    <xdr:clientData/>
  </xdr:twoCellAnchor>
  <xdr:twoCellAnchor>
    <xdr:from>
      <xdr:col>11</xdr:col>
      <xdr:colOff>63500</xdr:colOff>
      <xdr:row>122</xdr:row>
      <xdr:rowOff>12700</xdr:rowOff>
    </xdr:from>
    <xdr:to>
      <xdr:col>13</xdr:col>
      <xdr:colOff>0</xdr:colOff>
      <xdr:row>122</xdr:row>
      <xdr:rowOff>292100</xdr:rowOff>
    </xdr:to>
    <xdr:sp macro="'groupAdd &quot;Risci&quot;'" textlink="" fLocksText="0">
      <xdr:nvSpPr>
        <xdr:cNvPr id="14627" name="FP_Main1RisciTable_Add">
          <a:extLst>
            <a:ext uri="{FF2B5EF4-FFF2-40B4-BE49-F238E27FC236}">
              <a16:creationId xmlns:a16="http://schemas.microsoft.com/office/drawing/2014/main" id="{00000000-0008-0000-0300-000023390000}"/>
            </a:ext>
          </a:extLst>
        </xdr:cNvPr>
        <xdr:cNvSpPr/>
      </xdr:nvSpPr>
      <xdr:spPr>
        <a:xfrm>
          <a:off x="9112250" y="34826575"/>
          <a:ext cx="1612900" cy="279400"/>
        </a:xfrm>
        <a:prstGeom prst="roundRect">
          <a:avLst/>
        </a:prstGeom>
        <a:gradFill flip="none" rotWithShape="1">
          <a:gsLst>
            <a:gs pos="0">
              <a:srgbClr val="B4B4B4"/>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Tilføj</a:t>
          </a:r>
        </a:p>
      </xdr:txBody>
    </xdr:sp>
    <xdr:clientData/>
  </xdr:twoCellAnchor>
  <xdr:twoCellAnchor>
    <xdr:from>
      <xdr:col>1</xdr:col>
      <xdr:colOff>0</xdr:colOff>
      <xdr:row>124</xdr:row>
      <xdr:rowOff>12700</xdr:rowOff>
    </xdr:from>
    <xdr:to>
      <xdr:col>13</xdr:col>
      <xdr:colOff>0</xdr:colOff>
      <xdr:row>124</xdr:row>
      <xdr:rowOff>520700</xdr:rowOff>
    </xdr:to>
    <xdr:sp macro="'expand &quot;FP_Main1IOKVar&quot;,&quot;Forside&quot;,TRUE'" textlink="" fLocksText="0">
      <xdr:nvSpPr>
        <xdr:cNvPr id="14628" name="FP_Main1IOKVar">
          <a:extLst>
            <a:ext uri="{FF2B5EF4-FFF2-40B4-BE49-F238E27FC236}">
              <a16:creationId xmlns:a16="http://schemas.microsoft.com/office/drawing/2014/main" id="{00000000-0008-0000-0300-000024390000}"/>
            </a:ext>
          </a:extLst>
        </xdr:cNvPr>
        <xdr:cNvSpPr/>
      </xdr:nvSpPr>
      <xdr:spPr>
        <a:xfrm>
          <a:off x="666750" y="35312350"/>
          <a:ext cx="10058400" cy="508000"/>
        </a:xfrm>
        <a:prstGeom prst="roundRect">
          <a:avLst/>
        </a:prstGeom>
        <a:gradFill flip="none" rotWithShape="1">
          <a:gsLst>
            <a:gs pos="0">
              <a:srgbClr val="B4B4B4"/>
            </a:gs>
            <a:gs pos="100000">
              <a:srgbClr val="646464"/>
            </a:gs>
          </a:gsLst>
          <a:lin ang="5400000" scaled="1"/>
          <a:tileRect/>
        </a:gradFill>
        <a:ln w="25400" cap="flat" cmpd="sng" algn="ctr">
          <a:noFill/>
          <a:prstDash val="solid"/>
        </a:ln>
        <a:effectLst>
          <a:outerShdw blurRad="1016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81000" rtlCol="0" anchor="ctr"/>
        <a:lstStyle/>
        <a:p>
          <a:pPr algn="l"/>
          <a:r>
            <a:rPr lang="da-DK" sz="1800" b="0">
              <a:solidFill>
                <a:srgbClr val="FFFFFF"/>
              </a:solidFill>
            </a:rPr>
            <a:t>Ikke-økonomiske variable</a:t>
          </a:r>
        </a:p>
      </xdr:txBody>
    </xdr:sp>
    <xdr:clientData/>
  </xdr:twoCellAnchor>
  <xdr:twoCellAnchor>
    <xdr:from>
      <xdr:col>12</xdr:col>
      <xdr:colOff>431800</xdr:colOff>
      <xdr:row>124</xdr:row>
      <xdr:rowOff>157842</xdr:rowOff>
    </xdr:from>
    <xdr:to>
      <xdr:col>12</xdr:col>
      <xdr:colOff>635000</xdr:colOff>
      <xdr:row>124</xdr:row>
      <xdr:rowOff>361042</xdr:rowOff>
    </xdr:to>
    <xdr:sp macro="'expand &quot;FP_Main1IOKVar&quot;,&quot;Forside&quot;,TRUE'" textlink="">
      <xdr:nvSpPr>
        <xdr:cNvPr id="14629" name="FP_Main1IOKVararrow">
          <a:extLst>
            <a:ext uri="{FF2B5EF4-FFF2-40B4-BE49-F238E27FC236}">
              <a16:creationId xmlns:a16="http://schemas.microsoft.com/office/drawing/2014/main" id="{00000000-0008-0000-0300-000025390000}"/>
            </a:ext>
          </a:extLst>
        </xdr:cNvPr>
        <xdr:cNvSpPr/>
      </xdr:nvSpPr>
      <xdr:spPr>
        <a:xfrm rot="8100000">
          <a:off x="10266363" y="35412248"/>
          <a:ext cx="203200" cy="203200"/>
        </a:xfrm>
        <a:prstGeom prst="halfFrame">
          <a:avLst>
            <a:gd name="adj1" fmla="val 15000"/>
            <a:gd name="adj2" fmla="val 15000"/>
          </a:avLst>
        </a:prstGeom>
        <a:gradFill flip="none" rotWithShape="1">
          <a:gsLst>
            <a:gs pos="0">
              <a:srgbClr val="FFFFFF"/>
            </a:gs>
            <a:gs pos="100000">
              <a:srgbClr val="FFFFFF"/>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solidFill>
              <a:schemeClr val="tx1"/>
            </a:solidFill>
          </a:endParaRPr>
        </a:p>
      </xdr:txBody>
    </xdr:sp>
    <xdr:clientData/>
  </xdr:twoCellAnchor>
  <xdr:twoCellAnchor>
    <xdr:from>
      <xdr:col>11</xdr:col>
      <xdr:colOff>63500</xdr:colOff>
      <xdr:row>127</xdr:row>
      <xdr:rowOff>101600</xdr:rowOff>
    </xdr:from>
    <xdr:to>
      <xdr:col>13</xdr:col>
      <xdr:colOff>0</xdr:colOff>
      <xdr:row>128</xdr:row>
      <xdr:rowOff>0</xdr:rowOff>
    </xdr:to>
    <xdr:sp macro="'editNorm &quot;FP_Main1IOKVarTable_V_1&quot;,&quot;FP_Main1IOKVarTable_V_1Red&quot;,&quot;IOKVar&quot;'" textlink="" fLocksText="0">
      <xdr:nvSpPr>
        <xdr:cNvPr id="14630" name="FP_Main1IOKVarTable_V_1Red">
          <a:extLst>
            <a:ext uri="{FF2B5EF4-FFF2-40B4-BE49-F238E27FC236}">
              <a16:creationId xmlns:a16="http://schemas.microsoft.com/office/drawing/2014/main" id="{00000000-0008-0000-0300-000026390000}"/>
            </a:ext>
          </a:extLst>
        </xdr:cNvPr>
        <xdr:cNvSpPr/>
      </xdr:nvSpPr>
      <xdr:spPr>
        <a:xfrm>
          <a:off x="9112250" y="36544250"/>
          <a:ext cx="1612900" cy="279400"/>
        </a:xfrm>
        <a:prstGeom prst="roundRect">
          <a:avLst/>
        </a:prstGeom>
        <a:gradFill flip="none" rotWithShape="1">
          <a:gsLst>
            <a:gs pos="0">
              <a:srgbClr val="B4B4B4"/>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Rediger</a:t>
          </a:r>
        </a:p>
      </xdr:txBody>
    </xdr:sp>
    <xdr:clientData/>
  </xdr:twoCellAnchor>
  <xdr:twoCellAnchor>
    <xdr:from>
      <xdr:col>11</xdr:col>
      <xdr:colOff>63500</xdr:colOff>
      <xdr:row>127</xdr:row>
      <xdr:rowOff>101600</xdr:rowOff>
    </xdr:from>
    <xdr:to>
      <xdr:col>12</xdr:col>
      <xdr:colOff>0</xdr:colOff>
      <xdr:row>128</xdr:row>
      <xdr:rowOff>0</xdr:rowOff>
    </xdr:to>
    <xdr:sp macro="'editNorm &quot;FP_Main1IOKVarTable_V_1&quot;,&quot;FP_Main1IOKVarTable_V_1Gem&quot;,&quot;IOKVar&quot;'" textlink="" fLocksText="0">
      <xdr:nvSpPr>
        <xdr:cNvPr id="14631" name="FP_Main1IOKVarTable_V_1Gem" hidden="1">
          <a:extLst>
            <a:ext uri="{FF2B5EF4-FFF2-40B4-BE49-F238E27FC236}">
              <a16:creationId xmlns:a16="http://schemas.microsoft.com/office/drawing/2014/main" id="{00000000-0008-0000-0300-000027390000}"/>
            </a:ext>
          </a:extLst>
        </xdr:cNvPr>
        <xdr:cNvSpPr/>
      </xdr:nvSpPr>
      <xdr:spPr>
        <a:xfrm>
          <a:off x="9112250" y="36544250"/>
          <a:ext cx="774700" cy="279400"/>
        </a:xfrm>
        <a:prstGeom prst="roundRect">
          <a:avLst/>
        </a:prstGeom>
        <a:gradFill flip="none" rotWithShape="1">
          <a:gsLst>
            <a:gs pos="0">
              <a:srgbClr val="96B412"/>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Gem</a:t>
          </a:r>
        </a:p>
      </xdr:txBody>
    </xdr:sp>
    <xdr:clientData/>
  </xdr:twoCellAnchor>
  <xdr:twoCellAnchor>
    <xdr:from>
      <xdr:col>12</xdr:col>
      <xdr:colOff>88900</xdr:colOff>
      <xdr:row>127</xdr:row>
      <xdr:rowOff>101600</xdr:rowOff>
    </xdr:from>
    <xdr:to>
      <xdr:col>13</xdr:col>
      <xdr:colOff>0</xdr:colOff>
      <xdr:row>128</xdr:row>
      <xdr:rowOff>0</xdr:rowOff>
    </xdr:to>
    <xdr:sp macro="'editNorm &quot;FP_Main1IOKVarTable_V_1&quot;,&quot;FP_Main1IOKVarTable_V_1Cancel&quot;,&quot;IOKVar&quot;'" textlink="" fLocksText="0">
      <xdr:nvSpPr>
        <xdr:cNvPr id="14632" name="FP_Main1IOKVarTable_V_1Cancel" hidden="1">
          <a:extLst>
            <a:ext uri="{FF2B5EF4-FFF2-40B4-BE49-F238E27FC236}">
              <a16:creationId xmlns:a16="http://schemas.microsoft.com/office/drawing/2014/main" id="{00000000-0008-0000-0300-000028390000}"/>
            </a:ext>
          </a:extLst>
        </xdr:cNvPr>
        <xdr:cNvSpPr/>
      </xdr:nvSpPr>
      <xdr:spPr>
        <a:xfrm>
          <a:off x="9975850" y="36544250"/>
          <a:ext cx="749300" cy="279400"/>
        </a:xfrm>
        <a:prstGeom prst="roundRect">
          <a:avLst/>
        </a:prstGeom>
        <a:gradFill flip="none" rotWithShape="1">
          <a:gsLst>
            <a:gs pos="0">
              <a:srgbClr val="B4B4B4"/>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Annuller</a:t>
          </a:r>
        </a:p>
      </xdr:txBody>
    </xdr:sp>
    <xdr:clientData/>
  </xdr:twoCellAnchor>
  <xdr:twoCellAnchor>
    <xdr:from>
      <xdr:col>13</xdr:col>
      <xdr:colOff>88900</xdr:colOff>
      <xdr:row>127</xdr:row>
      <xdr:rowOff>101600</xdr:rowOff>
    </xdr:from>
    <xdr:to>
      <xdr:col>14</xdr:col>
      <xdr:colOff>0</xdr:colOff>
      <xdr:row>128</xdr:row>
      <xdr:rowOff>0</xdr:rowOff>
    </xdr:to>
    <xdr:sp macro="'editNorm &quot;FP_Main1IOKVarTable_V_1&quot;,&quot;FP_Main1IOKVarTable_V_1Delete&quot;,&quot;IOKVar&quot;'" textlink="" fLocksText="0">
      <xdr:nvSpPr>
        <xdr:cNvPr id="14633" name="FP_Main1IOKVarTable_V_1Delete" hidden="1">
          <a:extLst>
            <a:ext uri="{FF2B5EF4-FFF2-40B4-BE49-F238E27FC236}">
              <a16:creationId xmlns:a16="http://schemas.microsoft.com/office/drawing/2014/main" id="{00000000-0008-0000-0300-000029390000}"/>
            </a:ext>
          </a:extLst>
        </xdr:cNvPr>
        <xdr:cNvSpPr/>
      </xdr:nvSpPr>
      <xdr:spPr>
        <a:xfrm>
          <a:off x="10814050" y="36544250"/>
          <a:ext cx="749300" cy="279400"/>
        </a:xfrm>
        <a:prstGeom prst="roundRect">
          <a:avLst/>
        </a:prstGeom>
        <a:gradFill flip="none" rotWithShape="1">
          <a:gsLst>
            <a:gs pos="0">
              <a:srgbClr val="C83232"/>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Slet</a:t>
          </a:r>
        </a:p>
      </xdr:txBody>
    </xdr:sp>
    <xdr:clientData/>
  </xdr:twoCellAnchor>
  <xdr:twoCellAnchor>
    <xdr:from>
      <xdr:col>11</xdr:col>
      <xdr:colOff>63500</xdr:colOff>
      <xdr:row>129</xdr:row>
      <xdr:rowOff>12700</xdr:rowOff>
    </xdr:from>
    <xdr:to>
      <xdr:col>13</xdr:col>
      <xdr:colOff>0</xdr:colOff>
      <xdr:row>129</xdr:row>
      <xdr:rowOff>292100</xdr:rowOff>
    </xdr:to>
    <xdr:sp macro="'groupAdd &quot;IOKVar&quot;'" textlink="" fLocksText="0">
      <xdr:nvSpPr>
        <xdr:cNvPr id="14634" name="FP_Main1IOKVarTable_Add">
          <a:extLst>
            <a:ext uri="{FF2B5EF4-FFF2-40B4-BE49-F238E27FC236}">
              <a16:creationId xmlns:a16="http://schemas.microsoft.com/office/drawing/2014/main" id="{00000000-0008-0000-0300-00002A390000}"/>
            </a:ext>
          </a:extLst>
        </xdr:cNvPr>
        <xdr:cNvSpPr/>
      </xdr:nvSpPr>
      <xdr:spPr>
        <a:xfrm>
          <a:off x="9112250" y="37017325"/>
          <a:ext cx="1612900" cy="279400"/>
        </a:xfrm>
        <a:prstGeom prst="roundRect">
          <a:avLst/>
        </a:prstGeom>
        <a:gradFill flip="none" rotWithShape="1">
          <a:gsLst>
            <a:gs pos="0">
              <a:srgbClr val="B4B4B4"/>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Tilføj</a:t>
          </a:r>
        </a:p>
      </xdr:txBody>
    </xdr:sp>
    <xdr:clientData/>
  </xdr:twoCellAnchor>
  <xdr:twoCellAnchor>
    <xdr:from>
      <xdr:col>0</xdr:col>
      <xdr:colOff>0</xdr:colOff>
      <xdr:row>131</xdr:row>
      <xdr:rowOff>12700</xdr:rowOff>
    </xdr:from>
    <xdr:to>
      <xdr:col>0</xdr:col>
      <xdr:colOff>254001</xdr:colOff>
      <xdr:row>140</xdr:row>
      <xdr:rowOff>1</xdr:rowOff>
    </xdr:to>
    <xdr:sp macro="" textlink="">
      <xdr:nvSpPr>
        <xdr:cNvPr id="14635" name="ProjInProgrFP_Holder">
          <a:extLst>
            <a:ext uri="{FF2B5EF4-FFF2-40B4-BE49-F238E27FC236}">
              <a16:creationId xmlns:a16="http://schemas.microsoft.com/office/drawing/2014/main" id="{00000000-0008-0000-0300-00002B390000}"/>
            </a:ext>
          </a:extLst>
        </xdr:cNvPr>
        <xdr:cNvSpPr/>
      </xdr:nvSpPr>
      <xdr:spPr>
        <a:xfrm>
          <a:off x="0" y="37503100"/>
          <a:ext cx="254001" cy="1616076"/>
        </a:xfrm>
        <a:custGeom>
          <a:avLst/>
          <a:gdLst/>
          <a:ahLst/>
          <a:cxnLst/>
          <a:rect l="0" t="0" r="0" b="0"/>
          <a:pathLst>
            <a:path w="254001" h="1616076">
              <a:moveTo>
                <a:pt x="254000" y="0"/>
              </a:moveTo>
              <a:lnTo>
                <a:pt x="0" y="0"/>
              </a:lnTo>
              <a:lnTo>
                <a:pt x="0" y="1616075"/>
              </a:lnTo>
              <a:lnTo>
                <a:pt x="127000" y="1616075"/>
              </a:lnTo>
              <a:lnTo>
                <a:pt x="127000" y="63500"/>
              </a:lnTo>
              <a:lnTo>
                <a:pt x="254000" y="63500"/>
              </a:lnTo>
              <a:close/>
            </a:path>
          </a:pathLst>
        </a:custGeom>
        <a:noFill/>
        <a:ln w="25400" cap="flat" cmpd="sng" algn="ctr">
          <a:noFill/>
          <a:prstDash val="solid"/>
        </a:ln>
        <a:effectLst/>
        <a:extLst>
          <a:ext uri="{909E8E84-426E-40DD-AFC4-6F175D3DCCD1}">
            <a14:hiddenFill xmlns:a14="http://schemas.microsoft.com/office/drawing/2010/main">
              <a:gradFill flip="none" rotWithShape="1">
                <a:gsLst>
                  <a:gs pos="0">
                    <a:srgbClr val="FDE9D9"/>
                  </a:gs>
                  <a:gs pos="100000">
                    <a:srgbClr val="FDE9D9"/>
                  </a:gs>
                </a:gsLst>
                <a:lin ang="5400000" scaled="1"/>
                <a:tileRect/>
              </a:gra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clientData/>
  </xdr:twoCellAnchor>
  <xdr:twoCellAnchor>
    <xdr:from>
      <xdr:col>1</xdr:col>
      <xdr:colOff>0</xdr:colOff>
      <xdr:row>131</xdr:row>
      <xdr:rowOff>12700</xdr:rowOff>
    </xdr:from>
    <xdr:to>
      <xdr:col>13</xdr:col>
      <xdr:colOff>0</xdr:colOff>
      <xdr:row>131</xdr:row>
      <xdr:rowOff>520700</xdr:rowOff>
    </xdr:to>
    <xdr:sp macro="'expand &quot;FP_Main1Gevinstejere&quot;,&quot;Forside&quot;,TRUE'" textlink="" fLocksText="0">
      <xdr:nvSpPr>
        <xdr:cNvPr id="14636" name="FP_Main1Gevinstejere">
          <a:extLst>
            <a:ext uri="{FF2B5EF4-FFF2-40B4-BE49-F238E27FC236}">
              <a16:creationId xmlns:a16="http://schemas.microsoft.com/office/drawing/2014/main" id="{00000000-0008-0000-0300-00002C390000}"/>
            </a:ext>
          </a:extLst>
        </xdr:cNvPr>
        <xdr:cNvSpPr/>
      </xdr:nvSpPr>
      <xdr:spPr>
        <a:xfrm>
          <a:off x="666750" y="37503100"/>
          <a:ext cx="10058400" cy="508000"/>
        </a:xfrm>
        <a:prstGeom prst="roundRect">
          <a:avLst/>
        </a:prstGeom>
        <a:gradFill flip="none" rotWithShape="1">
          <a:gsLst>
            <a:gs pos="0">
              <a:srgbClr val="B4B4B4"/>
            </a:gs>
            <a:gs pos="100000">
              <a:srgbClr val="646464"/>
            </a:gs>
          </a:gsLst>
          <a:lin ang="5400000" scaled="1"/>
          <a:tileRect/>
        </a:gradFill>
        <a:ln w="25400" cap="flat" cmpd="sng" algn="ctr">
          <a:noFill/>
          <a:prstDash val="solid"/>
        </a:ln>
        <a:effectLst>
          <a:outerShdw blurRad="1016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81000" rtlCol="0" anchor="ctr"/>
        <a:lstStyle/>
        <a:p>
          <a:pPr algn="l"/>
          <a:r>
            <a:rPr lang="da-DK" sz="1800" b="0">
              <a:solidFill>
                <a:srgbClr val="FFFFFF"/>
              </a:solidFill>
            </a:rPr>
            <a:t>Gevinstejere</a:t>
          </a:r>
        </a:p>
      </xdr:txBody>
    </xdr:sp>
    <xdr:clientData/>
  </xdr:twoCellAnchor>
  <xdr:twoCellAnchor>
    <xdr:from>
      <xdr:col>12</xdr:col>
      <xdr:colOff>431800</xdr:colOff>
      <xdr:row>131</xdr:row>
      <xdr:rowOff>157842</xdr:rowOff>
    </xdr:from>
    <xdr:to>
      <xdr:col>12</xdr:col>
      <xdr:colOff>635000</xdr:colOff>
      <xdr:row>131</xdr:row>
      <xdr:rowOff>361042</xdr:rowOff>
    </xdr:to>
    <xdr:sp macro="'expand &quot;FP_Main1Gevinstejere&quot;,&quot;Forside&quot;,TRUE'" textlink="">
      <xdr:nvSpPr>
        <xdr:cNvPr id="14637" name="FP_Main1Gevinstejerearrow">
          <a:extLst>
            <a:ext uri="{FF2B5EF4-FFF2-40B4-BE49-F238E27FC236}">
              <a16:creationId xmlns:a16="http://schemas.microsoft.com/office/drawing/2014/main" id="{00000000-0008-0000-0300-00002D390000}"/>
            </a:ext>
          </a:extLst>
        </xdr:cNvPr>
        <xdr:cNvSpPr/>
      </xdr:nvSpPr>
      <xdr:spPr>
        <a:xfrm rot="8100000">
          <a:off x="10266363" y="37602998"/>
          <a:ext cx="203200" cy="203200"/>
        </a:xfrm>
        <a:prstGeom prst="halfFrame">
          <a:avLst>
            <a:gd name="adj1" fmla="val 15000"/>
            <a:gd name="adj2" fmla="val 15000"/>
          </a:avLst>
        </a:prstGeom>
        <a:gradFill flip="none" rotWithShape="1">
          <a:gsLst>
            <a:gs pos="0">
              <a:srgbClr val="FFFFFF"/>
            </a:gs>
            <a:gs pos="100000">
              <a:srgbClr val="FFFFFF"/>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solidFill>
              <a:schemeClr val="tx1"/>
            </a:solidFill>
          </a:endParaRPr>
        </a:p>
      </xdr:txBody>
    </xdr:sp>
    <xdr:clientData/>
  </xdr:twoCellAnchor>
  <xdr:twoCellAnchor>
    <xdr:from>
      <xdr:col>1</xdr:col>
      <xdr:colOff>0</xdr:colOff>
      <xdr:row>133</xdr:row>
      <xdr:rowOff>0</xdr:rowOff>
    </xdr:from>
    <xdr:to>
      <xdr:col>5</xdr:col>
      <xdr:colOff>0</xdr:colOff>
      <xdr:row>133</xdr:row>
      <xdr:rowOff>381000</xdr:rowOff>
    </xdr:to>
    <xdr:sp macro="" textlink="" fLocksText="0">
      <xdr:nvSpPr>
        <xdr:cNvPr id="14638" name="FP_GevinstejerTxt1">
          <a:extLst>
            <a:ext uri="{FF2B5EF4-FFF2-40B4-BE49-F238E27FC236}">
              <a16:creationId xmlns:a16="http://schemas.microsoft.com/office/drawing/2014/main" id="{00000000-0008-0000-0300-00002E390000}"/>
            </a:ext>
          </a:extLst>
        </xdr:cNvPr>
        <xdr:cNvSpPr/>
      </xdr:nvSpPr>
      <xdr:spPr>
        <a:xfrm>
          <a:off x="666750" y="38204775"/>
          <a:ext cx="3352800" cy="381000"/>
        </a:xfrm>
        <a:prstGeom prst="roundRect">
          <a:avLst>
            <a:gd name="adj" fmla="val 0"/>
          </a:avLst>
        </a:prstGeom>
        <a:gradFill flip="none" rotWithShape="1">
          <a:gsLst>
            <a:gs pos="0">
              <a:srgbClr val="D9D9D9"/>
            </a:gs>
            <a:gs pos="100000">
              <a:srgbClr val="D9D9D9"/>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rtlCol="0" anchor="ctr"/>
        <a:lstStyle/>
        <a:p>
          <a:pPr algn="l"/>
          <a:r>
            <a:rPr lang="da-DK" sz="1400" b="1">
              <a:solidFill>
                <a:srgbClr val="000000"/>
              </a:solidFill>
              <a:latin typeface="Arial"/>
            </a:rPr>
            <a:t>Gevinstejere</a:t>
          </a:r>
        </a:p>
      </xdr:txBody>
    </xdr:sp>
    <xdr:clientData/>
  </xdr:twoCellAnchor>
  <xdr:twoCellAnchor>
    <xdr:from>
      <xdr:col>11</xdr:col>
      <xdr:colOff>63500</xdr:colOff>
      <xdr:row>135</xdr:row>
      <xdr:rowOff>12700</xdr:rowOff>
    </xdr:from>
    <xdr:to>
      <xdr:col>13</xdr:col>
      <xdr:colOff>0</xdr:colOff>
      <xdr:row>135</xdr:row>
      <xdr:rowOff>292100</xdr:rowOff>
    </xdr:to>
    <xdr:sp macro="'editNorm &quot;FP_Gevinstejer_1&quot;,&quot;FP_Gevinstejer_1Red&quot;,&quot;Gevinstejer&quot;'" textlink="" fLocksText="0">
      <xdr:nvSpPr>
        <xdr:cNvPr id="14639" name="FP_Gevinstejer_1Red">
          <a:extLst>
            <a:ext uri="{FF2B5EF4-FFF2-40B4-BE49-F238E27FC236}">
              <a16:creationId xmlns:a16="http://schemas.microsoft.com/office/drawing/2014/main" id="{00000000-0008-0000-0300-00002F390000}"/>
            </a:ext>
          </a:extLst>
        </xdr:cNvPr>
        <xdr:cNvSpPr/>
      </xdr:nvSpPr>
      <xdr:spPr>
        <a:xfrm>
          <a:off x="9112250" y="38788975"/>
          <a:ext cx="1612900" cy="279400"/>
        </a:xfrm>
        <a:prstGeom prst="roundRect">
          <a:avLst/>
        </a:prstGeom>
        <a:gradFill flip="none" rotWithShape="1">
          <a:gsLst>
            <a:gs pos="0">
              <a:srgbClr val="B4B4B4"/>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Rediger</a:t>
          </a:r>
        </a:p>
      </xdr:txBody>
    </xdr:sp>
    <xdr:clientData/>
  </xdr:twoCellAnchor>
  <xdr:twoCellAnchor>
    <xdr:from>
      <xdr:col>11</xdr:col>
      <xdr:colOff>63500</xdr:colOff>
      <xdr:row>135</xdr:row>
      <xdr:rowOff>12700</xdr:rowOff>
    </xdr:from>
    <xdr:to>
      <xdr:col>12</xdr:col>
      <xdr:colOff>0</xdr:colOff>
      <xdr:row>135</xdr:row>
      <xdr:rowOff>292100</xdr:rowOff>
    </xdr:to>
    <xdr:sp macro="'editNorm &quot;FP_Gevinstejer_1&quot;,&quot;FP_Gevinstejer_1Gem&quot;,&quot;Gevinstejer&quot;'" textlink="" fLocksText="0">
      <xdr:nvSpPr>
        <xdr:cNvPr id="14640" name="FP_Gevinstejer_1Gem" hidden="1">
          <a:extLst>
            <a:ext uri="{FF2B5EF4-FFF2-40B4-BE49-F238E27FC236}">
              <a16:creationId xmlns:a16="http://schemas.microsoft.com/office/drawing/2014/main" id="{00000000-0008-0000-0300-000030390000}"/>
            </a:ext>
          </a:extLst>
        </xdr:cNvPr>
        <xdr:cNvSpPr/>
      </xdr:nvSpPr>
      <xdr:spPr>
        <a:xfrm>
          <a:off x="9112250" y="38788975"/>
          <a:ext cx="774700" cy="279400"/>
        </a:xfrm>
        <a:prstGeom prst="roundRect">
          <a:avLst/>
        </a:prstGeom>
        <a:gradFill flip="none" rotWithShape="1">
          <a:gsLst>
            <a:gs pos="0">
              <a:srgbClr val="96B412"/>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Gem</a:t>
          </a:r>
        </a:p>
      </xdr:txBody>
    </xdr:sp>
    <xdr:clientData/>
  </xdr:twoCellAnchor>
  <xdr:twoCellAnchor>
    <xdr:from>
      <xdr:col>12</xdr:col>
      <xdr:colOff>88900</xdr:colOff>
      <xdr:row>135</xdr:row>
      <xdr:rowOff>12700</xdr:rowOff>
    </xdr:from>
    <xdr:to>
      <xdr:col>13</xdr:col>
      <xdr:colOff>0</xdr:colOff>
      <xdr:row>135</xdr:row>
      <xdr:rowOff>292100</xdr:rowOff>
    </xdr:to>
    <xdr:sp macro="'editNorm &quot;FP_Gevinstejer_1&quot;,&quot;FP_Gevinstejer_1Cancel&quot;,&quot;Gevinstejer&quot;'" textlink="" fLocksText="0">
      <xdr:nvSpPr>
        <xdr:cNvPr id="14641" name="FP_Gevinstejer_1Cancel" hidden="1">
          <a:extLst>
            <a:ext uri="{FF2B5EF4-FFF2-40B4-BE49-F238E27FC236}">
              <a16:creationId xmlns:a16="http://schemas.microsoft.com/office/drawing/2014/main" id="{00000000-0008-0000-0300-000031390000}"/>
            </a:ext>
          </a:extLst>
        </xdr:cNvPr>
        <xdr:cNvSpPr/>
      </xdr:nvSpPr>
      <xdr:spPr>
        <a:xfrm>
          <a:off x="9975850" y="38788975"/>
          <a:ext cx="749300" cy="279400"/>
        </a:xfrm>
        <a:prstGeom prst="roundRect">
          <a:avLst/>
        </a:prstGeom>
        <a:gradFill flip="none" rotWithShape="1">
          <a:gsLst>
            <a:gs pos="0">
              <a:srgbClr val="B4B4B4"/>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Annuller</a:t>
          </a:r>
        </a:p>
      </xdr:txBody>
    </xdr:sp>
    <xdr:clientData/>
  </xdr:twoCellAnchor>
  <xdr:twoCellAnchor>
    <xdr:from>
      <xdr:col>13</xdr:col>
      <xdr:colOff>88900</xdr:colOff>
      <xdr:row>135</xdr:row>
      <xdr:rowOff>12700</xdr:rowOff>
    </xdr:from>
    <xdr:to>
      <xdr:col>14</xdr:col>
      <xdr:colOff>0</xdr:colOff>
      <xdr:row>135</xdr:row>
      <xdr:rowOff>292100</xdr:rowOff>
    </xdr:to>
    <xdr:sp macro="'editNorm &quot;FP_Gevinstejer_1&quot;,&quot;FP_Gevinstejer_1Delete&quot;,&quot;Gevinstejer&quot;'" textlink="" fLocksText="0">
      <xdr:nvSpPr>
        <xdr:cNvPr id="14642" name="FP_Gevinstejer_1Delete" hidden="1">
          <a:extLst>
            <a:ext uri="{FF2B5EF4-FFF2-40B4-BE49-F238E27FC236}">
              <a16:creationId xmlns:a16="http://schemas.microsoft.com/office/drawing/2014/main" id="{00000000-0008-0000-0300-000032390000}"/>
            </a:ext>
          </a:extLst>
        </xdr:cNvPr>
        <xdr:cNvSpPr/>
      </xdr:nvSpPr>
      <xdr:spPr>
        <a:xfrm>
          <a:off x="10814050" y="38788975"/>
          <a:ext cx="749300" cy="279400"/>
        </a:xfrm>
        <a:prstGeom prst="roundRect">
          <a:avLst/>
        </a:prstGeom>
        <a:gradFill flip="none" rotWithShape="1">
          <a:gsLst>
            <a:gs pos="0">
              <a:srgbClr val="C83232"/>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Slet</a:t>
          </a:r>
        </a:p>
      </xdr:txBody>
    </xdr:sp>
    <xdr:clientData/>
  </xdr:twoCellAnchor>
  <xdr:twoCellAnchor>
    <xdr:from>
      <xdr:col>3</xdr:col>
      <xdr:colOff>0</xdr:colOff>
      <xdr:row>136</xdr:row>
      <xdr:rowOff>25400</xdr:rowOff>
    </xdr:from>
    <xdr:to>
      <xdr:col>13</xdr:col>
      <xdr:colOff>0</xdr:colOff>
      <xdr:row>136</xdr:row>
      <xdr:rowOff>50800</xdr:rowOff>
    </xdr:to>
    <xdr:sp macro="" textlink="">
      <xdr:nvSpPr>
        <xdr:cNvPr id="14643" name="FP_GevinstejerL1_1">
          <a:extLst>
            <a:ext uri="{FF2B5EF4-FFF2-40B4-BE49-F238E27FC236}">
              <a16:creationId xmlns:a16="http://schemas.microsoft.com/office/drawing/2014/main" id="{00000000-0008-0000-0300-000033390000}"/>
            </a:ext>
          </a:extLst>
        </xdr:cNvPr>
        <xdr:cNvSpPr/>
      </xdr:nvSpPr>
      <xdr:spPr>
        <a:xfrm>
          <a:off x="2343150" y="39106475"/>
          <a:ext cx="8382000" cy="25400"/>
        </a:xfrm>
        <a:prstGeom prst="roundRect">
          <a:avLst/>
        </a:prstGeom>
        <a:gradFill flip="none" rotWithShape="1">
          <a:gsLst>
            <a:gs pos="0">
              <a:srgbClr val="B4B4B4"/>
            </a:gs>
            <a:gs pos="100000">
              <a:srgbClr val="646464"/>
            </a:gs>
          </a:gsLst>
          <a:lin ang="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clientData/>
  </xdr:twoCellAnchor>
  <xdr:twoCellAnchor>
    <xdr:from>
      <xdr:col>11</xdr:col>
      <xdr:colOff>63500</xdr:colOff>
      <xdr:row>138</xdr:row>
      <xdr:rowOff>12700</xdr:rowOff>
    </xdr:from>
    <xdr:to>
      <xdr:col>13</xdr:col>
      <xdr:colOff>0</xdr:colOff>
      <xdr:row>138</xdr:row>
      <xdr:rowOff>292100</xdr:rowOff>
    </xdr:to>
    <xdr:sp macro="'groupAdd &quot;Gevinstejer&quot;'" textlink="" fLocksText="0">
      <xdr:nvSpPr>
        <xdr:cNvPr id="14644" name="FP_GevinstejerAdd">
          <a:extLst>
            <a:ext uri="{FF2B5EF4-FFF2-40B4-BE49-F238E27FC236}">
              <a16:creationId xmlns:a16="http://schemas.microsoft.com/office/drawing/2014/main" id="{00000000-0008-0000-0300-000034390000}"/>
            </a:ext>
          </a:extLst>
        </xdr:cNvPr>
        <xdr:cNvSpPr/>
      </xdr:nvSpPr>
      <xdr:spPr>
        <a:xfrm>
          <a:off x="9112250" y="39331900"/>
          <a:ext cx="1612900" cy="279400"/>
        </a:xfrm>
        <a:prstGeom prst="roundRect">
          <a:avLst/>
        </a:prstGeom>
        <a:gradFill flip="none" rotWithShape="1">
          <a:gsLst>
            <a:gs pos="0">
              <a:srgbClr val="B4B4B4"/>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Tilføj</a:t>
          </a:r>
        </a:p>
      </xdr:txBody>
    </xdr:sp>
    <xdr:clientData/>
  </xdr:twoCellAnchor>
  <xdr:twoCellAnchor>
    <xdr:from>
      <xdr:col>0</xdr:col>
      <xdr:colOff>0</xdr:colOff>
      <xdr:row>140</xdr:row>
      <xdr:rowOff>12700</xdr:rowOff>
    </xdr:from>
    <xdr:to>
      <xdr:col>0</xdr:col>
      <xdr:colOff>254001</xdr:colOff>
      <xdr:row>152</xdr:row>
      <xdr:rowOff>1</xdr:rowOff>
    </xdr:to>
    <xdr:sp macro="" textlink="">
      <xdr:nvSpPr>
        <xdr:cNvPr id="14645" name="ProjectsFS_Holder">
          <a:extLst>
            <a:ext uri="{FF2B5EF4-FFF2-40B4-BE49-F238E27FC236}">
              <a16:creationId xmlns:a16="http://schemas.microsoft.com/office/drawing/2014/main" id="{00000000-0008-0000-0300-000035390000}"/>
            </a:ext>
          </a:extLst>
        </xdr:cNvPr>
        <xdr:cNvSpPr/>
      </xdr:nvSpPr>
      <xdr:spPr>
        <a:xfrm>
          <a:off x="0" y="39817675"/>
          <a:ext cx="254001" cy="2159001"/>
        </a:xfrm>
        <a:custGeom>
          <a:avLst/>
          <a:gdLst/>
          <a:ahLst/>
          <a:cxnLst/>
          <a:rect l="0" t="0" r="0" b="0"/>
          <a:pathLst>
            <a:path w="254001" h="2159001">
              <a:moveTo>
                <a:pt x="254000" y="0"/>
              </a:moveTo>
              <a:lnTo>
                <a:pt x="0" y="0"/>
              </a:lnTo>
              <a:lnTo>
                <a:pt x="0" y="2159000"/>
              </a:lnTo>
              <a:lnTo>
                <a:pt x="127000" y="2159000"/>
              </a:lnTo>
              <a:lnTo>
                <a:pt x="127000" y="63500"/>
              </a:lnTo>
              <a:lnTo>
                <a:pt x="254000" y="63500"/>
              </a:lnTo>
              <a:close/>
            </a:path>
          </a:pathLst>
        </a:custGeom>
        <a:noFill/>
        <a:ln w="25400" cap="flat" cmpd="sng" algn="ctr">
          <a:noFill/>
          <a:prstDash val="solid"/>
        </a:ln>
        <a:effectLst/>
        <a:extLst>
          <a:ext uri="{909E8E84-426E-40DD-AFC4-6F175D3DCCD1}">
            <a14:hiddenFill xmlns:a14="http://schemas.microsoft.com/office/drawing/2010/main">
              <a:gradFill flip="none" rotWithShape="1">
                <a:gsLst>
                  <a:gs pos="0">
                    <a:srgbClr val="B1A0C7"/>
                  </a:gs>
                  <a:gs pos="100000">
                    <a:srgbClr val="B1A0C7"/>
                  </a:gs>
                </a:gsLst>
                <a:lin ang="5400000" scaled="1"/>
                <a:tileRect/>
              </a:gra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clientData/>
  </xdr:twoCellAnchor>
  <xdr:twoCellAnchor>
    <xdr:from>
      <xdr:col>1</xdr:col>
      <xdr:colOff>0</xdr:colOff>
      <xdr:row>140</xdr:row>
      <xdr:rowOff>12700</xdr:rowOff>
    </xdr:from>
    <xdr:to>
      <xdr:col>13</xdr:col>
      <xdr:colOff>0</xdr:colOff>
      <xdr:row>140</xdr:row>
      <xdr:rowOff>520700</xdr:rowOff>
    </xdr:to>
    <xdr:sp macro="'expand &quot;FP_Main1Projecter&quot;,&quot;Forside&quot;,TRUE'" textlink="" fLocksText="0">
      <xdr:nvSpPr>
        <xdr:cNvPr id="14646" name="FP_Main1Projecter">
          <a:extLst>
            <a:ext uri="{FF2B5EF4-FFF2-40B4-BE49-F238E27FC236}">
              <a16:creationId xmlns:a16="http://schemas.microsoft.com/office/drawing/2014/main" id="{00000000-0008-0000-0300-000036390000}"/>
            </a:ext>
          </a:extLst>
        </xdr:cNvPr>
        <xdr:cNvSpPr/>
      </xdr:nvSpPr>
      <xdr:spPr>
        <a:xfrm>
          <a:off x="666750" y="39817675"/>
          <a:ext cx="10058400" cy="508000"/>
        </a:xfrm>
        <a:prstGeom prst="roundRect">
          <a:avLst/>
        </a:prstGeom>
        <a:gradFill flip="none" rotWithShape="1">
          <a:gsLst>
            <a:gs pos="0">
              <a:srgbClr val="B4B4B4"/>
            </a:gs>
            <a:gs pos="100000">
              <a:srgbClr val="646464"/>
            </a:gs>
          </a:gsLst>
          <a:lin ang="5400000" scaled="1"/>
          <a:tileRect/>
        </a:gradFill>
        <a:ln w="25400" cap="flat" cmpd="sng" algn="ctr">
          <a:noFill/>
          <a:prstDash val="solid"/>
        </a:ln>
        <a:effectLst>
          <a:outerShdw blurRad="1016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81000" rtlCol="0" anchor="ctr"/>
        <a:lstStyle/>
        <a:p>
          <a:pPr algn="l"/>
          <a:r>
            <a:rPr lang="da-DK" sz="1800" b="0">
              <a:solidFill>
                <a:srgbClr val="FFFFFF"/>
              </a:solidFill>
            </a:rPr>
            <a:t>Projekter</a:t>
          </a:r>
        </a:p>
      </xdr:txBody>
    </xdr:sp>
    <xdr:clientData/>
  </xdr:twoCellAnchor>
  <xdr:twoCellAnchor>
    <xdr:from>
      <xdr:col>12</xdr:col>
      <xdr:colOff>431800</xdr:colOff>
      <xdr:row>140</xdr:row>
      <xdr:rowOff>157842</xdr:rowOff>
    </xdr:from>
    <xdr:to>
      <xdr:col>12</xdr:col>
      <xdr:colOff>635000</xdr:colOff>
      <xdr:row>140</xdr:row>
      <xdr:rowOff>361042</xdr:rowOff>
    </xdr:to>
    <xdr:sp macro="'expand &quot;FP_Main1Projecter&quot;,&quot;Forside&quot;,TRUE'" textlink="">
      <xdr:nvSpPr>
        <xdr:cNvPr id="14647" name="FP_Main1Projecterarrow">
          <a:extLst>
            <a:ext uri="{FF2B5EF4-FFF2-40B4-BE49-F238E27FC236}">
              <a16:creationId xmlns:a16="http://schemas.microsoft.com/office/drawing/2014/main" id="{00000000-0008-0000-0300-000037390000}"/>
            </a:ext>
          </a:extLst>
        </xdr:cNvPr>
        <xdr:cNvSpPr/>
      </xdr:nvSpPr>
      <xdr:spPr>
        <a:xfrm rot="13500000">
          <a:off x="10318750" y="39962817"/>
          <a:ext cx="203200" cy="203200"/>
        </a:xfrm>
        <a:prstGeom prst="halfFrame">
          <a:avLst>
            <a:gd name="adj1" fmla="val 15000"/>
            <a:gd name="adj2" fmla="val 15000"/>
          </a:avLst>
        </a:prstGeom>
        <a:gradFill flip="none" rotWithShape="1">
          <a:gsLst>
            <a:gs pos="0">
              <a:srgbClr val="FFFFFF"/>
            </a:gs>
            <a:gs pos="100000">
              <a:srgbClr val="FFFFFF"/>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solidFill>
              <a:schemeClr val="tx1"/>
            </a:solidFill>
          </a:endParaRPr>
        </a:p>
      </xdr:txBody>
    </xdr:sp>
    <xdr:clientData/>
  </xdr:twoCellAnchor>
  <xdr:twoCellAnchor>
    <xdr:from>
      <xdr:col>1</xdr:col>
      <xdr:colOff>0</xdr:colOff>
      <xdr:row>142</xdr:row>
      <xdr:rowOff>0</xdr:rowOff>
    </xdr:from>
    <xdr:to>
      <xdr:col>5</xdr:col>
      <xdr:colOff>0</xdr:colOff>
      <xdr:row>142</xdr:row>
      <xdr:rowOff>381000</xdr:rowOff>
    </xdr:to>
    <xdr:sp macro="" textlink="" fLocksText="0">
      <xdr:nvSpPr>
        <xdr:cNvPr id="14648" name="FP_ProjekterTxt1">
          <a:extLst>
            <a:ext uri="{FF2B5EF4-FFF2-40B4-BE49-F238E27FC236}">
              <a16:creationId xmlns:a16="http://schemas.microsoft.com/office/drawing/2014/main" id="{00000000-0008-0000-0300-000038390000}"/>
            </a:ext>
          </a:extLst>
        </xdr:cNvPr>
        <xdr:cNvSpPr/>
      </xdr:nvSpPr>
      <xdr:spPr>
        <a:xfrm>
          <a:off x="666750" y="40519350"/>
          <a:ext cx="3352800" cy="381000"/>
        </a:xfrm>
        <a:prstGeom prst="roundRect">
          <a:avLst>
            <a:gd name="adj" fmla="val 0"/>
          </a:avLst>
        </a:prstGeom>
        <a:gradFill flip="none" rotWithShape="1">
          <a:gsLst>
            <a:gs pos="0">
              <a:srgbClr val="D9D9D9"/>
            </a:gs>
            <a:gs pos="100000">
              <a:srgbClr val="D9D9D9"/>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rtlCol="0" anchor="ctr"/>
        <a:lstStyle/>
        <a:p>
          <a:pPr algn="l"/>
          <a:r>
            <a:rPr lang="da-DK" sz="1400" b="1">
              <a:solidFill>
                <a:srgbClr val="000000"/>
              </a:solidFill>
              <a:latin typeface="Arial"/>
            </a:rPr>
            <a:t>Projekter</a:t>
          </a:r>
        </a:p>
      </xdr:txBody>
    </xdr:sp>
    <xdr:clientData/>
  </xdr:twoCellAnchor>
  <xdr:twoCellAnchor>
    <xdr:from>
      <xdr:col>11</xdr:col>
      <xdr:colOff>63500</xdr:colOff>
      <xdr:row>144</xdr:row>
      <xdr:rowOff>12700</xdr:rowOff>
    </xdr:from>
    <xdr:to>
      <xdr:col>13</xdr:col>
      <xdr:colOff>0</xdr:colOff>
      <xdr:row>144</xdr:row>
      <xdr:rowOff>292100</xdr:rowOff>
    </xdr:to>
    <xdr:sp macro="'editNorm &quot;FP_Projekter_1&quot;,&quot;FP_Projekter_1Red&quot;,&quot;Projekter&quot;'" textlink="" fLocksText="0">
      <xdr:nvSpPr>
        <xdr:cNvPr id="14649" name="FP_Projekter_1Red">
          <a:extLst>
            <a:ext uri="{FF2B5EF4-FFF2-40B4-BE49-F238E27FC236}">
              <a16:creationId xmlns:a16="http://schemas.microsoft.com/office/drawing/2014/main" id="{00000000-0008-0000-0300-000039390000}"/>
            </a:ext>
          </a:extLst>
        </xdr:cNvPr>
        <xdr:cNvSpPr/>
      </xdr:nvSpPr>
      <xdr:spPr>
        <a:xfrm>
          <a:off x="9112250" y="41103550"/>
          <a:ext cx="1612900" cy="279400"/>
        </a:xfrm>
        <a:prstGeom prst="roundRect">
          <a:avLst/>
        </a:prstGeom>
        <a:gradFill flip="none" rotWithShape="1">
          <a:gsLst>
            <a:gs pos="0">
              <a:srgbClr val="B4B4B4"/>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Rediger</a:t>
          </a:r>
        </a:p>
      </xdr:txBody>
    </xdr:sp>
    <xdr:clientData/>
  </xdr:twoCellAnchor>
  <xdr:twoCellAnchor>
    <xdr:from>
      <xdr:col>11</xdr:col>
      <xdr:colOff>63500</xdr:colOff>
      <xdr:row>144</xdr:row>
      <xdr:rowOff>12700</xdr:rowOff>
    </xdr:from>
    <xdr:to>
      <xdr:col>12</xdr:col>
      <xdr:colOff>0</xdr:colOff>
      <xdr:row>144</xdr:row>
      <xdr:rowOff>292100</xdr:rowOff>
    </xdr:to>
    <xdr:sp macro="'editNorm &quot;FP_Projekter_1&quot;,&quot;FP_Projekter_1Gem&quot;,&quot;Projekter&quot;'" textlink="" fLocksText="0">
      <xdr:nvSpPr>
        <xdr:cNvPr id="14650" name="FP_Projekter_1Gem" hidden="1">
          <a:extLst>
            <a:ext uri="{FF2B5EF4-FFF2-40B4-BE49-F238E27FC236}">
              <a16:creationId xmlns:a16="http://schemas.microsoft.com/office/drawing/2014/main" id="{00000000-0008-0000-0300-00003A390000}"/>
            </a:ext>
          </a:extLst>
        </xdr:cNvPr>
        <xdr:cNvSpPr/>
      </xdr:nvSpPr>
      <xdr:spPr>
        <a:xfrm>
          <a:off x="9112250" y="41103550"/>
          <a:ext cx="774700" cy="279400"/>
        </a:xfrm>
        <a:prstGeom prst="roundRect">
          <a:avLst/>
        </a:prstGeom>
        <a:gradFill flip="none" rotWithShape="1">
          <a:gsLst>
            <a:gs pos="0">
              <a:srgbClr val="96B412"/>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Gem</a:t>
          </a:r>
        </a:p>
      </xdr:txBody>
    </xdr:sp>
    <xdr:clientData/>
  </xdr:twoCellAnchor>
  <xdr:twoCellAnchor>
    <xdr:from>
      <xdr:col>12</xdr:col>
      <xdr:colOff>88900</xdr:colOff>
      <xdr:row>144</xdr:row>
      <xdr:rowOff>12700</xdr:rowOff>
    </xdr:from>
    <xdr:to>
      <xdr:col>13</xdr:col>
      <xdr:colOff>0</xdr:colOff>
      <xdr:row>144</xdr:row>
      <xdr:rowOff>292100</xdr:rowOff>
    </xdr:to>
    <xdr:sp macro="'editNorm &quot;FP_Projekter_1&quot;,&quot;FP_Projekter_1Cancel&quot;,&quot;Projekter&quot;'" textlink="" fLocksText="0">
      <xdr:nvSpPr>
        <xdr:cNvPr id="14651" name="FP_Projekter_1Cancel" hidden="1">
          <a:extLst>
            <a:ext uri="{FF2B5EF4-FFF2-40B4-BE49-F238E27FC236}">
              <a16:creationId xmlns:a16="http://schemas.microsoft.com/office/drawing/2014/main" id="{00000000-0008-0000-0300-00003B390000}"/>
            </a:ext>
          </a:extLst>
        </xdr:cNvPr>
        <xdr:cNvSpPr/>
      </xdr:nvSpPr>
      <xdr:spPr>
        <a:xfrm>
          <a:off x="9975850" y="41103550"/>
          <a:ext cx="749300" cy="279400"/>
        </a:xfrm>
        <a:prstGeom prst="roundRect">
          <a:avLst/>
        </a:prstGeom>
        <a:gradFill flip="none" rotWithShape="1">
          <a:gsLst>
            <a:gs pos="0">
              <a:srgbClr val="B4B4B4"/>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Annuller</a:t>
          </a:r>
        </a:p>
      </xdr:txBody>
    </xdr:sp>
    <xdr:clientData/>
  </xdr:twoCellAnchor>
  <xdr:twoCellAnchor>
    <xdr:from>
      <xdr:col>3</xdr:col>
      <xdr:colOff>0</xdr:colOff>
      <xdr:row>145</xdr:row>
      <xdr:rowOff>25400</xdr:rowOff>
    </xdr:from>
    <xdr:to>
      <xdr:col>13</xdr:col>
      <xdr:colOff>0</xdr:colOff>
      <xdr:row>145</xdr:row>
      <xdr:rowOff>50800</xdr:rowOff>
    </xdr:to>
    <xdr:sp macro="" textlink="">
      <xdr:nvSpPr>
        <xdr:cNvPr id="14652" name="FP_ProjekterL1_1">
          <a:extLst>
            <a:ext uri="{FF2B5EF4-FFF2-40B4-BE49-F238E27FC236}">
              <a16:creationId xmlns:a16="http://schemas.microsoft.com/office/drawing/2014/main" id="{00000000-0008-0000-0300-00003C390000}"/>
            </a:ext>
          </a:extLst>
        </xdr:cNvPr>
        <xdr:cNvSpPr/>
      </xdr:nvSpPr>
      <xdr:spPr>
        <a:xfrm>
          <a:off x="2343150" y="41421050"/>
          <a:ext cx="8382000" cy="25400"/>
        </a:xfrm>
        <a:prstGeom prst="roundRect">
          <a:avLst/>
        </a:prstGeom>
        <a:gradFill flip="none" rotWithShape="1">
          <a:gsLst>
            <a:gs pos="0">
              <a:srgbClr val="B4B4B4"/>
            </a:gs>
            <a:gs pos="100000">
              <a:srgbClr val="646464"/>
            </a:gs>
          </a:gsLst>
          <a:lin ang="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clientData/>
  </xdr:twoCellAnchor>
  <xdr:twoCellAnchor>
    <xdr:from>
      <xdr:col>11</xdr:col>
      <xdr:colOff>63500</xdr:colOff>
      <xdr:row>147</xdr:row>
      <xdr:rowOff>12700</xdr:rowOff>
    </xdr:from>
    <xdr:to>
      <xdr:col>13</xdr:col>
      <xdr:colOff>0</xdr:colOff>
      <xdr:row>147</xdr:row>
      <xdr:rowOff>292100</xdr:rowOff>
    </xdr:to>
    <xdr:sp macro="'editNorm &quot;FP_Projekter_2&quot;,&quot;FP_Projekter_2Red&quot;,&quot;Projekter&quot;'" textlink="" fLocksText="0">
      <xdr:nvSpPr>
        <xdr:cNvPr id="14653" name="FP_Projekter_2Red">
          <a:extLst>
            <a:ext uri="{FF2B5EF4-FFF2-40B4-BE49-F238E27FC236}">
              <a16:creationId xmlns:a16="http://schemas.microsoft.com/office/drawing/2014/main" id="{00000000-0008-0000-0300-00003D390000}"/>
            </a:ext>
          </a:extLst>
        </xdr:cNvPr>
        <xdr:cNvSpPr/>
      </xdr:nvSpPr>
      <xdr:spPr>
        <a:xfrm>
          <a:off x="9112250" y="41646475"/>
          <a:ext cx="1612900" cy="279400"/>
        </a:xfrm>
        <a:prstGeom prst="roundRect">
          <a:avLst/>
        </a:prstGeom>
        <a:gradFill flip="none" rotWithShape="1">
          <a:gsLst>
            <a:gs pos="0">
              <a:srgbClr val="B4B4B4"/>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Rediger</a:t>
          </a:r>
        </a:p>
      </xdr:txBody>
    </xdr:sp>
    <xdr:clientData/>
  </xdr:twoCellAnchor>
  <xdr:twoCellAnchor>
    <xdr:from>
      <xdr:col>11</xdr:col>
      <xdr:colOff>63500</xdr:colOff>
      <xdr:row>147</xdr:row>
      <xdr:rowOff>12700</xdr:rowOff>
    </xdr:from>
    <xdr:to>
      <xdr:col>12</xdr:col>
      <xdr:colOff>0</xdr:colOff>
      <xdr:row>147</xdr:row>
      <xdr:rowOff>292100</xdr:rowOff>
    </xdr:to>
    <xdr:sp macro="'editNorm &quot;FP_Projekter_2&quot;,&quot;FP_Projekter_2Gem&quot;,&quot;Projekter&quot;'" textlink="" fLocksText="0">
      <xdr:nvSpPr>
        <xdr:cNvPr id="14654" name="FP_Projekter_2Gem" hidden="1">
          <a:extLst>
            <a:ext uri="{FF2B5EF4-FFF2-40B4-BE49-F238E27FC236}">
              <a16:creationId xmlns:a16="http://schemas.microsoft.com/office/drawing/2014/main" id="{00000000-0008-0000-0300-00003E390000}"/>
            </a:ext>
          </a:extLst>
        </xdr:cNvPr>
        <xdr:cNvSpPr/>
      </xdr:nvSpPr>
      <xdr:spPr>
        <a:xfrm>
          <a:off x="9112250" y="41646475"/>
          <a:ext cx="774700" cy="279400"/>
        </a:xfrm>
        <a:prstGeom prst="roundRect">
          <a:avLst/>
        </a:prstGeom>
        <a:gradFill flip="none" rotWithShape="1">
          <a:gsLst>
            <a:gs pos="0">
              <a:srgbClr val="96B412"/>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Gem</a:t>
          </a:r>
        </a:p>
      </xdr:txBody>
    </xdr:sp>
    <xdr:clientData/>
  </xdr:twoCellAnchor>
  <xdr:twoCellAnchor>
    <xdr:from>
      <xdr:col>12</xdr:col>
      <xdr:colOff>88900</xdr:colOff>
      <xdr:row>147</xdr:row>
      <xdr:rowOff>12700</xdr:rowOff>
    </xdr:from>
    <xdr:to>
      <xdr:col>13</xdr:col>
      <xdr:colOff>0</xdr:colOff>
      <xdr:row>147</xdr:row>
      <xdr:rowOff>292100</xdr:rowOff>
    </xdr:to>
    <xdr:sp macro="'editNorm &quot;FP_Projekter_2&quot;,&quot;FP_Projekter_2Cancel&quot;,&quot;Projekter&quot;'" textlink="" fLocksText="0">
      <xdr:nvSpPr>
        <xdr:cNvPr id="14655" name="FP_Projekter_2Cancel" hidden="1">
          <a:extLst>
            <a:ext uri="{FF2B5EF4-FFF2-40B4-BE49-F238E27FC236}">
              <a16:creationId xmlns:a16="http://schemas.microsoft.com/office/drawing/2014/main" id="{00000000-0008-0000-0300-00003F390000}"/>
            </a:ext>
          </a:extLst>
        </xdr:cNvPr>
        <xdr:cNvSpPr/>
      </xdr:nvSpPr>
      <xdr:spPr>
        <a:xfrm>
          <a:off x="9975850" y="41646475"/>
          <a:ext cx="749300" cy="279400"/>
        </a:xfrm>
        <a:prstGeom prst="roundRect">
          <a:avLst/>
        </a:prstGeom>
        <a:gradFill flip="none" rotWithShape="1">
          <a:gsLst>
            <a:gs pos="0">
              <a:srgbClr val="B4B4B4"/>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Annuller</a:t>
          </a:r>
        </a:p>
      </xdr:txBody>
    </xdr:sp>
    <xdr:clientData/>
  </xdr:twoCellAnchor>
  <xdr:twoCellAnchor>
    <xdr:from>
      <xdr:col>3</xdr:col>
      <xdr:colOff>0</xdr:colOff>
      <xdr:row>148</xdr:row>
      <xdr:rowOff>25400</xdr:rowOff>
    </xdr:from>
    <xdr:to>
      <xdr:col>13</xdr:col>
      <xdr:colOff>0</xdr:colOff>
      <xdr:row>148</xdr:row>
      <xdr:rowOff>50800</xdr:rowOff>
    </xdr:to>
    <xdr:sp macro="" textlink="">
      <xdr:nvSpPr>
        <xdr:cNvPr id="14656" name="FP_ProjekterL1_2">
          <a:extLst>
            <a:ext uri="{FF2B5EF4-FFF2-40B4-BE49-F238E27FC236}">
              <a16:creationId xmlns:a16="http://schemas.microsoft.com/office/drawing/2014/main" id="{00000000-0008-0000-0300-000040390000}"/>
            </a:ext>
          </a:extLst>
        </xdr:cNvPr>
        <xdr:cNvSpPr/>
      </xdr:nvSpPr>
      <xdr:spPr>
        <a:xfrm>
          <a:off x="2343150" y="41963975"/>
          <a:ext cx="8382000" cy="25400"/>
        </a:xfrm>
        <a:prstGeom prst="roundRect">
          <a:avLst/>
        </a:prstGeom>
        <a:gradFill flip="none" rotWithShape="1">
          <a:gsLst>
            <a:gs pos="0">
              <a:srgbClr val="B4B4B4"/>
            </a:gs>
            <a:gs pos="100000">
              <a:srgbClr val="646464"/>
            </a:gs>
          </a:gsLst>
          <a:lin ang="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clientData/>
  </xdr:twoCellAnchor>
  <xdr:twoCellAnchor>
    <xdr:from>
      <xdr:col>11</xdr:col>
      <xdr:colOff>63500</xdr:colOff>
      <xdr:row>150</xdr:row>
      <xdr:rowOff>12700</xdr:rowOff>
    </xdr:from>
    <xdr:to>
      <xdr:col>13</xdr:col>
      <xdr:colOff>0</xdr:colOff>
      <xdr:row>150</xdr:row>
      <xdr:rowOff>292100</xdr:rowOff>
    </xdr:to>
    <xdr:sp macro="'groupAdd &quot;Projekter&quot;'" textlink="" fLocksText="0">
      <xdr:nvSpPr>
        <xdr:cNvPr id="14657" name="FP_ProjekterAdd">
          <a:extLst>
            <a:ext uri="{FF2B5EF4-FFF2-40B4-BE49-F238E27FC236}">
              <a16:creationId xmlns:a16="http://schemas.microsoft.com/office/drawing/2014/main" id="{00000000-0008-0000-0300-000041390000}"/>
            </a:ext>
          </a:extLst>
        </xdr:cNvPr>
        <xdr:cNvSpPr/>
      </xdr:nvSpPr>
      <xdr:spPr>
        <a:xfrm>
          <a:off x="9112250" y="42189400"/>
          <a:ext cx="1612900" cy="279400"/>
        </a:xfrm>
        <a:prstGeom prst="roundRect">
          <a:avLst/>
        </a:prstGeom>
        <a:gradFill flip="none" rotWithShape="1">
          <a:gsLst>
            <a:gs pos="0">
              <a:srgbClr val="B4B4B4"/>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Tilføj</a:t>
          </a:r>
        </a:p>
      </xdr:txBody>
    </xdr:sp>
    <xdr:clientData/>
  </xdr:twoCellAnchor>
  <xdr:twoCellAnchor>
    <xdr:from>
      <xdr:col>1</xdr:col>
      <xdr:colOff>0</xdr:colOff>
      <xdr:row>152</xdr:row>
      <xdr:rowOff>12700</xdr:rowOff>
    </xdr:from>
    <xdr:to>
      <xdr:col>13</xdr:col>
      <xdr:colOff>0</xdr:colOff>
      <xdr:row>152</xdr:row>
      <xdr:rowOff>520700</xdr:rowOff>
    </xdr:to>
    <xdr:sp macro="'expand &quot;FP_Main1Udgift&quot;,&quot;Forside&quot;,TRUE'" textlink="" fLocksText="0">
      <xdr:nvSpPr>
        <xdr:cNvPr id="14658" name="FP_Main1Udgift">
          <a:extLst>
            <a:ext uri="{FF2B5EF4-FFF2-40B4-BE49-F238E27FC236}">
              <a16:creationId xmlns:a16="http://schemas.microsoft.com/office/drawing/2014/main" id="{00000000-0008-0000-0300-000042390000}"/>
            </a:ext>
          </a:extLst>
        </xdr:cNvPr>
        <xdr:cNvSpPr/>
      </xdr:nvSpPr>
      <xdr:spPr>
        <a:xfrm>
          <a:off x="666750" y="42675175"/>
          <a:ext cx="10058400" cy="508000"/>
        </a:xfrm>
        <a:prstGeom prst="roundRect">
          <a:avLst/>
        </a:prstGeom>
        <a:gradFill flip="none" rotWithShape="1">
          <a:gsLst>
            <a:gs pos="0">
              <a:srgbClr val="B4B4B4"/>
            </a:gs>
            <a:gs pos="100000">
              <a:srgbClr val="646464"/>
            </a:gs>
          </a:gsLst>
          <a:lin ang="5400000" scaled="1"/>
          <a:tileRect/>
        </a:gradFill>
        <a:ln w="25400" cap="flat" cmpd="sng" algn="ctr">
          <a:noFill/>
          <a:prstDash val="solid"/>
        </a:ln>
        <a:effectLst>
          <a:outerShdw blurRad="1016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81000" rtlCol="0" anchor="ctr"/>
        <a:lstStyle/>
        <a:p>
          <a:pPr algn="l"/>
          <a:r>
            <a:rPr lang="da-DK" sz="1800" b="0">
              <a:solidFill>
                <a:srgbClr val="FFFFFF"/>
              </a:solidFill>
            </a:rPr>
            <a:t>Udgiftsbærer</a:t>
          </a:r>
        </a:p>
      </xdr:txBody>
    </xdr:sp>
    <xdr:clientData/>
  </xdr:twoCellAnchor>
  <xdr:twoCellAnchor>
    <xdr:from>
      <xdr:col>12</xdr:col>
      <xdr:colOff>431800</xdr:colOff>
      <xdr:row>152</xdr:row>
      <xdr:rowOff>157842</xdr:rowOff>
    </xdr:from>
    <xdr:to>
      <xdr:col>12</xdr:col>
      <xdr:colOff>635000</xdr:colOff>
      <xdr:row>152</xdr:row>
      <xdr:rowOff>361042</xdr:rowOff>
    </xdr:to>
    <xdr:sp macro="'expand &quot;FP_Main1Udgift&quot;,&quot;Forside&quot;,TRUE'" textlink="">
      <xdr:nvSpPr>
        <xdr:cNvPr id="14659" name="FP_Main1Udgiftarrow">
          <a:extLst>
            <a:ext uri="{FF2B5EF4-FFF2-40B4-BE49-F238E27FC236}">
              <a16:creationId xmlns:a16="http://schemas.microsoft.com/office/drawing/2014/main" id="{00000000-0008-0000-0300-000043390000}"/>
            </a:ext>
          </a:extLst>
        </xdr:cNvPr>
        <xdr:cNvSpPr/>
      </xdr:nvSpPr>
      <xdr:spPr>
        <a:xfrm rot="8100000">
          <a:off x="10266363" y="42794123"/>
          <a:ext cx="203200" cy="203200"/>
        </a:xfrm>
        <a:prstGeom prst="halfFrame">
          <a:avLst>
            <a:gd name="adj1" fmla="val 15000"/>
            <a:gd name="adj2" fmla="val 15000"/>
          </a:avLst>
        </a:prstGeom>
        <a:gradFill flip="none" rotWithShape="1">
          <a:gsLst>
            <a:gs pos="0">
              <a:srgbClr val="FFFFFF"/>
            </a:gs>
            <a:gs pos="100000">
              <a:srgbClr val="FFFFFF"/>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solidFill>
              <a:schemeClr val="tx1"/>
            </a:solidFill>
          </a:endParaRPr>
        </a:p>
      </xdr:txBody>
    </xdr:sp>
    <xdr:clientData/>
  </xdr:twoCellAnchor>
  <xdr:twoCellAnchor>
    <xdr:from>
      <xdr:col>1</xdr:col>
      <xdr:colOff>0</xdr:colOff>
      <xdr:row>154</xdr:row>
      <xdr:rowOff>0</xdr:rowOff>
    </xdr:from>
    <xdr:to>
      <xdr:col>5</xdr:col>
      <xdr:colOff>0</xdr:colOff>
      <xdr:row>154</xdr:row>
      <xdr:rowOff>381000</xdr:rowOff>
    </xdr:to>
    <xdr:sp macro="" textlink="" fLocksText="0">
      <xdr:nvSpPr>
        <xdr:cNvPr id="14660" name="FP_UdgiftTxt1">
          <a:extLst>
            <a:ext uri="{FF2B5EF4-FFF2-40B4-BE49-F238E27FC236}">
              <a16:creationId xmlns:a16="http://schemas.microsoft.com/office/drawing/2014/main" id="{00000000-0008-0000-0300-000044390000}"/>
            </a:ext>
          </a:extLst>
        </xdr:cNvPr>
        <xdr:cNvSpPr/>
      </xdr:nvSpPr>
      <xdr:spPr>
        <a:xfrm>
          <a:off x="666750" y="43376850"/>
          <a:ext cx="3352800" cy="381000"/>
        </a:xfrm>
        <a:prstGeom prst="roundRect">
          <a:avLst>
            <a:gd name="adj" fmla="val 0"/>
          </a:avLst>
        </a:prstGeom>
        <a:gradFill flip="none" rotWithShape="1">
          <a:gsLst>
            <a:gs pos="0">
              <a:srgbClr val="D9D9D9"/>
            </a:gs>
            <a:gs pos="100000">
              <a:srgbClr val="D9D9D9"/>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rtlCol="0" anchor="ctr"/>
        <a:lstStyle/>
        <a:p>
          <a:pPr algn="l"/>
          <a:r>
            <a:rPr lang="da-DK" sz="1400" b="1">
              <a:solidFill>
                <a:srgbClr val="000000"/>
              </a:solidFill>
              <a:latin typeface="Arial"/>
            </a:rPr>
            <a:t>Udgiftsbærer</a:t>
          </a:r>
        </a:p>
      </xdr:txBody>
    </xdr:sp>
    <xdr:clientData/>
  </xdr:twoCellAnchor>
  <xdr:twoCellAnchor>
    <xdr:from>
      <xdr:col>11</xdr:col>
      <xdr:colOff>63500</xdr:colOff>
      <xdr:row>156</xdr:row>
      <xdr:rowOff>12700</xdr:rowOff>
    </xdr:from>
    <xdr:to>
      <xdr:col>13</xdr:col>
      <xdr:colOff>0</xdr:colOff>
      <xdr:row>156</xdr:row>
      <xdr:rowOff>292100</xdr:rowOff>
    </xdr:to>
    <xdr:sp macro="'editNorm &quot;FP_Udgifts_1&quot;,&quot;FP_Udgifts_1Red&quot;,&quot;Udgifts&quot;'" textlink="" fLocksText="0">
      <xdr:nvSpPr>
        <xdr:cNvPr id="14661" name="FP_Udgifts_1Red">
          <a:extLst>
            <a:ext uri="{FF2B5EF4-FFF2-40B4-BE49-F238E27FC236}">
              <a16:creationId xmlns:a16="http://schemas.microsoft.com/office/drawing/2014/main" id="{00000000-0008-0000-0300-000045390000}"/>
            </a:ext>
          </a:extLst>
        </xdr:cNvPr>
        <xdr:cNvSpPr/>
      </xdr:nvSpPr>
      <xdr:spPr>
        <a:xfrm>
          <a:off x="9112250" y="43961050"/>
          <a:ext cx="1612900" cy="279400"/>
        </a:xfrm>
        <a:prstGeom prst="roundRect">
          <a:avLst/>
        </a:prstGeom>
        <a:gradFill flip="none" rotWithShape="1">
          <a:gsLst>
            <a:gs pos="0">
              <a:srgbClr val="B4B4B4"/>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Rediger</a:t>
          </a:r>
        </a:p>
      </xdr:txBody>
    </xdr:sp>
    <xdr:clientData/>
  </xdr:twoCellAnchor>
  <xdr:twoCellAnchor>
    <xdr:from>
      <xdr:col>11</xdr:col>
      <xdr:colOff>63500</xdr:colOff>
      <xdr:row>156</xdr:row>
      <xdr:rowOff>12700</xdr:rowOff>
    </xdr:from>
    <xdr:to>
      <xdr:col>12</xdr:col>
      <xdr:colOff>0</xdr:colOff>
      <xdr:row>156</xdr:row>
      <xdr:rowOff>292100</xdr:rowOff>
    </xdr:to>
    <xdr:sp macro="'editNorm &quot;FP_Udgifts_1&quot;,&quot;FP_Udgifts_1Gem&quot;,&quot;Udgifts&quot;'" textlink="" fLocksText="0">
      <xdr:nvSpPr>
        <xdr:cNvPr id="14662" name="FP_Udgifts_1Gem" hidden="1">
          <a:extLst>
            <a:ext uri="{FF2B5EF4-FFF2-40B4-BE49-F238E27FC236}">
              <a16:creationId xmlns:a16="http://schemas.microsoft.com/office/drawing/2014/main" id="{00000000-0008-0000-0300-000046390000}"/>
            </a:ext>
          </a:extLst>
        </xdr:cNvPr>
        <xdr:cNvSpPr/>
      </xdr:nvSpPr>
      <xdr:spPr>
        <a:xfrm>
          <a:off x="9112250" y="43961050"/>
          <a:ext cx="774700" cy="279400"/>
        </a:xfrm>
        <a:prstGeom prst="roundRect">
          <a:avLst/>
        </a:prstGeom>
        <a:gradFill flip="none" rotWithShape="1">
          <a:gsLst>
            <a:gs pos="0">
              <a:srgbClr val="96B412"/>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Gem</a:t>
          </a:r>
        </a:p>
      </xdr:txBody>
    </xdr:sp>
    <xdr:clientData/>
  </xdr:twoCellAnchor>
  <xdr:twoCellAnchor>
    <xdr:from>
      <xdr:col>12</xdr:col>
      <xdr:colOff>88900</xdr:colOff>
      <xdr:row>156</xdr:row>
      <xdr:rowOff>12700</xdr:rowOff>
    </xdr:from>
    <xdr:to>
      <xdr:col>13</xdr:col>
      <xdr:colOff>0</xdr:colOff>
      <xdr:row>156</xdr:row>
      <xdr:rowOff>292100</xdr:rowOff>
    </xdr:to>
    <xdr:sp macro="'editNorm &quot;FP_Udgifts_1&quot;,&quot;FP_Udgifts_1Cancel&quot;,&quot;Udgifts&quot;'" textlink="" fLocksText="0">
      <xdr:nvSpPr>
        <xdr:cNvPr id="14663" name="FP_Udgifts_1Cancel" hidden="1">
          <a:extLst>
            <a:ext uri="{FF2B5EF4-FFF2-40B4-BE49-F238E27FC236}">
              <a16:creationId xmlns:a16="http://schemas.microsoft.com/office/drawing/2014/main" id="{00000000-0008-0000-0300-000047390000}"/>
            </a:ext>
          </a:extLst>
        </xdr:cNvPr>
        <xdr:cNvSpPr/>
      </xdr:nvSpPr>
      <xdr:spPr>
        <a:xfrm>
          <a:off x="9975850" y="43961050"/>
          <a:ext cx="749300" cy="279400"/>
        </a:xfrm>
        <a:prstGeom prst="roundRect">
          <a:avLst/>
        </a:prstGeom>
        <a:gradFill flip="none" rotWithShape="1">
          <a:gsLst>
            <a:gs pos="0">
              <a:srgbClr val="B4B4B4"/>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Annuller</a:t>
          </a:r>
        </a:p>
      </xdr:txBody>
    </xdr:sp>
    <xdr:clientData/>
  </xdr:twoCellAnchor>
  <xdr:twoCellAnchor>
    <xdr:from>
      <xdr:col>13</xdr:col>
      <xdr:colOff>88900</xdr:colOff>
      <xdr:row>156</xdr:row>
      <xdr:rowOff>12700</xdr:rowOff>
    </xdr:from>
    <xdr:to>
      <xdr:col>14</xdr:col>
      <xdr:colOff>0</xdr:colOff>
      <xdr:row>156</xdr:row>
      <xdr:rowOff>292100</xdr:rowOff>
    </xdr:to>
    <xdr:sp macro="'editNorm &quot;FP_Udgifts_1&quot;,&quot;FP_Udgifts_1Delete&quot;,&quot;Udgifts&quot;'" textlink="" fLocksText="0">
      <xdr:nvSpPr>
        <xdr:cNvPr id="14664" name="FP_Udgifts_1Delete" hidden="1">
          <a:extLst>
            <a:ext uri="{FF2B5EF4-FFF2-40B4-BE49-F238E27FC236}">
              <a16:creationId xmlns:a16="http://schemas.microsoft.com/office/drawing/2014/main" id="{00000000-0008-0000-0300-000048390000}"/>
            </a:ext>
          </a:extLst>
        </xdr:cNvPr>
        <xdr:cNvSpPr/>
      </xdr:nvSpPr>
      <xdr:spPr>
        <a:xfrm>
          <a:off x="10814050" y="43961050"/>
          <a:ext cx="749300" cy="279400"/>
        </a:xfrm>
        <a:prstGeom prst="roundRect">
          <a:avLst/>
        </a:prstGeom>
        <a:gradFill flip="none" rotWithShape="1">
          <a:gsLst>
            <a:gs pos="0">
              <a:srgbClr val="C83232"/>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Slet</a:t>
          </a:r>
        </a:p>
      </xdr:txBody>
    </xdr:sp>
    <xdr:clientData/>
  </xdr:twoCellAnchor>
  <xdr:twoCellAnchor>
    <xdr:from>
      <xdr:col>3</xdr:col>
      <xdr:colOff>0</xdr:colOff>
      <xdr:row>157</xdr:row>
      <xdr:rowOff>25400</xdr:rowOff>
    </xdr:from>
    <xdr:to>
      <xdr:col>13</xdr:col>
      <xdr:colOff>0</xdr:colOff>
      <xdr:row>157</xdr:row>
      <xdr:rowOff>50800</xdr:rowOff>
    </xdr:to>
    <xdr:sp macro="" textlink="">
      <xdr:nvSpPr>
        <xdr:cNvPr id="14665" name="FP_UdgiftL1_1">
          <a:extLst>
            <a:ext uri="{FF2B5EF4-FFF2-40B4-BE49-F238E27FC236}">
              <a16:creationId xmlns:a16="http://schemas.microsoft.com/office/drawing/2014/main" id="{00000000-0008-0000-0300-000049390000}"/>
            </a:ext>
          </a:extLst>
        </xdr:cNvPr>
        <xdr:cNvSpPr/>
      </xdr:nvSpPr>
      <xdr:spPr>
        <a:xfrm>
          <a:off x="2343150" y="44278550"/>
          <a:ext cx="8382000" cy="25400"/>
        </a:xfrm>
        <a:prstGeom prst="roundRect">
          <a:avLst/>
        </a:prstGeom>
        <a:gradFill flip="none" rotWithShape="1">
          <a:gsLst>
            <a:gs pos="0">
              <a:srgbClr val="B4B4B4"/>
            </a:gs>
            <a:gs pos="100000">
              <a:srgbClr val="646464"/>
            </a:gs>
          </a:gsLst>
          <a:lin ang="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clientData/>
  </xdr:twoCellAnchor>
  <xdr:twoCellAnchor>
    <xdr:from>
      <xdr:col>11</xdr:col>
      <xdr:colOff>63500</xdr:colOff>
      <xdr:row>159</xdr:row>
      <xdr:rowOff>12700</xdr:rowOff>
    </xdr:from>
    <xdr:to>
      <xdr:col>13</xdr:col>
      <xdr:colOff>0</xdr:colOff>
      <xdr:row>159</xdr:row>
      <xdr:rowOff>292100</xdr:rowOff>
    </xdr:to>
    <xdr:sp macro="'groupAdd &quot;Udgifts&quot;'" textlink="" fLocksText="0">
      <xdr:nvSpPr>
        <xdr:cNvPr id="14666" name="FP_UdgiftsAdd">
          <a:extLst>
            <a:ext uri="{FF2B5EF4-FFF2-40B4-BE49-F238E27FC236}">
              <a16:creationId xmlns:a16="http://schemas.microsoft.com/office/drawing/2014/main" id="{00000000-0008-0000-0300-00004A390000}"/>
            </a:ext>
          </a:extLst>
        </xdr:cNvPr>
        <xdr:cNvSpPr/>
      </xdr:nvSpPr>
      <xdr:spPr>
        <a:xfrm>
          <a:off x="9112250" y="44503975"/>
          <a:ext cx="1612900" cy="279400"/>
        </a:xfrm>
        <a:prstGeom prst="roundRect">
          <a:avLst/>
        </a:prstGeom>
        <a:gradFill flip="none" rotWithShape="1">
          <a:gsLst>
            <a:gs pos="0">
              <a:srgbClr val="B4B4B4"/>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Tilføj</a:t>
          </a:r>
        </a:p>
      </xdr:txBody>
    </xdr:sp>
    <xdr:clientData/>
  </xdr:twoCellAnchor>
  <xdr:twoCellAnchor>
    <xdr:from>
      <xdr:col>1</xdr:col>
      <xdr:colOff>0</xdr:colOff>
      <xdr:row>161</xdr:row>
      <xdr:rowOff>12700</xdr:rowOff>
    </xdr:from>
    <xdr:to>
      <xdr:col>13</xdr:col>
      <xdr:colOff>0</xdr:colOff>
      <xdr:row>161</xdr:row>
      <xdr:rowOff>520700</xdr:rowOff>
    </xdr:to>
    <xdr:sp macro="'expand &quot;FP_Main1Omkost&quot;,&quot;Forside&quot;,TRUE'" textlink="" fLocksText="0">
      <xdr:nvSpPr>
        <xdr:cNvPr id="14667" name="FP_Main1Omkost">
          <a:extLst>
            <a:ext uri="{FF2B5EF4-FFF2-40B4-BE49-F238E27FC236}">
              <a16:creationId xmlns:a16="http://schemas.microsoft.com/office/drawing/2014/main" id="{00000000-0008-0000-0300-00004B390000}"/>
            </a:ext>
          </a:extLst>
        </xdr:cNvPr>
        <xdr:cNvSpPr/>
      </xdr:nvSpPr>
      <xdr:spPr>
        <a:xfrm>
          <a:off x="666750" y="44989750"/>
          <a:ext cx="10058400" cy="508000"/>
        </a:xfrm>
        <a:prstGeom prst="roundRect">
          <a:avLst/>
        </a:prstGeom>
        <a:gradFill flip="none" rotWithShape="1">
          <a:gsLst>
            <a:gs pos="0">
              <a:srgbClr val="B4B4B4"/>
            </a:gs>
            <a:gs pos="100000">
              <a:srgbClr val="646464"/>
            </a:gs>
          </a:gsLst>
          <a:lin ang="5400000" scaled="1"/>
          <a:tileRect/>
        </a:gradFill>
        <a:ln w="25400" cap="flat" cmpd="sng" algn="ctr">
          <a:noFill/>
          <a:prstDash val="solid"/>
        </a:ln>
        <a:effectLst>
          <a:outerShdw blurRad="1016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81000" rtlCol="0" anchor="ctr"/>
        <a:lstStyle/>
        <a:p>
          <a:pPr algn="l"/>
          <a:r>
            <a:rPr lang="da-DK" sz="1800" b="0">
              <a:solidFill>
                <a:srgbClr val="FFFFFF"/>
              </a:solidFill>
              <a:latin typeface="Arial"/>
            </a:rPr>
            <a:t>Omkostningsbaseret projektøkonomi</a:t>
          </a:r>
        </a:p>
      </xdr:txBody>
    </xdr:sp>
    <xdr:clientData/>
  </xdr:twoCellAnchor>
  <xdr:twoCellAnchor>
    <xdr:from>
      <xdr:col>12</xdr:col>
      <xdr:colOff>431800</xdr:colOff>
      <xdr:row>161</xdr:row>
      <xdr:rowOff>157842</xdr:rowOff>
    </xdr:from>
    <xdr:to>
      <xdr:col>12</xdr:col>
      <xdr:colOff>635000</xdr:colOff>
      <xdr:row>161</xdr:row>
      <xdr:rowOff>361042</xdr:rowOff>
    </xdr:to>
    <xdr:sp macro="'expand &quot;FP_Main1Omkost&quot;,&quot;Forside&quot;,TRUE'" textlink="">
      <xdr:nvSpPr>
        <xdr:cNvPr id="14668" name="FP_Main1Omkostarrow">
          <a:extLst>
            <a:ext uri="{FF2B5EF4-FFF2-40B4-BE49-F238E27FC236}">
              <a16:creationId xmlns:a16="http://schemas.microsoft.com/office/drawing/2014/main" id="{00000000-0008-0000-0300-00004C390000}"/>
            </a:ext>
          </a:extLst>
        </xdr:cNvPr>
        <xdr:cNvSpPr/>
      </xdr:nvSpPr>
      <xdr:spPr>
        <a:xfrm rot="8100000">
          <a:off x="10266363" y="45115842"/>
          <a:ext cx="203200" cy="203200"/>
        </a:xfrm>
        <a:prstGeom prst="halfFrame">
          <a:avLst>
            <a:gd name="adj1" fmla="val 15000"/>
            <a:gd name="adj2" fmla="val 15000"/>
          </a:avLst>
        </a:prstGeom>
        <a:gradFill flip="none" rotWithShape="1">
          <a:gsLst>
            <a:gs pos="0">
              <a:srgbClr val="FFFFFF"/>
            </a:gs>
            <a:gs pos="100000">
              <a:srgbClr val="FFFFFF"/>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solidFill>
              <a:schemeClr val="tx1"/>
            </a:solidFill>
          </a:endParaRPr>
        </a:p>
      </xdr:txBody>
    </xdr:sp>
    <xdr:clientData/>
  </xdr:twoCellAnchor>
  <xdr:twoCellAnchor>
    <xdr:from>
      <xdr:col>1</xdr:col>
      <xdr:colOff>0</xdr:colOff>
      <xdr:row>163</xdr:row>
      <xdr:rowOff>0</xdr:rowOff>
    </xdr:from>
    <xdr:to>
      <xdr:col>9</xdr:col>
      <xdr:colOff>0</xdr:colOff>
      <xdr:row>163</xdr:row>
      <xdr:rowOff>381000</xdr:rowOff>
    </xdr:to>
    <xdr:sp macro="" textlink="" fLocksText="0">
      <xdr:nvSpPr>
        <xdr:cNvPr id="14669" name="FP_Main1OmkostQ1">
          <a:extLst>
            <a:ext uri="{FF2B5EF4-FFF2-40B4-BE49-F238E27FC236}">
              <a16:creationId xmlns:a16="http://schemas.microsoft.com/office/drawing/2014/main" id="{00000000-0008-0000-0300-00004D390000}"/>
            </a:ext>
          </a:extLst>
        </xdr:cNvPr>
        <xdr:cNvSpPr/>
      </xdr:nvSpPr>
      <xdr:spPr>
        <a:xfrm>
          <a:off x="666750" y="45691425"/>
          <a:ext cx="6705600" cy="381000"/>
        </a:xfrm>
        <a:prstGeom prst="roundRect">
          <a:avLst>
            <a:gd name="adj" fmla="val 0"/>
          </a:avLst>
        </a:prstGeom>
        <a:gradFill flip="none" rotWithShape="1">
          <a:gsLst>
            <a:gs pos="0">
              <a:srgbClr val="D9D9D9"/>
            </a:gs>
            <a:gs pos="100000">
              <a:srgbClr val="D9D9D9"/>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38100" rtlCol="0" anchor="ctr"/>
        <a:lstStyle/>
        <a:p>
          <a:pPr algn="l"/>
          <a:r>
            <a:rPr lang="da-DK" sz="1400" b="1">
              <a:solidFill>
                <a:srgbClr val="000000"/>
              </a:solidFill>
              <a:latin typeface="Arial"/>
            </a:rPr>
            <a:t>Vil du indtaste omkostningsbaseret projektøkonomi?</a:t>
          </a:r>
        </a:p>
      </xdr:txBody>
    </xdr:sp>
    <xdr:clientData/>
  </xdr:twoCellAnchor>
  <xdr:twoCellAnchor>
    <xdr:from>
      <xdr:col>11</xdr:col>
      <xdr:colOff>88900</xdr:colOff>
      <xdr:row>163</xdr:row>
      <xdr:rowOff>12700</xdr:rowOff>
    </xdr:from>
    <xdr:to>
      <xdr:col>13</xdr:col>
      <xdr:colOff>0</xdr:colOff>
      <xdr:row>163</xdr:row>
      <xdr:rowOff>292100</xdr:rowOff>
    </xdr:to>
    <xdr:sp macro="'chkOmkost &quot;FP_OmkostGroup1Chk1&quot;,&quot;BCM_subcat10_Holder1&quot;'" textlink="" fLocksText="0">
      <xdr:nvSpPr>
        <xdr:cNvPr id="14670" name="FP_OmkostGroup1Chk1">
          <a:extLst>
            <a:ext uri="{FF2B5EF4-FFF2-40B4-BE49-F238E27FC236}">
              <a16:creationId xmlns:a16="http://schemas.microsoft.com/office/drawing/2014/main" id="{00000000-0008-0000-0300-00004E390000}"/>
            </a:ext>
          </a:extLst>
        </xdr:cNvPr>
        <xdr:cNvSpPr/>
      </xdr:nvSpPr>
      <xdr:spPr>
        <a:xfrm>
          <a:off x="9137650" y="45704125"/>
          <a:ext cx="1587500" cy="279400"/>
        </a:xfrm>
        <a:prstGeom prst="roundRect">
          <a:avLst>
            <a:gd name="adj" fmla="val 0"/>
          </a:avLst>
        </a:prstGeom>
        <a:gradFill flip="none" rotWithShape="1">
          <a:gsLst>
            <a:gs pos="0">
              <a:srgbClr val="C8C8C8"/>
            </a:gs>
            <a:gs pos="100000">
              <a:srgbClr val="C8C8C8"/>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a-DK" sz="1200" b="0">
              <a:solidFill>
                <a:srgbClr val="000000"/>
              </a:solidFill>
              <a:latin typeface="Arial"/>
            </a:rPr>
            <a:t>Ja</a:t>
          </a:r>
        </a:p>
      </xdr:txBody>
    </xdr:sp>
    <xdr:clientData/>
  </xdr:twoCellAnchor>
  <xdr:twoCellAnchor>
    <xdr:from>
      <xdr:col>14</xdr:col>
      <xdr:colOff>0</xdr:colOff>
      <xdr:row>164</xdr:row>
      <xdr:rowOff>12700</xdr:rowOff>
    </xdr:from>
    <xdr:to>
      <xdr:col>14</xdr:col>
      <xdr:colOff>254001</xdr:colOff>
      <xdr:row>194</xdr:row>
      <xdr:rowOff>1</xdr:rowOff>
    </xdr:to>
    <xdr:sp macro="" textlink="">
      <xdr:nvSpPr>
        <xdr:cNvPr id="14671" name="BCM_subcat10_Holder1" hidden="1">
          <a:extLst>
            <a:ext uri="{FF2B5EF4-FFF2-40B4-BE49-F238E27FC236}">
              <a16:creationId xmlns:a16="http://schemas.microsoft.com/office/drawing/2014/main" id="{00000000-0008-0000-0300-00004F390000}"/>
            </a:ext>
          </a:extLst>
        </xdr:cNvPr>
        <xdr:cNvSpPr/>
      </xdr:nvSpPr>
      <xdr:spPr>
        <a:xfrm>
          <a:off x="11563350" y="46008925"/>
          <a:ext cx="254001" cy="5416551"/>
        </a:xfrm>
        <a:custGeom>
          <a:avLst/>
          <a:gdLst/>
          <a:ahLst/>
          <a:cxnLst/>
          <a:rect l="0" t="0" r="0" b="0"/>
          <a:pathLst>
            <a:path w="254001" h="5416551">
              <a:moveTo>
                <a:pt x="254000" y="0"/>
              </a:moveTo>
              <a:lnTo>
                <a:pt x="0" y="0"/>
              </a:lnTo>
              <a:lnTo>
                <a:pt x="0" y="5416550"/>
              </a:lnTo>
              <a:lnTo>
                <a:pt x="127000" y="5416550"/>
              </a:lnTo>
              <a:lnTo>
                <a:pt x="127000" y="63500"/>
              </a:lnTo>
              <a:lnTo>
                <a:pt x="254000" y="63500"/>
              </a:lnTo>
              <a:close/>
            </a:path>
          </a:pathLst>
        </a:custGeom>
        <a:noFill/>
        <a:ln w="25400" cap="flat" cmpd="sng" algn="ctr">
          <a:noFill/>
          <a:prstDash val="solid"/>
        </a:ln>
        <a:effectLst/>
        <a:extLst>
          <a:ext uri="{909E8E84-426E-40DD-AFC4-6F175D3DCCD1}">
            <a14:hiddenFill xmlns:a14="http://schemas.microsoft.com/office/drawing/2010/main">
              <a:gradFill flip="none" rotWithShape="1">
                <a:gsLst>
                  <a:gs pos="0">
                    <a:srgbClr val="C5D9F1"/>
                  </a:gs>
                  <a:gs pos="100000">
                    <a:srgbClr val="C5D9F1"/>
                  </a:gs>
                </a:gsLst>
                <a:lin ang="5400000" scaled="1"/>
                <a:tileRect/>
              </a:gra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clientData/>
  </xdr:twoCellAnchor>
  <xdr:twoCellAnchor>
    <xdr:from>
      <xdr:col>1</xdr:col>
      <xdr:colOff>25400</xdr:colOff>
      <xdr:row>165</xdr:row>
      <xdr:rowOff>0</xdr:rowOff>
    </xdr:from>
    <xdr:to>
      <xdr:col>5</xdr:col>
      <xdr:colOff>0</xdr:colOff>
      <xdr:row>165</xdr:row>
      <xdr:rowOff>381000</xdr:rowOff>
    </xdr:to>
    <xdr:sp macro="" textlink="" fLocksText="0">
      <xdr:nvSpPr>
        <xdr:cNvPr id="14672" name="FP_OmkostTxt1">
          <a:extLst>
            <a:ext uri="{FF2B5EF4-FFF2-40B4-BE49-F238E27FC236}">
              <a16:creationId xmlns:a16="http://schemas.microsoft.com/office/drawing/2014/main" id="{00000000-0008-0000-0300-000050390000}"/>
            </a:ext>
          </a:extLst>
        </xdr:cNvPr>
        <xdr:cNvSpPr/>
      </xdr:nvSpPr>
      <xdr:spPr>
        <a:xfrm>
          <a:off x="692150" y="46177200"/>
          <a:ext cx="3327400" cy="381000"/>
        </a:xfrm>
        <a:prstGeom prst="roundRect">
          <a:avLst>
            <a:gd name="adj" fmla="val 0"/>
          </a:avLst>
        </a:prstGeom>
        <a:gradFill flip="none" rotWithShape="1">
          <a:gsLst>
            <a:gs pos="0">
              <a:srgbClr val="D9D9D9"/>
            </a:gs>
            <a:gs pos="100000">
              <a:srgbClr val="D9D9D9"/>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rtlCol="0" anchor="ctr"/>
        <a:lstStyle/>
        <a:p>
          <a:pPr algn="l"/>
          <a:r>
            <a:rPr lang="da-DK" sz="1400" b="1">
              <a:solidFill>
                <a:srgbClr val="000000"/>
              </a:solidFill>
              <a:latin typeface="Arial"/>
            </a:rPr>
            <a:t>Startår</a:t>
          </a:r>
        </a:p>
      </xdr:txBody>
    </xdr:sp>
    <xdr:clientData/>
  </xdr:twoCellAnchor>
  <xdr:twoCellAnchor>
    <xdr:from>
      <xdr:col>11</xdr:col>
      <xdr:colOff>63500</xdr:colOff>
      <xdr:row>166</xdr:row>
      <xdr:rowOff>12700</xdr:rowOff>
    </xdr:from>
    <xdr:to>
      <xdr:col>13</xdr:col>
      <xdr:colOff>0</xdr:colOff>
      <xdr:row>166</xdr:row>
      <xdr:rowOff>292100</xdr:rowOff>
    </xdr:to>
    <xdr:sp macro="'editNorm &quot;FP_Main1OmkostSY_1&quot;,&quot;FP_Main1OmkostSY_1Red&quot;,&quot;OmkostSY&quot;'" textlink="" fLocksText="0">
      <xdr:nvSpPr>
        <xdr:cNvPr id="14673" name="FP_Main1OmkostSY_1Red">
          <a:extLst>
            <a:ext uri="{FF2B5EF4-FFF2-40B4-BE49-F238E27FC236}">
              <a16:creationId xmlns:a16="http://schemas.microsoft.com/office/drawing/2014/main" id="{00000000-0008-0000-0300-000051390000}"/>
            </a:ext>
          </a:extLst>
        </xdr:cNvPr>
        <xdr:cNvSpPr/>
      </xdr:nvSpPr>
      <xdr:spPr>
        <a:xfrm>
          <a:off x="9112250" y="46580425"/>
          <a:ext cx="1612900" cy="279400"/>
        </a:xfrm>
        <a:prstGeom prst="roundRect">
          <a:avLst/>
        </a:prstGeom>
        <a:gradFill flip="none" rotWithShape="1">
          <a:gsLst>
            <a:gs pos="0">
              <a:srgbClr val="B4B4B4"/>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Rediger</a:t>
          </a:r>
        </a:p>
      </xdr:txBody>
    </xdr:sp>
    <xdr:clientData/>
  </xdr:twoCellAnchor>
  <xdr:twoCellAnchor>
    <xdr:from>
      <xdr:col>11</xdr:col>
      <xdr:colOff>63500</xdr:colOff>
      <xdr:row>166</xdr:row>
      <xdr:rowOff>12700</xdr:rowOff>
    </xdr:from>
    <xdr:to>
      <xdr:col>12</xdr:col>
      <xdr:colOff>0</xdr:colOff>
      <xdr:row>166</xdr:row>
      <xdr:rowOff>292100</xdr:rowOff>
    </xdr:to>
    <xdr:sp macro="'editNorm &quot;FP_Main1OmkostSY_1&quot;,&quot;FP_Main1OmkostSY_1Gem&quot;,&quot;OmkostSY&quot;'" textlink="" fLocksText="0">
      <xdr:nvSpPr>
        <xdr:cNvPr id="14674" name="FP_Main1OmkostSY_1Gem" hidden="1">
          <a:extLst>
            <a:ext uri="{FF2B5EF4-FFF2-40B4-BE49-F238E27FC236}">
              <a16:creationId xmlns:a16="http://schemas.microsoft.com/office/drawing/2014/main" id="{00000000-0008-0000-0300-000052390000}"/>
            </a:ext>
          </a:extLst>
        </xdr:cNvPr>
        <xdr:cNvSpPr/>
      </xdr:nvSpPr>
      <xdr:spPr>
        <a:xfrm>
          <a:off x="9112250" y="46580425"/>
          <a:ext cx="774700" cy="279400"/>
        </a:xfrm>
        <a:prstGeom prst="roundRect">
          <a:avLst/>
        </a:prstGeom>
        <a:gradFill flip="none" rotWithShape="1">
          <a:gsLst>
            <a:gs pos="0">
              <a:srgbClr val="96B412"/>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Gem</a:t>
          </a:r>
        </a:p>
      </xdr:txBody>
    </xdr:sp>
    <xdr:clientData/>
  </xdr:twoCellAnchor>
  <xdr:twoCellAnchor>
    <xdr:from>
      <xdr:col>12</xdr:col>
      <xdr:colOff>88900</xdr:colOff>
      <xdr:row>166</xdr:row>
      <xdr:rowOff>12700</xdr:rowOff>
    </xdr:from>
    <xdr:to>
      <xdr:col>13</xdr:col>
      <xdr:colOff>0</xdr:colOff>
      <xdr:row>166</xdr:row>
      <xdr:rowOff>292100</xdr:rowOff>
    </xdr:to>
    <xdr:sp macro="'editNorm &quot;FP_Main1OmkostSY_1&quot;,&quot;FP_Main1OmkostSY_1Cancel&quot;,&quot;OmkostSY&quot;'" textlink="" fLocksText="0">
      <xdr:nvSpPr>
        <xdr:cNvPr id="14675" name="FP_Main1OmkostSY_1Cancel" hidden="1">
          <a:extLst>
            <a:ext uri="{FF2B5EF4-FFF2-40B4-BE49-F238E27FC236}">
              <a16:creationId xmlns:a16="http://schemas.microsoft.com/office/drawing/2014/main" id="{00000000-0008-0000-0300-000053390000}"/>
            </a:ext>
          </a:extLst>
        </xdr:cNvPr>
        <xdr:cNvSpPr/>
      </xdr:nvSpPr>
      <xdr:spPr>
        <a:xfrm>
          <a:off x="9975850" y="46580425"/>
          <a:ext cx="749300" cy="279400"/>
        </a:xfrm>
        <a:prstGeom prst="roundRect">
          <a:avLst/>
        </a:prstGeom>
        <a:gradFill flip="none" rotWithShape="1">
          <a:gsLst>
            <a:gs pos="0">
              <a:srgbClr val="B4B4B4"/>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Annuller</a:t>
          </a:r>
        </a:p>
      </xdr:txBody>
    </xdr:sp>
    <xdr:clientData/>
  </xdr:twoCellAnchor>
  <xdr:twoCellAnchor>
    <xdr:from>
      <xdr:col>13</xdr:col>
      <xdr:colOff>88900</xdr:colOff>
      <xdr:row>166</xdr:row>
      <xdr:rowOff>12700</xdr:rowOff>
    </xdr:from>
    <xdr:to>
      <xdr:col>14</xdr:col>
      <xdr:colOff>0</xdr:colOff>
      <xdr:row>166</xdr:row>
      <xdr:rowOff>292100</xdr:rowOff>
    </xdr:to>
    <xdr:sp macro="'editNorm &quot;FP_Main1OmkostSY_1&quot;,&quot;FP_Main1OmkostSY_1Delete&quot;,&quot;OmkostSY&quot;'" textlink="" fLocksText="0">
      <xdr:nvSpPr>
        <xdr:cNvPr id="14676" name="FP_Main1OmkostSY_1Delete" hidden="1">
          <a:extLst>
            <a:ext uri="{FF2B5EF4-FFF2-40B4-BE49-F238E27FC236}">
              <a16:creationId xmlns:a16="http://schemas.microsoft.com/office/drawing/2014/main" id="{00000000-0008-0000-0300-000054390000}"/>
            </a:ext>
          </a:extLst>
        </xdr:cNvPr>
        <xdr:cNvSpPr/>
      </xdr:nvSpPr>
      <xdr:spPr>
        <a:xfrm>
          <a:off x="10814050" y="46580425"/>
          <a:ext cx="749300" cy="279400"/>
        </a:xfrm>
        <a:prstGeom prst="roundRect">
          <a:avLst/>
        </a:prstGeom>
        <a:gradFill flip="none" rotWithShape="1">
          <a:gsLst>
            <a:gs pos="0">
              <a:srgbClr val="C83232"/>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Nulstil</a:t>
          </a:r>
        </a:p>
      </xdr:txBody>
    </xdr:sp>
    <xdr:clientData/>
  </xdr:twoCellAnchor>
  <xdr:twoCellAnchor>
    <xdr:from>
      <xdr:col>3</xdr:col>
      <xdr:colOff>12700</xdr:colOff>
      <xdr:row>167</xdr:row>
      <xdr:rowOff>25400</xdr:rowOff>
    </xdr:from>
    <xdr:to>
      <xdr:col>13</xdr:col>
      <xdr:colOff>0</xdr:colOff>
      <xdr:row>167</xdr:row>
      <xdr:rowOff>50800</xdr:rowOff>
    </xdr:to>
    <xdr:sp macro="" textlink="">
      <xdr:nvSpPr>
        <xdr:cNvPr id="14677" name="FP_Main1OmkostSYL_1">
          <a:extLst>
            <a:ext uri="{FF2B5EF4-FFF2-40B4-BE49-F238E27FC236}">
              <a16:creationId xmlns:a16="http://schemas.microsoft.com/office/drawing/2014/main" id="{00000000-0008-0000-0300-000055390000}"/>
            </a:ext>
          </a:extLst>
        </xdr:cNvPr>
        <xdr:cNvSpPr/>
      </xdr:nvSpPr>
      <xdr:spPr>
        <a:xfrm>
          <a:off x="2355850" y="46897925"/>
          <a:ext cx="8369300" cy="25400"/>
        </a:xfrm>
        <a:prstGeom prst="roundRect">
          <a:avLst/>
        </a:prstGeom>
        <a:gradFill flip="none" rotWithShape="1">
          <a:gsLst>
            <a:gs pos="0">
              <a:srgbClr val="B4B4B4"/>
            </a:gs>
            <a:gs pos="100000">
              <a:srgbClr val="646464"/>
            </a:gs>
          </a:gsLst>
          <a:lin ang="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clientData/>
  </xdr:twoCellAnchor>
  <xdr:twoCellAnchor>
    <xdr:from>
      <xdr:col>1</xdr:col>
      <xdr:colOff>25400</xdr:colOff>
      <xdr:row>169</xdr:row>
      <xdr:rowOff>0</xdr:rowOff>
    </xdr:from>
    <xdr:to>
      <xdr:col>5</xdr:col>
      <xdr:colOff>0</xdr:colOff>
      <xdr:row>169</xdr:row>
      <xdr:rowOff>381000</xdr:rowOff>
    </xdr:to>
    <xdr:sp macro="" textlink="" fLocksText="0">
      <xdr:nvSpPr>
        <xdr:cNvPr id="14678" name="FP_OmkostTxt2">
          <a:extLst>
            <a:ext uri="{FF2B5EF4-FFF2-40B4-BE49-F238E27FC236}">
              <a16:creationId xmlns:a16="http://schemas.microsoft.com/office/drawing/2014/main" id="{00000000-0008-0000-0300-000056390000}"/>
            </a:ext>
          </a:extLst>
        </xdr:cNvPr>
        <xdr:cNvSpPr/>
      </xdr:nvSpPr>
      <xdr:spPr>
        <a:xfrm>
          <a:off x="692150" y="47110650"/>
          <a:ext cx="3327400" cy="381000"/>
        </a:xfrm>
        <a:prstGeom prst="roundRect">
          <a:avLst>
            <a:gd name="adj" fmla="val 0"/>
          </a:avLst>
        </a:prstGeom>
        <a:gradFill flip="none" rotWithShape="1">
          <a:gsLst>
            <a:gs pos="0">
              <a:srgbClr val="D9D9D9"/>
            </a:gs>
            <a:gs pos="100000">
              <a:srgbClr val="D9D9D9"/>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rtlCol="0" anchor="ctr"/>
        <a:lstStyle/>
        <a:p>
          <a:pPr algn="l"/>
          <a:r>
            <a:rPr lang="da-DK" sz="1400" b="1">
              <a:solidFill>
                <a:srgbClr val="000000"/>
              </a:solidFill>
              <a:latin typeface="Arial"/>
            </a:rPr>
            <a:t>Ibrugtagningsår</a:t>
          </a:r>
        </a:p>
      </xdr:txBody>
    </xdr:sp>
    <xdr:clientData/>
  </xdr:twoCellAnchor>
  <xdr:twoCellAnchor>
    <xdr:from>
      <xdr:col>11</xdr:col>
      <xdr:colOff>63500</xdr:colOff>
      <xdr:row>170</xdr:row>
      <xdr:rowOff>12700</xdr:rowOff>
    </xdr:from>
    <xdr:to>
      <xdr:col>13</xdr:col>
      <xdr:colOff>0</xdr:colOff>
      <xdr:row>170</xdr:row>
      <xdr:rowOff>292100</xdr:rowOff>
    </xdr:to>
    <xdr:sp macro="'editNorm &quot;FP_Main1OmkostIY_1&quot;,&quot;FP_Main1OmkostIY_1Red&quot;,&quot;OmkostIY&quot;'" textlink="" fLocksText="0">
      <xdr:nvSpPr>
        <xdr:cNvPr id="14679" name="FP_Main1OmkostIY_1Red">
          <a:extLst>
            <a:ext uri="{FF2B5EF4-FFF2-40B4-BE49-F238E27FC236}">
              <a16:creationId xmlns:a16="http://schemas.microsoft.com/office/drawing/2014/main" id="{00000000-0008-0000-0300-000057390000}"/>
            </a:ext>
          </a:extLst>
        </xdr:cNvPr>
        <xdr:cNvSpPr/>
      </xdr:nvSpPr>
      <xdr:spPr>
        <a:xfrm>
          <a:off x="9112250" y="47513875"/>
          <a:ext cx="1612900" cy="279400"/>
        </a:xfrm>
        <a:prstGeom prst="roundRect">
          <a:avLst/>
        </a:prstGeom>
        <a:gradFill flip="none" rotWithShape="1">
          <a:gsLst>
            <a:gs pos="0">
              <a:srgbClr val="B4B4B4"/>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Rediger</a:t>
          </a:r>
        </a:p>
      </xdr:txBody>
    </xdr:sp>
    <xdr:clientData/>
  </xdr:twoCellAnchor>
  <xdr:twoCellAnchor>
    <xdr:from>
      <xdr:col>11</xdr:col>
      <xdr:colOff>63500</xdr:colOff>
      <xdr:row>170</xdr:row>
      <xdr:rowOff>12700</xdr:rowOff>
    </xdr:from>
    <xdr:to>
      <xdr:col>12</xdr:col>
      <xdr:colOff>0</xdr:colOff>
      <xdr:row>170</xdr:row>
      <xdr:rowOff>292100</xdr:rowOff>
    </xdr:to>
    <xdr:sp macro="'editNorm &quot;FP_Main1OmkostIY_1&quot;,&quot;FP_Main1OmkostIY_1Gem&quot;,&quot;OmkostIY&quot;'" textlink="" fLocksText="0">
      <xdr:nvSpPr>
        <xdr:cNvPr id="14680" name="FP_Main1OmkostIY_1Gem" hidden="1">
          <a:extLst>
            <a:ext uri="{FF2B5EF4-FFF2-40B4-BE49-F238E27FC236}">
              <a16:creationId xmlns:a16="http://schemas.microsoft.com/office/drawing/2014/main" id="{00000000-0008-0000-0300-000058390000}"/>
            </a:ext>
          </a:extLst>
        </xdr:cNvPr>
        <xdr:cNvSpPr/>
      </xdr:nvSpPr>
      <xdr:spPr>
        <a:xfrm>
          <a:off x="9112250" y="47513875"/>
          <a:ext cx="774700" cy="279400"/>
        </a:xfrm>
        <a:prstGeom prst="roundRect">
          <a:avLst/>
        </a:prstGeom>
        <a:gradFill flip="none" rotWithShape="1">
          <a:gsLst>
            <a:gs pos="0">
              <a:srgbClr val="96B412"/>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Gem</a:t>
          </a:r>
        </a:p>
      </xdr:txBody>
    </xdr:sp>
    <xdr:clientData/>
  </xdr:twoCellAnchor>
  <xdr:twoCellAnchor>
    <xdr:from>
      <xdr:col>12</xdr:col>
      <xdr:colOff>88900</xdr:colOff>
      <xdr:row>170</xdr:row>
      <xdr:rowOff>12700</xdr:rowOff>
    </xdr:from>
    <xdr:to>
      <xdr:col>13</xdr:col>
      <xdr:colOff>0</xdr:colOff>
      <xdr:row>170</xdr:row>
      <xdr:rowOff>292100</xdr:rowOff>
    </xdr:to>
    <xdr:sp macro="'editNorm &quot;FP_Main1OmkostIY_1&quot;,&quot;FP_Main1OmkostIY_1Cancel&quot;,&quot;OmkostIY&quot;'" textlink="" fLocksText="0">
      <xdr:nvSpPr>
        <xdr:cNvPr id="14681" name="FP_Main1OmkostIY_1Cancel" hidden="1">
          <a:extLst>
            <a:ext uri="{FF2B5EF4-FFF2-40B4-BE49-F238E27FC236}">
              <a16:creationId xmlns:a16="http://schemas.microsoft.com/office/drawing/2014/main" id="{00000000-0008-0000-0300-000059390000}"/>
            </a:ext>
          </a:extLst>
        </xdr:cNvPr>
        <xdr:cNvSpPr/>
      </xdr:nvSpPr>
      <xdr:spPr>
        <a:xfrm>
          <a:off x="9975850" y="47513875"/>
          <a:ext cx="749300" cy="279400"/>
        </a:xfrm>
        <a:prstGeom prst="roundRect">
          <a:avLst/>
        </a:prstGeom>
        <a:gradFill flip="none" rotWithShape="1">
          <a:gsLst>
            <a:gs pos="0">
              <a:srgbClr val="B4B4B4"/>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Annuller</a:t>
          </a:r>
        </a:p>
      </xdr:txBody>
    </xdr:sp>
    <xdr:clientData/>
  </xdr:twoCellAnchor>
  <xdr:twoCellAnchor>
    <xdr:from>
      <xdr:col>13</xdr:col>
      <xdr:colOff>88900</xdr:colOff>
      <xdr:row>170</xdr:row>
      <xdr:rowOff>12700</xdr:rowOff>
    </xdr:from>
    <xdr:to>
      <xdr:col>14</xdr:col>
      <xdr:colOff>0</xdr:colOff>
      <xdr:row>170</xdr:row>
      <xdr:rowOff>292100</xdr:rowOff>
    </xdr:to>
    <xdr:sp macro="'editNorm &quot;FP_Main1OmkostIY_1&quot;,&quot;FP_Main1OmkostIY_1Delete&quot;,&quot;OmkostIY&quot;'" textlink="" fLocksText="0">
      <xdr:nvSpPr>
        <xdr:cNvPr id="14682" name="FP_Main1OmkostIY_1Delete" hidden="1">
          <a:extLst>
            <a:ext uri="{FF2B5EF4-FFF2-40B4-BE49-F238E27FC236}">
              <a16:creationId xmlns:a16="http://schemas.microsoft.com/office/drawing/2014/main" id="{00000000-0008-0000-0300-00005A390000}"/>
            </a:ext>
          </a:extLst>
        </xdr:cNvPr>
        <xdr:cNvSpPr/>
      </xdr:nvSpPr>
      <xdr:spPr>
        <a:xfrm>
          <a:off x="10814050" y="47513875"/>
          <a:ext cx="749300" cy="279400"/>
        </a:xfrm>
        <a:prstGeom prst="roundRect">
          <a:avLst/>
        </a:prstGeom>
        <a:gradFill flip="none" rotWithShape="1">
          <a:gsLst>
            <a:gs pos="0">
              <a:srgbClr val="C83232"/>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Nulstil</a:t>
          </a:r>
        </a:p>
      </xdr:txBody>
    </xdr:sp>
    <xdr:clientData/>
  </xdr:twoCellAnchor>
  <xdr:twoCellAnchor>
    <xdr:from>
      <xdr:col>3</xdr:col>
      <xdr:colOff>12700</xdr:colOff>
      <xdr:row>171</xdr:row>
      <xdr:rowOff>25400</xdr:rowOff>
    </xdr:from>
    <xdr:to>
      <xdr:col>13</xdr:col>
      <xdr:colOff>0</xdr:colOff>
      <xdr:row>171</xdr:row>
      <xdr:rowOff>50800</xdr:rowOff>
    </xdr:to>
    <xdr:sp macro="" textlink="">
      <xdr:nvSpPr>
        <xdr:cNvPr id="14683" name="FP_Main1OmkostIYL_1">
          <a:extLst>
            <a:ext uri="{FF2B5EF4-FFF2-40B4-BE49-F238E27FC236}">
              <a16:creationId xmlns:a16="http://schemas.microsoft.com/office/drawing/2014/main" id="{00000000-0008-0000-0300-00005B390000}"/>
            </a:ext>
          </a:extLst>
        </xdr:cNvPr>
        <xdr:cNvSpPr/>
      </xdr:nvSpPr>
      <xdr:spPr>
        <a:xfrm>
          <a:off x="2355850" y="47831375"/>
          <a:ext cx="8369300" cy="25400"/>
        </a:xfrm>
        <a:prstGeom prst="roundRect">
          <a:avLst/>
        </a:prstGeom>
        <a:gradFill flip="none" rotWithShape="1">
          <a:gsLst>
            <a:gs pos="0">
              <a:srgbClr val="B4B4B4"/>
            </a:gs>
            <a:gs pos="100000">
              <a:srgbClr val="646464"/>
            </a:gs>
          </a:gsLst>
          <a:lin ang="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clientData/>
  </xdr:twoCellAnchor>
  <xdr:twoCellAnchor>
    <xdr:from>
      <xdr:col>1</xdr:col>
      <xdr:colOff>25400</xdr:colOff>
      <xdr:row>173</xdr:row>
      <xdr:rowOff>0</xdr:rowOff>
    </xdr:from>
    <xdr:to>
      <xdr:col>5</xdr:col>
      <xdr:colOff>0</xdr:colOff>
      <xdr:row>173</xdr:row>
      <xdr:rowOff>381000</xdr:rowOff>
    </xdr:to>
    <xdr:sp macro="" textlink="" fLocksText="0">
      <xdr:nvSpPr>
        <xdr:cNvPr id="14684" name="FP_OmkostTxt3">
          <a:extLst>
            <a:ext uri="{FF2B5EF4-FFF2-40B4-BE49-F238E27FC236}">
              <a16:creationId xmlns:a16="http://schemas.microsoft.com/office/drawing/2014/main" id="{00000000-0008-0000-0300-00005C390000}"/>
            </a:ext>
          </a:extLst>
        </xdr:cNvPr>
        <xdr:cNvSpPr/>
      </xdr:nvSpPr>
      <xdr:spPr>
        <a:xfrm>
          <a:off x="692150" y="48044100"/>
          <a:ext cx="3327400" cy="381000"/>
        </a:xfrm>
        <a:prstGeom prst="roundRect">
          <a:avLst>
            <a:gd name="adj" fmla="val 0"/>
          </a:avLst>
        </a:prstGeom>
        <a:gradFill flip="none" rotWithShape="1">
          <a:gsLst>
            <a:gs pos="0">
              <a:srgbClr val="D9D9D9"/>
            </a:gs>
            <a:gs pos="100000">
              <a:srgbClr val="D9D9D9"/>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rtlCol="0" anchor="ctr"/>
        <a:lstStyle/>
        <a:p>
          <a:pPr algn="l"/>
          <a:r>
            <a:rPr lang="da-DK" sz="1400" b="1">
              <a:solidFill>
                <a:srgbClr val="000000"/>
              </a:solidFill>
              <a:latin typeface="Arial"/>
            </a:rPr>
            <a:t>Slutår</a:t>
          </a:r>
        </a:p>
      </xdr:txBody>
    </xdr:sp>
    <xdr:clientData/>
  </xdr:twoCellAnchor>
  <xdr:twoCellAnchor>
    <xdr:from>
      <xdr:col>11</xdr:col>
      <xdr:colOff>63500</xdr:colOff>
      <xdr:row>174</xdr:row>
      <xdr:rowOff>12700</xdr:rowOff>
    </xdr:from>
    <xdr:to>
      <xdr:col>13</xdr:col>
      <xdr:colOff>0</xdr:colOff>
      <xdr:row>174</xdr:row>
      <xdr:rowOff>292100</xdr:rowOff>
    </xdr:to>
    <xdr:sp macro="'editNorm &quot;FP_Main1OmkostEY_1&quot;,&quot;FP_Main1OmkostEY_1Red&quot;,&quot;OmkosEY&quot;'" textlink="" fLocksText="0">
      <xdr:nvSpPr>
        <xdr:cNvPr id="14685" name="FP_Main1OmkostEY_1Red">
          <a:extLst>
            <a:ext uri="{FF2B5EF4-FFF2-40B4-BE49-F238E27FC236}">
              <a16:creationId xmlns:a16="http://schemas.microsoft.com/office/drawing/2014/main" id="{00000000-0008-0000-0300-00005D390000}"/>
            </a:ext>
          </a:extLst>
        </xdr:cNvPr>
        <xdr:cNvSpPr/>
      </xdr:nvSpPr>
      <xdr:spPr>
        <a:xfrm>
          <a:off x="9112250" y="48447325"/>
          <a:ext cx="1612900" cy="279400"/>
        </a:xfrm>
        <a:prstGeom prst="roundRect">
          <a:avLst/>
        </a:prstGeom>
        <a:gradFill flip="none" rotWithShape="1">
          <a:gsLst>
            <a:gs pos="0">
              <a:srgbClr val="B4B4B4"/>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Rediger</a:t>
          </a:r>
        </a:p>
      </xdr:txBody>
    </xdr:sp>
    <xdr:clientData/>
  </xdr:twoCellAnchor>
  <xdr:twoCellAnchor>
    <xdr:from>
      <xdr:col>11</xdr:col>
      <xdr:colOff>63500</xdr:colOff>
      <xdr:row>174</xdr:row>
      <xdr:rowOff>12700</xdr:rowOff>
    </xdr:from>
    <xdr:to>
      <xdr:col>12</xdr:col>
      <xdr:colOff>0</xdr:colOff>
      <xdr:row>174</xdr:row>
      <xdr:rowOff>292100</xdr:rowOff>
    </xdr:to>
    <xdr:sp macro="'editNorm &quot;FP_Main1OmkostEY_1&quot;,&quot;FP_Main1OmkostEY_1Gem&quot;,&quot;OmkosEY&quot;'" textlink="" fLocksText="0">
      <xdr:nvSpPr>
        <xdr:cNvPr id="14686" name="FP_Main1OmkostEY_1Gem" hidden="1">
          <a:extLst>
            <a:ext uri="{FF2B5EF4-FFF2-40B4-BE49-F238E27FC236}">
              <a16:creationId xmlns:a16="http://schemas.microsoft.com/office/drawing/2014/main" id="{00000000-0008-0000-0300-00005E390000}"/>
            </a:ext>
          </a:extLst>
        </xdr:cNvPr>
        <xdr:cNvSpPr/>
      </xdr:nvSpPr>
      <xdr:spPr>
        <a:xfrm>
          <a:off x="9112250" y="48447325"/>
          <a:ext cx="774700" cy="279400"/>
        </a:xfrm>
        <a:prstGeom prst="roundRect">
          <a:avLst/>
        </a:prstGeom>
        <a:gradFill flip="none" rotWithShape="1">
          <a:gsLst>
            <a:gs pos="0">
              <a:srgbClr val="96B412"/>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Gem</a:t>
          </a:r>
        </a:p>
      </xdr:txBody>
    </xdr:sp>
    <xdr:clientData/>
  </xdr:twoCellAnchor>
  <xdr:twoCellAnchor>
    <xdr:from>
      <xdr:col>12</xdr:col>
      <xdr:colOff>88900</xdr:colOff>
      <xdr:row>174</xdr:row>
      <xdr:rowOff>12700</xdr:rowOff>
    </xdr:from>
    <xdr:to>
      <xdr:col>13</xdr:col>
      <xdr:colOff>0</xdr:colOff>
      <xdr:row>174</xdr:row>
      <xdr:rowOff>292100</xdr:rowOff>
    </xdr:to>
    <xdr:sp macro="'editNorm &quot;FP_Main1OmkostEY_1&quot;,&quot;FP_Main1OmkostEY_1Cancel&quot;,&quot;OmkosEY&quot;'" textlink="" fLocksText="0">
      <xdr:nvSpPr>
        <xdr:cNvPr id="14687" name="FP_Main1OmkostEY_1Cancel" hidden="1">
          <a:extLst>
            <a:ext uri="{FF2B5EF4-FFF2-40B4-BE49-F238E27FC236}">
              <a16:creationId xmlns:a16="http://schemas.microsoft.com/office/drawing/2014/main" id="{00000000-0008-0000-0300-00005F390000}"/>
            </a:ext>
          </a:extLst>
        </xdr:cNvPr>
        <xdr:cNvSpPr/>
      </xdr:nvSpPr>
      <xdr:spPr>
        <a:xfrm>
          <a:off x="9975850" y="48447325"/>
          <a:ext cx="749300" cy="279400"/>
        </a:xfrm>
        <a:prstGeom prst="roundRect">
          <a:avLst/>
        </a:prstGeom>
        <a:gradFill flip="none" rotWithShape="1">
          <a:gsLst>
            <a:gs pos="0">
              <a:srgbClr val="B4B4B4"/>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Annuller</a:t>
          </a:r>
        </a:p>
      </xdr:txBody>
    </xdr:sp>
    <xdr:clientData/>
  </xdr:twoCellAnchor>
  <xdr:twoCellAnchor>
    <xdr:from>
      <xdr:col>13</xdr:col>
      <xdr:colOff>88900</xdr:colOff>
      <xdr:row>174</xdr:row>
      <xdr:rowOff>12700</xdr:rowOff>
    </xdr:from>
    <xdr:to>
      <xdr:col>14</xdr:col>
      <xdr:colOff>0</xdr:colOff>
      <xdr:row>174</xdr:row>
      <xdr:rowOff>292100</xdr:rowOff>
    </xdr:to>
    <xdr:sp macro="'editNorm &quot;FP_Main1OmkostEY_1&quot;,&quot;FP_Main1OmkostEY_1Delete&quot;,&quot;OmkosEY&quot;'" textlink="" fLocksText="0">
      <xdr:nvSpPr>
        <xdr:cNvPr id="14688" name="FP_Main1OmkostEY_1Delete" hidden="1">
          <a:extLst>
            <a:ext uri="{FF2B5EF4-FFF2-40B4-BE49-F238E27FC236}">
              <a16:creationId xmlns:a16="http://schemas.microsoft.com/office/drawing/2014/main" id="{00000000-0008-0000-0300-000060390000}"/>
            </a:ext>
          </a:extLst>
        </xdr:cNvPr>
        <xdr:cNvSpPr/>
      </xdr:nvSpPr>
      <xdr:spPr>
        <a:xfrm>
          <a:off x="10814050" y="48447325"/>
          <a:ext cx="749300" cy="279400"/>
        </a:xfrm>
        <a:prstGeom prst="roundRect">
          <a:avLst/>
        </a:prstGeom>
        <a:gradFill flip="none" rotWithShape="1">
          <a:gsLst>
            <a:gs pos="0">
              <a:srgbClr val="C83232"/>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Nulstil</a:t>
          </a:r>
        </a:p>
      </xdr:txBody>
    </xdr:sp>
    <xdr:clientData/>
  </xdr:twoCellAnchor>
  <xdr:twoCellAnchor>
    <xdr:from>
      <xdr:col>3</xdr:col>
      <xdr:colOff>12700</xdr:colOff>
      <xdr:row>175</xdr:row>
      <xdr:rowOff>25400</xdr:rowOff>
    </xdr:from>
    <xdr:to>
      <xdr:col>13</xdr:col>
      <xdr:colOff>0</xdr:colOff>
      <xdr:row>175</xdr:row>
      <xdr:rowOff>50800</xdr:rowOff>
    </xdr:to>
    <xdr:sp macro="" textlink="">
      <xdr:nvSpPr>
        <xdr:cNvPr id="14689" name="FP_Main1OmkostEYL_1">
          <a:extLst>
            <a:ext uri="{FF2B5EF4-FFF2-40B4-BE49-F238E27FC236}">
              <a16:creationId xmlns:a16="http://schemas.microsoft.com/office/drawing/2014/main" id="{00000000-0008-0000-0300-000061390000}"/>
            </a:ext>
          </a:extLst>
        </xdr:cNvPr>
        <xdr:cNvSpPr/>
      </xdr:nvSpPr>
      <xdr:spPr>
        <a:xfrm>
          <a:off x="2355850" y="48764825"/>
          <a:ext cx="8369300" cy="25400"/>
        </a:xfrm>
        <a:prstGeom prst="roundRect">
          <a:avLst/>
        </a:prstGeom>
        <a:gradFill flip="none" rotWithShape="1">
          <a:gsLst>
            <a:gs pos="0">
              <a:srgbClr val="B4B4B4"/>
            </a:gs>
            <a:gs pos="100000">
              <a:srgbClr val="646464"/>
            </a:gs>
          </a:gsLst>
          <a:lin ang="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clientData/>
  </xdr:twoCellAnchor>
  <xdr:twoCellAnchor>
    <xdr:from>
      <xdr:col>11</xdr:col>
      <xdr:colOff>63500</xdr:colOff>
      <xdr:row>178</xdr:row>
      <xdr:rowOff>12700</xdr:rowOff>
    </xdr:from>
    <xdr:to>
      <xdr:col>13</xdr:col>
      <xdr:colOff>0</xdr:colOff>
      <xdr:row>178</xdr:row>
      <xdr:rowOff>292100</xdr:rowOff>
    </xdr:to>
    <xdr:sp macro="'editNorm &quot;FP_Main1OmkostTable_1&quot;,&quot;FP_Main1OmkostTable_1Red&quot;,&quot;OmkostTable&quot;'" textlink="" fLocksText="0">
      <xdr:nvSpPr>
        <xdr:cNvPr id="14690" name="FP_Main1OmkostTable_1Red">
          <a:extLst>
            <a:ext uri="{FF2B5EF4-FFF2-40B4-BE49-F238E27FC236}">
              <a16:creationId xmlns:a16="http://schemas.microsoft.com/office/drawing/2014/main" id="{00000000-0008-0000-0300-000062390000}"/>
            </a:ext>
          </a:extLst>
        </xdr:cNvPr>
        <xdr:cNvSpPr/>
      </xdr:nvSpPr>
      <xdr:spPr>
        <a:xfrm>
          <a:off x="9112250" y="49171225"/>
          <a:ext cx="1612900" cy="279400"/>
        </a:xfrm>
        <a:prstGeom prst="roundRect">
          <a:avLst/>
        </a:prstGeom>
        <a:gradFill flip="none" rotWithShape="1">
          <a:gsLst>
            <a:gs pos="0">
              <a:srgbClr val="B4B4B4"/>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Rediger</a:t>
          </a:r>
        </a:p>
      </xdr:txBody>
    </xdr:sp>
    <xdr:clientData/>
  </xdr:twoCellAnchor>
  <xdr:twoCellAnchor>
    <xdr:from>
      <xdr:col>11</xdr:col>
      <xdr:colOff>63500</xdr:colOff>
      <xdr:row>178</xdr:row>
      <xdr:rowOff>12700</xdr:rowOff>
    </xdr:from>
    <xdr:to>
      <xdr:col>12</xdr:col>
      <xdr:colOff>0</xdr:colOff>
      <xdr:row>178</xdr:row>
      <xdr:rowOff>292100</xdr:rowOff>
    </xdr:to>
    <xdr:sp macro="'editNorm &quot;FP_Main1OmkostTable_1&quot;,&quot;FP_Main1OmkostTable_1Gem&quot;,&quot;OmkostTable&quot;'" textlink="" fLocksText="0">
      <xdr:nvSpPr>
        <xdr:cNvPr id="14691" name="FP_Main1OmkostTable_1Gem" hidden="1">
          <a:extLst>
            <a:ext uri="{FF2B5EF4-FFF2-40B4-BE49-F238E27FC236}">
              <a16:creationId xmlns:a16="http://schemas.microsoft.com/office/drawing/2014/main" id="{00000000-0008-0000-0300-000063390000}"/>
            </a:ext>
          </a:extLst>
        </xdr:cNvPr>
        <xdr:cNvSpPr/>
      </xdr:nvSpPr>
      <xdr:spPr>
        <a:xfrm>
          <a:off x="9112250" y="49171225"/>
          <a:ext cx="774700" cy="279400"/>
        </a:xfrm>
        <a:prstGeom prst="roundRect">
          <a:avLst/>
        </a:prstGeom>
        <a:gradFill flip="none" rotWithShape="1">
          <a:gsLst>
            <a:gs pos="0">
              <a:srgbClr val="96B412"/>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Gem</a:t>
          </a:r>
        </a:p>
      </xdr:txBody>
    </xdr:sp>
    <xdr:clientData/>
  </xdr:twoCellAnchor>
  <xdr:twoCellAnchor>
    <xdr:from>
      <xdr:col>12</xdr:col>
      <xdr:colOff>88900</xdr:colOff>
      <xdr:row>178</xdr:row>
      <xdr:rowOff>12700</xdr:rowOff>
    </xdr:from>
    <xdr:to>
      <xdr:col>13</xdr:col>
      <xdr:colOff>0</xdr:colOff>
      <xdr:row>178</xdr:row>
      <xdr:rowOff>292100</xdr:rowOff>
    </xdr:to>
    <xdr:sp macro="'editNorm &quot;FP_Main1OmkostTable_1&quot;,&quot;FP_Main1OmkostTable_1Cancel&quot;,&quot;OmkostTable&quot;'" textlink="" fLocksText="0">
      <xdr:nvSpPr>
        <xdr:cNvPr id="14692" name="FP_Main1OmkostTable_1Cancel" hidden="1">
          <a:extLst>
            <a:ext uri="{FF2B5EF4-FFF2-40B4-BE49-F238E27FC236}">
              <a16:creationId xmlns:a16="http://schemas.microsoft.com/office/drawing/2014/main" id="{00000000-0008-0000-0300-000064390000}"/>
            </a:ext>
          </a:extLst>
        </xdr:cNvPr>
        <xdr:cNvSpPr/>
      </xdr:nvSpPr>
      <xdr:spPr>
        <a:xfrm>
          <a:off x="9975850" y="49171225"/>
          <a:ext cx="749300" cy="279400"/>
        </a:xfrm>
        <a:prstGeom prst="roundRect">
          <a:avLst/>
        </a:prstGeom>
        <a:gradFill flip="none" rotWithShape="1">
          <a:gsLst>
            <a:gs pos="0">
              <a:srgbClr val="B4B4B4"/>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Annuller</a:t>
          </a:r>
        </a:p>
      </xdr:txBody>
    </xdr:sp>
    <xdr:clientData/>
  </xdr:twoCellAnchor>
  <xdr:twoCellAnchor>
    <xdr:from>
      <xdr:col>13</xdr:col>
      <xdr:colOff>88900</xdr:colOff>
      <xdr:row>178</xdr:row>
      <xdr:rowOff>12700</xdr:rowOff>
    </xdr:from>
    <xdr:to>
      <xdr:col>14</xdr:col>
      <xdr:colOff>0</xdr:colOff>
      <xdr:row>178</xdr:row>
      <xdr:rowOff>292100</xdr:rowOff>
    </xdr:to>
    <xdr:sp macro="'editNorm &quot;FP_Main1OmkostTable_1&quot;,&quot;FP_Main1OmkostTable_1Delete&quot;,&quot;OmkostTable&quot;'" textlink="" fLocksText="0">
      <xdr:nvSpPr>
        <xdr:cNvPr id="14693" name="FP_Main1OmkostTable_1Delete" hidden="1">
          <a:extLst>
            <a:ext uri="{FF2B5EF4-FFF2-40B4-BE49-F238E27FC236}">
              <a16:creationId xmlns:a16="http://schemas.microsoft.com/office/drawing/2014/main" id="{00000000-0008-0000-0300-000065390000}"/>
            </a:ext>
          </a:extLst>
        </xdr:cNvPr>
        <xdr:cNvSpPr/>
      </xdr:nvSpPr>
      <xdr:spPr>
        <a:xfrm>
          <a:off x="10814050" y="49171225"/>
          <a:ext cx="749300" cy="279400"/>
        </a:xfrm>
        <a:prstGeom prst="roundRect">
          <a:avLst/>
        </a:prstGeom>
        <a:gradFill flip="none" rotWithShape="1">
          <a:gsLst>
            <a:gs pos="0">
              <a:srgbClr val="C83232"/>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Nulstil</a:t>
          </a:r>
        </a:p>
      </xdr:txBody>
    </xdr:sp>
    <xdr:clientData/>
  </xdr:twoCellAnchor>
  <xdr:twoCellAnchor>
    <xdr:from>
      <xdr:col>1</xdr:col>
      <xdr:colOff>0</xdr:colOff>
      <xdr:row>195</xdr:row>
      <xdr:rowOff>12700</xdr:rowOff>
    </xdr:from>
    <xdr:to>
      <xdr:col>13</xdr:col>
      <xdr:colOff>0</xdr:colOff>
      <xdr:row>195</xdr:row>
      <xdr:rowOff>520700</xdr:rowOff>
    </xdr:to>
    <xdr:sp macro="'expand &quot;FP_Main1PloY&quot;,&quot;Forside&quot;,TRUE'" textlink="" fLocksText="0">
      <xdr:nvSpPr>
        <xdr:cNvPr id="14694" name="FP_Main1PloY">
          <a:extLst>
            <a:ext uri="{FF2B5EF4-FFF2-40B4-BE49-F238E27FC236}">
              <a16:creationId xmlns:a16="http://schemas.microsoft.com/office/drawing/2014/main" id="{00000000-0008-0000-0300-000066390000}"/>
            </a:ext>
          </a:extLst>
        </xdr:cNvPr>
        <xdr:cNvSpPr/>
      </xdr:nvSpPr>
      <xdr:spPr>
        <a:xfrm>
          <a:off x="666750" y="54419500"/>
          <a:ext cx="10058400" cy="508000"/>
        </a:xfrm>
        <a:prstGeom prst="roundRect">
          <a:avLst/>
        </a:prstGeom>
        <a:gradFill flip="none" rotWithShape="1">
          <a:gsLst>
            <a:gs pos="0">
              <a:srgbClr val="B4B4B4"/>
            </a:gs>
            <a:gs pos="100000">
              <a:srgbClr val="646464"/>
            </a:gs>
          </a:gsLst>
          <a:lin ang="5400000" scaled="1"/>
          <a:tileRect/>
        </a:gradFill>
        <a:ln w="25400" cap="flat" cmpd="sng" algn="ctr">
          <a:noFill/>
          <a:prstDash val="solid"/>
        </a:ln>
        <a:effectLst>
          <a:outerShdw blurRad="1016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81000" rtlCol="0" anchor="ctr"/>
        <a:lstStyle/>
        <a:p>
          <a:pPr algn="l"/>
          <a:r>
            <a:rPr lang="da-DK" sz="1800" b="0">
              <a:solidFill>
                <a:srgbClr val="FFFFFF"/>
              </a:solidFill>
              <a:latin typeface="Arial"/>
            </a:rPr>
            <a:t>PL-år</a:t>
          </a:r>
        </a:p>
      </xdr:txBody>
    </xdr:sp>
    <xdr:clientData/>
  </xdr:twoCellAnchor>
  <xdr:twoCellAnchor>
    <xdr:from>
      <xdr:col>12</xdr:col>
      <xdr:colOff>431800</xdr:colOff>
      <xdr:row>195</xdr:row>
      <xdr:rowOff>157845</xdr:rowOff>
    </xdr:from>
    <xdr:to>
      <xdr:col>12</xdr:col>
      <xdr:colOff>635000</xdr:colOff>
      <xdr:row>195</xdr:row>
      <xdr:rowOff>361045</xdr:rowOff>
    </xdr:to>
    <xdr:sp macro="'expand &quot;FP_Main1PloY&quot;,&quot;Forside&quot;,TRUE'" textlink="">
      <xdr:nvSpPr>
        <xdr:cNvPr id="14695" name="FP_Main1PloYarrow">
          <a:extLst>
            <a:ext uri="{FF2B5EF4-FFF2-40B4-BE49-F238E27FC236}">
              <a16:creationId xmlns:a16="http://schemas.microsoft.com/office/drawing/2014/main" id="{00000000-0008-0000-0300-000067390000}"/>
            </a:ext>
          </a:extLst>
        </xdr:cNvPr>
        <xdr:cNvSpPr/>
      </xdr:nvSpPr>
      <xdr:spPr>
        <a:xfrm rot="8100000">
          <a:off x="10266363" y="54509876"/>
          <a:ext cx="203200" cy="203200"/>
        </a:xfrm>
        <a:prstGeom prst="halfFrame">
          <a:avLst>
            <a:gd name="adj1" fmla="val 15000"/>
            <a:gd name="adj2" fmla="val 15000"/>
          </a:avLst>
        </a:prstGeom>
        <a:gradFill flip="none" rotWithShape="1">
          <a:gsLst>
            <a:gs pos="0">
              <a:srgbClr val="FFFFFF"/>
            </a:gs>
            <a:gs pos="100000">
              <a:srgbClr val="FFFFFF"/>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solidFill>
              <a:schemeClr val="tx1"/>
            </a:solidFill>
          </a:endParaRPr>
        </a:p>
      </xdr:txBody>
    </xdr:sp>
    <xdr:clientData/>
  </xdr:twoCellAnchor>
  <xdr:twoCellAnchor>
    <xdr:from>
      <xdr:col>11</xdr:col>
      <xdr:colOff>63500</xdr:colOff>
      <xdr:row>197</xdr:row>
      <xdr:rowOff>12700</xdr:rowOff>
    </xdr:from>
    <xdr:to>
      <xdr:col>13</xdr:col>
      <xdr:colOff>0</xdr:colOff>
      <xdr:row>197</xdr:row>
      <xdr:rowOff>292100</xdr:rowOff>
    </xdr:to>
    <xdr:sp macro="'editNorm &quot;FP_PloYRepY_1&quot;,&quot;FP_PloYRepY_1Red&quot;,&quot;PloYRep&quot;'" textlink="" fLocksText="0">
      <xdr:nvSpPr>
        <xdr:cNvPr id="14696" name="FP_PloYRepY_1Red">
          <a:extLst>
            <a:ext uri="{FF2B5EF4-FFF2-40B4-BE49-F238E27FC236}">
              <a16:creationId xmlns:a16="http://schemas.microsoft.com/office/drawing/2014/main" id="{00000000-0008-0000-0300-000068390000}"/>
            </a:ext>
          </a:extLst>
        </xdr:cNvPr>
        <xdr:cNvSpPr/>
      </xdr:nvSpPr>
      <xdr:spPr>
        <a:xfrm>
          <a:off x="9112250" y="55133875"/>
          <a:ext cx="1612900" cy="279400"/>
        </a:xfrm>
        <a:prstGeom prst="roundRect">
          <a:avLst/>
        </a:prstGeom>
        <a:gradFill flip="none" rotWithShape="1">
          <a:gsLst>
            <a:gs pos="0">
              <a:srgbClr val="B4B4B4"/>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Rediger</a:t>
          </a:r>
        </a:p>
      </xdr:txBody>
    </xdr:sp>
    <xdr:clientData/>
  </xdr:twoCellAnchor>
  <xdr:twoCellAnchor>
    <xdr:from>
      <xdr:col>11</xdr:col>
      <xdr:colOff>63500</xdr:colOff>
      <xdr:row>197</xdr:row>
      <xdr:rowOff>12700</xdr:rowOff>
    </xdr:from>
    <xdr:to>
      <xdr:col>12</xdr:col>
      <xdr:colOff>0</xdr:colOff>
      <xdr:row>197</xdr:row>
      <xdr:rowOff>292100</xdr:rowOff>
    </xdr:to>
    <xdr:sp macro="'editNorm &quot;FP_PloYRepY_1&quot;,&quot;FP_PloYRepY_1Gem&quot;,&quot;PloYRep&quot;'" textlink="" fLocksText="0">
      <xdr:nvSpPr>
        <xdr:cNvPr id="14697" name="FP_PloYRepY_1Gem" hidden="1">
          <a:extLst>
            <a:ext uri="{FF2B5EF4-FFF2-40B4-BE49-F238E27FC236}">
              <a16:creationId xmlns:a16="http://schemas.microsoft.com/office/drawing/2014/main" id="{00000000-0008-0000-0300-000069390000}"/>
            </a:ext>
          </a:extLst>
        </xdr:cNvPr>
        <xdr:cNvSpPr/>
      </xdr:nvSpPr>
      <xdr:spPr>
        <a:xfrm>
          <a:off x="9112250" y="55133875"/>
          <a:ext cx="774700" cy="279400"/>
        </a:xfrm>
        <a:prstGeom prst="roundRect">
          <a:avLst/>
        </a:prstGeom>
        <a:gradFill flip="none" rotWithShape="1">
          <a:gsLst>
            <a:gs pos="0">
              <a:srgbClr val="96B412"/>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Gem</a:t>
          </a:r>
        </a:p>
      </xdr:txBody>
    </xdr:sp>
    <xdr:clientData/>
  </xdr:twoCellAnchor>
  <xdr:twoCellAnchor>
    <xdr:from>
      <xdr:col>12</xdr:col>
      <xdr:colOff>88900</xdr:colOff>
      <xdr:row>197</xdr:row>
      <xdr:rowOff>12700</xdr:rowOff>
    </xdr:from>
    <xdr:to>
      <xdr:col>13</xdr:col>
      <xdr:colOff>0</xdr:colOff>
      <xdr:row>197</xdr:row>
      <xdr:rowOff>292100</xdr:rowOff>
    </xdr:to>
    <xdr:sp macro="'editNorm &quot;FP_PloYRepY_1&quot;,&quot;FP_PloYRepY_1Cancel&quot;,&quot;PloYRep&quot;'" textlink="" fLocksText="0">
      <xdr:nvSpPr>
        <xdr:cNvPr id="14698" name="FP_PloYRepY_1Cancel" hidden="1">
          <a:extLst>
            <a:ext uri="{FF2B5EF4-FFF2-40B4-BE49-F238E27FC236}">
              <a16:creationId xmlns:a16="http://schemas.microsoft.com/office/drawing/2014/main" id="{00000000-0008-0000-0300-00006A390000}"/>
            </a:ext>
          </a:extLst>
        </xdr:cNvPr>
        <xdr:cNvSpPr/>
      </xdr:nvSpPr>
      <xdr:spPr>
        <a:xfrm>
          <a:off x="9975850" y="55133875"/>
          <a:ext cx="749300" cy="279400"/>
        </a:xfrm>
        <a:prstGeom prst="roundRect">
          <a:avLst/>
        </a:prstGeom>
        <a:gradFill flip="none" rotWithShape="1">
          <a:gsLst>
            <a:gs pos="0">
              <a:srgbClr val="B4B4B4"/>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Annuller</a:t>
          </a:r>
        </a:p>
      </xdr:txBody>
    </xdr:sp>
    <xdr:clientData/>
  </xdr:twoCellAnchor>
  <xdr:twoCellAnchor>
    <xdr:from>
      <xdr:col>13</xdr:col>
      <xdr:colOff>88900</xdr:colOff>
      <xdr:row>197</xdr:row>
      <xdr:rowOff>12700</xdr:rowOff>
    </xdr:from>
    <xdr:to>
      <xdr:col>14</xdr:col>
      <xdr:colOff>0</xdr:colOff>
      <xdr:row>197</xdr:row>
      <xdr:rowOff>292100</xdr:rowOff>
    </xdr:to>
    <xdr:sp macro="'editNorm &quot;FP_PloYRepY_1&quot;,&quot;FP_PloYRepY_1Delete&quot;,&quot;PloYRep&quot;'" textlink="" fLocksText="0">
      <xdr:nvSpPr>
        <xdr:cNvPr id="14699" name="FP_PloYRepY_1Delete" hidden="1">
          <a:extLst>
            <a:ext uri="{FF2B5EF4-FFF2-40B4-BE49-F238E27FC236}">
              <a16:creationId xmlns:a16="http://schemas.microsoft.com/office/drawing/2014/main" id="{00000000-0008-0000-0300-00006B390000}"/>
            </a:ext>
          </a:extLst>
        </xdr:cNvPr>
        <xdr:cNvSpPr/>
      </xdr:nvSpPr>
      <xdr:spPr>
        <a:xfrm>
          <a:off x="10814050" y="55133875"/>
          <a:ext cx="749300" cy="279400"/>
        </a:xfrm>
        <a:prstGeom prst="roundRect">
          <a:avLst/>
        </a:prstGeom>
        <a:gradFill flip="none" rotWithShape="1">
          <a:gsLst>
            <a:gs pos="0">
              <a:srgbClr val="C83232"/>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Nulstil</a:t>
          </a:r>
        </a:p>
      </xdr:txBody>
    </xdr:sp>
    <xdr:clientData/>
  </xdr:twoCellAnchor>
  <xdr:twoCellAnchor>
    <xdr:from>
      <xdr:col>1</xdr:col>
      <xdr:colOff>0</xdr:colOff>
      <xdr:row>199</xdr:row>
      <xdr:rowOff>12700</xdr:rowOff>
    </xdr:from>
    <xdr:to>
      <xdr:col>13</xdr:col>
      <xdr:colOff>0</xdr:colOff>
      <xdr:row>199</xdr:row>
      <xdr:rowOff>520700</xdr:rowOff>
    </xdr:to>
    <xdr:sp macro="'expand &quot;FP_Main1Version&quot;,&quot;Forside&quot;,TRUE'" textlink="" fLocksText="0">
      <xdr:nvSpPr>
        <xdr:cNvPr id="14700" name="FP_Main1Version">
          <a:extLst>
            <a:ext uri="{FF2B5EF4-FFF2-40B4-BE49-F238E27FC236}">
              <a16:creationId xmlns:a16="http://schemas.microsoft.com/office/drawing/2014/main" id="{00000000-0008-0000-0300-00006C390000}"/>
            </a:ext>
          </a:extLst>
        </xdr:cNvPr>
        <xdr:cNvSpPr/>
      </xdr:nvSpPr>
      <xdr:spPr>
        <a:xfrm>
          <a:off x="666750" y="55619650"/>
          <a:ext cx="10058400" cy="508000"/>
        </a:xfrm>
        <a:prstGeom prst="roundRect">
          <a:avLst/>
        </a:prstGeom>
        <a:gradFill flip="none" rotWithShape="1">
          <a:gsLst>
            <a:gs pos="0">
              <a:srgbClr val="B4B4B4"/>
            </a:gs>
            <a:gs pos="100000">
              <a:srgbClr val="646464"/>
            </a:gs>
          </a:gsLst>
          <a:lin ang="5400000" scaled="1"/>
          <a:tileRect/>
        </a:gradFill>
        <a:ln w="25400" cap="flat" cmpd="sng" algn="ctr">
          <a:noFill/>
          <a:prstDash val="solid"/>
        </a:ln>
        <a:effectLst>
          <a:outerShdw blurRad="1016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81000" rtlCol="0" anchor="ctr"/>
        <a:lstStyle/>
        <a:p>
          <a:pPr algn="l"/>
          <a:r>
            <a:rPr lang="da-DK" sz="1800" b="0">
              <a:solidFill>
                <a:srgbClr val="FFFFFF"/>
              </a:solidFill>
            </a:rPr>
            <a:t>Versionshistorik</a:t>
          </a:r>
        </a:p>
      </xdr:txBody>
    </xdr:sp>
    <xdr:clientData/>
  </xdr:twoCellAnchor>
  <xdr:twoCellAnchor>
    <xdr:from>
      <xdr:col>12</xdr:col>
      <xdr:colOff>431800</xdr:colOff>
      <xdr:row>199</xdr:row>
      <xdr:rowOff>157845</xdr:rowOff>
    </xdr:from>
    <xdr:to>
      <xdr:col>12</xdr:col>
      <xdr:colOff>635000</xdr:colOff>
      <xdr:row>199</xdr:row>
      <xdr:rowOff>361045</xdr:rowOff>
    </xdr:to>
    <xdr:sp macro="'expand &quot;FP_Main1Version&quot;,&quot;Forside&quot;,TRUE'" textlink="">
      <xdr:nvSpPr>
        <xdr:cNvPr id="14701" name="FP_Main1Versionarrow">
          <a:extLst>
            <a:ext uri="{FF2B5EF4-FFF2-40B4-BE49-F238E27FC236}">
              <a16:creationId xmlns:a16="http://schemas.microsoft.com/office/drawing/2014/main" id="{00000000-0008-0000-0300-00006D390000}"/>
            </a:ext>
          </a:extLst>
        </xdr:cNvPr>
        <xdr:cNvSpPr/>
      </xdr:nvSpPr>
      <xdr:spPr>
        <a:xfrm rot="8100000">
          <a:off x="10266363" y="55712408"/>
          <a:ext cx="203200" cy="203200"/>
        </a:xfrm>
        <a:prstGeom prst="halfFrame">
          <a:avLst>
            <a:gd name="adj1" fmla="val 15000"/>
            <a:gd name="adj2" fmla="val 15000"/>
          </a:avLst>
        </a:prstGeom>
        <a:gradFill flip="none" rotWithShape="1">
          <a:gsLst>
            <a:gs pos="0">
              <a:srgbClr val="FFFFFF"/>
            </a:gs>
            <a:gs pos="100000">
              <a:srgbClr val="FFFFFF"/>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solidFill>
              <a:schemeClr val="tx1"/>
            </a:solidFill>
          </a:endParaRPr>
        </a:p>
      </xdr:txBody>
    </xdr:sp>
    <xdr:clientData/>
  </xdr:twoCellAnchor>
  <xdr:twoCellAnchor>
    <xdr:from>
      <xdr:col>11</xdr:col>
      <xdr:colOff>63500</xdr:colOff>
      <xdr:row>202</xdr:row>
      <xdr:rowOff>101600</xdr:rowOff>
    </xdr:from>
    <xdr:to>
      <xdr:col>13</xdr:col>
      <xdr:colOff>0</xdr:colOff>
      <xdr:row>203</xdr:row>
      <xdr:rowOff>0</xdr:rowOff>
    </xdr:to>
    <xdr:sp macro="'editNorm &quot;FP_Main1VersionTable_V_1&quot;,&quot;FP_Main1VersionTable_V_1Red&quot;,&quot;Version&quot;'" textlink="" fLocksText="0">
      <xdr:nvSpPr>
        <xdr:cNvPr id="14702" name="FP_Main1VersionTable_V_1Red">
          <a:extLst>
            <a:ext uri="{FF2B5EF4-FFF2-40B4-BE49-F238E27FC236}">
              <a16:creationId xmlns:a16="http://schemas.microsoft.com/office/drawing/2014/main" id="{00000000-0008-0000-0300-00006E390000}"/>
            </a:ext>
          </a:extLst>
        </xdr:cNvPr>
        <xdr:cNvSpPr/>
      </xdr:nvSpPr>
      <xdr:spPr>
        <a:xfrm>
          <a:off x="9112250" y="56851550"/>
          <a:ext cx="1612900" cy="279400"/>
        </a:xfrm>
        <a:prstGeom prst="roundRect">
          <a:avLst/>
        </a:prstGeom>
        <a:gradFill flip="none" rotWithShape="1">
          <a:gsLst>
            <a:gs pos="0">
              <a:srgbClr val="B4B4B4"/>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Rediger</a:t>
          </a:r>
        </a:p>
      </xdr:txBody>
    </xdr:sp>
    <xdr:clientData/>
  </xdr:twoCellAnchor>
  <xdr:twoCellAnchor>
    <xdr:from>
      <xdr:col>11</xdr:col>
      <xdr:colOff>63500</xdr:colOff>
      <xdr:row>202</xdr:row>
      <xdr:rowOff>101600</xdr:rowOff>
    </xdr:from>
    <xdr:to>
      <xdr:col>12</xdr:col>
      <xdr:colOff>0</xdr:colOff>
      <xdr:row>203</xdr:row>
      <xdr:rowOff>0</xdr:rowOff>
    </xdr:to>
    <xdr:sp macro="'editNorm &quot;FP_Main1VersionTable_V_1&quot;,&quot;FP_Main1VersionTable_V_1Gem&quot;,&quot;Version&quot;'" textlink="" fLocksText="0">
      <xdr:nvSpPr>
        <xdr:cNvPr id="14703" name="FP_Main1VersionTable_V_1Gem" hidden="1">
          <a:extLst>
            <a:ext uri="{FF2B5EF4-FFF2-40B4-BE49-F238E27FC236}">
              <a16:creationId xmlns:a16="http://schemas.microsoft.com/office/drawing/2014/main" id="{00000000-0008-0000-0300-00006F390000}"/>
            </a:ext>
          </a:extLst>
        </xdr:cNvPr>
        <xdr:cNvSpPr/>
      </xdr:nvSpPr>
      <xdr:spPr>
        <a:xfrm>
          <a:off x="9112250" y="56851550"/>
          <a:ext cx="774700" cy="279400"/>
        </a:xfrm>
        <a:prstGeom prst="roundRect">
          <a:avLst/>
        </a:prstGeom>
        <a:gradFill flip="none" rotWithShape="1">
          <a:gsLst>
            <a:gs pos="0">
              <a:srgbClr val="96B412"/>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Gem</a:t>
          </a:r>
        </a:p>
      </xdr:txBody>
    </xdr:sp>
    <xdr:clientData/>
  </xdr:twoCellAnchor>
  <xdr:twoCellAnchor>
    <xdr:from>
      <xdr:col>12</xdr:col>
      <xdr:colOff>88900</xdr:colOff>
      <xdr:row>202</xdr:row>
      <xdr:rowOff>101600</xdr:rowOff>
    </xdr:from>
    <xdr:to>
      <xdr:col>13</xdr:col>
      <xdr:colOff>0</xdr:colOff>
      <xdr:row>203</xdr:row>
      <xdr:rowOff>0</xdr:rowOff>
    </xdr:to>
    <xdr:sp macro="'editNorm &quot;FP_Main1VersionTable_V_1&quot;,&quot;FP_Main1VersionTable_V_1Cancel&quot;,&quot;Version&quot;'" textlink="" fLocksText="0">
      <xdr:nvSpPr>
        <xdr:cNvPr id="14704" name="FP_Main1VersionTable_V_1Cancel" hidden="1">
          <a:extLst>
            <a:ext uri="{FF2B5EF4-FFF2-40B4-BE49-F238E27FC236}">
              <a16:creationId xmlns:a16="http://schemas.microsoft.com/office/drawing/2014/main" id="{00000000-0008-0000-0300-000070390000}"/>
            </a:ext>
          </a:extLst>
        </xdr:cNvPr>
        <xdr:cNvSpPr/>
      </xdr:nvSpPr>
      <xdr:spPr>
        <a:xfrm>
          <a:off x="9975850" y="56851550"/>
          <a:ext cx="749300" cy="279400"/>
        </a:xfrm>
        <a:prstGeom prst="roundRect">
          <a:avLst/>
        </a:prstGeom>
        <a:gradFill flip="none" rotWithShape="1">
          <a:gsLst>
            <a:gs pos="0">
              <a:srgbClr val="B4B4B4"/>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Annuller</a:t>
          </a:r>
        </a:p>
      </xdr:txBody>
    </xdr:sp>
    <xdr:clientData/>
  </xdr:twoCellAnchor>
  <xdr:twoCellAnchor>
    <xdr:from>
      <xdr:col>13</xdr:col>
      <xdr:colOff>88900</xdr:colOff>
      <xdr:row>202</xdr:row>
      <xdr:rowOff>101600</xdr:rowOff>
    </xdr:from>
    <xdr:to>
      <xdr:col>14</xdr:col>
      <xdr:colOff>0</xdr:colOff>
      <xdr:row>203</xdr:row>
      <xdr:rowOff>0</xdr:rowOff>
    </xdr:to>
    <xdr:sp macro="'editNorm &quot;FP_Main1VersionTable_V_1&quot;,&quot;FP_Main1VersionTable_V_1Delete&quot;,&quot;Version&quot;'" textlink="" fLocksText="0">
      <xdr:nvSpPr>
        <xdr:cNvPr id="14705" name="FP_Main1VersionTable_V_1Delete" hidden="1">
          <a:extLst>
            <a:ext uri="{FF2B5EF4-FFF2-40B4-BE49-F238E27FC236}">
              <a16:creationId xmlns:a16="http://schemas.microsoft.com/office/drawing/2014/main" id="{00000000-0008-0000-0300-000071390000}"/>
            </a:ext>
          </a:extLst>
        </xdr:cNvPr>
        <xdr:cNvSpPr/>
      </xdr:nvSpPr>
      <xdr:spPr>
        <a:xfrm>
          <a:off x="10814050" y="56851550"/>
          <a:ext cx="749300" cy="279400"/>
        </a:xfrm>
        <a:prstGeom prst="roundRect">
          <a:avLst/>
        </a:prstGeom>
        <a:gradFill flip="none" rotWithShape="1">
          <a:gsLst>
            <a:gs pos="0">
              <a:srgbClr val="C83232"/>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Slet</a:t>
          </a:r>
        </a:p>
      </xdr:txBody>
    </xdr:sp>
    <xdr:clientData/>
  </xdr:twoCellAnchor>
  <xdr:twoCellAnchor>
    <xdr:from>
      <xdr:col>11</xdr:col>
      <xdr:colOff>63500</xdr:colOff>
      <xdr:row>204</xdr:row>
      <xdr:rowOff>12700</xdr:rowOff>
    </xdr:from>
    <xdr:to>
      <xdr:col>13</xdr:col>
      <xdr:colOff>0</xdr:colOff>
      <xdr:row>204</xdr:row>
      <xdr:rowOff>292100</xdr:rowOff>
    </xdr:to>
    <xdr:sp macro="'groupAdd &quot;Version&quot;'" textlink="" fLocksText="0">
      <xdr:nvSpPr>
        <xdr:cNvPr id="14706" name="FP_Main1VersionTable_Add">
          <a:extLst>
            <a:ext uri="{FF2B5EF4-FFF2-40B4-BE49-F238E27FC236}">
              <a16:creationId xmlns:a16="http://schemas.microsoft.com/office/drawing/2014/main" id="{00000000-0008-0000-0300-000072390000}"/>
            </a:ext>
          </a:extLst>
        </xdr:cNvPr>
        <xdr:cNvSpPr/>
      </xdr:nvSpPr>
      <xdr:spPr>
        <a:xfrm>
          <a:off x="9112250" y="57324625"/>
          <a:ext cx="1612900" cy="279400"/>
        </a:xfrm>
        <a:prstGeom prst="roundRect">
          <a:avLst/>
        </a:prstGeom>
        <a:gradFill flip="none" rotWithShape="1">
          <a:gsLst>
            <a:gs pos="0">
              <a:srgbClr val="B4B4B4"/>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Tilføj</a:t>
          </a:r>
        </a:p>
      </xdr:txBody>
    </xdr:sp>
    <xdr:clientData/>
  </xdr:twoCellAnchor>
  <xdr:twoCellAnchor>
    <xdr:from>
      <xdr:col>1</xdr:col>
      <xdr:colOff>0</xdr:colOff>
      <xdr:row>206</xdr:row>
      <xdr:rowOff>12700</xdr:rowOff>
    </xdr:from>
    <xdr:to>
      <xdr:col>14</xdr:col>
      <xdr:colOff>0</xdr:colOff>
      <xdr:row>206</xdr:row>
      <xdr:rowOff>774700</xdr:rowOff>
    </xdr:to>
    <xdr:sp macro="'expand &quot;FP_Main2&quot;,&quot;Forside&quot;,TRUE'" textlink="" fLocksText="0">
      <xdr:nvSpPr>
        <xdr:cNvPr id="14707" name="FP_Main2">
          <a:extLst>
            <a:ext uri="{FF2B5EF4-FFF2-40B4-BE49-F238E27FC236}">
              <a16:creationId xmlns:a16="http://schemas.microsoft.com/office/drawing/2014/main" id="{00000000-0008-0000-0300-000073390000}"/>
            </a:ext>
          </a:extLst>
        </xdr:cNvPr>
        <xdr:cNvSpPr/>
      </xdr:nvSpPr>
      <xdr:spPr>
        <a:xfrm>
          <a:off x="666750" y="57810400"/>
          <a:ext cx="10896600" cy="762000"/>
        </a:xfrm>
        <a:prstGeom prst="roundRect">
          <a:avLst/>
        </a:prstGeom>
        <a:gradFill flip="none" rotWithShape="1">
          <a:gsLst>
            <a:gs pos="0">
              <a:srgbClr val="646464"/>
            </a:gs>
            <a:gs pos="100000">
              <a:srgbClr val="000000"/>
            </a:gs>
          </a:gsLst>
          <a:lin ang="5400000" scaled="1"/>
          <a:tileRect/>
        </a:gradFill>
        <a:ln w="25400" cap="flat" cmpd="sng" algn="ctr">
          <a:noFill/>
          <a:prstDash val="solid"/>
        </a:ln>
        <a:effectLst>
          <a:outerShdw blurRad="1270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81000" rtlCol="0" anchor="ctr"/>
        <a:lstStyle/>
        <a:p>
          <a:pPr algn="l"/>
          <a:r>
            <a:rPr lang="da-DK" sz="2000" b="0">
              <a:solidFill>
                <a:srgbClr val="FFFFFF"/>
              </a:solidFill>
            </a:rPr>
            <a:t>Hjælp, forklaringer og vejledninger</a:t>
          </a:r>
        </a:p>
      </xdr:txBody>
    </xdr:sp>
    <xdr:clientData/>
  </xdr:twoCellAnchor>
  <xdr:twoCellAnchor>
    <xdr:from>
      <xdr:col>13</xdr:col>
      <xdr:colOff>228600</xdr:colOff>
      <xdr:row>206</xdr:row>
      <xdr:rowOff>230417</xdr:rowOff>
    </xdr:from>
    <xdr:to>
      <xdr:col>13</xdr:col>
      <xdr:colOff>533400</xdr:colOff>
      <xdr:row>206</xdr:row>
      <xdr:rowOff>535217</xdr:rowOff>
    </xdr:to>
    <xdr:sp macro="'expand &quot;FP_Main2&quot;,&quot;Forside&quot;,TRUE'" textlink="">
      <xdr:nvSpPr>
        <xdr:cNvPr id="14708" name="FP_Main2arrow">
          <a:extLst>
            <a:ext uri="{FF2B5EF4-FFF2-40B4-BE49-F238E27FC236}">
              <a16:creationId xmlns:a16="http://schemas.microsoft.com/office/drawing/2014/main" id="{00000000-0008-0000-0300-000074390000}"/>
            </a:ext>
          </a:extLst>
        </xdr:cNvPr>
        <xdr:cNvSpPr/>
      </xdr:nvSpPr>
      <xdr:spPr>
        <a:xfrm rot="13500000">
          <a:off x="10953750" y="58028117"/>
          <a:ext cx="304800" cy="304800"/>
        </a:xfrm>
        <a:prstGeom prst="halfFrame">
          <a:avLst>
            <a:gd name="adj1" fmla="val 15000"/>
            <a:gd name="adj2" fmla="val 15000"/>
          </a:avLst>
        </a:prstGeom>
        <a:gradFill flip="none" rotWithShape="1">
          <a:gsLst>
            <a:gs pos="0">
              <a:srgbClr val="FFFFFF"/>
            </a:gs>
            <a:gs pos="100000">
              <a:srgbClr val="FFFFFF"/>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solidFill>
              <a:schemeClr val="tx1"/>
            </a:solidFill>
          </a:endParaRPr>
        </a:p>
      </xdr:txBody>
    </xdr:sp>
    <xdr:clientData/>
  </xdr:twoCellAnchor>
  <xdr:twoCellAnchor>
    <xdr:from>
      <xdr:col>3</xdr:col>
      <xdr:colOff>0</xdr:colOff>
      <xdr:row>208</xdr:row>
      <xdr:rowOff>0</xdr:rowOff>
    </xdr:from>
    <xdr:to>
      <xdr:col>13</xdr:col>
      <xdr:colOff>0</xdr:colOff>
      <xdr:row>208</xdr:row>
      <xdr:rowOff>1981200</xdr:rowOff>
    </xdr:to>
    <xdr:sp macro="" textlink="" fLocksText="0">
      <xdr:nvSpPr>
        <xdr:cNvPr id="14709" name="FP_Main2Text1">
          <a:extLst>
            <a:ext uri="{FF2B5EF4-FFF2-40B4-BE49-F238E27FC236}">
              <a16:creationId xmlns:a16="http://schemas.microsoft.com/office/drawing/2014/main" id="{00000000-0008-0000-0300-000075390000}"/>
            </a:ext>
          </a:extLst>
        </xdr:cNvPr>
        <xdr:cNvSpPr/>
      </xdr:nvSpPr>
      <xdr:spPr>
        <a:xfrm>
          <a:off x="2343150" y="58759725"/>
          <a:ext cx="8382000" cy="1981200"/>
        </a:xfrm>
        <a:prstGeom prst="roundRect">
          <a:avLst>
            <a:gd name="adj" fmla="val 0"/>
          </a:avLst>
        </a:prstGeom>
        <a:gradFill flip="none" rotWithShape="1">
          <a:gsLst>
            <a:gs pos="0">
              <a:srgbClr val="EBB553"/>
            </a:gs>
            <a:gs pos="100000">
              <a:srgbClr val="EBB553"/>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rtlCol="0" anchor="t"/>
        <a:lstStyle/>
        <a:p>
          <a:pPr algn="l"/>
          <a:r>
            <a:rPr lang="da-DK" sz="1200" b="0">
              <a:solidFill>
                <a:srgbClr val="000000"/>
              </a:solidFill>
              <a:latin typeface="Arial"/>
            </a:rPr>
            <a:t>En business case er en beregning af de samlede økonomiske og ikke-økonomiske konsekvenser af en potentiel investering, såsom et projekt eller et program. Den bygger på en analyse og opgørelse af, hvilken forandring man ønsker og hvordan den opnås.
Business casen estimerer således på fremtiden. I statens business case-model gøres dette ved at analysere to fremtidige scenarier og den aktuelle situation. De to fremtidige scenarier beskriver henholdsvis situationen, hvor projektet ikke gennemføres og situationen, hvor projektet gennemføres.
For uddybende forklaringer, se Vejledning til statens business case-model.</a:t>
          </a:r>
        </a:p>
      </xdr:txBody>
    </xdr:sp>
    <xdr:clientData/>
  </xdr:twoCellAnchor>
  <xdr:twoCellAnchor>
    <xdr:from>
      <xdr:col>1</xdr:col>
      <xdr:colOff>0</xdr:colOff>
      <xdr:row>210</xdr:row>
      <xdr:rowOff>12700</xdr:rowOff>
    </xdr:from>
    <xdr:to>
      <xdr:col>13</xdr:col>
      <xdr:colOff>0</xdr:colOff>
      <xdr:row>210</xdr:row>
      <xdr:rowOff>520700</xdr:rowOff>
    </xdr:to>
    <xdr:sp macro="'expand &quot;FP_Main2Sub1&quot;,&quot;Forside&quot;,TRUE'" textlink="" fLocksText="0">
      <xdr:nvSpPr>
        <xdr:cNvPr id="14710" name="FP_Main2Sub1">
          <a:extLst>
            <a:ext uri="{FF2B5EF4-FFF2-40B4-BE49-F238E27FC236}">
              <a16:creationId xmlns:a16="http://schemas.microsoft.com/office/drawing/2014/main" id="{00000000-0008-0000-0300-000076390000}"/>
            </a:ext>
          </a:extLst>
        </xdr:cNvPr>
        <xdr:cNvSpPr/>
      </xdr:nvSpPr>
      <xdr:spPr>
        <a:xfrm>
          <a:off x="666750" y="60944125"/>
          <a:ext cx="10058400" cy="508000"/>
        </a:xfrm>
        <a:prstGeom prst="roundRect">
          <a:avLst/>
        </a:prstGeom>
        <a:gradFill flip="none" rotWithShape="1">
          <a:gsLst>
            <a:gs pos="0">
              <a:srgbClr val="B4B4B4"/>
            </a:gs>
            <a:gs pos="100000">
              <a:srgbClr val="646464"/>
            </a:gs>
          </a:gsLst>
          <a:lin ang="5400000" scaled="1"/>
          <a:tileRect/>
        </a:gradFill>
        <a:ln w="25400" cap="flat" cmpd="sng" algn="ctr">
          <a:noFill/>
          <a:prstDash val="solid"/>
        </a:ln>
        <a:effectLst>
          <a:outerShdw blurRad="1016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81000" rtlCol="0" anchor="ctr"/>
        <a:lstStyle/>
        <a:p>
          <a:pPr algn="l"/>
          <a:r>
            <a:rPr lang="da-DK" sz="1800" b="0">
              <a:solidFill>
                <a:srgbClr val="FFFFFF"/>
              </a:solidFill>
            </a:rPr>
            <a:t>Sådan fungerer scenarierne </a:t>
          </a:r>
        </a:p>
      </xdr:txBody>
    </xdr:sp>
    <xdr:clientData/>
  </xdr:twoCellAnchor>
  <xdr:twoCellAnchor>
    <xdr:from>
      <xdr:col>12</xdr:col>
      <xdr:colOff>431800</xdr:colOff>
      <xdr:row>210</xdr:row>
      <xdr:rowOff>157845</xdr:rowOff>
    </xdr:from>
    <xdr:to>
      <xdr:col>12</xdr:col>
      <xdr:colOff>635000</xdr:colOff>
      <xdr:row>210</xdr:row>
      <xdr:rowOff>361045</xdr:rowOff>
    </xdr:to>
    <xdr:sp macro="'expand &quot;FP_Main2Sub1&quot;,&quot;Forside&quot;,TRUE'" textlink="">
      <xdr:nvSpPr>
        <xdr:cNvPr id="14711" name="FP_Main2Sub1arrow">
          <a:extLst>
            <a:ext uri="{FF2B5EF4-FFF2-40B4-BE49-F238E27FC236}">
              <a16:creationId xmlns:a16="http://schemas.microsoft.com/office/drawing/2014/main" id="{00000000-0008-0000-0300-000077390000}"/>
            </a:ext>
          </a:extLst>
        </xdr:cNvPr>
        <xdr:cNvSpPr/>
      </xdr:nvSpPr>
      <xdr:spPr>
        <a:xfrm rot="13500000">
          <a:off x="10318750" y="61089270"/>
          <a:ext cx="203200" cy="203200"/>
        </a:xfrm>
        <a:prstGeom prst="halfFrame">
          <a:avLst>
            <a:gd name="adj1" fmla="val 15000"/>
            <a:gd name="adj2" fmla="val 15000"/>
          </a:avLst>
        </a:prstGeom>
        <a:gradFill flip="none" rotWithShape="1">
          <a:gsLst>
            <a:gs pos="0">
              <a:srgbClr val="FFFFFF"/>
            </a:gs>
            <a:gs pos="100000">
              <a:srgbClr val="FFFFFF"/>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solidFill>
              <a:schemeClr val="tx1"/>
            </a:solidFill>
          </a:endParaRPr>
        </a:p>
      </xdr:txBody>
    </xdr:sp>
    <xdr:clientData/>
  </xdr:twoCellAnchor>
  <xdr:twoCellAnchor>
    <xdr:from>
      <xdr:col>3</xdr:col>
      <xdr:colOff>0</xdr:colOff>
      <xdr:row>212</xdr:row>
      <xdr:rowOff>0</xdr:rowOff>
    </xdr:from>
    <xdr:to>
      <xdr:col>13</xdr:col>
      <xdr:colOff>0</xdr:colOff>
      <xdr:row>212</xdr:row>
      <xdr:rowOff>711200</xdr:rowOff>
    </xdr:to>
    <xdr:sp macro="" textlink="" fLocksText="0">
      <xdr:nvSpPr>
        <xdr:cNvPr id="14712" name="FP_Main2Sub1Text1">
          <a:extLst>
            <a:ext uri="{FF2B5EF4-FFF2-40B4-BE49-F238E27FC236}">
              <a16:creationId xmlns:a16="http://schemas.microsoft.com/office/drawing/2014/main" id="{00000000-0008-0000-0300-000078390000}"/>
            </a:ext>
          </a:extLst>
        </xdr:cNvPr>
        <xdr:cNvSpPr/>
      </xdr:nvSpPr>
      <xdr:spPr>
        <a:xfrm>
          <a:off x="2343150" y="61645800"/>
          <a:ext cx="8382000" cy="711200"/>
        </a:xfrm>
        <a:prstGeom prst="roundRect">
          <a:avLst>
            <a:gd name="adj" fmla="val 0"/>
          </a:avLst>
        </a:prstGeom>
        <a:gradFill flip="none" rotWithShape="1">
          <a:gsLst>
            <a:gs pos="0">
              <a:srgbClr val="EBB553"/>
            </a:gs>
            <a:gs pos="100000">
              <a:srgbClr val="EBB553"/>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rtlCol="0" anchor="t"/>
        <a:lstStyle/>
        <a:p>
          <a:pPr algn="l"/>
          <a:r>
            <a:rPr lang="da-DK" sz="1200" b="0">
              <a:solidFill>
                <a:srgbClr val="000000"/>
              </a:solidFill>
              <a:latin typeface="Arial"/>
            </a:rPr>
            <a:t>I 0-scenariet vil der kun være driftsudgifter, mens der i 1-scenariet både vil være udgifterne til selve projektet og driftsudgifterne efter projektet er gennemført. Business casen rummer endvidere oplysninger om, hvordan investeringen ser ud hvis det aktulle udgiftsniveau fastholdes og fremskrives horisontalt (før-situationen).</a:t>
          </a:r>
        </a:p>
      </xdr:txBody>
    </xdr:sp>
    <xdr:clientData/>
  </xdr:twoCellAnchor>
  <xdr:twoCellAnchor>
    <xdr:from>
      <xdr:col>2</xdr:col>
      <xdr:colOff>838199</xdr:colOff>
      <xdr:row>214</xdr:row>
      <xdr:rowOff>0</xdr:rowOff>
    </xdr:from>
    <xdr:to>
      <xdr:col>12</xdr:col>
      <xdr:colOff>838199</xdr:colOff>
      <xdr:row>235</xdr:row>
      <xdr:rowOff>0</xdr:rowOff>
    </xdr:to>
    <xdr:pic>
      <xdr:nvPicPr>
        <xdr:cNvPr id="889" name="FP_Main2Sub1Pic1">
          <a:extLst>
            <a:ext uri="{FF2B5EF4-FFF2-40B4-BE49-F238E27FC236}">
              <a16:creationId xmlns:a16="http://schemas.microsoft.com/office/drawing/2014/main" id="{00000000-0008-0000-0300-000079030000}"/>
            </a:ext>
          </a:extLst>
        </xdr:cNvPr>
        <xdr:cNvPicPr preferRelativeResize="0">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343149" y="62550675"/>
          <a:ext cx="8382000" cy="3800475"/>
        </a:xfrm>
        <a:prstGeom prst="rect">
          <a:avLst/>
        </a:prstGeom>
        <a:effectLst>
          <a:glow>
            <a:schemeClr val="accent1">
              <a:alpha val="40000"/>
            </a:schemeClr>
          </a:glow>
          <a:softEdge rad="50800"/>
        </a:effectLst>
      </xdr:spPr>
    </xdr:pic>
    <xdr:clientData/>
  </xdr:twoCellAnchor>
  <xdr:twoCellAnchor>
    <xdr:from>
      <xdr:col>3</xdr:col>
      <xdr:colOff>0</xdr:colOff>
      <xdr:row>236</xdr:row>
      <xdr:rowOff>0</xdr:rowOff>
    </xdr:from>
    <xdr:to>
      <xdr:col>13</xdr:col>
      <xdr:colOff>0</xdr:colOff>
      <xdr:row>236</xdr:row>
      <xdr:rowOff>711200</xdr:rowOff>
    </xdr:to>
    <xdr:sp macro="" textlink="" fLocksText="0">
      <xdr:nvSpPr>
        <xdr:cNvPr id="14713" name="FP_Main2Sub1Text2">
          <a:extLst>
            <a:ext uri="{FF2B5EF4-FFF2-40B4-BE49-F238E27FC236}">
              <a16:creationId xmlns:a16="http://schemas.microsoft.com/office/drawing/2014/main" id="{00000000-0008-0000-0300-000079390000}"/>
            </a:ext>
          </a:extLst>
        </xdr:cNvPr>
        <xdr:cNvSpPr/>
      </xdr:nvSpPr>
      <xdr:spPr>
        <a:xfrm>
          <a:off x="2343150" y="66532125"/>
          <a:ext cx="8382000" cy="711200"/>
        </a:xfrm>
        <a:prstGeom prst="roundRect">
          <a:avLst>
            <a:gd name="adj" fmla="val 0"/>
          </a:avLst>
        </a:prstGeom>
        <a:gradFill flip="none" rotWithShape="1">
          <a:gsLst>
            <a:gs pos="0">
              <a:srgbClr val="EBB553"/>
            </a:gs>
            <a:gs pos="100000">
              <a:srgbClr val="EBB553"/>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rtlCol="0" anchor="t"/>
        <a:lstStyle/>
        <a:p>
          <a:pPr algn="l"/>
          <a:r>
            <a:rPr lang="da-DK" sz="1200" b="0">
              <a:solidFill>
                <a:srgbClr val="000000"/>
              </a:solidFill>
              <a:latin typeface="Arial"/>
            </a:rPr>
            <a:t>Af ovenstående figur ses, at det viste projekt har en positiv gevinst, idet driftsudgifterne i 0-scenariet samlet er større end summen af projekt- og driftsudgifterne i 1-scenariet, men at det skyldes en forventning om et stigende udgiftsniveau, såfremt projektet ikke gennemføres.</a:t>
          </a:r>
        </a:p>
      </xdr:txBody>
    </xdr:sp>
    <xdr:clientData/>
  </xdr:twoCellAnchor>
  <xdr:twoCellAnchor>
    <xdr:from>
      <xdr:col>1</xdr:col>
      <xdr:colOff>0</xdr:colOff>
      <xdr:row>238</xdr:row>
      <xdr:rowOff>12700</xdr:rowOff>
    </xdr:from>
    <xdr:to>
      <xdr:col>13</xdr:col>
      <xdr:colOff>0</xdr:colOff>
      <xdr:row>238</xdr:row>
      <xdr:rowOff>520700</xdr:rowOff>
    </xdr:to>
    <xdr:sp macro="'expand &quot;FP_Main2Sub2&quot;,&quot;Forside&quot;,TRUE'" textlink="" fLocksText="0">
      <xdr:nvSpPr>
        <xdr:cNvPr id="14714" name="FP_Main2Sub2">
          <a:extLst>
            <a:ext uri="{FF2B5EF4-FFF2-40B4-BE49-F238E27FC236}">
              <a16:creationId xmlns:a16="http://schemas.microsoft.com/office/drawing/2014/main" id="{00000000-0008-0000-0300-00007A390000}"/>
            </a:ext>
          </a:extLst>
        </xdr:cNvPr>
        <xdr:cNvSpPr/>
      </xdr:nvSpPr>
      <xdr:spPr>
        <a:xfrm>
          <a:off x="666750" y="67449700"/>
          <a:ext cx="10058400" cy="508000"/>
        </a:xfrm>
        <a:prstGeom prst="roundRect">
          <a:avLst/>
        </a:prstGeom>
        <a:gradFill flip="none" rotWithShape="1">
          <a:gsLst>
            <a:gs pos="0">
              <a:srgbClr val="B4B4B4"/>
            </a:gs>
            <a:gs pos="100000">
              <a:srgbClr val="646464"/>
            </a:gs>
          </a:gsLst>
          <a:lin ang="5400000" scaled="1"/>
          <a:tileRect/>
        </a:gradFill>
        <a:ln w="25400" cap="flat" cmpd="sng" algn="ctr">
          <a:noFill/>
          <a:prstDash val="solid"/>
        </a:ln>
        <a:effectLst>
          <a:outerShdw blurRad="1016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81000" rtlCol="0" anchor="ctr"/>
        <a:lstStyle/>
        <a:p>
          <a:pPr algn="l"/>
          <a:r>
            <a:rPr lang="da-DK" sz="1800" b="0">
              <a:solidFill>
                <a:srgbClr val="FFFFFF"/>
              </a:solidFill>
            </a:rPr>
            <a:t>Usikkerhed og estimering</a:t>
          </a:r>
        </a:p>
      </xdr:txBody>
    </xdr:sp>
    <xdr:clientData/>
  </xdr:twoCellAnchor>
  <xdr:twoCellAnchor>
    <xdr:from>
      <xdr:col>12</xdr:col>
      <xdr:colOff>431800</xdr:colOff>
      <xdr:row>238</xdr:row>
      <xdr:rowOff>157845</xdr:rowOff>
    </xdr:from>
    <xdr:to>
      <xdr:col>12</xdr:col>
      <xdr:colOff>635000</xdr:colOff>
      <xdr:row>238</xdr:row>
      <xdr:rowOff>361045</xdr:rowOff>
    </xdr:to>
    <xdr:sp macro="'expand &quot;FP_Main2Sub2&quot;,&quot;Forside&quot;,TRUE'" textlink="">
      <xdr:nvSpPr>
        <xdr:cNvPr id="14715" name="FP_Main2Sub2arrow">
          <a:extLst>
            <a:ext uri="{FF2B5EF4-FFF2-40B4-BE49-F238E27FC236}">
              <a16:creationId xmlns:a16="http://schemas.microsoft.com/office/drawing/2014/main" id="{00000000-0008-0000-0300-00007B390000}"/>
            </a:ext>
          </a:extLst>
        </xdr:cNvPr>
        <xdr:cNvSpPr/>
      </xdr:nvSpPr>
      <xdr:spPr>
        <a:xfrm rot="13500000">
          <a:off x="10318750" y="67594845"/>
          <a:ext cx="203200" cy="203200"/>
        </a:xfrm>
        <a:prstGeom prst="halfFrame">
          <a:avLst>
            <a:gd name="adj1" fmla="val 15000"/>
            <a:gd name="adj2" fmla="val 15000"/>
          </a:avLst>
        </a:prstGeom>
        <a:gradFill flip="none" rotWithShape="1">
          <a:gsLst>
            <a:gs pos="0">
              <a:srgbClr val="FFFFFF"/>
            </a:gs>
            <a:gs pos="100000">
              <a:srgbClr val="FFFFFF"/>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solidFill>
              <a:schemeClr val="tx1"/>
            </a:solidFill>
          </a:endParaRPr>
        </a:p>
      </xdr:txBody>
    </xdr:sp>
    <xdr:clientData/>
  </xdr:twoCellAnchor>
  <xdr:twoCellAnchor>
    <xdr:from>
      <xdr:col>3</xdr:col>
      <xdr:colOff>0</xdr:colOff>
      <xdr:row>240</xdr:row>
      <xdr:rowOff>0</xdr:rowOff>
    </xdr:from>
    <xdr:to>
      <xdr:col>13</xdr:col>
      <xdr:colOff>0</xdr:colOff>
      <xdr:row>240</xdr:row>
      <xdr:rowOff>2794000</xdr:rowOff>
    </xdr:to>
    <xdr:sp macro="" textlink="" fLocksText="0">
      <xdr:nvSpPr>
        <xdr:cNvPr id="14716" name="FP_Main2Sub2Text1">
          <a:extLst>
            <a:ext uri="{FF2B5EF4-FFF2-40B4-BE49-F238E27FC236}">
              <a16:creationId xmlns:a16="http://schemas.microsoft.com/office/drawing/2014/main" id="{00000000-0008-0000-0300-00007C390000}"/>
            </a:ext>
          </a:extLst>
        </xdr:cNvPr>
        <xdr:cNvSpPr/>
      </xdr:nvSpPr>
      <xdr:spPr>
        <a:xfrm>
          <a:off x="2343150" y="68151375"/>
          <a:ext cx="8382000" cy="2794000"/>
        </a:xfrm>
        <a:prstGeom prst="roundRect">
          <a:avLst>
            <a:gd name="adj" fmla="val 0"/>
          </a:avLst>
        </a:prstGeom>
        <a:gradFill flip="none" rotWithShape="1">
          <a:gsLst>
            <a:gs pos="0">
              <a:srgbClr val="EBB553"/>
            </a:gs>
            <a:gs pos="100000">
              <a:srgbClr val="EBB553"/>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rtlCol="0" anchor="t"/>
        <a:lstStyle/>
        <a:p>
          <a:pPr algn="l"/>
          <a:r>
            <a:rPr lang="da-DK" sz="1200" b="0">
              <a:solidFill>
                <a:srgbClr val="000000"/>
              </a:solidFill>
              <a:latin typeface="Arial"/>
            </a:rPr>
            <a:t>Estimatet på en forudsætning (en budgetpost) vil ofte være forbundet med en usikkerhed, grundet forskellige risici der potentielt kan indtræffe. I statens business case-model kan forudsætningerne derfor indtastes som en tre-punktsestimering  (worst case, middel-estimat og best case). Herefter kan man indtaste sandsynligheden for hver af de tre estimater, så estimater og sandsynligheder passer med de risici der retter sig mod den givne forudsætning. På baggrund af de indlagte usikkerhedsspænd kan modellen udregne et risikojusteret resultat - enten et vægtet gennemsnit på baggrund af sandsynlighed eller ved Monte Carlo-simulering (for højrisiko-projekter). Det er derfor meget vigtigt at spændet i tre-punktsestimeringen samt sandsynligheder medtager alle risici der er forbundet med den givne forudsætning.
Husk at risici også kan være muligheder for at opnå et resultat for den givne forudsætning der er bedre end middelestimatet. Det risikojusterede beløb kan derfor godt være lavere end middelestimatet.
Du kan læse mere om estimering i metode for statens business case-model: http://www.digst.dk/Styring/Statens-projektmodel/Statens-Business-Casemodel/Dowload-BC</a:t>
          </a:r>
        </a:p>
      </xdr:txBody>
    </xdr:sp>
    <xdr:clientData/>
  </xdr:twoCellAnchor>
  <xdr:twoCellAnchor>
    <xdr:from>
      <xdr:col>1</xdr:col>
      <xdr:colOff>0</xdr:colOff>
      <xdr:row>242</xdr:row>
      <xdr:rowOff>12700</xdr:rowOff>
    </xdr:from>
    <xdr:to>
      <xdr:col>13</xdr:col>
      <xdr:colOff>0</xdr:colOff>
      <xdr:row>242</xdr:row>
      <xdr:rowOff>520700</xdr:rowOff>
    </xdr:to>
    <xdr:sp macro="'expand &quot;FP_Main2Sub3&quot;,&quot;Forside&quot;,TRUE'" textlink="" fLocksText="0">
      <xdr:nvSpPr>
        <xdr:cNvPr id="14717" name="FP_Main2Sub3">
          <a:extLst>
            <a:ext uri="{FF2B5EF4-FFF2-40B4-BE49-F238E27FC236}">
              <a16:creationId xmlns:a16="http://schemas.microsoft.com/office/drawing/2014/main" id="{00000000-0008-0000-0300-00007D390000}"/>
            </a:ext>
          </a:extLst>
        </xdr:cNvPr>
        <xdr:cNvSpPr/>
      </xdr:nvSpPr>
      <xdr:spPr>
        <a:xfrm>
          <a:off x="666750" y="71145400"/>
          <a:ext cx="10058400" cy="508000"/>
        </a:xfrm>
        <a:prstGeom prst="roundRect">
          <a:avLst/>
        </a:prstGeom>
        <a:gradFill flip="none" rotWithShape="1">
          <a:gsLst>
            <a:gs pos="0">
              <a:srgbClr val="B4B4B4"/>
            </a:gs>
            <a:gs pos="100000">
              <a:srgbClr val="646464"/>
            </a:gs>
          </a:gsLst>
          <a:lin ang="5400000" scaled="1"/>
          <a:tileRect/>
        </a:gradFill>
        <a:ln w="25400" cap="flat" cmpd="sng" algn="ctr">
          <a:noFill/>
          <a:prstDash val="solid"/>
        </a:ln>
        <a:effectLst>
          <a:outerShdw blurRad="1016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81000" rtlCol="0" anchor="ctr"/>
        <a:lstStyle/>
        <a:p>
          <a:pPr algn="l"/>
          <a:r>
            <a:rPr lang="da-DK" sz="1800" b="0">
              <a:solidFill>
                <a:srgbClr val="FFFFFF"/>
              </a:solidFill>
            </a:rPr>
            <a:t>Kompetencer og forankring</a:t>
          </a:r>
        </a:p>
      </xdr:txBody>
    </xdr:sp>
    <xdr:clientData/>
  </xdr:twoCellAnchor>
  <xdr:twoCellAnchor>
    <xdr:from>
      <xdr:col>12</xdr:col>
      <xdr:colOff>431800</xdr:colOff>
      <xdr:row>242</xdr:row>
      <xdr:rowOff>157845</xdr:rowOff>
    </xdr:from>
    <xdr:to>
      <xdr:col>12</xdr:col>
      <xdr:colOff>635000</xdr:colOff>
      <xdr:row>242</xdr:row>
      <xdr:rowOff>361045</xdr:rowOff>
    </xdr:to>
    <xdr:sp macro="'expand &quot;FP_Main2Sub3&quot;,&quot;Forside&quot;,TRUE'" textlink="">
      <xdr:nvSpPr>
        <xdr:cNvPr id="14718" name="FP_Main2Sub3arrow">
          <a:extLst>
            <a:ext uri="{FF2B5EF4-FFF2-40B4-BE49-F238E27FC236}">
              <a16:creationId xmlns:a16="http://schemas.microsoft.com/office/drawing/2014/main" id="{00000000-0008-0000-0300-00007E390000}"/>
            </a:ext>
          </a:extLst>
        </xdr:cNvPr>
        <xdr:cNvSpPr/>
      </xdr:nvSpPr>
      <xdr:spPr>
        <a:xfrm rot="8100000">
          <a:off x="10266363" y="71178626"/>
          <a:ext cx="203200" cy="203200"/>
        </a:xfrm>
        <a:prstGeom prst="halfFrame">
          <a:avLst>
            <a:gd name="adj1" fmla="val 15000"/>
            <a:gd name="adj2" fmla="val 15000"/>
          </a:avLst>
        </a:prstGeom>
        <a:gradFill flip="none" rotWithShape="1">
          <a:gsLst>
            <a:gs pos="0">
              <a:srgbClr val="FFFFFF"/>
            </a:gs>
            <a:gs pos="100000">
              <a:srgbClr val="FFFFFF"/>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solidFill>
              <a:schemeClr val="tx1"/>
            </a:solidFill>
          </a:endParaRPr>
        </a:p>
      </xdr:txBody>
    </xdr:sp>
    <xdr:clientData/>
  </xdr:twoCellAnchor>
  <xdr:twoCellAnchor>
    <xdr:from>
      <xdr:col>3</xdr:col>
      <xdr:colOff>0</xdr:colOff>
      <xdr:row>244</xdr:row>
      <xdr:rowOff>0</xdr:rowOff>
    </xdr:from>
    <xdr:to>
      <xdr:col>13</xdr:col>
      <xdr:colOff>0</xdr:colOff>
      <xdr:row>244</xdr:row>
      <xdr:rowOff>1981200</xdr:rowOff>
    </xdr:to>
    <xdr:sp macro="" textlink="" fLocksText="0">
      <xdr:nvSpPr>
        <xdr:cNvPr id="14719" name="FP_Main2Sub2Text0">
          <a:extLst>
            <a:ext uri="{FF2B5EF4-FFF2-40B4-BE49-F238E27FC236}">
              <a16:creationId xmlns:a16="http://schemas.microsoft.com/office/drawing/2014/main" id="{00000000-0008-0000-0300-00007F390000}"/>
            </a:ext>
          </a:extLst>
        </xdr:cNvPr>
        <xdr:cNvSpPr/>
      </xdr:nvSpPr>
      <xdr:spPr>
        <a:xfrm>
          <a:off x="2343150" y="71847075"/>
          <a:ext cx="8382000" cy="1981200"/>
        </a:xfrm>
        <a:prstGeom prst="roundRect">
          <a:avLst>
            <a:gd name="adj" fmla="val 0"/>
          </a:avLst>
        </a:prstGeom>
        <a:gradFill flip="none" rotWithShape="1">
          <a:gsLst>
            <a:gs pos="0">
              <a:srgbClr val="EBB553"/>
            </a:gs>
            <a:gs pos="100000">
              <a:srgbClr val="EBB553"/>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rtlCol="0" anchor="t"/>
        <a:lstStyle/>
        <a:p>
          <a:pPr algn="l"/>
          <a:r>
            <a:rPr lang="da-DK" sz="1200" b="0">
              <a:solidFill>
                <a:srgbClr val="000000"/>
              </a:solidFill>
              <a:latin typeface="Arial"/>
            </a:rPr>
            <a:t>Vi anbefaler, at institutionerne selv udarbejder business casen, idet det er jer der kender forretningen, og ved selv at lave business casen tages der også ejerskab til de gevinster, der dokumenteres.
For at kunne udarbejde en god business case er det nødvendigt at både projektlederen, økonomifunktionen i institutionen, samt forretningen der bliver berørt af business casen bliver hørt i forbindelse med udarbejdelsen af business casen.
Idet business casen er udgiftsbaseret kan det for økonomifunktionen, eller i forbindelse med udfærdigelse af aktstykker være relevant at få tilføjet omkostningsbaserede tal. Det er muligt at indtaste afskrivningsprofilen manuelt - den omkostningsbaserede nettoeffekt og tabeller til aktstykker vil i så fald blive automatisk beregnet i business case-arket.</a:t>
          </a:r>
        </a:p>
      </xdr:txBody>
    </xdr:sp>
    <xdr:clientData/>
  </xdr:twoCellAnchor>
  <xdr:twoCellAnchor>
    <xdr:from>
      <xdr:col>1</xdr:col>
      <xdr:colOff>0</xdr:colOff>
      <xdr:row>246</xdr:row>
      <xdr:rowOff>12700</xdr:rowOff>
    </xdr:from>
    <xdr:to>
      <xdr:col>13</xdr:col>
      <xdr:colOff>0</xdr:colOff>
      <xdr:row>246</xdr:row>
      <xdr:rowOff>520700</xdr:rowOff>
    </xdr:to>
    <xdr:sp macro="'expand &quot;FP_Main2Sub4&quot;,&quot;Forside&quot;,TRUE'" textlink="" fLocksText="0">
      <xdr:nvSpPr>
        <xdr:cNvPr id="864" name="FP_Main2Sub4">
          <a:extLst>
            <a:ext uri="{FF2B5EF4-FFF2-40B4-BE49-F238E27FC236}">
              <a16:creationId xmlns:a16="http://schemas.microsoft.com/office/drawing/2014/main" id="{00000000-0008-0000-0300-000060030000}"/>
            </a:ext>
          </a:extLst>
        </xdr:cNvPr>
        <xdr:cNvSpPr/>
      </xdr:nvSpPr>
      <xdr:spPr>
        <a:xfrm>
          <a:off x="666750" y="74031475"/>
          <a:ext cx="10058400" cy="508000"/>
        </a:xfrm>
        <a:prstGeom prst="roundRect">
          <a:avLst/>
        </a:prstGeom>
        <a:gradFill flip="none" rotWithShape="1">
          <a:gsLst>
            <a:gs pos="0">
              <a:srgbClr val="B4B4B4"/>
            </a:gs>
            <a:gs pos="100000">
              <a:srgbClr val="646464"/>
            </a:gs>
          </a:gsLst>
          <a:lin ang="5400000" scaled="1"/>
          <a:tileRect/>
        </a:gradFill>
        <a:ln w="25400" cap="flat" cmpd="sng" algn="ctr">
          <a:noFill/>
          <a:prstDash val="solid"/>
        </a:ln>
        <a:effectLst>
          <a:outerShdw blurRad="1016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81000" rtlCol="0" anchor="ctr"/>
        <a:lstStyle/>
        <a:p>
          <a:pPr algn="l"/>
          <a:r>
            <a:rPr lang="da-DK" sz="1800" b="0">
              <a:solidFill>
                <a:srgbClr val="FFFFFF"/>
              </a:solidFill>
            </a:rPr>
            <a:t>Omfanget af arbejdet</a:t>
          </a:r>
        </a:p>
      </xdr:txBody>
    </xdr:sp>
    <xdr:clientData/>
  </xdr:twoCellAnchor>
  <xdr:twoCellAnchor>
    <xdr:from>
      <xdr:col>12</xdr:col>
      <xdr:colOff>431800</xdr:colOff>
      <xdr:row>246</xdr:row>
      <xdr:rowOff>157845</xdr:rowOff>
    </xdr:from>
    <xdr:to>
      <xdr:col>12</xdr:col>
      <xdr:colOff>635000</xdr:colOff>
      <xdr:row>246</xdr:row>
      <xdr:rowOff>361045</xdr:rowOff>
    </xdr:to>
    <xdr:sp macro="'expand &quot;FP_Main2Sub4&quot;,&quot;Forside&quot;,TRUE'" textlink="">
      <xdr:nvSpPr>
        <xdr:cNvPr id="865" name="FP_Main2Sub4arrow">
          <a:extLst>
            <a:ext uri="{FF2B5EF4-FFF2-40B4-BE49-F238E27FC236}">
              <a16:creationId xmlns:a16="http://schemas.microsoft.com/office/drawing/2014/main" id="{00000000-0008-0000-0300-000061030000}"/>
            </a:ext>
          </a:extLst>
        </xdr:cNvPr>
        <xdr:cNvSpPr/>
      </xdr:nvSpPr>
      <xdr:spPr>
        <a:xfrm rot="8100000">
          <a:off x="10266363" y="74059939"/>
          <a:ext cx="203200" cy="203200"/>
        </a:xfrm>
        <a:prstGeom prst="halfFrame">
          <a:avLst>
            <a:gd name="adj1" fmla="val 15000"/>
            <a:gd name="adj2" fmla="val 15000"/>
          </a:avLst>
        </a:prstGeom>
        <a:gradFill flip="none" rotWithShape="1">
          <a:gsLst>
            <a:gs pos="0">
              <a:srgbClr val="FFFFFF"/>
            </a:gs>
            <a:gs pos="100000">
              <a:srgbClr val="FFFFFF"/>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solidFill>
              <a:schemeClr val="tx1"/>
            </a:solidFill>
          </a:endParaRPr>
        </a:p>
      </xdr:txBody>
    </xdr:sp>
    <xdr:clientData/>
  </xdr:twoCellAnchor>
  <xdr:twoCellAnchor>
    <xdr:from>
      <xdr:col>3</xdr:col>
      <xdr:colOff>0</xdr:colOff>
      <xdr:row>248</xdr:row>
      <xdr:rowOff>0</xdr:rowOff>
    </xdr:from>
    <xdr:to>
      <xdr:col>13</xdr:col>
      <xdr:colOff>0</xdr:colOff>
      <xdr:row>248</xdr:row>
      <xdr:rowOff>1270000</xdr:rowOff>
    </xdr:to>
    <xdr:sp macro="" textlink="" fLocksText="0">
      <xdr:nvSpPr>
        <xdr:cNvPr id="866" name="FP_Main2Sub4Text1">
          <a:extLst>
            <a:ext uri="{FF2B5EF4-FFF2-40B4-BE49-F238E27FC236}">
              <a16:creationId xmlns:a16="http://schemas.microsoft.com/office/drawing/2014/main" id="{00000000-0008-0000-0300-000062030000}"/>
            </a:ext>
          </a:extLst>
        </xdr:cNvPr>
        <xdr:cNvSpPr/>
      </xdr:nvSpPr>
      <xdr:spPr>
        <a:xfrm>
          <a:off x="2343150" y="74733150"/>
          <a:ext cx="8382000" cy="1270000"/>
        </a:xfrm>
        <a:prstGeom prst="roundRect">
          <a:avLst>
            <a:gd name="adj" fmla="val 0"/>
          </a:avLst>
        </a:prstGeom>
        <a:gradFill flip="none" rotWithShape="1">
          <a:gsLst>
            <a:gs pos="0">
              <a:srgbClr val="EBB553"/>
            </a:gs>
            <a:gs pos="100000">
              <a:srgbClr val="EBB553"/>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rtlCol="0" anchor="t"/>
        <a:lstStyle/>
        <a:p>
          <a:pPr algn="l"/>
          <a:r>
            <a:rPr lang="da-DK" sz="1200" b="0">
              <a:solidFill>
                <a:srgbClr val="000000"/>
              </a:solidFill>
              <a:latin typeface="Arial"/>
            </a:rPr>
            <a:t>At lave en god business case tager tid, men en god business case er en rigtig god investering og styringsredskab i projektet. 
Ofte vil den mest tidskrævende opgave i forbindelse med udarbejdelse af business casen være indsamling af data til estimering af de forskellige udgifter, og det er derfor en god ide at sætte god tid af til denne proces.
</a:t>
          </a:r>
        </a:p>
      </xdr:txBody>
    </xdr:sp>
    <xdr:clientData/>
  </xdr:twoCellAnchor>
  <xdr:twoCellAnchor>
    <xdr:from>
      <xdr:col>1</xdr:col>
      <xdr:colOff>0</xdr:colOff>
      <xdr:row>250</xdr:row>
      <xdr:rowOff>12700</xdr:rowOff>
    </xdr:from>
    <xdr:to>
      <xdr:col>13</xdr:col>
      <xdr:colOff>0</xdr:colOff>
      <xdr:row>250</xdr:row>
      <xdr:rowOff>520700</xdr:rowOff>
    </xdr:to>
    <xdr:sp macro="'expand &quot;FP_Main2Sub5&quot;,&quot;Forside&quot;,TRUE'" textlink="" fLocksText="0">
      <xdr:nvSpPr>
        <xdr:cNvPr id="867" name="FP_Main2Sub5">
          <a:extLst>
            <a:ext uri="{FF2B5EF4-FFF2-40B4-BE49-F238E27FC236}">
              <a16:creationId xmlns:a16="http://schemas.microsoft.com/office/drawing/2014/main" id="{00000000-0008-0000-0300-000063030000}"/>
            </a:ext>
          </a:extLst>
        </xdr:cNvPr>
        <xdr:cNvSpPr/>
      </xdr:nvSpPr>
      <xdr:spPr>
        <a:xfrm>
          <a:off x="666750" y="76203175"/>
          <a:ext cx="10058400" cy="508000"/>
        </a:xfrm>
        <a:prstGeom prst="roundRect">
          <a:avLst/>
        </a:prstGeom>
        <a:gradFill flip="none" rotWithShape="1">
          <a:gsLst>
            <a:gs pos="0">
              <a:srgbClr val="B4B4B4"/>
            </a:gs>
            <a:gs pos="100000">
              <a:srgbClr val="646464"/>
            </a:gs>
          </a:gsLst>
          <a:lin ang="5400000" scaled="1"/>
          <a:tileRect/>
        </a:gradFill>
        <a:ln w="25400" cap="flat" cmpd="sng" algn="ctr">
          <a:noFill/>
          <a:prstDash val="solid"/>
        </a:ln>
        <a:effectLst>
          <a:outerShdw blurRad="1016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81000" rtlCol="0" anchor="ctr"/>
        <a:lstStyle/>
        <a:p>
          <a:pPr algn="l"/>
          <a:r>
            <a:rPr lang="da-DK" sz="1800" b="0">
              <a:solidFill>
                <a:srgbClr val="FFFFFF"/>
              </a:solidFill>
            </a:rPr>
            <a:t>Løbende brug af business casen </a:t>
          </a:r>
        </a:p>
      </xdr:txBody>
    </xdr:sp>
    <xdr:clientData/>
  </xdr:twoCellAnchor>
  <xdr:twoCellAnchor>
    <xdr:from>
      <xdr:col>12</xdr:col>
      <xdr:colOff>431800</xdr:colOff>
      <xdr:row>250</xdr:row>
      <xdr:rowOff>157845</xdr:rowOff>
    </xdr:from>
    <xdr:to>
      <xdr:col>12</xdr:col>
      <xdr:colOff>635000</xdr:colOff>
      <xdr:row>250</xdr:row>
      <xdr:rowOff>361045</xdr:rowOff>
    </xdr:to>
    <xdr:sp macro="'expand &quot;FP_Main2Sub5&quot;,&quot;Forside&quot;,TRUE'" textlink="">
      <xdr:nvSpPr>
        <xdr:cNvPr id="868" name="FP_Main2Sub5arrow">
          <a:extLst>
            <a:ext uri="{FF2B5EF4-FFF2-40B4-BE49-F238E27FC236}">
              <a16:creationId xmlns:a16="http://schemas.microsoft.com/office/drawing/2014/main" id="{00000000-0008-0000-0300-000064030000}"/>
            </a:ext>
          </a:extLst>
        </xdr:cNvPr>
        <xdr:cNvSpPr/>
      </xdr:nvSpPr>
      <xdr:spPr>
        <a:xfrm rot="8100000">
          <a:off x="10266363" y="76226876"/>
          <a:ext cx="203200" cy="203200"/>
        </a:xfrm>
        <a:prstGeom prst="halfFrame">
          <a:avLst>
            <a:gd name="adj1" fmla="val 15000"/>
            <a:gd name="adj2" fmla="val 15000"/>
          </a:avLst>
        </a:prstGeom>
        <a:gradFill flip="none" rotWithShape="1">
          <a:gsLst>
            <a:gs pos="0">
              <a:srgbClr val="FFFFFF"/>
            </a:gs>
            <a:gs pos="100000">
              <a:srgbClr val="FFFFFF"/>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solidFill>
              <a:schemeClr val="tx1"/>
            </a:solidFill>
          </a:endParaRPr>
        </a:p>
      </xdr:txBody>
    </xdr:sp>
    <xdr:clientData/>
  </xdr:twoCellAnchor>
  <xdr:twoCellAnchor>
    <xdr:from>
      <xdr:col>3</xdr:col>
      <xdr:colOff>0</xdr:colOff>
      <xdr:row>252</xdr:row>
      <xdr:rowOff>0</xdr:rowOff>
    </xdr:from>
    <xdr:to>
      <xdr:col>13</xdr:col>
      <xdr:colOff>0</xdr:colOff>
      <xdr:row>252</xdr:row>
      <xdr:rowOff>1270000</xdr:rowOff>
    </xdr:to>
    <xdr:sp macro="" textlink="" fLocksText="0">
      <xdr:nvSpPr>
        <xdr:cNvPr id="869" name="FP_Main2Sub5Text1">
          <a:extLst>
            <a:ext uri="{FF2B5EF4-FFF2-40B4-BE49-F238E27FC236}">
              <a16:creationId xmlns:a16="http://schemas.microsoft.com/office/drawing/2014/main" id="{00000000-0008-0000-0300-000065030000}"/>
            </a:ext>
          </a:extLst>
        </xdr:cNvPr>
        <xdr:cNvSpPr/>
      </xdr:nvSpPr>
      <xdr:spPr>
        <a:xfrm>
          <a:off x="2343150" y="76904850"/>
          <a:ext cx="8382000" cy="1270000"/>
        </a:xfrm>
        <a:prstGeom prst="roundRect">
          <a:avLst>
            <a:gd name="adj" fmla="val 0"/>
          </a:avLst>
        </a:prstGeom>
        <a:gradFill flip="none" rotWithShape="1">
          <a:gsLst>
            <a:gs pos="0">
              <a:srgbClr val="EBB553"/>
            </a:gs>
            <a:gs pos="100000">
              <a:srgbClr val="EBB553"/>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rtlCol="0" anchor="t"/>
        <a:lstStyle/>
        <a:p>
          <a:pPr algn="l"/>
          <a:r>
            <a:rPr lang="da-DK" sz="1200" b="0">
              <a:solidFill>
                <a:srgbClr val="000000"/>
              </a:solidFill>
              <a:latin typeface="Arial"/>
            </a:rPr>
            <a:t>Business casen er et dynamisk dokument, der med fordel kan opdateres løbende undervejs i projektforløbet for at sikre maksimal ledelsesinformation, overblik og budgetkontrol. 
Business casen skal opdateres ved alle efterfølgende faseovergange eller ved væsentlige ændringer, og de opdaterede tal skal indsendes til Statens IT-projektråd ved de halvårlige statusrapporteringer.</a:t>
          </a:r>
        </a:p>
      </xdr:txBody>
    </xdr:sp>
    <xdr:clientData/>
  </xdr:twoCellAnchor>
  <xdr:twoCellAnchor>
    <xdr:from>
      <xdr:col>1</xdr:col>
      <xdr:colOff>0</xdr:colOff>
      <xdr:row>254</xdr:row>
      <xdr:rowOff>12700</xdr:rowOff>
    </xdr:from>
    <xdr:to>
      <xdr:col>13</xdr:col>
      <xdr:colOff>0</xdr:colOff>
      <xdr:row>254</xdr:row>
      <xdr:rowOff>520700</xdr:rowOff>
    </xdr:to>
    <xdr:sp macro="'expand &quot;FP_Main2Sub6&quot;,&quot;Forside&quot;,TRUE'" textlink="" fLocksText="0">
      <xdr:nvSpPr>
        <xdr:cNvPr id="870" name="FP_Main2Sub6">
          <a:extLst>
            <a:ext uri="{FF2B5EF4-FFF2-40B4-BE49-F238E27FC236}">
              <a16:creationId xmlns:a16="http://schemas.microsoft.com/office/drawing/2014/main" id="{00000000-0008-0000-0300-000066030000}"/>
            </a:ext>
          </a:extLst>
        </xdr:cNvPr>
        <xdr:cNvSpPr/>
      </xdr:nvSpPr>
      <xdr:spPr>
        <a:xfrm>
          <a:off x="666750" y="78374875"/>
          <a:ext cx="10058400" cy="508000"/>
        </a:xfrm>
        <a:prstGeom prst="roundRect">
          <a:avLst/>
        </a:prstGeom>
        <a:gradFill flip="none" rotWithShape="1">
          <a:gsLst>
            <a:gs pos="0">
              <a:srgbClr val="B4B4B4"/>
            </a:gs>
            <a:gs pos="100000">
              <a:srgbClr val="646464"/>
            </a:gs>
          </a:gsLst>
          <a:lin ang="5400000" scaled="1"/>
          <a:tileRect/>
        </a:gradFill>
        <a:ln w="25400" cap="flat" cmpd="sng" algn="ctr">
          <a:noFill/>
          <a:prstDash val="solid"/>
        </a:ln>
        <a:effectLst>
          <a:outerShdw blurRad="1016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81000" rtlCol="0" anchor="ctr"/>
        <a:lstStyle/>
        <a:p>
          <a:pPr algn="l"/>
          <a:r>
            <a:rPr lang="da-DK" sz="1800" b="0">
              <a:solidFill>
                <a:srgbClr val="FFFFFF"/>
              </a:solidFill>
            </a:rPr>
            <a:t>Relation til andre produkter</a:t>
          </a:r>
        </a:p>
      </xdr:txBody>
    </xdr:sp>
    <xdr:clientData/>
  </xdr:twoCellAnchor>
  <xdr:twoCellAnchor>
    <xdr:from>
      <xdr:col>12</xdr:col>
      <xdr:colOff>431800</xdr:colOff>
      <xdr:row>254</xdr:row>
      <xdr:rowOff>157845</xdr:rowOff>
    </xdr:from>
    <xdr:to>
      <xdr:col>12</xdr:col>
      <xdr:colOff>635000</xdr:colOff>
      <xdr:row>254</xdr:row>
      <xdr:rowOff>361045</xdr:rowOff>
    </xdr:to>
    <xdr:sp macro="'expand &quot;FP_Main2Sub6&quot;,&quot;Forside&quot;,TRUE'" textlink="">
      <xdr:nvSpPr>
        <xdr:cNvPr id="871" name="FP_Main2Sub6arrow">
          <a:extLst>
            <a:ext uri="{FF2B5EF4-FFF2-40B4-BE49-F238E27FC236}">
              <a16:creationId xmlns:a16="http://schemas.microsoft.com/office/drawing/2014/main" id="{00000000-0008-0000-0300-000067030000}"/>
            </a:ext>
          </a:extLst>
        </xdr:cNvPr>
        <xdr:cNvSpPr/>
      </xdr:nvSpPr>
      <xdr:spPr>
        <a:xfrm rot="8100000">
          <a:off x="10266363" y="78393814"/>
          <a:ext cx="203200" cy="203200"/>
        </a:xfrm>
        <a:prstGeom prst="halfFrame">
          <a:avLst>
            <a:gd name="adj1" fmla="val 15000"/>
            <a:gd name="adj2" fmla="val 15000"/>
          </a:avLst>
        </a:prstGeom>
        <a:gradFill flip="none" rotWithShape="1">
          <a:gsLst>
            <a:gs pos="0">
              <a:srgbClr val="FFFFFF"/>
            </a:gs>
            <a:gs pos="100000">
              <a:srgbClr val="FFFFFF"/>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solidFill>
              <a:schemeClr val="tx1"/>
            </a:solidFill>
          </a:endParaRPr>
        </a:p>
      </xdr:txBody>
    </xdr:sp>
    <xdr:clientData/>
  </xdr:twoCellAnchor>
  <xdr:twoCellAnchor>
    <xdr:from>
      <xdr:col>3</xdr:col>
      <xdr:colOff>0</xdr:colOff>
      <xdr:row>256</xdr:row>
      <xdr:rowOff>0</xdr:rowOff>
    </xdr:from>
    <xdr:to>
      <xdr:col>13</xdr:col>
      <xdr:colOff>0</xdr:colOff>
      <xdr:row>256</xdr:row>
      <xdr:rowOff>2286000</xdr:rowOff>
    </xdr:to>
    <xdr:sp macro="" textlink="" fLocksText="0">
      <xdr:nvSpPr>
        <xdr:cNvPr id="872" name="FP_Main2Sub6Text1">
          <a:extLst>
            <a:ext uri="{FF2B5EF4-FFF2-40B4-BE49-F238E27FC236}">
              <a16:creationId xmlns:a16="http://schemas.microsoft.com/office/drawing/2014/main" id="{00000000-0008-0000-0300-000068030000}"/>
            </a:ext>
          </a:extLst>
        </xdr:cNvPr>
        <xdr:cNvSpPr/>
      </xdr:nvSpPr>
      <xdr:spPr>
        <a:xfrm>
          <a:off x="2343150" y="79076550"/>
          <a:ext cx="8382000" cy="2286000"/>
        </a:xfrm>
        <a:prstGeom prst="roundRect">
          <a:avLst>
            <a:gd name="adj" fmla="val 0"/>
          </a:avLst>
        </a:prstGeom>
        <a:gradFill flip="none" rotWithShape="1">
          <a:gsLst>
            <a:gs pos="0">
              <a:srgbClr val="EBB553"/>
            </a:gs>
            <a:gs pos="100000">
              <a:srgbClr val="EBB553"/>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rtlCol="0" anchor="t"/>
        <a:lstStyle/>
        <a:p>
          <a:pPr algn="l"/>
          <a:r>
            <a:rPr lang="da-DK" sz="1200" b="0">
              <a:solidFill>
                <a:srgbClr val="000000"/>
              </a:solidFill>
              <a:latin typeface="Arial"/>
            </a:rPr>
            <a:t>Business case-modellen er en integreret del af den fællesstatslige it-projektmodel, og er et obligatorisk produkt, der skal indsendes til Statens IT-projektråd i forbindelse med risikovurderinger. 
Business casen skal derfor ses i sammenhæng med de øvrige produkter, der udarbejdes som led i planlægningen og gennemførelsen af et projekt.
Du kan læse mere om den fællesstatslige it-projektmodel her:
http://www.digst.dk/Styring/Statens-projektmodel/IT-projektmodellen
Du kan læse mere om Statens IT-projektråd her:
http://www.itprojektraad.dk/</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254000</xdr:colOff>
      <xdr:row>2</xdr:row>
      <xdr:rowOff>0</xdr:rowOff>
    </xdr:from>
    <xdr:to>
      <xdr:col>14</xdr:col>
      <xdr:colOff>0</xdr:colOff>
      <xdr:row>2</xdr:row>
      <xdr:rowOff>508000</xdr:rowOff>
    </xdr:to>
    <xdr:sp macro="" textlink="" fLocksText="0">
      <xdr:nvSpPr>
        <xdr:cNvPr id="201" name="Cfg_Main1Title">
          <a:extLst>
            <a:ext uri="{FF2B5EF4-FFF2-40B4-BE49-F238E27FC236}">
              <a16:creationId xmlns:a16="http://schemas.microsoft.com/office/drawing/2014/main" id="{00000000-0008-0000-0400-0000C9000000}"/>
            </a:ext>
          </a:extLst>
        </xdr:cNvPr>
        <xdr:cNvSpPr/>
      </xdr:nvSpPr>
      <xdr:spPr>
        <a:xfrm>
          <a:off x="920750" y="361950"/>
          <a:ext cx="10642600" cy="508000"/>
        </a:xfrm>
        <a:prstGeom prst="roundRect">
          <a:avLst>
            <a:gd name="adj" fmla="val 0"/>
          </a:avLst>
        </a:prstGeom>
        <a:gradFill flip="none" rotWithShape="1">
          <a:gsLst>
            <a:gs pos="0">
              <a:srgbClr val="D9D9D9"/>
            </a:gs>
            <a:gs pos="100000">
              <a:srgbClr val="D9D9D9"/>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l"/>
          <a:r>
            <a:rPr lang="da-DK" sz="2800" b="1">
              <a:solidFill>
                <a:srgbClr val="000000"/>
              </a:solidFill>
              <a:latin typeface="Arial"/>
            </a:rPr>
            <a:t>STATENS BUSINESS CASE-MODEL</a:t>
          </a:r>
        </a:p>
      </xdr:txBody>
    </xdr:sp>
    <xdr:clientData/>
  </xdr:twoCellAnchor>
  <xdr:twoCellAnchor editAs="absolute">
    <xdr:from>
      <xdr:col>15</xdr:col>
      <xdr:colOff>0</xdr:colOff>
      <xdr:row>4</xdr:row>
      <xdr:rowOff>2380</xdr:rowOff>
    </xdr:from>
    <xdr:to>
      <xdr:col>17</xdr:col>
      <xdr:colOff>558800</xdr:colOff>
      <xdr:row>11</xdr:row>
      <xdr:rowOff>182662</xdr:rowOff>
    </xdr:to>
    <xdr:pic macro="checkVersion">
      <xdr:nvPicPr>
        <xdr:cNvPr id="234" name="Ok" hidden="1">
          <a:extLst>
            <a:ext uri="{FF2B5EF4-FFF2-40B4-BE49-F238E27FC236}">
              <a16:creationId xmlns:a16="http://schemas.microsoft.com/office/drawing/2014/main" id="{00000000-0008-0000-0400-0000E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172950" y="1057274"/>
          <a:ext cx="1778000" cy="1956694"/>
        </a:xfrm>
        <a:prstGeom prst="rect">
          <a:avLst/>
        </a:prstGeom>
        <a:noFill/>
        <a:effectLst>
          <a:softEdge rad="63500"/>
        </a:effectLst>
        <a:extLst>
          <a:ext uri="{909E8E84-426E-40DD-AFC4-6F175D3DCCD1}">
            <a14:hiddenFill xmlns:a14="http://schemas.microsoft.com/office/drawing/2010/main">
              <a:blipFill>
                <a:blip xmlns:r="http://schemas.openxmlformats.org/officeDocument/2006/relationships" r:embed="rId2" cstate="print"/>
                <a:tile tx="0" ty="0" sx="100000" sy="100000" flip="none" algn="tl"/>
              </a:blipFill>
            </a14:hiddenFill>
          </a:ext>
        </a:extLst>
      </xdr:spPr>
    </xdr:pic>
    <xdr:clientData/>
  </xdr:twoCellAnchor>
  <xdr:twoCellAnchor editAs="absolute">
    <xdr:from>
      <xdr:col>15</xdr:col>
      <xdr:colOff>0</xdr:colOff>
      <xdr:row>4</xdr:row>
      <xdr:rowOff>0</xdr:rowOff>
    </xdr:from>
    <xdr:to>
      <xdr:col>17</xdr:col>
      <xdr:colOff>558800</xdr:colOff>
      <xdr:row>11</xdr:row>
      <xdr:rowOff>182803</xdr:rowOff>
    </xdr:to>
    <xdr:pic macro="checkVersion">
      <xdr:nvPicPr>
        <xdr:cNvPr id="235" name="Old" hidden="1">
          <a:extLst>
            <a:ext uri="{FF2B5EF4-FFF2-40B4-BE49-F238E27FC236}">
              <a16:creationId xmlns:a16="http://schemas.microsoft.com/office/drawing/2014/main" id="{00000000-0008-0000-0400-0000EB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172950" y="1057275"/>
          <a:ext cx="1778000" cy="1956834"/>
        </a:xfrm>
        <a:prstGeom prst="rect">
          <a:avLst/>
        </a:prstGeom>
        <a:effectLst>
          <a:softEdge rad="63500"/>
        </a:effectLst>
      </xdr:spPr>
    </xdr:pic>
    <xdr:clientData/>
  </xdr:twoCellAnchor>
  <xdr:twoCellAnchor editAs="absolute">
    <xdr:from>
      <xdr:col>15</xdr:col>
      <xdr:colOff>2381</xdr:colOff>
      <xdr:row>4</xdr:row>
      <xdr:rowOff>0</xdr:rowOff>
    </xdr:from>
    <xdr:to>
      <xdr:col>17</xdr:col>
      <xdr:colOff>558799</xdr:colOff>
      <xdr:row>11</xdr:row>
      <xdr:rowOff>182638</xdr:rowOff>
    </xdr:to>
    <xdr:pic macro="checkVersion">
      <xdr:nvPicPr>
        <xdr:cNvPr id="236" name="Unknown">
          <a:extLst>
            <a:ext uri="{FF2B5EF4-FFF2-40B4-BE49-F238E27FC236}">
              <a16:creationId xmlns:a16="http://schemas.microsoft.com/office/drawing/2014/main" id="{00000000-0008-0000-0400-0000EC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2172949" y="1057275"/>
          <a:ext cx="1778000" cy="1956669"/>
        </a:xfrm>
        <a:prstGeom prst="rect">
          <a:avLst/>
        </a:prstGeom>
        <a:effectLst>
          <a:softEdge rad="63500"/>
        </a:effectLst>
      </xdr:spPr>
    </xdr:pic>
    <xdr:clientData/>
  </xdr:twoCellAnchor>
  <xdr:twoCellAnchor editAs="absolute">
    <xdr:from>
      <xdr:col>15</xdr:col>
      <xdr:colOff>0</xdr:colOff>
      <xdr:row>12</xdr:row>
      <xdr:rowOff>190499</xdr:rowOff>
    </xdr:from>
    <xdr:to>
      <xdr:col>17</xdr:col>
      <xdr:colOff>558800</xdr:colOff>
      <xdr:row>23</xdr:row>
      <xdr:rowOff>174624</xdr:rowOff>
    </xdr:to>
    <xdr:sp macro="'lastBackup &quot;LastBkp&quot;'" textlink="" fLocksText="0">
      <xdr:nvSpPr>
        <xdr:cNvPr id="237" name="CfgPicLastBkp">
          <a:extLst>
            <a:ext uri="{FF2B5EF4-FFF2-40B4-BE49-F238E27FC236}">
              <a16:creationId xmlns:a16="http://schemas.microsoft.com/office/drawing/2014/main" id="{00000000-0008-0000-0400-0000ED000000}"/>
            </a:ext>
          </a:extLst>
        </xdr:cNvPr>
        <xdr:cNvSpPr>
          <a:spLocks/>
        </xdr:cNvSpPr>
      </xdr:nvSpPr>
      <xdr:spPr>
        <a:xfrm>
          <a:off x="12172950" y="3343274"/>
          <a:ext cx="1778000" cy="2032000"/>
        </a:xfrm>
        <a:prstGeom prst="rect">
          <a:avLst/>
        </a:prstGeom>
        <a:blipFill dpi="0" rotWithShape="1">
          <a:blip xmlns:r="http://schemas.openxmlformats.org/officeDocument/2006/relationships" r:embed="rId5" cstate="print"/>
          <a:srcRect/>
          <a:stretch>
            <a:fillRect/>
          </a:stretch>
        </a:blipFill>
        <a:ln>
          <a:noFill/>
        </a:ln>
        <a:effectLst>
          <a:softEdge rad="6350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36000" tIns="355600" rtlCol="0" anchor="t"/>
        <a:lstStyle/>
        <a:p>
          <a:pPr algn="ctr">
            <a:spcBef>
              <a:spcPts val="0"/>
            </a:spcBef>
          </a:pPr>
          <a:r>
            <a:rPr lang="da-DK" sz="1000" b="1">
              <a:solidFill>
                <a:srgbClr val="000000"/>
              </a:solidFill>
              <a:latin typeface="Arial"/>
            </a:rPr>
            <a:t> </a:t>
          </a:r>
        </a:p>
      </xdr:txBody>
    </xdr:sp>
    <xdr:clientData/>
  </xdr:twoCellAnchor>
  <xdr:twoCellAnchor>
    <xdr:from>
      <xdr:col>1</xdr:col>
      <xdr:colOff>0</xdr:colOff>
      <xdr:row>4</xdr:row>
      <xdr:rowOff>12700</xdr:rowOff>
    </xdr:from>
    <xdr:to>
      <xdr:col>14</xdr:col>
      <xdr:colOff>0</xdr:colOff>
      <xdr:row>4</xdr:row>
      <xdr:rowOff>774700</xdr:rowOff>
    </xdr:to>
    <xdr:sp macro="'expand &quot;Cfg_Main1&quot;,&quot;Konfiguration&quot;,TRUE'" textlink="" fLocksText="0">
      <xdr:nvSpPr>
        <xdr:cNvPr id="202" name="Cfg_Main1">
          <a:extLst>
            <a:ext uri="{FF2B5EF4-FFF2-40B4-BE49-F238E27FC236}">
              <a16:creationId xmlns:a16="http://schemas.microsoft.com/office/drawing/2014/main" id="{00000000-0008-0000-0400-0000CA000000}"/>
            </a:ext>
          </a:extLst>
        </xdr:cNvPr>
        <xdr:cNvSpPr/>
      </xdr:nvSpPr>
      <xdr:spPr>
        <a:xfrm>
          <a:off x="666750" y="1069975"/>
          <a:ext cx="10896600" cy="762000"/>
        </a:xfrm>
        <a:prstGeom prst="roundRect">
          <a:avLst/>
        </a:prstGeom>
        <a:gradFill flip="none" rotWithShape="1">
          <a:gsLst>
            <a:gs pos="0">
              <a:srgbClr val="646464"/>
            </a:gs>
            <a:gs pos="100000">
              <a:srgbClr val="000000"/>
            </a:gs>
          </a:gsLst>
          <a:lin ang="5400000" scaled="1"/>
          <a:tileRect/>
        </a:gradFill>
        <a:ln w="25400" cap="flat" cmpd="sng" algn="ctr">
          <a:noFill/>
          <a:prstDash val="solid"/>
        </a:ln>
        <a:effectLst>
          <a:outerShdw blurRad="1270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81000" rtlCol="0" anchor="ctr"/>
        <a:lstStyle/>
        <a:p>
          <a:pPr algn="l"/>
          <a:r>
            <a:rPr lang="da-DK" sz="2000" b="0">
              <a:solidFill>
                <a:srgbClr val="FFFFFF"/>
              </a:solidFill>
            </a:rPr>
            <a:t>Opsætning</a:t>
          </a:r>
        </a:p>
      </xdr:txBody>
    </xdr:sp>
    <xdr:clientData/>
  </xdr:twoCellAnchor>
  <xdr:twoCellAnchor>
    <xdr:from>
      <xdr:col>13</xdr:col>
      <xdr:colOff>228600</xdr:colOff>
      <xdr:row>4</xdr:row>
      <xdr:rowOff>230414</xdr:rowOff>
    </xdr:from>
    <xdr:to>
      <xdr:col>13</xdr:col>
      <xdr:colOff>533400</xdr:colOff>
      <xdr:row>4</xdr:row>
      <xdr:rowOff>535214</xdr:rowOff>
    </xdr:to>
    <xdr:sp macro="'expand &quot;Cfg_Main1&quot;,&quot;Konfiguration&quot;,TRUE'" textlink="">
      <xdr:nvSpPr>
        <xdr:cNvPr id="203" name="Cfg_Main1arrow">
          <a:extLst>
            <a:ext uri="{FF2B5EF4-FFF2-40B4-BE49-F238E27FC236}">
              <a16:creationId xmlns:a16="http://schemas.microsoft.com/office/drawing/2014/main" id="{00000000-0008-0000-0400-0000CB000000}"/>
            </a:ext>
          </a:extLst>
        </xdr:cNvPr>
        <xdr:cNvSpPr/>
      </xdr:nvSpPr>
      <xdr:spPr>
        <a:xfrm rot="13500000">
          <a:off x="10953750" y="1287689"/>
          <a:ext cx="304800" cy="304800"/>
        </a:xfrm>
        <a:prstGeom prst="halfFrame">
          <a:avLst>
            <a:gd name="adj1" fmla="val 15000"/>
            <a:gd name="adj2" fmla="val 15000"/>
          </a:avLst>
        </a:prstGeom>
        <a:gradFill flip="none" rotWithShape="1">
          <a:gsLst>
            <a:gs pos="0">
              <a:srgbClr val="FFFFFF"/>
            </a:gs>
            <a:gs pos="100000">
              <a:srgbClr val="FFFFFF"/>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solidFill>
              <a:schemeClr val="tx1"/>
            </a:solidFill>
          </a:endParaRPr>
        </a:p>
      </xdr:txBody>
    </xdr:sp>
    <xdr:clientData/>
  </xdr:twoCellAnchor>
  <xdr:twoCellAnchor>
    <xdr:from>
      <xdr:col>1</xdr:col>
      <xdr:colOff>0</xdr:colOff>
      <xdr:row>6</xdr:row>
      <xdr:rowOff>0</xdr:rowOff>
    </xdr:from>
    <xdr:to>
      <xdr:col>5</xdr:col>
      <xdr:colOff>0</xdr:colOff>
      <xdr:row>6</xdr:row>
      <xdr:rowOff>381000</xdr:rowOff>
    </xdr:to>
    <xdr:sp macro="" textlink="" fLocksText="0">
      <xdr:nvSpPr>
        <xdr:cNvPr id="204" name="Cfg1Text1a">
          <a:extLst>
            <a:ext uri="{FF2B5EF4-FFF2-40B4-BE49-F238E27FC236}">
              <a16:creationId xmlns:a16="http://schemas.microsoft.com/office/drawing/2014/main" id="{00000000-0008-0000-0400-0000CC000000}"/>
            </a:ext>
          </a:extLst>
        </xdr:cNvPr>
        <xdr:cNvSpPr/>
      </xdr:nvSpPr>
      <xdr:spPr>
        <a:xfrm>
          <a:off x="666750" y="2019300"/>
          <a:ext cx="3352800" cy="381000"/>
        </a:xfrm>
        <a:prstGeom prst="roundRect">
          <a:avLst>
            <a:gd name="adj" fmla="val 0"/>
          </a:avLst>
        </a:prstGeom>
        <a:gradFill flip="none" rotWithShape="1">
          <a:gsLst>
            <a:gs pos="0">
              <a:srgbClr val="D9D9D9"/>
            </a:gs>
            <a:gs pos="100000">
              <a:srgbClr val="D9D9D9"/>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l"/>
          <a:r>
            <a:rPr lang="da-DK" sz="1400" b="1">
              <a:solidFill>
                <a:srgbClr val="000000"/>
              </a:solidFill>
              <a:latin typeface="Arial"/>
            </a:rPr>
            <a:t>Organisering</a:t>
          </a:r>
        </a:p>
      </xdr:txBody>
    </xdr:sp>
    <xdr:clientData/>
  </xdr:twoCellAnchor>
  <xdr:twoCellAnchor>
    <xdr:from>
      <xdr:col>11</xdr:col>
      <xdr:colOff>63500</xdr:colOff>
      <xdr:row>6</xdr:row>
      <xdr:rowOff>12700</xdr:rowOff>
    </xdr:from>
    <xdr:to>
      <xdr:col>13</xdr:col>
      <xdr:colOff>0</xdr:colOff>
      <xdr:row>6</xdr:row>
      <xdr:rowOff>292100</xdr:rowOff>
    </xdr:to>
    <xdr:sp macro="'readMore &quot;Cfg1Group1Btn1&quot;,&quot;Konfiguration&quot;,&quot;Cfg1Text1b&quot;,TRUE'" textlink="" fLocksText="0">
      <xdr:nvSpPr>
        <xdr:cNvPr id="205" name="Cfg1Group1Btn1">
          <a:extLst>
            <a:ext uri="{FF2B5EF4-FFF2-40B4-BE49-F238E27FC236}">
              <a16:creationId xmlns:a16="http://schemas.microsoft.com/office/drawing/2014/main" id="{00000000-0008-0000-0400-0000CD000000}"/>
            </a:ext>
          </a:extLst>
        </xdr:cNvPr>
        <xdr:cNvSpPr/>
      </xdr:nvSpPr>
      <xdr:spPr>
        <a:xfrm>
          <a:off x="9112250" y="2032000"/>
          <a:ext cx="1612900" cy="279400"/>
        </a:xfrm>
        <a:prstGeom prst="roundRect">
          <a:avLst/>
        </a:prstGeom>
        <a:gradFill flip="none" rotWithShape="1">
          <a:gsLst>
            <a:gs pos="0">
              <a:srgbClr val="B4B4B4"/>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rtlCol="0" anchor="ctr"/>
        <a:lstStyle/>
        <a:p>
          <a:pPr algn="ctr"/>
          <a:r>
            <a:rPr lang="da-DK" sz="1200">
              <a:solidFill>
                <a:srgbClr val="FFFFFF"/>
              </a:solidFill>
              <a:latin typeface="Arial"/>
            </a:rPr>
            <a:t>Hjælp</a:t>
          </a:r>
        </a:p>
      </xdr:txBody>
    </xdr:sp>
    <xdr:clientData/>
  </xdr:twoCellAnchor>
  <xdr:twoCellAnchor>
    <xdr:from>
      <xdr:col>3</xdr:col>
      <xdr:colOff>0</xdr:colOff>
      <xdr:row>8</xdr:row>
      <xdr:rowOff>0</xdr:rowOff>
    </xdr:from>
    <xdr:to>
      <xdr:col>13</xdr:col>
      <xdr:colOff>0</xdr:colOff>
      <xdr:row>8</xdr:row>
      <xdr:rowOff>2184400</xdr:rowOff>
    </xdr:to>
    <xdr:sp macro="" textlink="" fLocksText="0">
      <xdr:nvSpPr>
        <xdr:cNvPr id="206" name="Cfg1Text1b">
          <a:extLst>
            <a:ext uri="{FF2B5EF4-FFF2-40B4-BE49-F238E27FC236}">
              <a16:creationId xmlns:a16="http://schemas.microsoft.com/office/drawing/2014/main" id="{00000000-0008-0000-0400-0000CE000000}"/>
            </a:ext>
          </a:extLst>
        </xdr:cNvPr>
        <xdr:cNvSpPr/>
      </xdr:nvSpPr>
      <xdr:spPr>
        <a:xfrm>
          <a:off x="2343150" y="2505075"/>
          <a:ext cx="8382000" cy="2184400"/>
        </a:xfrm>
        <a:prstGeom prst="roundRect">
          <a:avLst>
            <a:gd name="adj" fmla="val 0"/>
          </a:avLst>
        </a:prstGeom>
        <a:gradFill flip="none" rotWithShape="1">
          <a:gsLst>
            <a:gs pos="0">
              <a:srgbClr val="EBB553"/>
            </a:gs>
            <a:gs pos="100000">
              <a:srgbClr val="EBB553"/>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t"/>
        <a:lstStyle/>
        <a:p>
          <a:pPr algn="l"/>
          <a:r>
            <a:rPr lang="da-DK" sz="1200" b="0">
              <a:solidFill>
                <a:srgbClr val="000000"/>
              </a:solidFill>
              <a:latin typeface="Arial"/>
            </a:rPr>
            <a:t>Et projekt indeholder både gevinster og udgifter, og bygger på den fællesstatslige it-projektmodel, herunder fasemodellen.
Et program indeholder gevinster samt udgifter både på programniveau og for underliggende projekter i programmet. Sidstnævnte kan gemmes i deres separate business cases og indlæses i program-business casen. Der bygges på den fællesstatslige programmodel.
Et projekt i program indeholder kun udgifter og ingen gevinster. Udgifterne kan gemmes og indlæses i program-business casen.
Valget kan ændres senerehen.</a:t>
          </a:r>
        </a:p>
      </xdr:txBody>
    </xdr:sp>
    <xdr:clientData/>
  </xdr:twoCellAnchor>
  <xdr:twoCellAnchor>
    <xdr:from>
      <xdr:col>3</xdr:col>
      <xdr:colOff>0</xdr:colOff>
      <xdr:row>10</xdr:row>
      <xdr:rowOff>38100</xdr:rowOff>
    </xdr:from>
    <xdr:to>
      <xdr:col>8</xdr:col>
      <xdr:colOff>0</xdr:colOff>
      <xdr:row>10</xdr:row>
      <xdr:rowOff>317500</xdr:rowOff>
    </xdr:to>
    <xdr:sp macro="'setType &quot;CfgGroup1R1&quot;'" textlink="" fLocksText="0">
      <xdr:nvSpPr>
        <xdr:cNvPr id="207" name="CfgGroup1R1">
          <a:extLst>
            <a:ext uri="{FF2B5EF4-FFF2-40B4-BE49-F238E27FC236}">
              <a16:creationId xmlns:a16="http://schemas.microsoft.com/office/drawing/2014/main" id="{00000000-0008-0000-0400-0000CF000000}"/>
            </a:ext>
          </a:extLst>
        </xdr:cNvPr>
        <xdr:cNvSpPr/>
      </xdr:nvSpPr>
      <xdr:spPr>
        <a:xfrm>
          <a:off x="2343150" y="4914900"/>
          <a:ext cx="4191000" cy="279400"/>
        </a:xfrm>
        <a:prstGeom prst="roundRect">
          <a:avLst>
            <a:gd name="adj" fmla="val 0"/>
          </a:avLst>
        </a:prstGeom>
        <a:gradFill flip="none" rotWithShape="1">
          <a:gsLst>
            <a:gs pos="0">
              <a:srgbClr val="646464"/>
            </a:gs>
            <a:gs pos="100000">
              <a:srgbClr val="646464"/>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203200" rtlCol="0" anchor="t"/>
        <a:lstStyle/>
        <a:p>
          <a:pPr algn="l"/>
          <a:r>
            <a:rPr lang="da-DK" sz="1200" b="0">
              <a:solidFill>
                <a:srgbClr val="FFFFFF"/>
              </a:solidFill>
            </a:rPr>
            <a:t>Projekt</a:t>
          </a:r>
        </a:p>
      </xdr:txBody>
    </xdr:sp>
    <xdr:clientData/>
  </xdr:twoCellAnchor>
  <xdr:twoCellAnchor>
    <xdr:from>
      <xdr:col>3</xdr:col>
      <xdr:colOff>0</xdr:colOff>
      <xdr:row>11</xdr:row>
      <xdr:rowOff>38100</xdr:rowOff>
    </xdr:from>
    <xdr:to>
      <xdr:col>8</xdr:col>
      <xdr:colOff>0</xdr:colOff>
      <xdr:row>11</xdr:row>
      <xdr:rowOff>317500</xdr:rowOff>
    </xdr:to>
    <xdr:sp macro="'setType &quot;CfgGroup1R2&quot;'" textlink="" fLocksText="0">
      <xdr:nvSpPr>
        <xdr:cNvPr id="208" name="CfgGroup1R2">
          <a:extLst>
            <a:ext uri="{FF2B5EF4-FFF2-40B4-BE49-F238E27FC236}">
              <a16:creationId xmlns:a16="http://schemas.microsoft.com/office/drawing/2014/main" id="{00000000-0008-0000-0400-0000D0000000}"/>
            </a:ext>
          </a:extLst>
        </xdr:cNvPr>
        <xdr:cNvSpPr/>
      </xdr:nvSpPr>
      <xdr:spPr>
        <a:xfrm>
          <a:off x="2343150" y="5238750"/>
          <a:ext cx="4191000" cy="279400"/>
        </a:xfrm>
        <a:prstGeom prst="roundRect">
          <a:avLst>
            <a:gd name="adj" fmla="val 0"/>
          </a:avLst>
        </a:prstGeom>
        <a:gradFill flip="none" rotWithShape="1">
          <a:gsLst>
            <a:gs pos="0">
              <a:srgbClr val="C8C8C8"/>
            </a:gs>
            <a:gs pos="100000">
              <a:srgbClr val="C8C8C8"/>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203200" rtlCol="0" anchor="t"/>
        <a:lstStyle/>
        <a:p>
          <a:pPr algn="l"/>
          <a:r>
            <a:rPr lang="da-DK" sz="1200" b="0">
              <a:solidFill>
                <a:srgbClr val="010101"/>
              </a:solidFill>
            </a:rPr>
            <a:t>Projekt i program</a:t>
          </a:r>
        </a:p>
      </xdr:txBody>
    </xdr:sp>
    <xdr:clientData/>
  </xdr:twoCellAnchor>
  <xdr:twoCellAnchor>
    <xdr:from>
      <xdr:col>3</xdr:col>
      <xdr:colOff>0</xdr:colOff>
      <xdr:row>12</xdr:row>
      <xdr:rowOff>38100</xdr:rowOff>
    </xdr:from>
    <xdr:to>
      <xdr:col>8</xdr:col>
      <xdr:colOff>0</xdr:colOff>
      <xdr:row>12</xdr:row>
      <xdr:rowOff>317500</xdr:rowOff>
    </xdr:to>
    <xdr:sp macro="'setType &quot;CfgGroup1R3&quot;'" textlink="" fLocksText="0">
      <xdr:nvSpPr>
        <xdr:cNvPr id="209" name="CfgGroup1R3">
          <a:extLst>
            <a:ext uri="{FF2B5EF4-FFF2-40B4-BE49-F238E27FC236}">
              <a16:creationId xmlns:a16="http://schemas.microsoft.com/office/drawing/2014/main" id="{00000000-0008-0000-0400-0000D1000000}"/>
            </a:ext>
          </a:extLst>
        </xdr:cNvPr>
        <xdr:cNvSpPr/>
      </xdr:nvSpPr>
      <xdr:spPr>
        <a:xfrm>
          <a:off x="2343150" y="5562600"/>
          <a:ext cx="4191000" cy="279400"/>
        </a:xfrm>
        <a:prstGeom prst="roundRect">
          <a:avLst>
            <a:gd name="adj" fmla="val 0"/>
          </a:avLst>
        </a:prstGeom>
        <a:gradFill flip="none" rotWithShape="1">
          <a:gsLst>
            <a:gs pos="0">
              <a:srgbClr val="C8C8C8"/>
            </a:gs>
            <a:gs pos="100000">
              <a:srgbClr val="C8C8C8"/>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203200" rtlCol="0" anchor="t"/>
        <a:lstStyle/>
        <a:p>
          <a:pPr algn="l"/>
          <a:r>
            <a:rPr lang="da-DK" sz="1200" b="0">
              <a:solidFill>
                <a:srgbClr val="010101"/>
              </a:solidFill>
            </a:rPr>
            <a:t>Program</a:t>
          </a:r>
        </a:p>
      </xdr:txBody>
    </xdr:sp>
    <xdr:clientData/>
  </xdr:twoCellAnchor>
  <xdr:twoCellAnchor>
    <xdr:from>
      <xdr:col>1</xdr:col>
      <xdr:colOff>0</xdr:colOff>
      <xdr:row>15</xdr:row>
      <xdr:rowOff>25400</xdr:rowOff>
    </xdr:from>
    <xdr:to>
      <xdr:col>13</xdr:col>
      <xdr:colOff>0</xdr:colOff>
      <xdr:row>15</xdr:row>
      <xdr:rowOff>50800</xdr:rowOff>
    </xdr:to>
    <xdr:sp macro="" textlink="">
      <xdr:nvSpPr>
        <xdr:cNvPr id="210" name="Cfg1Group1L1">
          <a:extLst>
            <a:ext uri="{FF2B5EF4-FFF2-40B4-BE49-F238E27FC236}">
              <a16:creationId xmlns:a16="http://schemas.microsoft.com/office/drawing/2014/main" id="{00000000-0008-0000-0400-0000D2000000}"/>
            </a:ext>
          </a:extLst>
        </xdr:cNvPr>
        <xdr:cNvSpPr/>
      </xdr:nvSpPr>
      <xdr:spPr>
        <a:xfrm>
          <a:off x="666750" y="6235700"/>
          <a:ext cx="10058400" cy="25400"/>
        </a:xfrm>
        <a:prstGeom prst="roundRect">
          <a:avLst/>
        </a:prstGeom>
        <a:gradFill flip="none" rotWithShape="1">
          <a:gsLst>
            <a:gs pos="0">
              <a:srgbClr val="B4B4B4"/>
            </a:gs>
            <a:gs pos="100000">
              <a:srgbClr val="646464"/>
            </a:gs>
          </a:gsLst>
          <a:lin ang="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clientData/>
  </xdr:twoCellAnchor>
  <xdr:twoCellAnchor>
    <xdr:from>
      <xdr:col>1</xdr:col>
      <xdr:colOff>0</xdr:colOff>
      <xdr:row>17</xdr:row>
      <xdr:rowOff>0</xdr:rowOff>
    </xdr:from>
    <xdr:to>
      <xdr:col>5</xdr:col>
      <xdr:colOff>0</xdr:colOff>
      <xdr:row>17</xdr:row>
      <xdr:rowOff>381000</xdr:rowOff>
    </xdr:to>
    <xdr:sp macro="" textlink="" fLocksText="0">
      <xdr:nvSpPr>
        <xdr:cNvPr id="211" name="Cfg1Text2a">
          <a:extLst>
            <a:ext uri="{FF2B5EF4-FFF2-40B4-BE49-F238E27FC236}">
              <a16:creationId xmlns:a16="http://schemas.microsoft.com/office/drawing/2014/main" id="{00000000-0008-0000-0400-0000D3000000}"/>
            </a:ext>
          </a:extLst>
        </xdr:cNvPr>
        <xdr:cNvSpPr/>
      </xdr:nvSpPr>
      <xdr:spPr>
        <a:xfrm>
          <a:off x="666750" y="6448425"/>
          <a:ext cx="3352800" cy="381000"/>
        </a:xfrm>
        <a:prstGeom prst="roundRect">
          <a:avLst>
            <a:gd name="adj" fmla="val 0"/>
          </a:avLst>
        </a:prstGeom>
        <a:gradFill flip="none" rotWithShape="1">
          <a:gsLst>
            <a:gs pos="0">
              <a:srgbClr val="D9D9D9"/>
            </a:gs>
            <a:gs pos="100000">
              <a:srgbClr val="D9D9D9"/>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l"/>
          <a:r>
            <a:rPr lang="da-DK" sz="1400" b="1">
              <a:solidFill>
                <a:srgbClr val="000000"/>
              </a:solidFill>
              <a:latin typeface="Arial"/>
            </a:rPr>
            <a:t>Risikoprofil</a:t>
          </a:r>
        </a:p>
      </xdr:txBody>
    </xdr:sp>
    <xdr:clientData/>
  </xdr:twoCellAnchor>
  <xdr:twoCellAnchor>
    <xdr:from>
      <xdr:col>11</xdr:col>
      <xdr:colOff>63500</xdr:colOff>
      <xdr:row>17</xdr:row>
      <xdr:rowOff>12700</xdr:rowOff>
    </xdr:from>
    <xdr:to>
      <xdr:col>13</xdr:col>
      <xdr:colOff>0</xdr:colOff>
      <xdr:row>17</xdr:row>
      <xdr:rowOff>292100</xdr:rowOff>
    </xdr:to>
    <xdr:sp macro="'readMore &quot;Cfg1Group2Btn2&quot;,&quot;Konfiguration&quot;,&quot;Cfg1Text2b&quot;,TRUE'" textlink="" fLocksText="0">
      <xdr:nvSpPr>
        <xdr:cNvPr id="212" name="Cfg1Group2Btn2">
          <a:extLst>
            <a:ext uri="{FF2B5EF4-FFF2-40B4-BE49-F238E27FC236}">
              <a16:creationId xmlns:a16="http://schemas.microsoft.com/office/drawing/2014/main" id="{00000000-0008-0000-0400-0000D4000000}"/>
            </a:ext>
          </a:extLst>
        </xdr:cNvPr>
        <xdr:cNvSpPr/>
      </xdr:nvSpPr>
      <xdr:spPr>
        <a:xfrm>
          <a:off x="9112250" y="6461125"/>
          <a:ext cx="1612900" cy="279400"/>
        </a:xfrm>
        <a:prstGeom prst="roundRect">
          <a:avLst/>
        </a:prstGeom>
        <a:gradFill flip="none" rotWithShape="1">
          <a:gsLst>
            <a:gs pos="0">
              <a:srgbClr val="B4B4B4"/>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rtlCol="0" anchor="ctr"/>
        <a:lstStyle/>
        <a:p>
          <a:pPr algn="ctr"/>
          <a:r>
            <a:rPr lang="da-DK" sz="1200">
              <a:solidFill>
                <a:srgbClr val="FFFFFF"/>
              </a:solidFill>
              <a:latin typeface="Arial"/>
            </a:rPr>
            <a:t>Hjælp</a:t>
          </a:r>
        </a:p>
      </xdr:txBody>
    </xdr:sp>
    <xdr:clientData/>
  </xdr:twoCellAnchor>
  <xdr:twoCellAnchor>
    <xdr:from>
      <xdr:col>3</xdr:col>
      <xdr:colOff>0</xdr:colOff>
      <xdr:row>19</xdr:row>
      <xdr:rowOff>0</xdr:rowOff>
    </xdr:from>
    <xdr:to>
      <xdr:col>13</xdr:col>
      <xdr:colOff>0</xdr:colOff>
      <xdr:row>19</xdr:row>
      <xdr:rowOff>2108200</xdr:rowOff>
    </xdr:to>
    <xdr:sp macro="" textlink="" fLocksText="0">
      <xdr:nvSpPr>
        <xdr:cNvPr id="213" name="Cfg1Text2b">
          <a:extLst>
            <a:ext uri="{FF2B5EF4-FFF2-40B4-BE49-F238E27FC236}">
              <a16:creationId xmlns:a16="http://schemas.microsoft.com/office/drawing/2014/main" id="{00000000-0008-0000-0400-0000D5000000}"/>
            </a:ext>
          </a:extLst>
        </xdr:cNvPr>
        <xdr:cNvSpPr/>
      </xdr:nvSpPr>
      <xdr:spPr>
        <a:xfrm>
          <a:off x="2343150" y="6934200"/>
          <a:ext cx="8382000" cy="2108200"/>
        </a:xfrm>
        <a:prstGeom prst="roundRect">
          <a:avLst>
            <a:gd name="adj" fmla="val 0"/>
          </a:avLst>
        </a:prstGeom>
        <a:gradFill flip="none" rotWithShape="1">
          <a:gsLst>
            <a:gs pos="0">
              <a:srgbClr val="EBB553"/>
            </a:gs>
            <a:gs pos="100000">
              <a:srgbClr val="EBB553"/>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t"/>
        <a:lstStyle/>
        <a:p>
          <a:pPr algn="l"/>
          <a:r>
            <a:rPr lang="da-DK" sz="1200" b="0">
              <a:solidFill>
                <a:srgbClr val="000000"/>
              </a:solidFill>
              <a:latin typeface="Arial"/>
            </a:rPr>
            <a:t>Hvis et projekt af Statens IT-projektråd vurderes at have høj risiko vil de risikojusterede udgifter og gevinster skulle udregnes ved Monte Carlo-simulering i stedet for ved de vægtede gennemsnit som er tilfældet for projekter med normal risiko. Monte Carlo-simulering kan foretages ved brug af programmet @Risk. Alternativt, kan business casen indsendes til ministeriernes projektkontor i Digitaliseringsstyrelsen som vil forestå simuleringen.
Projekter / programmer over 60 mio. kr. vil som udgangspunkt stå til at være med høj risiko, og skal derfor som udgangspunkt Monte carlo-simuleres inden risikovurdering.
Valget kan ændres senerehen.</a:t>
          </a:r>
        </a:p>
      </xdr:txBody>
    </xdr:sp>
    <xdr:clientData/>
  </xdr:twoCellAnchor>
  <xdr:twoCellAnchor>
    <xdr:from>
      <xdr:col>3</xdr:col>
      <xdr:colOff>0</xdr:colOff>
      <xdr:row>21</xdr:row>
      <xdr:rowOff>38100</xdr:rowOff>
    </xdr:from>
    <xdr:to>
      <xdr:col>8</xdr:col>
      <xdr:colOff>0</xdr:colOff>
      <xdr:row>21</xdr:row>
      <xdr:rowOff>317500</xdr:rowOff>
    </xdr:to>
    <xdr:sp macro="'setType &quot;CfgGroup2R1&quot;'" textlink="" fLocksText="0">
      <xdr:nvSpPr>
        <xdr:cNvPr id="214" name="CfgGroup2R1">
          <a:extLst>
            <a:ext uri="{FF2B5EF4-FFF2-40B4-BE49-F238E27FC236}">
              <a16:creationId xmlns:a16="http://schemas.microsoft.com/office/drawing/2014/main" id="{00000000-0008-0000-0400-0000D6000000}"/>
            </a:ext>
          </a:extLst>
        </xdr:cNvPr>
        <xdr:cNvSpPr/>
      </xdr:nvSpPr>
      <xdr:spPr>
        <a:xfrm>
          <a:off x="2343150" y="9267825"/>
          <a:ext cx="4191000" cy="279400"/>
        </a:xfrm>
        <a:prstGeom prst="roundRect">
          <a:avLst>
            <a:gd name="adj" fmla="val 0"/>
          </a:avLst>
        </a:prstGeom>
        <a:gradFill flip="none" rotWithShape="1">
          <a:gsLst>
            <a:gs pos="0">
              <a:srgbClr val="646464"/>
            </a:gs>
            <a:gs pos="100000">
              <a:srgbClr val="646464"/>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203200" rtlCol="0" anchor="t"/>
        <a:lstStyle/>
        <a:p>
          <a:pPr algn="l"/>
          <a:r>
            <a:rPr lang="da-DK" sz="1200" b="0">
              <a:solidFill>
                <a:srgbClr val="FFFFFF"/>
              </a:solidFill>
            </a:rPr>
            <a:t>Normal risiko</a:t>
          </a:r>
        </a:p>
      </xdr:txBody>
    </xdr:sp>
    <xdr:clientData/>
  </xdr:twoCellAnchor>
  <xdr:twoCellAnchor>
    <xdr:from>
      <xdr:col>3</xdr:col>
      <xdr:colOff>0</xdr:colOff>
      <xdr:row>22</xdr:row>
      <xdr:rowOff>38100</xdr:rowOff>
    </xdr:from>
    <xdr:to>
      <xdr:col>8</xdr:col>
      <xdr:colOff>0</xdr:colOff>
      <xdr:row>22</xdr:row>
      <xdr:rowOff>317500</xdr:rowOff>
    </xdr:to>
    <xdr:sp macro="'setType &quot;CfgGroup2R2&quot;'" textlink="" fLocksText="0">
      <xdr:nvSpPr>
        <xdr:cNvPr id="215" name="CfgGroup2R2">
          <a:extLst>
            <a:ext uri="{FF2B5EF4-FFF2-40B4-BE49-F238E27FC236}">
              <a16:creationId xmlns:a16="http://schemas.microsoft.com/office/drawing/2014/main" id="{00000000-0008-0000-0400-0000D7000000}"/>
            </a:ext>
          </a:extLst>
        </xdr:cNvPr>
        <xdr:cNvSpPr/>
      </xdr:nvSpPr>
      <xdr:spPr>
        <a:xfrm>
          <a:off x="2343150" y="9591675"/>
          <a:ext cx="4191000" cy="279400"/>
        </a:xfrm>
        <a:prstGeom prst="roundRect">
          <a:avLst>
            <a:gd name="adj" fmla="val 0"/>
          </a:avLst>
        </a:prstGeom>
        <a:gradFill flip="none" rotWithShape="1">
          <a:gsLst>
            <a:gs pos="0">
              <a:srgbClr val="C8C8C8"/>
            </a:gs>
            <a:gs pos="100000">
              <a:srgbClr val="C8C8C8"/>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203200" rtlCol="0" anchor="t"/>
        <a:lstStyle/>
        <a:p>
          <a:pPr algn="l"/>
          <a:r>
            <a:rPr lang="da-DK" sz="1200" b="0">
              <a:solidFill>
                <a:srgbClr val="010101"/>
              </a:solidFill>
            </a:rPr>
            <a:t>Høj risiko</a:t>
          </a:r>
        </a:p>
      </xdr:txBody>
    </xdr:sp>
    <xdr:clientData/>
  </xdr:twoCellAnchor>
  <xdr:twoCellAnchor>
    <xdr:from>
      <xdr:col>1</xdr:col>
      <xdr:colOff>0</xdr:colOff>
      <xdr:row>25</xdr:row>
      <xdr:rowOff>25400</xdr:rowOff>
    </xdr:from>
    <xdr:to>
      <xdr:col>13</xdr:col>
      <xdr:colOff>0</xdr:colOff>
      <xdr:row>25</xdr:row>
      <xdr:rowOff>50800</xdr:rowOff>
    </xdr:to>
    <xdr:sp macro="" textlink="">
      <xdr:nvSpPr>
        <xdr:cNvPr id="216" name="Cfg1Group2L1">
          <a:extLst>
            <a:ext uri="{FF2B5EF4-FFF2-40B4-BE49-F238E27FC236}">
              <a16:creationId xmlns:a16="http://schemas.microsoft.com/office/drawing/2014/main" id="{00000000-0008-0000-0400-0000D8000000}"/>
            </a:ext>
          </a:extLst>
        </xdr:cNvPr>
        <xdr:cNvSpPr/>
      </xdr:nvSpPr>
      <xdr:spPr>
        <a:xfrm>
          <a:off x="666750" y="10264775"/>
          <a:ext cx="10058400" cy="25400"/>
        </a:xfrm>
        <a:prstGeom prst="roundRect">
          <a:avLst/>
        </a:prstGeom>
        <a:gradFill flip="none" rotWithShape="1">
          <a:gsLst>
            <a:gs pos="0">
              <a:srgbClr val="B4B4B4"/>
            </a:gs>
            <a:gs pos="100000">
              <a:srgbClr val="646464"/>
            </a:gs>
          </a:gsLst>
          <a:lin ang="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clientData/>
  </xdr:twoCellAnchor>
  <xdr:twoCellAnchor>
    <xdr:from>
      <xdr:col>1</xdr:col>
      <xdr:colOff>0</xdr:colOff>
      <xdr:row>27</xdr:row>
      <xdr:rowOff>0</xdr:rowOff>
    </xdr:from>
    <xdr:to>
      <xdr:col>5</xdr:col>
      <xdr:colOff>0</xdr:colOff>
      <xdr:row>27</xdr:row>
      <xdr:rowOff>381000</xdr:rowOff>
    </xdr:to>
    <xdr:sp macro="" textlink="" fLocksText="0">
      <xdr:nvSpPr>
        <xdr:cNvPr id="217" name="Cfg1Text3a">
          <a:extLst>
            <a:ext uri="{FF2B5EF4-FFF2-40B4-BE49-F238E27FC236}">
              <a16:creationId xmlns:a16="http://schemas.microsoft.com/office/drawing/2014/main" id="{00000000-0008-0000-0400-0000D9000000}"/>
            </a:ext>
          </a:extLst>
        </xdr:cNvPr>
        <xdr:cNvSpPr/>
      </xdr:nvSpPr>
      <xdr:spPr>
        <a:xfrm>
          <a:off x="666750" y="10477500"/>
          <a:ext cx="3352800" cy="381000"/>
        </a:xfrm>
        <a:prstGeom prst="roundRect">
          <a:avLst>
            <a:gd name="adj" fmla="val 0"/>
          </a:avLst>
        </a:prstGeom>
        <a:gradFill flip="none" rotWithShape="1">
          <a:gsLst>
            <a:gs pos="0">
              <a:srgbClr val="D9D9D9"/>
            </a:gs>
            <a:gs pos="100000">
              <a:srgbClr val="D9D9D9"/>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rtlCol="0" anchor="ctr"/>
        <a:lstStyle/>
        <a:p>
          <a:pPr algn="l"/>
          <a:r>
            <a:rPr lang="da-DK" sz="1400" b="1">
              <a:solidFill>
                <a:srgbClr val="000000"/>
              </a:solidFill>
              <a:latin typeface="Arial"/>
            </a:rPr>
            <a:t>Størrelse</a:t>
          </a:r>
        </a:p>
      </xdr:txBody>
    </xdr:sp>
    <xdr:clientData/>
  </xdr:twoCellAnchor>
  <xdr:twoCellAnchor>
    <xdr:from>
      <xdr:col>11</xdr:col>
      <xdr:colOff>63500</xdr:colOff>
      <xdr:row>27</xdr:row>
      <xdr:rowOff>12700</xdr:rowOff>
    </xdr:from>
    <xdr:to>
      <xdr:col>13</xdr:col>
      <xdr:colOff>0</xdr:colOff>
      <xdr:row>27</xdr:row>
      <xdr:rowOff>292100</xdr:rowOff>
    </xdr:to>
    <xdr:sp macro="'readMore &quot;Cfg1Group3Btn3&quot;,&quot;Konfiguration&quot;,&quot;Cfg1Text3b&quot;,TRUE'" textlink="" fLocksText="0">
      <xdr:nvSpPr>
        <xdr:cNvPr id="218" name="Cfg1Group3Btn3">
          <a:extLst>
            <a:ext uri="{FF2B5EF4-FFF2-40B4-BE49-F238E27FC236}">
              <a16:creationId xmlns:a16="http://schemas.microsoft.com/office/drawing/2014/main" id="{00000000-0008-0000-0400-0000DA000000}"/>
            </a:ext>
          </a:extLst>
        </xdr:cNvPr>
        <xdr:cNvSpPr/>
      </xdr:nvSpPr>
      <xdr:spPr>
        <a:xfrm>
          <a:off x="9112250" y="10490200"/>
          <a:ext cx="1612900" cy="279400"/>
        </a:xfrm>
        <a:prstGeom prst="roundRect">
          <a:avLst/>
        </a:prstGeom>
        <a:gradFill flip="none" rotWithShape="1">
          <a:gsLst>
            <a:gs pos="0">
              <a:srgbClr val="B4B4B4"/>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Hjælp</a:t>
          </a:r>
        </a:p>
      </xdr:txBody>
    </xdr:sp>
    <xdr:clientData/>
  </xdr:twoCellAnchor>
  <xdr:twoCellAnchor>
    <xdr:from>
      <xdr:col>3</xdr:col>
      <xdr:colOff>0</xdr:colOff>
      <xdr:row>29</xdr:row>
      <xdr:rowOff>0</xdr:rowOff>
    </xdr:from>
    <xdr:to>
      <xdr:col>13</xdr:col>
      <xdr:colOff>0</xdr:colOff>
      <xdr:row>29</xdr:row>
      <xdr:rowOff>1524000</xdr:rowOff>
    </xdr:to>
    <xdr:sp macro="" textlink="" fLocksText="0">
      <xdr:nvSpPr>
        <xdr:cNvPr id="219" name="Cfg1Text3b">
          <a:extLst>
            <a:ext uri="{FF2B5EF4-FFF2-40B4-BE49-F238E27FC236}">
              <a16:creationId xmlns:a16="http://schemas.microsoft.com/office/drawing/2014/main" id="{00000000-0008-0000-0400-0000DB000000}"/>
            </a:ext>
          </a:extLst>
        </xdr:cNvPr>
        <xdr:cNvSpPr/>
      </xdr:nvSpPr>
      <xdr:spPr>
        <a:xfrm>
          <a:off x="2343150" y="10963275"/>
          <a:ext cx="8382000" cy="1524000"/>
        </a:xfrm>
        <a:prstGeom prst="roundRect">
          <a:avLst>
            <a:gd name="adj" fmla="val 0"/>
          </a:avLst>
        </a:prstGeom>
        <a:gradFill flip="none" rotWithShape="1">
          <a:gsLst>
            <a:gs pos="0">
              <a:srgbClr val="EBB553"/>
            </a:gs>
            <a:gs pos="100000">
              <a:srgbClr val="EBB553"/>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t"/>
        <a:lstStyle/>
        <a:p>
          <a:pPr algn="l"/>
          <a:r>
            <a:rPr lang="da-DK" sz="1200" b="0">
              <a:solidFill>
                <a:srgbClr val="000000"/>
              </a:solidFill>
              <a:latin typeface="Arial"/>
            </a:rPr>
            <a:t>For mindre projekter kan det være relevant kun at regne med hovedforudsætninger for at nedsætte detaljeringsniveauet. Vælges 'Under 10 mio. kr.', vil der automatisk blive indsat de gængse hovedforudsætninger for mindre projekter som så kan udfyldes. Der kan stadig tilføjes og fjernes forudsætninger (også underforudsætninger) så business casen tilpasses til konteksten for det pågældende projekt. Der ændres altså ikke i hverken metode eller funktionalitet, men blot muligheden for hurtigere indtastning af standard-hovedforudsætninger.
Der kan ikke vælges om, da de indsatte forudsætninger ikke ændrer på hverken metode eller funktionalitet.</a:t>
          </a:r>
        </a:p>
      </xdr:txBody>
    </xdr:sp>
    <xdr:clientData/>
  </xdr:twoCellAnchor>
  <xdr:twoCellAnchor>
    <xdr:from>
      <xdr:col>3</xdr:col>
      <xdr:colOff>0</xdr:colOff>
      <xdr:row>31</xdr:row>
      <xdr:rowOff>38100</xdr:rowOff>
    </xdr:from>
    <xdr:to>
      <xdr:col>8</xdr:col>
      <xdr:colOff>0</xdr:colOff>
      <xdr:row>31</xdr:row>
      <xdr:rowOff>317500</xdr:rowOff>
    </xdr:to>
    <xdr:sp macro="'setType &quot;CfgGroup3R1&quot;'" textlink="" fLocksText="0">
      <xdr:nvSpPr>
        <xdr:cNvPr id="220" name="CfgGroup3R1">
          <a:extLst>
            <a:ext uri="{FF2B5EF4-FFF2-40B4-BE49-F238E27FC236}">
              <a16:creationId xmlns:a16="http://schemas.microsoft.com/office/drawing/2014/main" id="{00000000-0008-0000-0400-0000DC000000}"/>
            </a:ext>
          </a:extLst>
        </xdr:cNvPr>
        <xdr:cNvSpPr/>
      </xdr:nvSpPr>
      <xdr:spPr>
        <a:xfrm>
          <a:off x="2343150" y="12715875"/>
          <a:ext cx="4191000" cy="279400"/>
        </a:xfrm>
        <a:prstGeom prst="roundRect">
          <a:avLst>
            <a:gd name="adj" fmla="val 0"/>
          </a:avLst>
        </a:prstGeom>
        <a:gradFill flip="none" rotWithShape="1">
          <a:gsLst>
            <a:gs pos="0">
              <a:srgbClr val="C8C8C8"/>
            </a:gs>
            <a:gs pos="100000">
              <a:srgbClr val="C8C8C8"/>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203200" rtlCol="0" anchor="t"/>
        <a:lstStyle/>
        <a:p>
          <a:pPr algn="l"/>
          <a:r>
            <a:rPr lang="da-DK" sz="1200" b="0">
              <a:solidFill>
                <a:srgbClr val="010101"/>
              </a:solidFill>
            </a:rPr>
            <a:t>Under 10 mio. kr.</a:t>
          </a:r>
        </a:p>
      </xdr:txBody>
    </xdr:sp>
    <xdr:clientData/>
  </xdr:twoCellAnchor>
  <xdr:twoCellAnchor>
    <xdr:from>
      <xdr:col>3</xdr:col>
      <xdr:colOff>0</xdr:colOff>
      <xdr:row>32</xdr:row>
      <xdr:rowOff>38100</xdr:rowOff>
    </xdr:from>
    <xdr:to>
      <xdr:col>8</xdr:col>
      <xdr:colOff>0</xdr:colOff>
      <xdr:row>32</xdr:row>
      <xdr:rowOff>317500</xdr:rowOff>
    </xdr:to>
    <xdr:sp macro="'setType &quot;CfgGroup3R2&quot;'" textlink="" fLocksText="0">
      <xdr:nvSpPr>
        <xdr:cNvPr id="221" name="CfgGroup3R2">
          <a:extLst>
            <a:ext uri="{FF2B5EF4-FFF2-40B4-BE49-F238E27FC236}">
              <a16:creationId xmlns:a16="http://schemas.microsoft.com/office/drawing/2014/main" id="{00000000-0008-0000-0400-0000DD000000}"/>
            </a:ext>
          </a:extLst>
        </xdr:cNvPr>
        <xdr:cNvSpPr/>
      </xdr:nvSpPr>
      <xdr:spPr>
        <a:xfrm>
          <a:off x="2343150" y="13039725"/>
          <a:ext cx="4191000" cy="279400"/>
        </a:xfrm>
        <a:prstGeom prst="roundRect">
          <a:avLst>
            <a:gd name="adj" fmla="val 0"/>
          </a:avLst>
        </a:prstGeom>
        <a:gradFill flip="none" rotWithShape="1">
          <a:gsLst>
            <a:gs pos="0">
              <a:srgbClr val="646464"/>
            </a:gs>
            <a:gs pos="100000">
              <a:srgbClr val="646464"/>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203200" rtlCol="0" anchor="t"/>
        <a:lstStyle/>
        <a:p>
          <a:pPr algn="l"/>
          <a:r>
            <a:rPr lang="da-DK" sz="1200" b="0">
              <a:solidFill>
                <a:srgbClr val="FFFFFF"/>
              </a:solidFill>
            </a:rPr>
            <a:t>Over 10 mio. kr.</a:t>
          </a:r>
        </a:p>
      </xdr:txBody>
    </xdr:sp>
    <xdr:clientData/>
  </xdr:twoCellAnchor>
  <xdr:twoCellAnchor>
    <xdr:from>
      <xdr:col>1</xdr:col>
      <xdr:colOff>0</xdr:colOff>
      <xdr:row>35</xdr:row>
      <xdr:rowOff>25400</xdr:rowOff>
    </xdr:from>
    <xdr:to>
      <xdr:col>13</xdr:col>
      <xdr:colOff>0</xdr:colOff>
      <xdr:row>35</xdr:row>
      <xdr:rowOff>50800</xdr:rowOff>
    </xdr:to>
    <xdr:sp macro="" textlink="">
      <xdr:nvSpPr>
        <xdr:cNvPr id="222" name="Cfg1Group3L1">
          <a:extLst>
            <a:ext uri="{FF2B5EF4-FFF2-40B4-BE49-F238E27FC236}">
              <a16:creationId xmlns:a16="http://schemas.microsoft.com/office/drawing/2014/main" id="{00000000-0008-0000-0400-0000DE000000}"/>
            </a:ext>
          </a:extLst>
        </xdr:cNvPr>
        <xdr:cNvSpPr/>
      </xdr:nvSpPr>
      <xdr:spPr>
        <a:xfrm>
          <a:off x="666750" y="13712825"/>
          <a:ext cx="10058400" cy="25400"/>
        </a:xfrm>
        <a:prstGeom prst="roundRect">
          <a:avLst/>
        </a:prstGeom>
        <a:gradFill flip="none" rotWithShape="1">
          <a:gsLst>
            <a:gs pos="0">
              <a:srgbClr val="B4B4B4"/>
            </a:gs>
            <a:gs pos="100000">
              <a:srgbClr val="646464"/>
            </a:gs>
          </a:gsLst>
          <a:lin ang="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clientData/>
  </xdr:twoCellAnchor>
  <xdr:twoCellAnchor>
    <xdr:from>
      <xdr:col>1</xdr:col>
      <xdr:colOff>0</xdr:colOff>
      <xdr:row>37</xdr:row>
      <xdr:rowOff>0</xdr:rowOff>
    </xdr:from>
    <xdr:to>
      <xdr:col>5</xdr:col>
      <xdr:colOff>0</xdr:colOff>
      <xdr:row>37</xdr:row>
      <xdr:rowOff>381000</xdr:rowOff>
    </xdr:to>
    <xdr:sp macro="" textlink="" fLocksText="0">
      <xdr:nvSpPr>
        <xdr:cNvPr id="223" name="Cfg1Text4a">
          <a:extLst>
            <a:ext uri="{FF2B5EF4-FFF2-40B4-BE49-F238E27FC236}">
              <a16:creationId xmlns:a16="http://schemas.microsoft.com/office/drawing/2014/main" id="{00000000-0008-0000-0400-0000DF000000}"/>
            </a:ext>
          </a:extLst>
        </xdr:cNvPr>
        <xdr:cNvSpPr/>
      </xdr:nvSpPr>
      <xdr:spPr>
        <a:xfrm>
          <a:off x="666750" y="13925550"/>
          <a:ext cx="3352800" cy="381000"/>
        </a:xfrm>
        <a:prstGeom prst="roundRect">
          <a:avLst>
            <a:gd name="adj" fmla="val 0"/>
          </a:avLst>
        </a:prstGeom>
        <a:gradFill flip="none" rotWithShape="1">
          <a:gsLst>
            <a:gs pos="0">
              <a:srgbClr val="D9D9D9"/>
            </a:gs>
            <a:gs pos="100000">
              <a:srgbClr val="D9D9D9"/>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rtlCol="0" anchor="ctr"/>
        <a:lstStyle/>
        <a:p>
          <a:pPr algn="l"/>
          <a:r>
            <a:rPr lang="da-DK" sz="1400" b="1">
              <a:solidFill>
                <a:srgbClr val="000000"/>
              </a:solidFill>
              <a:latin typeface="Arial"/>
            </a:rPr>
            <a:t>Kontering</a:t>
          </a:r>
        </a:p>
      </xdr:txBody>
    </xdr:sp>
    <xdr:clientData/>
  </xdr:twoCellAnchor>
  <xdr:twoCellAnchor>
    <xdr:from>
      <xdr:col>11</xdr:col>
      <xdr:colOff>63500</xdr:colOff>
      <xdr:row>37</xdr:row>
      <xdr:rowOff>12700</xdr:rowOff>
    </xdr:from>
    <xdr:to>
      <xdr:col>13</xdr:col>
      <xdr:colOff>0</xdr:colOff>
      <xdr:row>37</xdr:row>
      <xdr:rowOff>292100</xdr:rowOff>
    </xdr:to>
    <xdr:sp macro="'readMore &quot;Cfg1Group4Btn4&quot;,&quot;Konfiguration&quot;,&quot;Cfg1Text4b&quot;,TRUE'" textlink="" fLocksText="0">
      <xdr:nvSpPr>
        <xdr:cNvPr id="224" name="Cfg1Group4Btn4">
          <a:extLst>
            <a:ext uri="{FF2B5EF4-FFF2-40B4-BE49-F238E27FC236}">
              <a16:creationId xmlns:a16="http://schemas.microsoft.com/office/drawing/2014/main" id="{00000000-0008-0000-0400-0000E0000000}"/>
            </a:ext>
          </a:extLst>
        </xdr:cNvPr>
        <xdr:cNvSpPr/>
      </xdr:nvSpPr>
      <xdr:spPr>
        <a:xfrm>
          <a:off x="9112250" y="13938250"/>
          <a:ext cx="1612900" cy="279400"/>
        </a:xfrm>
        <a:prstGeom prst="roundRect">
          <a:avLst/>
        </a:prstGeom>
        <a:gradFill flip="none" rotWithShape="1">
          <a:gsLst>
            <a:gs pos="0">
              <a:srgbClr val="B4B4B4"/>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Hjælp</a:t>
          </a:r>
        </a:p>
      </xdr:txBody>
    </xdr:sp>
    <xdr:clientData/>
  </xdr:twoCellAnchor>
  <xdr:twoCellAnchor>
    <xdr:from>
      <xdr:col>3</xdr:col>
      <xdr:colOff>0</xdr:colOff>
      <xdr:row>39</xdr:row>
      <xdr:rowOff>0</xdr:rowOff>
    </xdr:from>
    <xdr:to>
      <xdr:col>13</xdr:col>
      <xdr:colOff>0</xdr:colOff>
      <xdr:row>39</xdr:row>
      <xdr:rowOff>762000</xdr:rowOff>
    </xdr:to>
    <xdr:sp macro="" textlink="" fLocksText="0">
      <xdr:nvSpPr>
        <xdr:cNvPr id="225" name="Cfg1Text4b">
          <a:extLst>
            <a:ext uri="{FF2B5EF4-FFF2-40B4-BE49-F238E27FC236}">
              <a16:creationId xmlns:a16="http://schemas.microsoft.com/office/drawing/2014/main" id="{00000000-0008-0000-0400-0000E1000000}"/>
            </a:ext>
          </a:extLst>
        </xdr:cNvPr>
        <xdr:cNvSpPr/>
      </xdr:nvSpPr>
      <xdr:spPr>
        <a:xfrm>
          <a:off x="2343150" y="14411325"/>
          <a:ext cx="8382000" cy="762000"/>
        </a:xfrm>
        <a:prstGeom prst="roundRect">
          <a:avLst>
            <a:gd name="adj" fmla="val 0"/>
          </a:avLst>
        </a:prstGeom>
        <a:gradFill flip="none" rotWithShape="1">
          <a:gsLst>
            <a:gs pos="0">
              <a:srgbClr val="EBB553"/>
            </a:gs>
            <a:gs pos="100000">
              <a:srgbClr val="EBB553"/>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t"/>
        <a:lstStyle/>
        <a:p>
          <a:pPr algn="l"/>
          <a:r>
            <a:rPr lang="da-DK" sz="1200" b="0">
              <a:solidFill>
                <a:srgbClr val="000000"/>
              </a:solidFill>
              <a:latin typeface="Arial"/>
            </a:rPr>
            <a:t>Kontotyper kan variere mellem stat, kommuner og regioner. Ovenstående er de otte hovedkontotyper for it-projekter i staten. Såfremt projektet/programmet er af tværoffentlig karakter, eller kun består af kommuner/regioner kan de ovenstående konti ændres så de passer til det pågældende institutionelle setup.</a:t>
          </a:r>
        </a:p>
      </xdr:txBody>
    </xdr:sp>
    <xdr:clientData/>
  </xdr:twoCellAnchor>
  <xdr:twoCellAnchor>
    <xdr:from>
      <xdr:col>11</xdr:col>
      <xdr:colOff>63500</xdr:colOff>
      <xdr:row>41</xdr:row>
      <xdr:rowOff>12700</xdr:rowOff>
    </xdr:from>
    <xdr:to>
      <xdr:col>13</xdr:col>
      <xdr:colOff>0</xdr:colOff>
      <xdr:row>41</xdr:row>
      <xdr:rowOff>292100</xdr:rowOff>
    </xdr:to>
    <xdr:sp macro="'editNorm &quot;CFG_FinanskontiV_1&quot;,&quot;CFG_FinanskontiV_1Red&quot;,&quot;CFG_Finanskonti&quot;'" textlink="" fLocksText="0">
      <xdr:nvSpPr>
        <xdr:cNvPr id="226" name="CFG_FinanskontiV_1Red">
          <a:extLst>
            <a:ext uri="{FF2B5EF4-FFF2-40B4-BE49-F238E27FC236}">
              <a16:creationId xmlns:a16="http://schemas.microsoft.com/office/drawing/2014/main" id="{00000000-0008-0000-0400-0000E2000000}"/>
            </a:ext>
          </a:extLst>
        </xdr:cNvPr>
        <xdr:cNvSpPr/>
      </xdr:nvSpPr>
      <xdr:spPr>
        <a:xfrm>
          <a:off x="9112250" y="15376525"/>
          <a:ext cx="1612900" cy="279400"/>
        </a:xfrm>
        <a:prstGeom prst="roundRect">
          <a:avLst/>
        </a:prstGeom>
        <a:gradFill flip="none" rotWithShape="1">
          <a:gsLst>
            <a:gs pos="0">
              <a:srgbClr val="B4B4B4"/>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Rediger</a:t>
          </a:r>
        </a:p>
      </xdr:txBody>
    </xdr:sp>
    <xdr:clientData/>
  </xdr:twoCellAnchor>
  <xdr:twoCellAnchor>
    <xdr:from>
      <xdr:col>11</xdr:col>
      <xdr:colOff>63500</xdr:colOff>
      <xdr:row>41</xdr:row>
      <xdr:rowOff>12700</xdr:rowOff>
    </xdr:from>
    <xdr:to>
      <xdr:col>12</xdr:col>
      <xdr:colOff>0</xdr:colOff>
      <xdr:row>41</xdr:row>
      <xdr:rowOff>292100</xdr:rowOff>
    </xdr:to>
    <xdr:sp macro="'editNorm &quot;CFG_FinanskontiV_1&quot;,&quot;CFG_FinanskontiV_1Gem&quot;,&quot;CFG_Finanskonti&quot;'" textlink="" fLocksText="0">
      <xdr:nvSpPr>
        <xdr:cNvPr id="227" name="CFG_FinanskontiV_1Gem" hidden="1">
          <a:extLst>
            <a:ext uri="{FF2B5EF4-FFF2-40B4-BE49-F238E27FC236}">
              <a16:creationId xmlns:a16="http://schemas.microsoft.com/office/drawing/2014/main" id="{00000000-0008-0000-0400-0000E3000000}"/>
            </a:ext>
          </a:extLst>
        </xdr:cNvPr>
        <xdr:cNvSpPr/>
      </xdr:nvSpPr>
      <xdr:spPr>
        <a:xfrm>
          <a:off x="9112250" y="15376525"/>
          <a:ext cx="774700" cy="279400"/>
        </a:xfrm>
        <a:prstGeom prst="roundRect">
          <a:avLst/>
        </a:prstGeom>
        <a:gradFill flip="none" rotWithShape="1">
          <a:gsLst>
            <a:gs pos="0">
              <a:srgbClr val="96B412"/>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Gem</a:t>
          </a:r>
        </a:p>
      </xdr:txBody>
    </xdr:sp>
    <xdr:clientData/>
  </xdr:twoCellAnchor>
  <xdr:twoCellAnchor>
    <xdr:from>
      <xdr:col>12</xdr:col>
      <xdr:colOff>88900</xdr:colOff>
      <xdr:row>41</xdr:row>
      <xdr:rowOff>12700</xdr:rowOff>
    </xdr:from>
    <xdr:to>
      <xdr:col>13</xdr:col>
      <xdr:colOff>0</xdr:colOff>
      <xdr:row>41</xdr:row>
      <xdr:rowOff>292100</xdr:rowOff>
    </xdr:to>
    <xdr:sp macro="'editNorm &quot;CFG_FinanskontiV_1&quot;,&quot;CFG_FinanskontiV_1Cancel&quot;,&quot;CFG_Finanskonti&quot;'" textlink="" fLocksText="0">
      <xdr:nvSpPr>
        <xdr:cNvPr id="228" name="CFG_FinanskontiV_1Cancel" hidden="1">
          <a:extLst>
            <a:ext uri="{FF2B5EF4-FFF2-40B4-BE49-F238E27FC236}">
              <a16:creationId xmlns:a16="http://schemas.microsoft.com/office/drawing/2014/main" id="{00000000-0008-0000-0400-0000E4000000}"/>
            </a:ext>
          </a:extLst>
        </xdr:cNvPr>
        <xdr:cNvSpPr/>
      </xdr:nvSpPr>
      <xdr:spPr>
        <a:xfrm>
          <a:off x="9975850" y="15376525"/>
          <a:ext cx="749300" cy="279400"/>
        </a:xfrm>
        <a:prstGeom prst="roundRect">
          <a:avLst/>
        </a:prstGeom>
        <a:gradFill flip="none" rotWithShape="1">
          <a:gsLst>
            <a:gs pos="0">
              <a:srgbClr val="B4B4B4"/>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Annuller</a:t>
          </a:r>
        </a:p>
      </xdr:txBody>
    </xdr:sp>
    <xdr:clientData/>
  </xdr:twoCellAnchor>
  <xdr:twoCellAnchor>
    <xdr:from>
      <xdr:col>13</xdr:col>
      <xdr:colOff>88900</xdr:colOff>
      <xdr:row>41</xdr:row>
      <xdr:rowOff>12700</xdr:rowOff>
    </xdr:from>
    <xdr:to>
      <xdr:col>14</xdr:col>
      <xdr:colOff>0</xdr:colOff>
      <xdr:row>41</xdr:row>
      <xdr:rowOff>292100</xdr:rowOff>
    </xdr:to>
    <xdr:sp macro="'editNorm &quot;CFG_FinanskontiV_1&quot;,&quot;CFG_FinanskontiV_1Delete&quot;,&quot;CFG_Finanskonti&quot;'" textlink="" fLocksText="0">
      <xdr:nvSpPr>
        <xdr:cNvPr id="229" name="CFG_FinanskontiV_1Delete" hidden="1">
          <a:extLst>
            <a:ext uri="{FF2B5EF4-FFF2-40B4-BE49-F238E27FC236}">
              <a16:creationId xmlns:a16="http://schemas.microsoft.com/office/drawing/2014/main" id="{00000000-0008-0000-0400-0000E5000000}"/>
            </a:ext>
          </a:extLst>
        </xdr:cNvPr>
        <xdr:cNvSpPr/>
      </xdr:nvSpPr>
      <xdr:spPr>
        <a:xfrm>
          <a:off x="10814050" y="15376525"/>
          <a:ext cx="749300" cy="279400"/>
        </a:xfrm>
        <a:prstGeom prst="roundRect">
          <a:avLst/>
        </a:prstGeom>
        <a:gradFill flip="none" rotWithShape="1">
          <a:gsLst>
            <a:gs pos="0">
              <a:srgbClr val="C83232"/>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Slet</a:t>
          </a:r>
        </a:p>
      </xdr:txBody>
    </xdr:sp>
    <xdr:clientData/>
  </xdr:twoCellAnchor>
  <xdr:twoCellAnchor>
    <xdr:from>
      <xdr:col>3</xdr:col>
      <xdr:colOff>0</xdr:colOff>
      <xdr:row>42</xdr:row>
      <xdr:rowOff>25400</xdr:rowOff>
    </xdr:from>
    <xdr:to>
      <xdr:col>13</xdr:col>
      <xdr:colOff>0</xdr:colOff>
      <xdr:row>42</xdr:row>
      <xdr:rowOff>50800</xdr:rowOff>
    </xdr:to>
    <xdr:sp macro="" textlink="">
      <xdr:nvSpPr>
        <xdr:cNvPr id="230" name="CFG_FinanskontiL1_1">
          <a:extLst>
            <a:ext uri="{FF2B5EF4-FFF2-40B4-BE49-F238E27FC236}">
              <a16:creationId xmlns:a16="http://schemas.microsoft.com/office/drawing/2014/main" id="{00000000-0008-0000-0400-0000E6000000}"/>
            </a:ext>
          </a:extLst>
        </xdr:cNvPr>
        <xdr:cNvSpPr/>
      </xdr:nvSpPr>
      <xdr:spPr>
        <a:xfrm>
          <a:off x="2343150" y="15694025"/>
          <a:ext cx="8382000" cy="25400"/>
        </a:xfrm>
        <a:prstGeom prst="roundRect">
          <a:avLst/>
        </a:prstGeom>
        <a:gradFill flip="none" rotWithShape="1">
          <a:gsLst>
            <a:gs pos="0">
              <a:srgbClr val="B4B4B4"/>
            </a:gs>
            <a:gs pos="100000">
              <a:srgbClr val="646464"/>
            </a:gs>
          </a:gsLst>
          <a:lin ang="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clientData/>
  </xdr:twoCellAnchor>
  <xdr:twoCellAnchor>
    <xdr:from>
      <xdr:col>11</xdr:col>
      <xdr:colOff>63500</xdr:colOff>
      <xdr:row>44</xdr:row>
      <xdr:rowOff>12700</xdr:rowOff>
    </xdr:from>
    <xdr:to>
      <xdr:col>13</xdr:col>
      <xdr:colOff>0</xdr:colOff>
      <xdr:row>44</xdr:row>
      <xdr:rowOff>292100</xdr:rowOff>
    </xdr:to>
    <xdr:sp macro="'editNorm &quot;CFG_FinanskontiV_2&quot;,&quot;CFG_FinanskontiV_2Red&quot;,&quot;CFG_Finanskonti&quot;'" textlink="" fLocksText="0">
      <xdr:nvSpPr>
        <xdr:cNvPr id="231" name="CFG_FinanskontiV_2Red">
          <a:extLst>
            <a:ext uri="{FF2B5EF4-FFF2-40B4-BE49-F238E27FC236}">
              <a16:creationId xmlns:a16="http://schemas.microsoft.com/office/drawing/2014/main" id="{00000000-0008-0000-0400-0000E7000000}"/>
            </a:ext>
          </a:extLst>
        </xdr:cNvPr>
        <xdr:cNvSpPr/>
      </xdr:nvSpPr>
      <xdr:spPr>
        <a:xfrm>
          <a:off x="9112250" y="15919450"/>
          <a:ext cx="1612900" cy="279400"/>
        </a:xfrm>
        <a:prstGeom prst="roundRect">
          <a:avLst/>
        </a:prstGeom>
        <a:gradFill flip="none" rotWithShape="1">
          <a:gsLst>
            <a:gs pos="0">
              <a:srgbClr val="B4B4B4"/>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Rediger</a:t>
          </a:r>
        </a:p>
      </xdr:txBody>
    </xdr:sp>
    <xdr:clientData/>
  </xdr:twoCellAnchor>
  <xdr:twoCellAnchor>
    <xdr:from>
      <xdr:col>11</xdr:col>
      <xdr:colOff>63500</xdr:colOff>
      <xdr:row>44</xdr:row>
      <xdr:rowOff>12700</xdr:rowOff>
    </xdr:from>
    <xdr:to>
      <xdr:col>12</xdr:col>
      <xdr:colOff>0</xdr:colOff>
      <xdr:row>44</xdr:row>
      <xdr:rowOff>292100</xdr:rowOff>
    </xdr:to>
    <xdr:sp macro="'editNorm &quot;CFG_FinanskontiV_2&quot;,&quot;CFG_FinanskontiV_2Gem&quot;,&quot;CFG_Finanskonti&quot;'" textlink="" fLocksText="0">
      <xdr:nvSpPr>
        <xdr:cNvPr id="232" name="CFG_FinanskontiV_2Gem" hidden="1">
          <a:extLst>
            <a:ext uri="{FF2B5EF4-FFF2-40B4-BE49-F238E27FC236}">
              <a16:creationId xmlns:a16="http://schemas.microsoft.com/office/drawing/2014/main" id="{00000000-0008-0000-0400-0000E8000000}"/>
            </a:ext>
          </a:extLst>
        </xdr:cNvPr>
        <xdr:cNvSpPr/>
      </xdr:nvSpPr>
      <xdr:spPr>
        <a:xfrm>
          <a:off x="9112250" y="15919450"/>
          <a:ext cx="774700" cy="279400"/>
        </a:xfrm>
        <a:prstGeom prst="roundRect">
          <a:avLst/>
        </a:prstGeom>
        <a:gradFill flip="none" rotWithShape="1">
          <a:gsLst>
            <a:gs pos="0">
              <a:srgbClr val="96B412"/>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Gem</a:t>
          </a:r>
        </a:p>
      </xdr:txBody>
    </xdr:sp>
    <xdr:clientData/>
  </xdr:twoCellAnchor>
  <xdr:twoCellAnchor>
    <xdr:from>
      <xdr:col>12</xdr:col>
      <xdr:colOff>88900</xdr:colOff>
      <xdr:row>44</xdr:row>
      <xdr:rowOff>12700</xdr:rowOff>
    </xdr:from>
    <xdr:to>
      <xdr:col>13</xdr:col>
      <xdr:colOff>0</xdr:colOff>
      <xdr:row>44</xdr:row>
      <xdr:rowOff>292100</xdr:rowOff>
    </xdr:to>
    <xdr:sp macro="'editNorm &quot;CFG_FinanskontiV_2&quot;,&quot;CFG_FinanskontiV_2Cancel&quot;,&quot;CFG_Finanskonti&quot;'" textlink="" fLocksText="0">
      <xdr:nvSpPr>
        <xdr:cNvPr id="233" name="CFG_FinanskontiV_2Cancel" hidden="1">
          <a:extLst>
            <a:ext uri="{FF2B5EF4-FFF2-40B4-BE49-F238E27FC236}">
              <a16:creationId xmlns:a16="http://schemas.microsoft.com/office/drawing/2014/main" id="{00000000-0008-0000-0400-0000E9000000}"/>
            </a:ext>
          </a:extLst>
        </xdr:cNvPr>
        <xdr:cNvSpPr/>
      </xdr:nvSpPr>
      <xdr:spPr>
        <a:xfrm>
          <a:off x="9975850" y="15919450"/>
          <a:ext cx="749300" cy="279400"/>
        </a:xfrm>
        <a:prstGeom prst="roundRect">
          <a:avLst/>
        </a:prstGeom>
        <a:gradFill flip="none" rotWithShape="1">
          <a:gsLst>
            <a:gs pos="0">
              <a:srgbClr val="B4B4B4"/>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Annuller</a:t>
          </a:r>
        </a:p>
      </xdr:txBody>
    </xdr:sp>
    <xdr:clientData/>
  </xdr:twoCellAnchor>
  <xdr:twoCellAnchor>
    <xdr:from>
      <xdr:col>13</xdr:col>
      <xdr:colOff>88900</xdr:colOff>
      <xdr:row>44</xdr:row>
      <xdr:rowOff>12700</xdr:rowOff>
    </xdr:from>
    <xdr:to>
      <xdr:col>14</xdr:col>
      <xdr:colOff>0</xdr:colOff>
      <xdr:row>44</xdr:row>
      <xdr:rowOff>292100</xdr:rowOff>
    </xdr:to>
    <xdr:sp macro="'editNorm &quot;CFG_FinanskontiV_2&quot;,&quot;CFG_FinanskontiV_2Delete&quot;,&quot;CFG_Finanskonti&quot;'" textlink="" fLocksText="0">
      <xdr:nvSpPr>
        <xdr:cNvPr id="238" name="CFG_FinanskontiV_2Delete" hidden="1">
          <a:extLst>
            <a:ext uri="{FF2B5EF4-FFF2-40B4-BE49-F238E27FC236}">
              <a16:creationId xmlns:a16="http://schemas.microsoft.com/office/drawing/2014/main" id="{00000000-0008-0000-0400-0000EE000000}"/>
            </a:ext>
          </a:extLst>
        </xdr:cNvPr>
        <xdr:cNvSpPr/>
      </xdr:nvSpPr>
      <xdr:spPr>
        <a:xfrm>
          <a:off x="10814050" y="15919450"/>
          <a:ext cx="749300" cy="279400"/>
        </a:xfrm>
        <a:prstGeom prst="roundRect">
          <a:avLst/>
        </a:prstGeom>
        <a:gradFill flip="none" rotWithShape="1">
          <a:gsLst>
            <a:gs pos="0">
              <a:srgbClr val="C83232"/>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Slet</a:t>
          </a:r>
        </a:p>
      </xdr:txBody>
    </xdr:sp>
    <xdr:clientData/>
  </xdr:twoCellAnchor>
  <xdr:twoCellAnchor>
    <xdr:from>
      <xdr:col>3</xdr:col>
      <xdr:colOff>0</xdr:colOff>
      <xdr:row>45</xdr:row>
      <xdr:rowOff>25400</xdr:rowOff>
    </xdr:from>
    <xdr:to>
      <xdr:col>13</xdr:col>
      <xdr:colOff>0</xdr:colOff>
      <xdr:row>45</xdr:row>
      <xdr:rowOff>50800</xdr:rowOff>
    </xdr:to>
    <xdr:sp macro="" textlink="">
      <xdr:nvSpPr>
        <xdr:cNvPr id="239" name="CFG_FinanskontiL1_2">
          <a:extLst>
            <a:ext uri="{FF2B5EF4-FFF2-40B4-BE49-F238E27FC236}">
              <a16:creationId xmlns:a16="http://schemas.microsoft.com/office/drawing/2014/main" id="{00000000-0008-0000-0400-0000EF000000}"/>
            </a:ext>
          </a:extLst>
        </xdr:cNvPr>
        <xdr:cNvSpPr/>
      </xdr:nvSpPr>
      <xdr:spPr>
        <a:xfrm>
          <a:off x="2343150" y="16236950"/>
          <a:ext cx="8382000" cy="25400"/>
        </a:xfrm>
        <a:prstGeom prst="roundRect">
          <a:avLst/>
        </a:prstGeom>
        <a:gradFill flip="none" rotWithShape="1">
          <a:gsLst>
            <a:gs pos="0">
              <a:srgbClr val="B4B4B4"/>
            </a:gs>
            <a:gs pos="100000">
              <a:srgbClr val="646464"/>
            </a:gs>
          </a:gsLst>
          <a:lin ang="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clientData/>
  </xdr:twoCellAnchor>
  <xdr:twoCellAnchor>
    <xdr:from>
      <xdr:col>11</xdr:col>
      <xdr:colOff>63500</xdr:colOff>
      <xdr:row>47</xdr:row>
      <xdr:rowOff>12700</xdr:rowOff>
    </xdr:from>
    <xdr:to>
      <xdr:col>13</xdr:col>
      <xdr:colOff>0</xdr:colOff>
      <xdr:row>47</xdr:row>
      <xdr:rowOff>292100</xdr:rowOff>
    </xdr:to>
    <xdr:sp macro="'editNorm &quot;CFG_FinanskontiV_3&quot;,&quot;CFG_FinanskontiV_3Red&quot;,&quot;CFG_Finanskonti&quot;'" textlink="" fLocksText="0">
      <xdr:nvSpPr>
        <xdr:cNvPr id="240" name="CFG_FinanskontiV_3Red">
          <a:extLst>
            <a:ext uri="{FF2B5EF4-FFF2-40B4-BE49-F238E27FC236}">
              <a16:creationId xmlns:a16="http://schemas.microsoft.com/office/drawing/2014/main" id="{00000000-0008-0000-0400-0000F0000000}"/>
            </a:ext>
          </a:extLst>
        </xdr:cNvPr>
        <xdr:cNvSpPr/>
      </xdr:nvSpPr>
      <xdr:spPr>
        <a:xfrm>
          <a:off x="9112250" y="16462375"/>
          <a:ext cx="1612900" cy="279400"/>
        </a:xfrm>
        <a:prstGeom prst="roundRect">
          <a:avLst/>
        </a:prstGeom>
        <a:gradFill flip="none" rotWithShape="1">
          <a:gsLst>
            <a:gs pos="0">
              <a:srgbClr val="B4B4B4"/>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Rediger</a:t>
          </a:r>
        </a:p>
      </xdr:txBody>
    </xdr:sp>
    <xdr:clientData/>
  </xdr:twoCellAnchor>
  <xdr:twoCellAnchor>
    <xdr:from>
      <xdr:col>11</xdr:col>
      <xdr:colOff>63500</xdr:colOff>
      <xdr:row>47</xdr:row>
      <xdr:rowOff>12700</xdr:rowOff>
    </xdr:from>
    <xdr:to>
      <xdr:col>12</xdr:col>
      <xdr:colOff>0</xdr:colOff>
      <xdr:row>47</xdr:row>
      <xdr:rowOff>292100</xdr:rowOff>
    </xdr:to>
    <xdr:sp macro="'editNorm &quot;CFG_FinanskontiV_3&quot;,&quot;CFG_FinanskontiV_3Gem&quot;,&quot;CFG_Finanskonti&quot;'" textlink="" fLocksText="0">
      <xdr:nvSpPr>
        <xdr:cNvPr id="241" name="CFG_FinanskontiV_3Gem" hidden="1">
          <a:extLst>
            <a:ext uri="{FF2B5EF4-FFF2-40B4-BE49-F238E27FC236}">
              <a16:creationId xmlns:a16="http://schemas.microsoft.com/office/drawing/2014/main" id="{00000000-0008-0000-0400-0000F1000000}"/>
            </a:ext>
          </a:extLst>
        </xdr:cNvPr>
        <xdr:cNvSpPr/>
      </xdr:nvSpPr>
      <xdr:spPr>
        <a:xfrm>
          <a:off x="9112250" y="16462375"/>
          <a:ext cx="774700" cy="279400"/>
        </a:xfrm>
        <a:prstGeom prst="roundRect">
          <a:avLst/>
        </a:prstGeom>
        <a:gradFill flip="none" rotWithShape="1">
          <a:gsLst>
            <a:gs pos="0">
              <a:srgbClr val="96B412"/>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Gem</a:t>
          </a:r>
        </a:p>
      </xdr:txBody>
    </xdr:sp>
    <xdr:clientData/>
  </xdr:twoCellAnchor>
  <xdr:twoCellAnchor>
    <xdr:from>
      <xdr:col>12</xdr:col>
      <xdr:colOff>88900</xdr:colOff>
      <xdr:row>47</xdr:row>
      <xdr:rowOff>12700</xdr:rowOff>
    </xdr:from>
    <xdr:to>
      <xdr:col>13</xdr:col>
      <xdr:colOff>0</xdr:colOff>
      <xdr:row>47</xdr:row>
      <xdr:rowOff>292100</xdr:rowOff>
    </xdr:to>
    <xdr:sp macro="'editNorm &quot;CFG_FinanskontiV_3&quot;,&quot;CFG_FinanskontiV_3Cancel&quot;,&quot;CFG_Finanskonti&quot;'" textlink="" fLocksText="0">
      <xdr:nvSpPr>
        <xdr:cNvPr id="242" name="CFG_FinanskontiV_3Cancel" hidden="1">
          <a:extLst>
            <a:ext uri="{FF2B5EF4-FFF2-40B4-BE49-F238E27FC236}">
              <a16:creationId xmlns:a16="http://schemas.microsoft.com/office/drawing/2014/main" id="{00000000-0008-0000-0400-0000F2000000}"/>
            </a:ext>
          </a:extLst>
        </xdr:cNvPr>
        <xdr:cNvSpPr/>
      </xdr:nvSpPr>
      <xdr:spPr>
        <a:xfrm>
          <a:off x="9975850" y="16462375"/>
          <a:ext cx="749300" cy="279400"/>
        </a:xfrm>
        <a:prstGeom prst="roundRect">
          <a:avLst/>
        </a:prstGeom>
        <a:gradFill flip="none" rotWithShape="1">
          <a:gsLst>
            <a:gs pos="0">
              <a:srgbClr val="B4B4B4"/>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Annuller</a:t>
          </a:r>
        </a:p>
      </xdr:txBody>
    </xdr:sp>
    <xdr:clientData/>
  </xdr:twoCellAnchor>
  <xdr:twoCellAnchor>
    <xdr:from>
      <xdr:col>13</xdr:col>
      <xdr:colOff>88900</xdr:colOff>
      <xdr:row>47</xdr:row>
      <xdr:rowOff>12700</xdr:rowOff>
    </xdr:from>
    <xdr:to>
      <xdr:col>14</xdr:col>
      <xdr:colOff>0</xdr:colOff>
      <xdr:row>47</xdr:row>
      <xdr:rowOff>292100</xdr:rowOff>
    </xdr:to>
    <xdr:sp macro="'editNorm &quot;CFG_FinanskontiV_3&quot;,&quot;CFG_FinanskontiV_3Delete&quot;,&quot;CFG_Finanskonti&quot;'" textlink="" fLocksText="0">
      <xdr:nvSpPr>
        <xdr:cNvPr id="243" name="CFG_FinanskontiV_3Delete" hidden="1">
          <a:extLst>
            <a:ext uri="{FF2B5EF4-FFF2-40B4-BE49-F238E27FC236}">
              <a16:creationId xmlns:a16="http://schemas.microsoft.com/office/drawing/2014/main" id="{00000000-0008-0000-0400-0000F3000000}"/>
            </a:ext>
          </a:extLst>
        </xdr:cNvPr>
        <xdr:cNvSpPr/>
      </xdr:nvSpPr>
      <xdr:spPr>
        <a:xfrm>
          <a:off x="10814050" y="16462375"/>
          <a:ext cx="749300" cy="279400"/>
        </a:xfrm>
        <a:prstGeom prst="roundRect">
          <a:avLst/>
        </a:prstGeom>
        <a:gradFill flip="none" rotWithShape="1">
          <a:gsLst>
            <a:gs pos="0">
              <a:srgbClr val="C83232"/>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Slet</a:t>
          </a:r>
        </a:p>
      </xdr:txBody>
    </xdr:sp>
    <xdr:clientData/>
  </xdr:twoCellAnchor>
  <xdr:twoCellAnchor>
    <xdr:from>
      <xdr:col>3</xdr:col>
      <xdr:colOff>0</xdr:colOff>
      <xdr:row>48</xdr:row>
      <xdr:rowOff>25400</xdr:rowOff>
    </xdr:from>
    <xdr:to>
      <xdr:col>13</xdr:col>
      <xdr:colOff>0</xdr:colOff>
      <xdr:row>48</xdr:row>
      <xdr:rowOff>50800</xdr:rowOff>
    </xdr:to>
    <xdr:sp macro="" textlink="">
      <xdr:nvSpPr>
        <xdr:cNvPr id="244" name="CFG_FinanskontiL1_3">
          <a:extLst>
            <a:ext uri="{FF2B5EF4-FFF2-40B4-BE49-F238E27FC236}">
              <a16:creationId xmlns:a16="http://schemas.microsoft.com/office/drawing/2014/main" id="{00000000-0008-0000-0400-0000F4000000}"/>
            </a:ext>
          </a:extLst>
        </xdr:cNvPr>
        <xdr:cNvSpPr/>
      </xdr:nvSpPr>
      <xdr:spPr>
        <a:xfrm>
          <a:off x="2343150" y="16779875"/>
          <a:ext cx="8382000" cy="25400"/>
        </a:xfrm>
        <a:prstGeom prst="roundRect">
          <a:avLst/>
        </a:prstGeom>
        <a:gradFill flip="none" rotWithShape="1">
          <a:gsLst>
            <a:gs pos="0">
              <a:srgbClr val="B4B4B4"/>
            </a:gs>
            <a:gs pos="100000">
              <a:srgbClr val="646464"/>
            </a:gs>
          </a:gsLst>
          <a:lin ang="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clientData/>
  </xdr:twoCellAnchor>
  <xdr:twoCellAnchor>
    <xdr:from>
      <xdr:col>11</xdr:col>
      <xdr:colOff>63500</xdr:colOff>
      <xdr:row>50</xdr:row>
      <xdr:rowOff>12700</xdr:rowOff>
    </xdr:from>
    <xdr:to>
      <xdr:col>13</xdr:col>
      <xdr:colOff>0</xdr:colOff>
      <xdr:row>50</xdr:row>
      <xdr:rowOff>292100</xdr:rowOff>
    </xdr:to>
    <xdr:sp macro="'editNorm &quot;CFG_FinanskontiV_4&quot;,&quot;CFG_FinanskontiV_4Red&quot;,&quot;CFG_Finanskonti&quot;'" textlink="" fLocksText="0">
      <xdr:nvSpPr>
        <xdr:cNvPr id="245" name="CFG_FinanskontiV_4Red">
          <a:extLst>
            <a:ext uri="{FF2B5EF4-FFF2-40B4-BE49-F238E27FC236}">
              <a16:creationId xmlns:a16="http://schemas.microsoft.com/office/drawing/2014/main" id="{00000000-0008-0000-0400-0000F5000000}"/>
            </a:ext>
          </a:extLst>
        </xdr:cNvPr>
        <xdr:cNvSpPr/>
      </xdr:nvSpPr>
      <xdr:spPr>
        <a:xfrm>
          <a:off x="9112250" y="17005300"/>
          <a:ext cx="1612900" cy="279400"/>
        </a:xfrm>
        <a:prstGeom prst="roundRect">
          <a:avLst/>
        </a:prstGeom>
        <a:gradFill flip="none" rotWithShape="1">
          <a:gsLst>
            <a:gs pos="0">
              <a:srgbClr val="B4B4B4"/>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Rediger</a:t>
          </a:r>
        </a:p>
      </xdr:txBody>
    </xdr:sp>
    <xdr:clientData/>
  </xdr:twoCellAnchor>
  <xdr:twoCellAnchor>
    <xdr:from>
      <xdr:col>11</xdr:col>
      <xdr:colOff>63500</xdr:colOff>
      <xdr:row>50</xdr:row>
      <xdr:rowOff>12700</xdr:rowOff>
    </xdr:from>
    <xdr:to>
      <xdr:col>12</xdr:col>
      <xdr:colOff>0</xdr:colOff>
      <xdr:row>50</xdr:row>
      <xdr:rowOff>292100</xdr:rowOff>
    </xdr:to>
    <xdr:sp macro="'editNorm &quot;CFG_FinanskontiV_4&quot;,&quot;CFG_FinanskontiV_4Gem&quot;,&quot;CFG_Finanskonti&quot;'" textlink="" fLocksText="0">
      <xdr:nvSpPr>
        <xdr:cNvPr id="246" name="CFG_FinanskontiV_4Gem" hidden="1">
          <a:extLst>
            <a:ext uri="{FF2B5EF4-FFF2-40B4-BE49-F238E27FC236}">
              <a16:creationId xmlns:a16="http://schemas.microsoft.com/office/drawing/2014/main" id="{00000000-0008-0000-0400-0000F6000000}"/>
            </a:ext>
          </a:extLst>
        </xdr:cNvPr>
        <xdr:cNvSpPr/>
      </xdr:nvSpPr>
      <xdr:spPr>
        <a:xfrm>
          <a:off x="9112250" y="17005300"/>
          <a:ext cx="774700" cy="279400"/>
        </a:xfrm>
        <a:prstGeom prst="roundRect">
          <a:avLst/>
        </a:prstGeom>
        <a:gradFill flip="none" rotWithShape="1">
          <a:gsLst>
            <a:gs pos="0">
              <a:srgbClr val="96B412"/>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Gem</a:t>
          </a:r>
        </a:p>
      </xdr:txBody>
    </xdr:sp>
    <xdr:clientData/>
  </xdr:twoCellAnchor>
  <xdr:twoCellAnchor>
    <xdr:from>
      <xdr:col>12</xdr:col>
      <xdr:colOff>88900</xdr:colOff>
      <xdr:row>50</xdr:row>
      <xdr:rowOff>12700</xdr:rowOff>
    </xdr:from>
    <xdr:to>
      <xdr:col>13</xdr:col>
      <xdr:colOff>0</xdr:colOff>
      <xdr:row>50</xdr:row>
      <xdr:rowOff>292100</xdr:rowOff>
    </xdr:to>
    <xdr:sp macro="'editNorm &quot;CFG_FinanskontiV_4&quot;,&quot;CFG_FinanskontiV_4Cancel&quot;,&quot;CFG_Finanskonti&quot;'" textlink="" fLocksText="0">
      <xdr:nvSpPr>
        <xdr:cNvPr id="247" name="CFG_FinanskontiV_4Cancel" hidden="1">
          <a:extLst>
            <a:ext uri="{FF2B5EF4-FFF2-40B4-BE49-F238E27FC236}">
              <a16:creationId xmlns:a16="http://schemas.microsoft.com/office/drawing/2014/main" id="{00000000-0008-0000-0400-0000F7000000}"/>
            </a:ext>
          </a:extLst>
        </xdr:cNvPr>
        <xdr:cNvSpPr/>
      </xdr:nvSpPr>
      <xdr:spPr>
        <a:xfrm>
          <a:off x="9975850" y="17005300"/>
          <a:ext cx="749300" cy="279400"/>
        </a:xfrm>
        <a:prstGeom prst="roundRect">
          <a:avLst/>
        </a:prstGeom>
        <a:gradFill flip="none" rotWithShape="1">
          <a:gsLst>
            <a:gs pos="0">
              <a:srgbClr val="B4B4B4"/>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Annuller</a:t>
          </a:r>
        </a:p>
      </xdr:txBody>
    </xdr:sp>
    <xdr:clientData/>
  </xdr:twoCellAnchor>
  <xdr:twoCellAnchor>
    <xdr:from>
      <xdr:col>13</xdr:col>
      <xdr:colOff>88900</xdr:colOff>
      <xdr:row>50</xdr:row>
      <xdr:rowOff>12700</xdr:rowOff>
    </xdr:from>
    <xdr:to>
      <xdr:col>14</xdr:col>
      <xdr:colOff>0</xdr:colOff>
      <xdr:row>50</xdr:row>
      <xdr:rowOff>292100</xdr:rowOff>
    </xdr:to>
    <xdr:sp macro="'editNorm &quot;CFG_FinanskontiV_4&quot;,&quot;CFG_FinanskontiV_4Delete&quot;,&quot;CFG_Finanskonti&quot;'" textlink="" fLocksText="0">
      <xdr:nvSpPr>
        <xdr:cNvPr id="248" name="CFG_FinanskontiV_4Delete" hidden="1">
          <a:extLst>
            <a:ext uri="{FF2B5EF4-FFF2-40B4-BE49-F238E27FC236}">
              <a16:creationId xmlns:a16="http://schemas.microsoft.com/office/drawing/2014/main" id="{00000000-0008-0000-0400-0000F8000000}"/>
            </a:ext>
          </a:extLst>
        </xdr:cNvPr>
        <xdr:cNvSpPr/>
      </xdr:nvSpPr>
      <xdr:spPr>
        <a:xfrm>
          <a:off x="10814050" y="17005300"/>
          <a:ext cx="749300" cy="279400"/>
        </a:xfrm>
        <a:prstGeom prst="roundRect">
          <a:avLst/>
        </a:prstGeom>
        <a:gradFill flip="none" rotWithShape="1">
          <a:gsLst>
            <a:gs pos="0">
              <a:srgbClr val="C83232"/>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Slet</a:t>
          </a:r>
        </a:p>
      </xdr:txBody>
    </xdr:sp>
    <xdr:clientData/>
  </xdr:twoCellAnchor>
  <xdr:twoCellAnchor>
    <xdr:from>
      <xdr:col>3</xdr:col>
      <xdr:colOff>0</xdr:colOff>
      <xdr:row>51</xdr:row>
      <xdr:rowOff>25400</xdr:rowOff>
    </xdr:from>
    <xdr:to>
      <xdr:col>13</xdr:col>
      <xdr:colOff>0</xdr:colOff>
      <xdr:row>51</xdr:row>
      <xdr:rowOff>50800</xdr:rowOff>
    </xdr:to>
    <xdr:sp macro="" textlink="">
      <xdr:nvSpPr>
        <xdr:cNvPr id="249" name="CFG_FinanskontiL1_4">
          <a:extLst>
            <a:ext uri="{FF2B5EF4-FFF2-40B4-BE49-F238E27FC236}">
              <a16:creationId xmlns:a16="http://schemas.microsoft.com/office/drawing/2014/main" id="{00000000-0008-0000-0400-0000F9000000}"/>
            </a:ext>
          </a:extLst>
        </xdr:cNvPr>
        <xdr:cNvSpPr/>
      </xdr:nvSpPr>
      <xdr:spPr>
        <a:xfrm>
          <a:off x="2343150" y="17322800"/>
          <a:ext cx="8382000" cy="25400"/>
        </a:xfrm>
        <a:prstGeom prst="roundRect">
          <a:avLst/>
        </a:prstGeom>
        <a:gradFill flip="none" rotWithShape="1">
          <a:gsLst>
            <a:gs pos="0">
              <a:srgbClr val="B4B4B4"/>
            </a:gs>
            <a:gs pos="100000">
              <a:srgbClr val="646464"/>
            </a:gs>
          </a:gsLst>
          <a:lin ang="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clientData/>
  </xdr:twoCellAnchor>
  <xdr:twoCellAnchor>
    <xdr:from>
      <xdr:col>11</xdr:col>
      <xdr:colOff>63500</xdr:colOff>
      <xdr:row>53</xdr:row>
      <xdr:rowOff>12700</xdr:rowOff>
    </xdr:from>
    <xdr:to>
      <xdr:col>13</xdr:col>
      <xdr:colOff>0</xdr:colOff>
      <xdr:row>53</xdr:row>
      <xdr:rowOff>292100</xdr:rowOff>
    </xdr:to>
    <xdr:sp macro="'editNorm &quot;CFG_FinanskontiV_5&quot;,&quot;CFG_FinanskontiV_5Red&quot;,&quot;CFG_Finanskonti&quot;'" textlink="" fLocksText="0">
      <xdr:nvSpPr>
        <xdr:cNvPr id="250" name="CFG_FinanskontiV_5Red">
          <a:extLst>
            <a:ext uri="{FF2B5EF4-FFF2-40B4-BE49-F238E27FC236}">
              <a16:creationId xmlns:a16="http://schemas.microsoft.com/office/drawing/2014/main" id="{00000000-0008-0000-0400-0000FA000000}"/>
            </a:ext>
          </a:extLst>
        </xdr:cNvPr>
        <xdr:cNvSpPr/>
      </xdr:nvSpPr>
      <xdr:spPr>
        <a:xfrm>
          <a:off x="9112250" y="17548225"/>
          <a:ext cx="1612900" cy="279400"/>
        </a:xfrm>
        <a:prstGeom prst="roundRect">
          <a:avLst/>
        </a:prstGeom>
        <a:gradFill flip="none" rotWithShape="1">
          <a:gsLst>
            <a:gs pos="0">
              <a:srgbClr val="B4B4B4"/>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Rediger</a:t>
          </a:r>
        </a:p>
      </xdr:txBody>
    </xdr:sp>
    <xdr:clientData/>
  </xdr:twoCellAnchor>
  <xdr:twoCellAnchor>
    <xdr:from>
      <xdr:col>11</xdr:col>
      <xdr:colOff>63500</xdr:colOff>
      <xdr:row>53</xdr:row>
      <xdr:rowOff>12700</xdr:rowOff>
    </xdr:from>
    <xdr:to>
      <xdr:col>12</xdr:col>
      <xdr:colOff>0</xdr:colOff>
      <xdr:row>53</xdr:row>
      <xdr:rowOff>292100</xdr:rowOff>
    </xdr:to>
    <xdr:sp macro="'editNorm &quot;CFG_FinanskontiV_5&quot;,&quot;CFG_FinanskontiV_5Gem&quot;,&quot;CFG_Finanskonti&quot;'" textlink="" fLocksText="0">
      <xdr:nvSpPr>
        <xdr:cNvPr id="251" name="CFG_FinanskontiV_5Gem" hidden="1">
          <a:extLst>
            <a:ext uri="{FF2B5EF4-FFF2-40B4-BE49-F238E27FC236}">
              <a16:creationId xmlns:a16="http://schemas.microsoft.com/office/drawing/2014/main" id="{00000000-0008-0000-0400-0000FB000000}"/>
            </a:ext>
          </a:extLst>
        </xdr:cNvPr>
        <xdr:cNvSpPr/>
      </xdr:nvSpPr>
      <xdr:spPr>
        <a:xfrm>
          <a:off x="9112250" y="17548225"/>
          <a:ext cx="774700" cy="279400"/>
        </a:xfrm>
        <a:prstGeom prst="roundRect">
          <a:avLst/>
        </a:prstGeom>
        <a:gradFill flip="none" rotWithShape="1">
          <a:gsLst>
            <a:gs pos="0">
              <a:srgbClr val="96B412"/>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Gem</a:t>
          </a:r>
        </a:p>
      </xdr:txBody>
    </xdr:sp>
    <xdr:clientData/>
  </xdr:twoCellAnchor>
  <xdr:twoCellAnchor>
    <xdr:from>
      <xdr:col>12</xdr:col>
      <xdr:colOff>88900</xdr:colOff>
      <xdr:row>53</xdr:row>
      <xdr:rowOff>12700</xdr:rowOff>
    </xdr:from>
    <xdr:to>
      <xdr:col>13</xdr:col>
      <xdr:colOff>0</xdr:colOff>
      <xdr:row>53</xdr:row>
      <xdr:rowOff>292100</xdr:rowOff>
    </xdr:to>
    <xdr:sp macro="'editNorm &quot;CFG_FinanskontiV_5&quot;,&quot;CFG_FinanskontiV_5Cancel&quot;,&quot;CFG_Finanskonti&quot;'" textlink="" fLocksText="0">
      <xdr:nvSpPr>
        <xdr:cNvPr id="252" name="CFG_FinanskontiV_5Cancel" hidden="1">
          <a:extLst>
            <a:ext uri="{FF2B5EF4-FFF2-40B4-BE49-F238E27FC236}">
              <a16:creationId xmlns:a16="http://schemas.microsoft.com/office/drawing/2014/main" id="{00000000-0008-0000-0400-0000FC000000}"/>
            </a:ext>
          </a:extLst>
        </xdr:cNvPr>
        <xdr:cNvSpPr/>
      </xdr:nvSpPr>
      <xdr:spPr>
        <a:xfrm>
          <a:off x="9975850" y="17548225"/>
          <a:ext cx="749300" cy="279400"/>
        </a:xfrm>
        <a:prstGeom prst="roundRect">
          <a:avLst/>
        </a:prstGeom>
        <a:gradFill flip="none" rotWithShape="1">
          <a:gsLst>
            <a:gs pos="0">
              <a:srgbClr val="B4B4B4"/>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Annuller</a:t>
          </a:r>
        </a:p>
      </xdr:txBody>
    </xdr:sp>
    <xdr:clientData/>
  </xdr:twoCellAnchor>
  <xdr:twoCellAnchor>
    <xdr:from>
      <xdr:col>13</xdr:col>
      <xdr:colOff>88900</xdr:colOff>
      <xdr:row>53</xdr:row>
      <xdr:rowOff>12700</xdr:rowOff>
    </xdr:from>
    <xdr:to>
      <xdr:col>14</xdr:col>
      <xdr:colOff>0</xdr:colOff>
      <xdr:row>53</xdr:row>
      <xdr:rowOff>292100</xdr:rowOff>
    </xdr:to>
    <xdr:sp macro="'editNorm &quot;CFG_FinanskontiV_5&quot;,&quot;CFG_FinanskontiV_5Delete&quot;,&quot;CFG_Finanskonti&quot;'" textlink="" fLocksText="0">
      <xdr:nvSpPr>
        <xdr:cNvPr id="253" name="CFG_FinanskontiV_5Delete" hidden="1">
          <a:extLst>
            <a:ext uri="{FF2B5EF4-FFF2-40B4-BE49-F238E27FC236}">
              <a16:creationId xmlns:a16="http://schemas.microsoft.com/office/drawing/2014/main" id="{00000000-0008-0000-0400-0000FD000000}"/>
            </a:ext>
          </a:extLst>
        </xdr:cNvPr>
        <xdr:cNvSpPr/>
      </xdr:nvSpPr>
      <xdr:spPr>
        <a:xfrm>
          <a:off x="10814050" y="17548225"/>
          <a:ext cx="749300" cy="279400"/>
        </a:xfrm>
        <a:prstGeom prst="roundRect">
          <a:avLst/>
        </a:prstGeom>
        <a:gradFill flip="none" rotWithShape="1">
          <a:gsLst>
            <a:gs pos="0">
              <a:srgbClr val="C83232"/>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Slet</a:t>
          </a:r>
        </a:p>
      </xdr:txBody>
    </xdr:sp>
    <xdr:clientData/>
  </xdr:twoCellAnchor>
  <xdr:twoCellAnchor>
    <xdr:from>
      <xdr:col>3</xdr:col>
      <xdr:colOff>0</xdr:colOff>
      <xdr:row>54</xdr:row>
      <xdr:rowOff>25400</xdr:rowOff>
    </xdr:from>
    <xdr:to>
      <xdr:col>13</xdr:col>
      <xdr:colOff>0</xdr:colOff>
      <xdr:row>54</xdr:row>
      <xdr:rowOff>50800</xdr:rowOff>
    </xdr:to>
    <xdr:sp macro="" textlink="">
      <xdr:nvSpPr>
        <xdr:cNvPr id="254" name="CFG_FinanskontiL1_5">
          <a:extLst>
            <a:ext uri="{FF2B5EF4-FFF2-40B4-BE49-F238E27FC236}">
              <a16:creationId xmlns:a16="http://schemas.microsoft.com/office/drawing/2014/main" id="{00000000-0008-0000-0400-0000FE000000}"/>
            </a:ext>
          </a:extLst>
        </xdr:cNvPr>
        <xdr:cNvSpPr/>
      </xdr:nvSpPr>
      <xdr:spPr>
        <a:xfrm>
          <a:off x="2343150" y="17865725"/>
          <a:ext cx="8382000" cy="25400"/>
        </a:xfrm>
        <a:prstGeom prst="roundRect">
          <a:avLst/>
        </a:prstGeom>
        <a:gradFill flip="none" rotWithShape="1">
          <a:gsLst>
            <a:gs pos="0">
              <a:srgbClr val="B4B4B4"/>
            </a:gs>
            <a:gs pos="100000">
              <a:srgbClr val="646464"/>
            </a:gs>
          </a:gsLst>
          <a:lin ang="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clientData/>
  </xdr:twoCellAnchor>
  <xdr:twoCellAnchor>
    <xdr:from>
      <xdr:col>11</xdr:col>
      <xdr:colOff>63500</xdr:colOff>
      <xdr:row>56</xdr:row>
      <xdr:rowOff>12700</xdr:rowOff>
    </xdr:from>
    <xdr:to>
      <xdr:col>13</xdr:col>
      <xdr:colOff>0</xdr:colOff>
      <xdr:row>56</xdr:row>
      <xdr:rowOff>292100</xdr:rowOff>
    </xdr:to>
    <xdr:sp macro="'editNorm &quot;CFG_FinanskontiV_6&quot;,&quot;CFG_FinanskontiV_6Red&quot;,&quot;CFG_Finanskonti&quot;'" textlink="" fLocksText="0">
      <xdr:nvSpPr>
        <xdr:cNvPr id="255" name="CFG_FinanskontiV_6Red">
          <a:extLst>
            <a:ext uri="{FF2B5EF4-FFF2-40B4-BE49-F238E27FC236}">
              <a16:creationId xmlns:a16="http://schemas.microsoft.com/office/drawing/2014/main" id="{00000000-0008-0000-0400-0000FF000000}"/>
            </a:ext>
          </a:extLst>
        </xdr:cNvPr>
        <xdr:cNvSpPr/>
      </xdr:nvSpPr>
      <xdr:spPr>
        <a:xfrm>
          <a:off x="9112250" y="18091150"/>
          <a:ext cx="1612900" cy="279400"/>
        </a:xfrm>
        <a:prstGeom prst="roundRect">
          <a:avLst/>
        </a:prstGeom>
        <a:gradFill flip="none" rotWithShape="1">
          <a:gsLst>
            <a:gs pos="0">
              <a:srgbClr val="B4B4B4"/>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Rediger</a:t>
          </a:r>
        </a:p>
      </xdr:txBody>
    </xdr:sp>
    <xdr:clientData/>
  </xdr:twoCellAnchor>
  <xdr:twoCellAnchor>
    <xdr:from>
      <xdr:col>11</xdr:col>
      <xdr:colOff>63500</xdr:colOff>
      <xdr:row>56</xdr:row>
      <xdr:rowOff>12700</xdr:rowOff>
    </xdr:from>
    <xdr:to>
      <xdr:col>12</xdr:col>
      <xdr:colOff>0</xdr:colOff>
      <xdr:row>56</xdr:row>
      <xdr:rowOff>292100</xdr:rowOff>
    </xdr:to>
    <xdr:sp macro="'editNorm &quot;CFG_FinanskontiV_6&quot;,&quot;CFG_FinanskontiV_6Gem&quot;,&quot;CFG_Finanskonti&quot;'" textlink="" fLocksText="0">
      <xdr:nvSpPr>
        <xdr:cNvPr id="2944" name="CFG_FinanskontiV_6Gem" hidden="1">
          <a:extLst>
            <a:ext uri="{FF2B5EF4-FFF2-40B4-BE49-F238E27FC236}">
              <a16:creationId xmlns:a16="http://schemas.microsoft.com/office/drawing/2014/main" id="{00000000-0008-0000-0400-0000800B0000}"/>
            </a:ext>
          </a:extLst>
        </xdr:cNvPr>
        <xdr:cNvSpPr/>
      </xdr:nvSpPr>
      <xdr:spPr>
        <a:xfrm>
          <a:off x="9112250" y="18091150"/>
          <a:ext cx="774700" cy="279400"/>
        </a:xfrm>
        <a:prstGeom prst="roundRect">
          <a:avLst/>
        </a:prstGeom>
        <a:gradFill flip="none" rotWithShape="1">
          <a:gsLst>
            <a:gs pos="0">
              <a:srgbClr val="96B412"/>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Gem</a:t>
          </a:r>
        </a:p>
      </xdr:txBody>
    </xdr:sp>
    <xdr:clientData/>
  </xdr:twoCellAnchor>
  <xdr:twoCellAnchor>
    <xdr:from>
      <xdr:col>12</xdr:col>
      <xdr:colOff>88900</xdr:colOff>
      <xdr:row>56</xdr:row>
      <xdr:rowOff>12700</xdr:rowOff>
    </xdr:from>
    <xdr:to>
      <xdr:col>13</xdr:col>
      <xdr:colOff>0</xdr:colOff>
      <xdr:row>56</xdr:row>
      <xdr:rowOff>292100</xdr:rowOff>
    </xdr:to>
    <xdr:sp macro="'editNorm &quot;CFG_FinanskontiV_6&quot;,&quot;CFG_FinanskontiV_6Cancel&quot;,&quot;CFG_Finanskonti&quot;'" textlink="" fLocksText="0">
      <xdr:nvSpPr>
        <xdr:cNvPr id="2945" name="CFG_FinanskontiV_6Cancel" hidden="1">
          <a:extLst>
            <a:ext uri="{FF2B5EF4-FFF2-40B4-BE49-F238E27FC236}">
              <a16:creationId xmlns:a16="http://schemas.microsoft.com/office/drawing/2014/main" id="{00000000-0008-0000-0400-0000810B0000}"/>
            </a:ext>
          </a:extLst>
        </xdr:cNvPr>
        <xdr:cNvSpPr/>
      </xdr:nvSpPr>
      <xdr:spPr>
        <a:xfrm>
          <a:off x="9975850" y="18091150"/>
          <a:ext cx="749300" cy="279400"/>
        </a:xfrm>
        <a:prstGeom prst="roundRect">
          <a:avLst/>
        </a:prstGeom>
        <a:gradFill flip="none" rotWithShape="1">
          <a:gsLst>
            <a:gs pos="0">
              <a:srgbClr val="B4B4B4"/>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Annuller</a:t>
          </a:r>
        </a:p>
      </xdr:txBody>
    </xdr:sp>
    <xdr:clientData/>
  </xdr:twoCellAnchor>
  <xdr:twoCellAnchor>
    <xdr:from>
      <xdr:col>13</xdr:col>
      <xdr:colOff>88900</xdr:colOff>
      <xdr:row>56</xdr:row>
      <xdr:rowOff>12700</xdr:rowOff>
    </xdr:from>
    <xdr:to>
      <xdr:col>14</xdr:col>
      <xdr:colOff>0</xdr:colOff>
      <xdr:row>56</xdr:row>
      <xdr:rowOff>292100</xdr:rowOff>
    </xdr:to>
    <xdr:sp macro="'editNorm &quot;CFG_FinanskontiV_6&quot;,&quot;CFG_FinanskontiV_6Delete&quot;,&quot;CFG_Finanskonti&quot;'" textlink="" fLocksText="0">
      <xdr:nvSpPr>
        <xdr:cNvPr id="2946" name="CFG_FinanskontiV_6Delete" hidden="1">
          <a:extLst>
            <a:ext uri="{FF2B5EF4-FFF2-40B4-BE49-F238E27FC236}">
              <a16:creationId xmlns:a16="http://schemas.microsoft.com/office/drawing/2014/main" id="{00000000-0008-0000-0400-0000820B0000}"/>
            </a:ext>
          </a:extLst>
        </xdr:cNvPr>
        <xdr:cNvSpPr/>
      </xdr:nvSpPr>
      <xdr:spPr>
        <a:xfrm>
          <a:off x="10814050" y="18091150"/>
          <a:ext cx="749300" cy="279400"/>
        </a:xfrm>
        <a:prstGeom prst="roundRect">
          <a:avLst/>
        </a:prstGeom>
        <a:gradFill flip="none" rotWithShape="1">
          <a:gsLst>
            <a:gs pos="0">
              <a:srgbClr val="C83232"/>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Slet</a:t>
          </a:r>
        </a:p>
      </xdr:txBody>
    </xdr:sp>
    <xdr:clientData/>
  </xdr:twoCellAnchor>
  <xdr:twoCellAnchor>
    <xdr:from>
      <xdr:col>3</xdr:col>
      <xdr:colOff>0</xdr:colOff>
      <xdr:row>57</xdr:row>
      <xdr:rowOff>25400</xdr:rowOff>
    </xdr:from>
    <xdr:to>
      <xdr:col>13</xdr:col>
      <xdr:colOff>0</xdr:colOff>
      <xdr:row>57</xdr:row>
      <xdr:rowOff>50800</xdr:rowOff>
    </xdr:to>
    <xdr:sp macro="" textlink="">
      <xdr:nvSpPr>
        <xdr:cNvPr id="2947" name="CFG_FinanskontiL1_6">
          <a:extLst>
            <a:ext uri="{FF2B5EF4-FFF2-40B4-BE49-F238E27FC236}">
              <a16:creationId xmlns:a16="http://schemas.microsoft.com/office/drawing/2014/main" id="{00000000-0008-0000-0400-0000830B0000}"/>
            </a:ext>
          </a:extLst>
        </xdr:cNvPr>
        <xdr:cNvSpPr/>
      </xdr:nvSpPr>
      <xdr:spPr>
        <a:xfrm>
          <a:off x="2343150" y="18408650"/>
          <a:ext cx="8382000" cy="25400"/>
        </a:xfrm>
        <a:prstGeom prst="roundRect">
          <a:avLst/>
        </a:prstGeom>
        <a:gradFill flip="none" rotWithShape="1">
          <a:gsLst>
            <a:gs pos="0">
              <a:srgbClr val="B4B4B4"/>
            </a:gs>
            <a:gs pos="100000">
              <a:srgbClr val="646464"/>
            </a:gs>
          </a:gsLst>
          <a:lin ang="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clientData/>
  </xdr:twoCellAnchor>
  <xdr:twoCellAnchor>
    <xdr:from>
      <xdr:col>11</xdr:col>
      <xdr:colOff>63500</xdr:colOff>
      <xdr:row>59</xdr:row>
      <xdr:rowOff>12700</xdr:rowOff>
    </xdr:from>
    <xdr:to>
      <xdr:col>13</xdr:col>
      <xdr:colOff>0</xdr:colOff>
      <xdr:row>59</xdr:row>
      <xdr:rowOff>292100</xdr:rowOff>
    </xdr:to>
    <xdr:sp macro="'editNorm &quot;CFG_FinanskontiV_7&quot;,&quot;CFG_FinanskontiV_7Red&quot;,&quot;CFG_Finanskonti&quot;'" textlink="" fLocksText="0">
      <xdr:nvSpPr>
        <xdr:cNvPr id="2948" name="CFG_FinanskontiV_7Red">
          <a:extLst>
            <a:ext uri="{FF2B5EF4-FFF2-40B4-BE49-F238E27FC236}">
              <a16:creationId xmlns:a16="http://schemas.microsoft.com/office/drawing/2014/main" id="{00000000-0008-0000-0400-0000840B0000}"/>
            </a:ext>
          </a:extLst>
        </xdr:cNvPr>
        <xdr:cNvSpPr/>
      </xdr:nvSpPr>
      <xdr:spPr>
        <a:xfrm>
          <a:off x="9112250" y="18634075"/>
          <a:ext cx="1612900" cy="279400"/>
        </a:xfrm>
        <a:prstGeom prst="roundRect">
          <a:avLst/>
        </a:prstGeom>
        <a:gradFill flip="none" rotWithShape="1">
          <a:gsLst>
            <a:gs pos="0">
              <a:srgbClr val="B4B4B4"/>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Rediger</a:t>
          </a:r>
        </a:p>
      </xdr:txBody>
    </xdr:sp>
    <xdr:clientData/>
  </xdr:twoCellAnchor>
  <xdr:twoCellAnchor>
    <xdr:from>
      <xdr:col>11</xdr:col>
      <xdr:colOff>63500</xdr:colOff>
      <xdr:row>59</xdr:row>
      <xdr:rowOff>12700</xdr:rowOff>
    </xdr:from>
    <xdr:to>
      <xdr:col>12</xdr:col>
      <xdr:colOff>0</xdr:colOff>
      <xdr:row>59</xdr:row>
      <xdr:rowOff>292100</xdr:rowOff>
    </xdr:to>
    <xdr:sp macro="'editNorm &quot;CFG_FinanskontiV_7&quot;,&quot;CFG_FinanskontiV_7Gem&quot;,&quot;CFG_Finanskonti&quot;'" textlink="" fLocksText="0">
      <xdr:nvSpPr>
        <xdr:cNvPr id="2949" name="CFG_FinanskontiV_7Gem" hidden="1">
          <a:extLst>
            <a:ext uri="{FF2B5EF4-FFF2-40B4-BE49-F238E27FC236}">
              <a16:creationId xmlns:a16="http://schemas.microsoft.com/office/drawing/2014/main" id="{00000000-0008-0000-0400-0000850B0000}"/>
            </a:ext>
          </a:extLst>
        </xdr:cNvPr>
        <xdr:cNvSpPr/>
      </xdr:nvSpPr>
      <xdr:spPr>
        <a:xfrm>
          <a:off x="9112250" y="18634075"/>
          <a:ext cx="774700" cy="279400"/>
        </a:xfrm>
        <a:prstGeom prst="roundRect">
          <a:avLst/>
        </a:prstGeom>
        <a:gradFill flip="none" rotWithShape="1">
          <a:gsLst>
            <a:gs pos="0">
              <a:srgbClr val="96B412"/>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Gem</a:t>
          </a:r>
        </a:p>
      </xdr:txBody>
    </xdr:sp>
    <xdr:clientData/>
  </xdr:twoCellAnchor>
  <xdr:twoCellAnchor>
    <xdr:from>
      <xdr:col>12</xdr:col>
      <xdr:colOff>88900</xdr:colOff>
      <xdr:row>59</xdr:row>
      <xdr:rowOff>12700</xdr:rowOff>
    </xdr:from>
    <xdr:to>
      <xdr:col>13</xdr:col>
      <xdr:colOff>0</xdr:colOff>
      <xdr:row>59</xdr:row>
      <xdr:rowOff>292100</xdr:rowOff>
    </xdr:to>
    <xdr:sp macro="'editNorm &quot;CFG_FinanskontiV_7&quot;,&quot;CFG_FinanskontiV_7Cancel&quot;,&quot;CFG_Finanskonti&quot;'" textlink="" fLocksText="0">
      <xdr:nvSpPr>
        <xdr:cNvPr id="2950" name="CFG_FinanskontiV_7Cancel" hidden="1">
          <a:extLst>
            <a:ext uri="{FF2B5EF4-FFF2-40B4-BE49-F238E27FC236}">
              <a16:creationId xmlns:a16="http://schemas.microsoft.com/office/drawing/2014/main" id="{00000000-0008-0000-0400-0000860B0000}"/>
            </a:ext>
          </a:extLst>
        </xdr:cNvPr>
        <xdr:cNvSpPr/>
      </xdr:nvSpPr>
      <xdr:spPr>
        <a:xfrm>
          <a:off x="9975850" y="18634075"/>
          <a:ext cx="749300" cy="279400"/>
        </a:xfrm>
        <a:prstGeom prst="roundRect">
          <a:avLst/>
        </a:prstGeom>
        <a:gradFill flip="none" rotWithShape="1">
          <a:gsLst>
            <a:gs pos="0">
              <a:srgbClr val="B4B4B4"/>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Annuller</a:t>
          </a:r>
        </a:p>
      </xdr:txBody>
    </xdr:sp>
    <xdr:clientData/>
  </xdr:twoCellAnchor>
  <xdr:twoCellAnchor>
    <xdr:from>
      <xdr:col>13</xdr:col>
      <xdr:colOff>88900</xdr:colOff>
      <xdr:row>59</xdr:row>
      <xdr:rowOff>12700</xdr:rowOff>
    </xdr:from>
    <xdr:to>
      <xdr:col>14</xdr:col>
      <xdr:colOff>0</xdr:colOff>
      <xdr:row>59</xdr:row>
      <xdr:rowOff>292100</xdr:rowOff>
    </xdr:to>
    <xdr:sp macro="'editNorm &quot;CFG_FinanskontiV_7&quot;,&quot;CFG_FinanskontiV_7Delete&quot;,&quot;CFG_Finanskonti&quot;'" textlink="" fLocksText="0">
      <xdr:nvSpPr>
        <xdr:cNvPr id="2951" name="CFG_FinanskontiV_7Delete" hidden="1">
          <a:extLst>
            <a:ext uri="{FF2B5EF4-FFF2-40B4-BE49-F238E27FC236}">
              <a16:creationId xmlns:a16="http://schemas.microsoft.com/office/drawing/2014/main" id="{00000000-0008-0000-0400-0000870B0000}"/>
            </a:ext>
          </a:extLst>
        </xdr:cNvPr>
        <xdr:cNvSpPr/>
      </xdr:nvSpPr>
      <xdr:spPr>
        <a:xfrm>
          <a:off x="10814050" y="18634075"/>
          <a:ext cx="749300" cy="279400"/>
        </a:xfrm>
        <a:prstGeom prst="roundRect">
          <a:avLst/>
        </a:prstGeom>
        <a:gradFill flip="none" rotWithShape="1">
          <a:gsLst>
            <a:gs pos="0">
              <a:srgbClr val="C83232"/>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Slet</a:t>
          </a:r>
        </a:p>
      </xdr:txBody>
    </xdr:sp>
    <xdr:clientData/>
  </xdr:twoCellAnchor>
  <xdr:twoCellAnchor>
    <xdr:from>
      <xdr:col>3</xdr:col>
      <xdr:colOff>0</xdr:colOff>
      <xdr:row>60</xdr:row>
      <xdr:rowOff>25400</xdr:rowOff>
    </xdr:from>
    <xdr:to>
      <xdr:col>13</xdr:col>
      <xdr:colOff>0</xdr:colOff>
      <xdr:row>60</xdr:row>
      <xdr:rowOff>50800</xdr:rowOff>
    </xdr:to>
    <xdr:sp macro="" textlink="">
      <xdr:nvSpPr>
        <xdr:cNvPr id="2952" name="CFG_FinanskontiL1_7">
          <a:extLst>
            <a:ext uri="{FF2B5EF4-FFF2-40B4-BE49-F238E27FC236}">
              <a16:creationId xmlns:a16="http://schemas.microsoft.com/office/drawing/2014/main" id="{00000000-0008-0000-0400-0000880B0000}"/>
            </a:ext>
          </a:extLst>
        </xdr:cNvPr>
        <xdr:cNvSpPr/>
      </xdr:nvSpPr>
      <xdr:spPr>
        <a:xfrm>
          <a:off x="2343150" y="18951575"/>
          <a:ext cx="8382000" cy="25400"/>
        </a:xfrm>
        <a:prstGeom prst="roundRect">
          <a:avLst/>
        </a:prstGeom>
        <a:gradFill flip="none" rotWithShape="1">
          <a:gsLst>
            <a:gs pos="0">
              <a:srgbClr val="B4B4B4"/>
            </a:gs>
            <a:gs pos="100000">
              <a:srgbClr val="646464"/>
            </a:gs>
          </a:gsLst>
          <a:lin ang="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clientData/>
  </xdr:twoCellAnchor>
  <xdr:twoCellAnchor>
    <xdr:from>
      <xdr:col>11</xdr:col>
      <xdr:colOff>63500</xdr:colOff>
      <xdr:row>62</xdr:row>
      <xdr:rowOff>12700</xdr:rowOff>
    </xdr:from>
    <xdr:to>
      <xdr:col>13</xdr:col>
      <xdr:colOff>0</xdr:colOff>
      <xdr:row>62</xdr:row>
      <xdr:rowOff>292100</xdr:rowOff>
    </xdr:to>
    <xdr:sp macro="'editNorm &quot;CFG_FinanskontiV_8&quot;,&quot;CFG_FinanskontiV_8Red&quot;,&quot;CFG_Finanskonti&quot;'" textlink="" fLocksText="0">
      <xdr:nvSpPr>
        <xdr:cNvPr id="2953" name="CFG_FinanskontiV_8Red">
          <a:extLst>
            <a:ext uri="{FF2B5EF4-FFF2-40B4-BE49-F238E27FC236}">
              <a16:creationId xmlns:a16="http://schemas.microsoft.com/office/drawing/2014/main" id="{00000000-0008-0000-0400-0000890B0000}"/>
            </a:ext>
          </a:extLst>
        </xdr:cNvPr>
        <xdr:cNvSpPr/>
      </xdr:nvSpPr>
      <xdr:spPr>
        <a:xfrm>
          <a:off x="9112250" y="19177000"/>
          <a:ext cx="1612900" cy="279400"/>
        </a:xfrm>
        <a:prstGeom prst="roundRect">
          <a:avLst/>
        </a:prstGeom>
        <a:gradFill flip="none" rotWithShape="1">
          <a:gsLst>
            <a:gs pos="0">
              <a:srgbClr val="B4B4B4"/>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Rediger</a:t>
          </a:r>
        </a:p>
      </xdr:txBody>
    </xdr:sp>
    <xdr:clientData/>
  </xdr:twoCellAnchor>
  <xdr:twoCellAnchor>
    <xdr:from>
      <xdr:col>11</xdr:col>
      <xdr:colOff>63500</xdr:colOff>
      <xdr:row>62</xdr:row>
      <xdr:rowOff>12700</xdr:rowOff>
    </xdr:from>
    <xdr:to>
      <xdr:col>12</xdr:col>
      <xdr:colOff>0</xdr:colOff>
      <xdr:row>62</xdr:row>
      <xdr:rowOff>292100</xdr:rowOff>
    </xdr:to>
    <xdr:sp macro="'editNorm &quot;CFG_FinanskontiV_8&quot;,&quot;CFG_FinanskontiV_8Gem&quot;,&quot;CFG_Finanskonti&quot;'" textlink="" fLocksText="0">
      <xdr:nvSpPr>
        <xdr:cNvPr id="2954" name="CFG_FinanskontiV_8Gem" hidden="1">
          <a:extLst>
            <a:ext uri="{FF2B5EF4-FFF2-40B4-BE49-F238E27FC236}">
              <a16:creationId xmlns:a16="http://schemas.microsoft.com/office/drawing/2014/main" id="{00000000-0008-0000-0400-00008A0B0000}"/>
            </a:ext>
          </a:extLst>
        </xdr:cNvPr>
        <xdr:cNvSpPr/>
      </xdr:nvSpPr>
      <xdr:spPr>
        <a:xfrm>
          <a:off x="9112250" y="19177000"/>
          <a:ext cx="774700" cy="279400"/>
        </a:xfrm>
        <a:prstGeom prst="roundRect">
          <a:avLst/>
        </a:prstGeom>
        <a:gradFill flip="none" rotWithShape="1">
          <a:gsLst>
            <a:gs pos="0">
              <a:srgbClr val="96B412"/>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Gem</a:t>
          </a:r>
        </a:p>
      </xdr:txBody>
    </xdr:sp>
    <xdr:clientData/>
  </xdr:twoCellAnchor>
  <xdr:twoCellAnchor>
    <xdr:from>
      <xdr:col>12</xdr:col>
      <xdr:colOff>88900</xdr:colOff>
      <xdr:row>62</xdr:row>
      <xdr:rowOff>12700</xdr:rowOff>
    </xdr:from>
    <xdr:to>
      <xdr:col>13</xdr:col>
      <xdr:colOff>0</xdr:colOff>
      <xdr:row>62</xdr:row>
      <xdr:rowOff>292100</xdr:rowOff>
    </xdr:to>
    <xdr:sp macro="'editNorm &quot;CFG_FinanskontiV_8&quot;,&quot;CFG_FinanskontiV_8Cancel&quot;,&quot;CFG_Finanskonti&quot;'" textlink="" fLocksText="0">
      <xdr:nvSpPr>
        <xdr:cNvPr id="2955" name="CFG_FinanskontiV_8Cancel" hidden="1">
          <a:extLst>
            <a:ext uri="{FF2B5EF4-FFF2-40B4-BE49-F238E27FC236}">
              <a16:creationId xmlns:a16="http://schemas.microsoft.com/office/drawing/2014/main" id="{00000000-0008-0000-0400-00008B0B0000}"/>
            </a:ext>
          </a:extLst>
        </xdr:cNvPr>
        <xdr:cNvSpPr/>
      </xdr:nvSpPr>
      <xdr:spPr>
        <a:xfrm>
          <a:off x="9975850" y="19177000"/>
          <a:ext cx="749300" cy="279400"/>
        </a:xfrm>
        <a:prstGeom prst="roundRect">
          <a:avLst/>
        </a:prstGeom>
        <a:gradFill flip="none" rotWithShape="1">
          <a:gsLst>
            <a:gs pos="0">
              <a:srgbClr val="B4B4B4"/>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Annuller</a:t>
          </a:r>
        </a:p>
      </xdr:txBody>
    </xdr:sp>
    <xdr:clientData/>
  </xdr:twoCellAnchor>
  <xdr:twoCellAnchor>
    <xdr:from>
      <xdr:col>13</xdr:col>
      <xdr:colOff>88900</xdr:colOff>
      <xdr:row>62</xdr:row>
      <xdr:rowOff>12700</xdr:rowOff>
    </xdr:from>
    <xdr:to>
      <xdr:col>14</xdr:col>
      <xdr:colOff>0</xdr:colOff>
      <xdr:row>62</xdr:row>
      <xdr:rowOff>292100</xdr:rowOff>
    </xdr:to>
    <xdr:sp macro="'editNorm &quot;CFG_FinanskontiV_8&quot;,&quot;CFG_FinanskontiV_8Delete&quot;,&quot;CFG_Finanskonti&quot;'" textlink="" fLocksText="0">
      <xdr:nvSpPr>
        <xdr:cNvPr id="2956" name="CFG_FinanskontiV_8Delete" hidden="1">
          <a:extLst>
            <a:ext uri="{FF2B5EF4-FFF2-40B4-BE49-F238E27FC236}">
              <a16:creationId xmlns:a16="http://schemas.microsoft.com/office/drawing/2014/main" id="{00000000-0008-0000-0400-00008C0B0000}"/>
            </a:ext>
          </a:extLst>
        </xdr:cNvPr>
        <xdr:cNvSpPr/>
      </xdr:nvSpPr>
      <xdr:spPr>
        <a:xfrm>
          <a:off x="10814050" y="19177000"/>
          <a:ext cx="749300" cy="279400"/>
        </a:xfrm>
        <a:prstGeom prst="roundRect">
          <a:avLst/>
        </a:prstGeom>
        <a:gradFill flip="none" rotWithShape="1">
          <a:gsLst>
            <a:gs pos="0">
              <a:srgbClr val="C83232"/>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Slet</a:t>
          </a:r>
        </a:p>
      </xdr:txBody>
    </xdr:sp>
    <xdr:clientData/>
  </xdr:twoCellAnchor>
  <xdr:twoCellAnchor>
    <xdr:from>
      <xdr:col>3</xdr:col>
      <xdr:colOff>0</xdr:colOff>
      <xdr:row>63</xdr:row>
      <xdr:rowOff>25400</xdr:rowOff>
    </xdr:from>
    <xdr:to>
      <xdr:col>13</xdr:col>
      <xdr:colOff>0</xdr:colOff>
      <xdr:row>63</xdr:row>
      <xdr:rowOff>50800</xdr:rowOff>
    </xdr:to>
    <xdr:sp macro="" textlink="">
      <xdr:nvSpPr>
        <xdr:cNvPr id="2957" name="CFG_FinanskontiL1_8">
          <a:extLst>
            <a:ext uri="{FF2B5EF4-FFF2-40B4-BE49-F238E27FC236}">
              <a16:creationId xmlns:a16="http://schemas.microsoft.com/office/drawing/2014/main" id="{00000000-0008-0000-0400-00008D0B0000}"/>
            </a:ext>
          </a:extLst>
        </xdr:cNvPr>
        <xdr:cNvSpPr/>
      </xdr:nvSpPr>
      <xdr:spPr>
        <a:xfrm>
          <a:off x="2343150" y="19494500"/>
          <a:ext cx="8382000" cy="25400"/>
        </a:xfrm>
        <a:prstGeom prst="roundRect">
          <a:avLst/>
        </a:prstGeom>
        <a:gradFill flip="none" rotWithShape="1">
          <a:gsLst>
            <a:gs pos="0">
              <a:srgbClr val="B4B4B4"/>
            </a:gs>
            <a:gs pos="100000">
              <a:srgbClr val="646464"/>
            </a:gs>
          </a:gsLst>
          <a:lin ang="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clientData/>
  </xdr:twoCellAnchor>
  <xdr:twoCellAnchor>
    <xdr:from>
      <xdr:col>11</xdr:col>
      <xdr:colOff>63500</xdr:colOff>
      <xdr:row>65</xdr:row>
      <xdr:rowOff>12700</xdr:rowOff>
    </xdr:from>
    <xdr:to>
      <xdr:col>13</xdr:col>
      <xdr:colOff>0</xdr:colOff>
      <xdr:row>65</xdr:row>
      <xdr:rowOff>292100</xdr:rowOff>
    </xdr:to>
    <xdr:sp macro="'editNorm &quot;CFG_FinanskontiV_9&quot;,&quot;CFG_FinanskontiV_9Red&quot;,&quot;CFG_Finanskonti&quot;'" textlink="" fLocksText="0">
      <xdr:nvSpPr>
        <xdr:cNvPr id="2958" name="CFG_FinanskontiV_9Red">
          <a:extLst>
            <a:ext uri="{FF2B5EF4-FFF2-40B4-BE49-F238E27FC236}">
              <a16:creationId xmlns:a16="http://schemas.microsoft.com/office/drawing/2014/main" id="{00000000-0008-0000-0400-00008E0B0000}"/>
            </a:ext>
          </a:extLst>
        </xdr:cNvPr>
        <xdr:cNvSpPr/>
      </xdr:nvSpPr>
      <xdr:spPr>
        <a:xfrm>
          <a:off x="9112250" y="19719925"/>
          <a:ext cx="1612900" cy="279400"/>
        </a:xfrm>
        <a:prstGeom prst="roundRect">
          <a:avLst/>
        </a:prstGeom>
        <a:gradFill flip="none" rotWithShape="1">
          <a:gsLst>
            <a:gs pos="0">
              <a:srgbClr val="B4B4B4"/>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Rediger</a:t>
          </a:r>
        </a:p>
      </xdr:txBody>
    </xdr:sp>
    <xdr:clientData/>
  </xdr:twoCellAnchor>
  <xdr:twoCellAnchor>
    <xdr:from>
      <xdr:col>11</xdr:col>
      <xdr:colOff>63500</xdr:colOff>
      <xdr:row>65</xdr:row>
      <xdr:rowOff>12700</xdr:rowOff>
    </xdr:from>
    <xdr:to>
      <xdr:col>12</xdr:col>
      <xdr:colOff>0</xdr:colOff>
      <xdr:row>65</xdr:row>
      <xdr:rowOff>292100</xdr:rowOff>
    </xdr:to>
    <xdr:sp macro="'editNorm &quot;CFG_FinanskontiV_9&quot;,&quot;CFG_FinanskontiV_9Gem&quot;,&quot;CFG_Finanskonti&quot;'" textlink="" fLocksText="0">
      <xdr:nvSpPr>
        <xdr:cNvPr id="2959" name="CFG_FinanskontiV_9Gem" hidden="1">
          <a:extLst>
            <a:ext uri="{FF2B5EF4-FFF2-40B4-BE49-F238E27FC236}">
              <a16:creationId xmlns:a16="http://schemas.microsoft.com/office/drawing/2014/main" id="{00000000-0008-0000-0400-00008F0B0000}"/>
            </a:ext>
          </a:extLst>
        </xdr:cNvPr>
        <xdr:cNvSpPr/>
      </xdr:nvSpPr>
      <xdr:spPr>
        <a:xfrm>
          <a:off x="9112250" y="19719925"/>
          <a:ext cx="774700" cy="279400"/>
        </a:xfrm>
        <a:prstGeom prst="roundRect">
          <a:avLst/>
        </a:prstGeom>
        <a:gradFill flip="none" rotWithShape="1">
          <a:gsLst>
            <a:gs pos="0">
              <a:srgbClr val="96B412"/>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Gem</a:t>
          </a:r>
        </a:p>
      </xdr:txBody>
    </xdr:sp>
    <xdr:clientData/>
  </xdr:twoCellAnchor>
  <xdr:twoCellAnchor>
    <xdr:from>
      <xdr:col>12</xdr:col>
      <xdr:colOff>88900</xdr:colOff>
      <xdr:row>65</xdr:row>
      <xdr:rowOff>12700</xdr:rowOff>
    </xdr:from>
    <xdr:to>
      <xdr:col>13</xdr:col>
      <xdr:colOff>0</xdr:colOff>
      <xdr:row>65</xdr:row>
      <xdr:rowOff>292100</xdr:rowOff>
    </xdr:to>
    <xdr:sp macro="'editNorm &quot;CFG_FinanskontiV_9&quot;,&quot;CFG_FinanskontiV_9Cancel&quot;,&quot;CFG_Finanskonti&quot;'" textlink="" fLocksText="0">
      <xdr:nvSpPr>
        <xdr:cNvPr id="2960" name="CFG_FinanskontiV_9Cancel" hidden="1">
          <a:extLst>
            <a:ext uri="{FF2B5EF4-FFF2-40B4-BE49-F238E27FC236}">
              <a16:creationId xmlns:a16="http://schemas.microsoft.com/office/drawing/2014/main" id="{00000000-0008-0000-0400-0000900B0000}"/>
            </a:ext>
          </a:extLst>
        </xdr:cNvPr>
        <xdr:cNvSpPr/>
      </xdr:nvSpPr>
      <xdr:spPr>
        <a:xfrm>
          <a:off x="9975850" y="19719925"/>
          <a:ext cx="749300" cy="279400"/>
        </a:xfrm>
        <a:prstGeom prst="roundRect">
          <a:avLst/>
        </a:prstGeom>
        <a:gradFill flip="none" rotWithShape="1">
          <a:gsLst>
            <a:gs pos="0">
              <a:srgbClr val="B4B4B4"/>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Annuller</a:t>
          </a:r>
        </a:p>
      </xdr:txBody>
    </xdr:sp>
    <xdr:clientData/>
  </xdr:twoCellAnchor>
  <xdr:twoCellAnchor>
    <xdr:from>
      <xdr:col>13</xdr:col>
      <xdr:colOff>88900</xdr:colOff>
      <xdr:row>65</xdr:row>
      <xdr:rowOff>12700</xdr:rowOff>
    </xdr:from>
    <xdr:to>
      <xdr:col>14</xdr:col>
      <xdr:colOff>0</xdr:colOff>
      <xdr:row>65</xdr:row>
      <xdr:rowOff>292100</xdr:rowOff>
    </xdr:to>
    <xdr:sp macro="'editNorm &quot;CFG_FinanskontiV_9&quot;,&quot;CFG_FinanskontiV_9Delete&quot;,&quot;CFG_Finanskonti&quot;'" textlink="" fLocksText="0">
      <xdr:nvSpPr>
        <xdr:cNvPr id="2961" name="CFG_FinanskontiV_9Delete" hidden="1">
          <a:extLst>
            <a:ext uri="{FF2B5EF4-FFF2-40B4-BE49-F238E27FC236}">
              <a16:creationId xmlns:a16="http://schemas.microsoft.com/office/drawing/2014/main" id="{00000000-0008-0000-0400-0000910B0000}"/>
            </a:ext>
          </a:extLst>
        </xdr:cNvPr>
        <xdr:cNvSpPr/>
      </xdr:nvSpPr>
      <xdr:spPr>
        <a:xfrm>
          <a:off x="10814050" y="19719925"/>
          <a:ext cx="749300" cy="279400"/>
        </a:xfrm>
        <a:prstGeom prst="roundRect">
          <a:avLst/>
        </a:prstGeom>
        <a:gradFill flip="none" rotWithShape="1">
          <a:gsLst>
            <a:gs pos="0">
              <a:srgbClr val="C83232"/>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Slet</a:t>
          </a:r>
        </a:p>
      </xdr:txBody>
    </xdr:sp>
    <xdr:clientData/>
  </xdr:twoCellAnchor>
  <xdr:twoCellAnchor>
    <xdr:from>
      <xdr:col>3</xdr:col>
      <xdr:colOff>0</xdr:colOff>
      <xdr:row>66</xdr:row>
      <xdr:rowOff>25400</xdr:rowOff>
    </xdr:from>
    <xdr:to>
      <xdr:col>13</xdr:col>
      <xdr:colOff>0</xdr:colOff>
      <xdr:row>66</xdr:row>
      <xdr:rowOff>50800</xdr:rowOff>
    </xdr:to>
    <xdr:sp macro="" textlink="">
      <xdr:nvSpPr>
        <xdr:cNvPr id="2962" name="CFG_FinanskontiL1_9">
          <a:extLst>
            <a:ext uri="{FF2B5EF4-FFF2-40B4-BE49-F238E27FC236}">
              <a16:creationId xmlns:a16="http://schemas.microsoft.com/office/drawing/2014/main" id="{00000000-0008-0000-0400-0000920B0000}"/>
            </a:ext>
          </a:extLst>
        </xdr:cNvPr>
        <xdr:cNvSpPr/>
      </xdr:nvSpPr>
      <xdr:spPr>
        <a:xfrm>
          <a:off x="2343150" y="20037425"/>
          <a:ext cx="8382000" cy="25400"/>
        </a:xfrm>
        <a:prstGeom prst="roundRect">
          <a:avLst/>
        </a:prstGeom>
        <a:gradFill flip="none" rotWithShape="1">
          <a:gsLst>
            <a:gs pos="0">
              <a:srgbClr val="B4B4B4"/>
            </a:gs>
            <a:gs pos="100000">
              <a:srgbClr val="646464"/>
            </a:gs>
          </a:gsLst>
          <a:lin ang="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clientData/>
  </xdr:twoCellAnchor>
  <xdr:twoCellAnchor>
    <xdr:from>
      <xdr:col>11</xdr:col>
      <xdr:colOff>63500</xdr:colOff>
      <xdr:row>68</xdr:row>
      <xdr:rowOff>12700</xdr:rowOff>
    </xdr:from>
    <xdr:to>
      <xdr:col>13</xdr:col>
      <xdr:colOff>0</xdr:colOff>
      <xdr:row>68</xdr:row>
      <xdr:rowOff>292100</xdr:rowOff>
    </xdr:to>
    <xdr:sp macro="'groupAdd &quot;CFG_Finanskonti&quot;'" textlink="" fLocksText="0">
      <xdr:nvSpPr>
        <xdr:cNvPr id="2963" name="CFG_FinanskontiAdd">
          <a:extLst>
            <a:ext uri="{FF2B5EF4-FFF2-40B4-BE49-F238E27FC236}">
              <a16:creationId xmlns:a16="http://schemas.microsoft.com/office/drawing/2014/main" id="{00000000-0008-0000-0400-0000930B0000}"/>
            </a:ext>
          </a:extLst>
        </xdr:cNvPr>
        <xdr:cNvSpPr/>
      </xdr:nvSpPr>
      <xdr:spPr>
        <a:xfrm>
          <a:off x="9112250" y="20262850"/>
          <a:ext cx="1612900" cy="279400"/>
        </a:xfrm>
        <a:prstGeom prst="roundRect">
          <a:avLst/>
        </a:prstGeom>
        <a:gradFill flip="none" rotWithShape="1">
          <a:gsLst>
            <a:gs pos="0">
              <a:srgbClr val="B4B4B4"/>
            </a:gs>
            <a:gs pos="100000">
              <a:srgbClr val="646464"/>
            </a:gs>
          </a:gsLst>
          <a:lin ang="5400000" scaled="1"/>
          <a:tileRect/>
        </a:gradFill>
        <a:ln w="25400" cap="flat" cmpd="sng" algn="ctr">
          <a:noFill/>
          <a:prstDash val="solid"/>
        </a:ln>
        <a:effectLst>
          <a:outerShdw blurRad="25400" dist="35921" dir="2700002" rotWithShape="0">
            <a:srgbClr val="646464">
              <a:alpha val="50000"/>
            </a:srgb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200">
              <a:solidFill>
                <a:srgbClr val="FFFFFF"/>
              </a:solidFill>
              <a:latin typeface="Arial"/>
            </a:rPr>
            <a:t>Tilføj</a:t>
          </a:r>
        </a:p>
      </xdr:txBody>
    </xdr:sp>
    <xdr:clientData/>
  </xdr:twoCellAnchor>
  <xdr:twoCellAnchor>
    <xdr:from>
      <xdr:col>10</xdr:col>
      <xdr:colOff>254000</xdr:colOff>
      <xdr:row>70</xdr:row>
      <xdr:rowOff>38100</xdr:rowOff>
    </xdr:from>
    <xdr:to>
      <xdr:col>13</xdr:col>
      <xdr:colOff>0</xdr:colOff>
      <xdr:row>70</xdr:row>
      <xdr:rowOff>317500</xdr:rowOff>
    </xdr:to>
    <xdr:sp macro="'startRun &quot;Konfiguration&quot;'" textlink="" fLocksText="0">
      <xdr:nvSpPr>
        <xdr:cNvPr id="2964" name="KonfigurationStartBtn">
          <a:extLst>
            <a:ext uri="{FF2B5EF4-FFF2-40B4-BE49-F238E27FC236}">
              <a16:creationId xmlns:a16="http://schemas.microsoft.com/office/drawing/2014/main" id="{00000000-0008-0000-0400-0000940B0000}"/>
            </a:ext>
          </a:extLst>
        </xdr:cNvPr>
        <xdr:cNvSpPr/>
      </xdr:nvSpPr>
      <xdr:spPr>
        <a:xfrm>
          <a:off x="8464550" y="20774025"/>
          <a:ext cx="2260600" cy="279400"/>
        </a:xfrm>
        <a:prstGeom prst="roundRect">
          <a:avLst/>
        </a:prstGeom>
        <a:gradFill flip="none" rotWithShape="1">
          <a:gsLst>
            <a:gs pos="0">
              <a:srgbClr val="0589EC"/>
            </a:gs>
            <a:gs pos="100000">
              <a:srgbClr val="1058A0"/>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ctr"/>
          <a:r>
            <a:rPr lang="da-DK" sz="1400">
              <a:solidFill>
                <a:srgbClr val="FFFFFF"/>
              </a:solidFill>
              <a:latin typeface="Arial"/>
            </a:rPr>
            <a:t>Start</a:t>
          </a:r>
        </a:p>
      </xdr:txBody>
    </xdr:sp>
    <xdr:clientData/>
  </xdr:twoCellAnchor>
  <xdr:twoCellAnchor>
    <xdr:from>
      <xdr:col>12</xdr:col>
      <xdr:colOff>614680</xdr:colOff>
      <xdr:row>70</xdr:row>
      <xdr:rowOff>117929</xdr:rowOff>
    </xdr:from>
    <xdr:to>
      <xdr:col>12</xdr:col>
      <xdr:colOff>728980</xdr:colOff>
      <xdr:row>70</xdr:row>
      <xdr:rowOff>232229</xdr:rowOff>
    </xdr:to>
    <xdr:sp macro="'startRun &quot;Konfiguration&quot;'" textlink="">
      <xdr:nvSpPr>
        <xdr:cNvPr id="2965" name="KonfigurationStartBtnarrow">
          <a:extLst>
            <a:ext uri="{FF2B5EF4-FFF2-40B4-BE49-F238E27FC236}">
              <a16:creationId xmlns:a16="http://schemas.microsoft.com/office/drawing/2014/main" id="{00000000-0008-0000-0400-0000950B0000}"/>
            </a:ext>
          </a:extLst>
        </xdr:cNvPr>
        <xdr:cNvSpPr/>
      </xdr:nvSpPr>
      <xdr:spPr>
        <a:xfrm rot="8100000">
          <a:off x="10501630" y="20853854"/>
          <a:ext cx="114300" cy="114300"/>
        </a:xfrm>
        <a:prstGeom prst="halfFrame">
          <a:avLst>
            <a:gd name="adj1" fmla="val 15000"/>
            <a:gd name="adj2" fmla="val 15000"/>
          </a:avLst>
        </a:prstGeom>
        <a:gradFill flip="none" rotWithShape="1">
          <a:gsLst>
            <a:gs pos="0">
              <a:srgbClr val="FFFFFF"/>
            </a:gs>
            <a:gs pos="100000">
              <a:srgbClr val="FFFFFF"/>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solidFill>
              <a:schemeClr val="tx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1</xdr:row>
      <xdr:rowOff>38100</xdr:rowOff>
    </xdr:from>
    <xdr:to>
      <xdr:col>8</xdr:col>
      <xdr:colOff>0</xdr:colOff>
      <xdr:row>1</xdr:row>
      <xdr:rowOff>609600</xdr:rowOff>
    </xdr:to>
    <xdr:sp macro="" textlink="" fLocksText="0">
      <xdr:nvSpPr>
        <xdr:cNvPr id="14" name="ProjektudgifterHeader">
          <a:extLst>
            <a:ext uri="{FF2B5EF4-FFF2-40B4-BE49-F238E27FC236}">
              <a16:creationId xmlns:a16="http://schemas.microsoft.com/office/drawing/2014/main" id="{00000000-0008-0000-0500-00000E000000}"/>
            </a:ext>
          </a:extLst>
        </xdr:cNvPr>
        <xdr:cNvSpPr/>
      </xdr:nvSpPr>
      <xdr:spPr>
        <a:xfrm>
          <a:off x="238125" y="219075"/>
          <a:ext cx="10563225" cy="571500"/>
        </a:xfrm>
        <a:prstGeom prst="roundRect">
          <a:avLst>
            <a:gd name="adj" fmla="val 0"/>
          </a:avLst>
        </a:prstGeom>
        <a:noFill/>
        <a:ln w="25400" cap="flat" cmpd="sng" algn="ctr">
          <a:noFill/>
          <a:prstDash val="solid"/>
        </a:ln>
        <a:effectLst/>
        <a:extLst>
          <a:ext uri="{909E8E84-426E-40DD-AFC4-6F175D3DCCD1}">
            <a14:hiddenFill xmlns:a14="http://schemas.microsoft.com/office/drawing/2010/main">
              <a:gradFill flip="none" rotWithShape="1">
                <a:gsLst>
                  <a:gs pos="0">
                    <a:srgbClr val="FFFFFF"/>
                  </a:gs>
                  <a:gs pos="100000">
                    <a:srgbClr val="FFFFFF"/>
                  </a:gs>
                </a:gsLst>
                <a:lin ang="5400000" scaled="1"/>
                <a:tileRect/>
              </a:gra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l"/>
          <a:r>
            <a:rPr lang="da-DK" sz="3600" b="1">
              <a:solidFill>
                <a:srgbClr val="000000"/>
              </a:solidFill>
              <a:latin typeface="Arial"/>
            </a:rPr>
            <a:t>Projektudgifter</a:t>
          </a:r>
        </a:p>
      </xdr:txBody>
    </xdr:sp>
    <xdr:clientData/>
  </xdr:twoCellAnchor>
  <xdr:twoCellAnchor>
    <xdr:from>
      <xdr:col>1</xdr:col>
      <xdr:colOff>0</xdr:colOff>
      <xdr:row>2</xdr:row>
      <xdr:rowOff>38100</xdr:rowOff>
    </xdr:from>
    <xdr:to>
      <xdr:col>8</xdr:col>
      <xdr:colOff>0</xdr:colOff>
      <xdr:row>2</xdr:row>
      <xdr:rowOff>381000</xdr:rowOff>
    </xdr:to>
    <xdr:sp macro="" textlink="" fLocksText="0">
      <xdr:nvSpPr>
        <xdr:cNvPr id="15" name="ProjektudgifterHeader3">
          <a:extLst>
            <a:ext uri="{FF2B5EF4-FFF2-40B4-BE49-F238E27FC236}">
              <a16:creationId xmlns:a16="http://schemas.microsoft.com/office/drawing/2014/main" id="{00000000-0008-0000-0500-00000F000000}"/>
            </a:ext>
          </a:extLst>
        </xdr:cNvPr>
        <xdr:cNvSpPr/>
      </xdr:nvSpPr>
      <xdr:spPr>
        <a:xfrm>
          <a:off x="238125" y="838200"/>
          <a:ext cx="10563225" cy="342900"/>
        </a:xfrm>
        <a:prstGeom prst="roundRect">
          <a:avLst>
            <a:gd name="adj" fmla="val 0"/>
          </a:avLst>
        </a:prstGeom>
        <a:noFill/>
        <a:ln w="25400" cap="flat" cmpd="sng" algn="ctr">
          <a:noFill/>
          <a:prstDash val="solid"/>
        </a:ln>
        <a:effectLst/>
        <a:extLst>
          <a:ext uri="{909E8E84-426E-40DD-AFC4-6F175D3DCCD1}">
            <a14:hiddenFill xmlns:a14="http://schemas.microsoft.com/office/drawing/2010/main">
              <a:gradFill flip="none" rotWithShape="1">
                <a:gsLst>
                  <a:gs pos="0">
                    <a:srgbClr val="FFFFFF"/>
                  </a:gs>
                  <a:gs pos="100000">
                    <a:srgbClr val="FFFFFF"/>
                  </a:gs>
                </a:gsLst>
                <a:lin ang="5400000" scaled="1"/>
                <a:tileRect/>
              </a:gra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l"/>
          <a:r>
            <a:rPr lang="da-DK" sz="1800" b="1">
              <a:solidFill>
                <a:srgbClr val="000000"/>
              </a:solidFill>
              <a:latin typeface="Arial"/>
            </a:rPr>
            <a:t> </a:t>
          </a:r>
        </a:p>
      </xdr:txBody>
    </xdr:sp>
    <xdr:clientData/>
  </xdr:twoCellAnchor>
  <xdr:twoCellAnchor>
    <xdr:from>
      <xdr:col>1</xdr:col>
      <xdr:colOff>0</xdr:colOff>
      <xdr:row>5</xdr:row>
      <xdr:rowOff>12700</xdr:rowOff>
    </xdr:from>
    <xdr:to>
      <xdr:col>20</xdr:col>
      <xdr:colOff>0</xdr:colOff>
      <xdr:row>5</xdr:row>
      <xdr:rowOff>355600</xdr:rowOff>
    </xdr:to>
    <xdr:sp macro="" textlink="" fLocksText="0">
      <xdr:nvSpPr>
        <xdr:cNvPr id="16" name="ProjektudgifterMain1">
          <a:extLst>
            <a:ext uri="{FF2B5EF4-FFF2-40B4-BE49-F238E27FC236}">
              <a16:creationId xmlns:a16="http://schemas.microsoft.com/office/drawing/2014/main" id="{00000000-0008-0000-0500-000010000000}"/>
            </a:ext>
          </a:extLst>
        </xdr:cNvPr>
        <xdr:cNvSpPr/>
      </xdr:nvSpPr>
      <xdr:spPr>
        <a:xfrm>
          <a:off x="238125" y="1565275"/>
          <a:ext cx="20621625" cy="342900"/>
        </a:xfrm>
        <a:prstGeom prst="roundRect">
          <a:avLst>
            <a:gd name="adj" fmla="val 0"/>
          </a:avLst>
        </a:prstGeom>
        <a:gradFill flip="none" rotWithShape="1">
          <a:gsLst>
            <a:gs pos="0">
              <a:srgbClr val="940027"/>
            </a:gs>
            <a:gs pos="100000">
              <a:srgbClr val="940027"/>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88900" rtlCol="0" anchor="ctr"/>
        <a:lstStyle/>
        <a:p>
          <a:pPr algn="l"/>
          <a:r>
            <a:rPr lang="da-DK" sz="2000" b="1">
              <a:solidFill>
                <a:srgbClr val="FFFFFF"/>
              </a:solidFill>
              <a:latin typeface="Arial"/>
            </a:rPr>
            <a:t>Nøgletal</a:t>
          </a:r>
        </a:p>
      </xdr:txBody>
    </xdr:sp>
    <xdr:clientData/>
  </xdr:twoCellAnchor>
  <xdr:twoCellAnchor>
    <xdr:from>
      <xdr:col>1</xdr:col>
      <xdr:colOff>0</xdr:colOff>
      <xdr:row>11</xdr:row>
      <xdr:rowOff>12700</xdr:rowOff>
    </xdr:from>
    <xdr:to>
      <xdr:col>20</xdr:col>
      <xdr:colOff>0</xdr:colOff>
      <xdr:row>11</xdr:row>
      <xdr:rowOff>355600</xdr:rowOff>
    </xdr:to>
    <xdr:sp macro="" textlink="" fLocksText="0">
      <xdr:nvSpPr>
        <xdr:cNvPr id="17" name="ProjektudgifterMain2">
          <a:extLst>
            <a:ext uri="{FF2B5EF4-FFF2-40B4-BE49-F238E27FC236}">
              <a16:creationId xmlns:a16="http://schemas.microsoft.com/office/drawing/2014/main" id="{00000000-0008-0000-0500-000011000000}"/>
            </a:ext>
          </a:extLst>
        </xdr:cNvPr>
        <xdr:cNvSpPr/>
      </xdr:nvSpPr>
      <xdr:spPr>
        <a:xfrm>
          <a:off x="238125" y="3108325"/>
          <a:ext cx="20621625" cy="342900"/>
        </a:xfrm>
        <a:prstGeom prst="roundRect">
          <a:avLst>
            <a:gd name="adj" fmla="val 0"/>
          </a:avLst>
        </a:prstGeom>
        <a:gradFill flip="none" rotWithShape="1">
          <a:gsLst>
            <a:gs pos="0">
              <a:srgbClr val="940027"/>
            </a:gs>
            <a:gs pos="100000">
              <a:srgbClr val="940027"/>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88900" rtlCol="0" anchor="ctr"/>
        <a:lstStyle/>
        <a:p>
          <a:pPr algn="l"/>
          <a:r>
            <a:rPr lang="da-DK" sz="2000" b="1">
              <a:solidFill>
                <a:srgbClr val="FFFFFF"/>
              </a:solidFill>
              <a:latin typeface="Arial"/>
            </a:rPr>
            <a:t>Forudsætninger</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xdr:row>
      <xdr:rowOff>38100</xdr:rowOff>
    </xdr:from>
    <xdr:to>
      <xdr:col>8</xdr:col>
      <xdr:colOff>0</xdr:colOff>
      <xdr:row>1</xdr:row>
      <xdr:rowOff>609600</xdr:rowOff>
    </xdr:to>
    <xdr:sp macro="" textlink="" fLocksText="0">
      <xdr:nvSpPr>
        <xdr:cNvPr id="14" name="ProgramudgifterHeader">
          <a:extLst>
            <a:ext uri="{FF2B5EF4-FFF2-40B4-BE49-F238E27FC236}">
              <a16:creationId xmlns:a16="http://schemas.microsoft.com/office/drawing/2014/main" id="{00000000-0008-0000-0600-00000E000000}"/>
            </a:ext>
          </a:extLst>
        </xdr:cNvPr>
        <xdr:cNvSpPr/>
      </xdr:nvSpPr>
      <xdr:spPr>
        <a:xfrm>
          <a:off x="238125" y="219075"/>
          <a:ext cx="10563225" cy="571500"/>
        </a:xfrm>
        <a:prstGeom prst="roundRect">
          <a:avLst>
            <a:gd name="adj" fmla="val 0"/>
          </a:avLst>
        </a:prstGeom>
        <a:noFill/>
        <a:ln w="25400" cap="flat" cmpd="sng" algn="ctr">
          <a:noFill/>
          <a:prstDash val="solid"/>
        </a:ln>
        <a:effectLst/>
        <a:extLst>
          <a:ext uri="{909E8E84-426E-40DD-AFC4-6F175D3DCCD1}">
            <a14:hiddenFill xmlns:a14="http://schemas.microsoft.com/office/drawing/2010/main">
              <a:gradFill flip="none" rotWithShape="1">
                <a:gsLst>
                  <a:gs pos="0">
                    <a:srgbClr val="FFFFFF"/>
                  </a:gs>
                  <a:gs pos="100000">
                    <a:srgbClr val="FFFFFF"/>
                  </a:gs>
                </a:gsLst>
                <a:lin ang="5400000" scaled="1"/>
                <a:tileRect/>
              </a:gra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l"/>
          <a:r>
            <a:rPr lang="da-DK" sz="3600" b="1">
              <a:solidFill>
                <a:srgbClr val="000000"/>
              </a:solidFill>
              <a:latin typeface="Arial"/>
            </a:rPr>
            <a:t>Programudgifter</a:t>
          </a:r>
        </a:p>
      </xdr:txBody>
    </xdr:sp>
    <xdr:clientData/>
  </xdr:twoCellAnchor>
  <xdr:twoCellAnchor>
    <xdr:from>
      <xdr:col>1</xdr:col>
      <xdr:colOff>0</xdr:colOff>
      <xdr:row>2</xdr:row>
      <xdr:rowOff>38100</xdr:rowOff>
    </xdr:from>
    <xdr:to>
      <xdr:col>8</xdr:col>
      <xdr:colOff>0</xdr:colOff>
      <xdr:row>2</xdr:row>
      <xdr:rowOff>381000</xdr:rowOff>
    </xdr:to>
    <xdr:sp macro="" textlink="" fLocksText="0">
      <xdr:nvSpPr>
        <xdr:cNvPr id="15" name="ProgramudgifterHeader3">
          <a:extLst>
            <a:ext uri="{FF2B5EF4-FFF2-40B4-BE49-F238E27FC236}">
              <a16:creationId xmlns:a16="http://schemas.microsoft.com/office/drawing/2014/main" id="{00000000-0008-0000-0600-00000F000000}"/>
            </a:ext>
          </a:extLst>
        </xdr:cNvPr>
        <xdr:cNvSpPr/>
      </xdr:nvSpPr>
      <xdr:spPr>
        <a:xfrm>
          <a:off x="238125" y="838200"/>
          <a:ext cx="10563225" cy="342900"/>
        </a:xfrm>
        <a:prstGeom prst="roundRect">
          <a:avLst>
            <a:gd name="adj" fmla="val 0"/>
          </a:avLst>
        </a:prstGeom>
        <a:noFill/>
        <a:ln w="25400" cap="flat" cmpd="sng" algn="ctr">
          <a:noFill/>
          <a:prstDash val="solid"/>
        </a:ln>
        <a:effectLst/>
        <a:extLst>
          <a:ext uri="{909E8E84-426E-40DD-AFC4-6F175D3DCCD1}">
            <a14:hiddenFill xmlns:a14="http://schemas.microsoft.com/office/drawing/2010/main">
              <a:gradFill flip="none" rotWithShape="1">
                <a:gsLst>
                  <a:gs pos="0">
                    <a:srgbClr val="FFFFFF"/>
                  </a:gs>
                  <a:gs pos="100000">
                    <a:srgbClr val="FFFFFF"/>
                  </a:gs>
                </a:gsLst>
                <a:lin ang="5400000" scaled="1"/>
                <a:tileRect/>
              </a:gra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l"/>
          <a:r>
            <a:rPr lang="da-DK" sz="1800" b="1">
              <a:solidFill>
                <a:srgbClr val="000000"/>
              </a:solidFill>
              <a:latin typeface="Arial"/>
            </a:rPr>
            <a:t> </a:t>
          </a:r>
        </a:p>
      </xdr:txBody>
    </xdr:sp>
    <xdr:clientData/>
  </xdr:twoCellAnchor>
  <xdr:twoCellAnchor>
    <xdr:from>
      <xdr:col>1</xdr:col>
      <xdr:colOff>0</xdr:colOff>
      <xdr:row>5</xdr:row>
      <xdr:rowOff>12700</xdr:rowOff>
    </xdr:from>
    <xdr:to>
      <xdr:col>20</xdr:col>
      <xdr:colOff>0</xdr:colOff>
      <xdr:row>5</xdr:row>
      <xdr:rowOff>355600</xdr:rowOff>
    </xdr:to>
    <xdr:sp macro="" textlink="" fLocksText="0">
      <xdr:nvSpPr>
        <xdr:cNvPr id="16" name="ProgramudgifterMain1">
          <a:extLst>
            <a:ext uri="{FF2B5EF4-FFF2-40B4-BE49-F238E27FC236}">
              <a16:creationId xmlns:a16="http://schemas.microsoft.com/office/drawing/2014/main" id="{00000000-0008-0000-0600-000010000000}"/>
            </a:ext>
          </a:extLst>
        </xdr:cNvPr>
        <xdr:cNvSpPr/>
      </xdr:nvSpPr>
      <xdr:spPr>
        <a:xfrm>
          <a:off x="238125" y="1565275"/>
          <a:ext cx="20621625" cy="342900"/>
        </a:xfrm>
        <a:prstGeom prst="roundRect">
          <a:avLst>
            <a:gd name="adj" fmla="val 0"/>
          </a:avLst>
        </a:prstGeom>
        <a:gradFill flip="none" rotWithShape="1">
          <a:gsLst>
            <a:gs pos="0">
              <a:srgbClr val="940027"/>
            </a:gs>
            <a:gs pos="100000">
              <a:srgbClr val="940027"/>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88900" rtlCol="0" anchor="ctr"/>
        <a:lstStyle/>
        <a:p>
          <a:pPr algn="l"/>
          <a:r>
            <a:rPr lang="da-DK" sz="2000" b="1">
              <a:solidFill>
                <a:srgbClr val="FFFFFF"/>
              </a:solidFill>
              <a:latin typeface="Arial"/>
            </a:rPr>
            <a:t>Nøgletal</a:t>
          </a:r>
        </a:p>
      </xdr:txBody>
    </xdr:sp>
    <xdr:clientData/>
  </xdr:twoCellAnchor>
  <xdr:twoCellAnchor>
    <xdr:from>
      <xdr:col>1</xdr:col>
      <xdr:colOff>0</xdr:colOff>
      <xdr:row>11</xdr:row>
      <xdr:rowOff>12700</xdr:rowOff>
    </xdr:from>
    <xdr:to>
      <xdr:col>20</xdr:col>
      <xdr:colOff>0</xdr:colOff>
      <xdr:row>11</xdr:row>
      <xdr:rowOff>355600</xdr:rowOff>
    </xdr:to>
    <xdr:sp macro="" textlink="" fLocksText="0">
      <xdr:nvSpPr>
        <xdr:cNvPr id="17" name="ProgramudgifterMain2">
          <a:extLst>
            <a:ext uri="{FF2B5EF4-FFF2-40B4-BE49-F238E27FC236}">
              <a16:creationId xmlns:a16="http://schemas.microsoft.com/office/drawing/2014/main" id="{00000000-0008-0000-0600-000011000000}"/>
            </a:ext>
          </a:extLst>
        </xdr:cNvPr>
        <xdr:cNvSpPr/>
      </xdr:nvSpPr>
      <xdr:spPr>
        <a:xfrm>
          <a:off x="238125" y="3108325"/>
          <a:ext cx="20621625" cy="342900"/>
        </a:xfrm>
        <a:prstGeom prst="roundRect">
          <a:avLst>
            <a:gd name="adj" fmla="val 0"/>
          </a:avLst>
        </a:prstGeom>
        <a:gradFill flip="none" rotWithShape="1">
          <a:gsLst>
            <a:gs pos="0">
              <a:srgbClr val="940027"/>
            </a:gs>
            <a:gs pos="100000">
              <a:srgbClr val="940027"/>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88900" rtlCol="0" anchor="ctr"/>
        <a:lstStyle/>
        <a:p>
          <a:pPr algn="l"/>
          <a:r>
            <a:rPr lang="da-DK" sz="2000" b="1">
              <a:solidFill>
                <a:srgbClr val="FFFFFF"/>
              </a:solidFill>
              <a:latin typeface="Arial"/>
            </a:rPr>
            <a:t>Forudsætninger</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0</xdr:colOff>
      <xdr:row>1</xdr:row>
      <xdr:rowOff>38100</xdr:rowOff>
    </xdr:from>
    <xdr:to>
      <xdr:col>8</xdr:col>
      <xdr:colOff>0</xdr:colOff>
      <xdr:row>1</xdr:row>
      <xdr:rowOff>609600</xdr:rowOff>
    </xdr:to>
    <xdr:sp macro="" textlink="" fLocksText="0">
      <xdr:nvSpPr>
        <xdr:cNvPr id="17" name="DriftfremtidigudenprojektHeader1">
          <a:extLst>
            <a:ext uri="{FF2B5EF4-FFF2-40B4-BE49-F238E27FC236}">
              <a16:creationId xmlns:a16="http://schemas.microsoft.com/office/drawing/2014/main" id="{00000000-0008-0000-0700-000011000000}"/>
            </a:ext>
          </a:extLst>
        </xdr:cNvPr>
        <xdr:cNvSpPr/>
      </xdr:nvSpPr>
      <xdr:spPr>
        <a:xfrm>
          <a:off x="238125" y="219075"/>
          <a:ext cx="10563225" cy="571500"/>
        </a:xfrm>
        <a:prstGeom prst="roundRect">
          <a:avLst>
            <a:gd name="adj" fmla="val 0"/>
          </a:avLst>
        </a:prstGeom>
        <a:noFill/>
        <a:ln w="25400" cap="flat" cmpd="sng" algn="ctr">
          <a:noFill/>
          <a:prstDash val="solid"/>
        </a:ln>
        <a:effectLst/>
        <a:extLst>
          <a:ext uri="{909E8E84-426E-40DD-AFC4-6F175D3DCCD1}">
            <a14:hiddenFill xmlns:a14="http://schemas.microsoft.com/office/drawing/2010/main">
              <a:gradFill flip="none" rotWithShape="1">
                <a:gsLst>
                  <a:gs pos="0">
                    <a:srgbClr val="FFFFFF"/>
                  </a:gs>
                  <a:gs pos="100000">
                    <a:srgbClr val="FFFFFF"/>
                  </a:gs>
                </a:gsLst>
                <a:lin ang="5400000" scaled="1"/>
                <a:tileRect/>
              </a:gra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l"/>
          <a:r>
            <a:rPr lang="da-DK" sz="3600" b="1">
              <a:solidFill>
                <a:srgbClr val="000000"/>
              </a:solidFill>
              <a:latin typeface="Arial"/>
            </a:rPr>
            <a:t>Drift - fremtidig uden projekt</a:t>
          </a:r>
        </a:p>
      </xdr:txBody>
    </xdr:sp>
    <xdr:clientData/>
  </xdr:twoCellAnchor>
  <xdr:twoCellAnchor>
    <xdr:from>
      <xdr:col>14</xdr:col>
      <xdr:colOff>0</xdr:colOff>
      <xdr:row>1</xdr:row>
      <xdr:rowOff>38100</xdr:rowOff>
    </xdr:from>
    <xdr:to>
      <xdr:col>17</xdr:col>
      <xdr:colOff>0</xdr:colOff>
      <xdr:row>3</xdr:row>
      <xdr:rowOff>0</xdr:rowOff>
    </xdr:to>
    <xdr:sp macro="" textlink="" fLocksText="0">
      <xdr:nvSpPr>
        <xdr:cNvPr id="18" name="DriftfremtidigudenprojektHeader2">
          <a:extLst>
            <a:ext uri="{FF2B5EF4-FFF2-40B4-BE49-F238E27FC236}">
              <a16:creationId xmlns:a16="http://schemas.microsoft.com/office/drawing/2014/main" id="{00000000-0008-0000-0700-000012000000}"/>
            </a:ext>
          </a:extLst>
        </xdr:cNvPr>
        <xdr:cNvSpPr/>
      </xdr:nvSpPr>
      <xdr:spPr>
        <a:xfrm>
          <a:off x="16487775" y="219075"/>
          <a:ext cx="2009775" cy="762000"/>
        </a:xfrm>
        <a:prstGeom prst="roundRect">
          <a:avLst>
            <a:gd name="adj" fmla="val 0"/>
          </a:avLst>
        </a:prstGeom>
        <a:gradFill flip="none" rotWithShape="1">
          <a:gsLst>
            <a:gs pos="0">
              <a:srgbClr val="D9D9D9"/>
            </a:gs>
            <a:gs pos="100000">
              <a:srgbClr val="D9D9D9"/>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254000" tIns="38100" rtlCol="0" anchor="ctr"/>
        <a:lstStyle/>
        <a:p>
          <a:pPr algn="l"/>
          <a:r>
            <a:rPr lang="da-DK" sz="1000">
              <a:solidFill>
                <a:srgbClr val="000000"/>
              </a:solidFill>
              <a:latin typeface="Arial"/>
            </a:rPr>
            <a:t>Driftssituationen med det billigste alternativ til at løse samme opgaver som projektet påvirker</a:t>
          </a:r>
        </a:p>
      </xdr:txBody>
    </xdr:sp>
    <xdr:clientData/>
  </xdr:twoCellAnchor>
  <xdr:twoCellAnchor>
    <xdr:from>
      <xdr:col>1</xdr:col>
      <xdr:colOff>0</xdr:colOff>
      <xdr:row>2</xdr:row>
      <xdr:rowOff>38100</xdr:rowOff>
    </xdr:from>
    <xdr:to>
      <xdr:col>8</xdr:col>
      <xdr:colOff>0</xdr:colOff>
      <xdr:row>2</xdr:row>
      <xdr:rowOff>381000</xdr:rowOff>
    </xdr:to>
    <xdr:sp macro="" textlink="" fLocksText="0">
      <xdr:nvSpPr>
        <xdr:cNvPr id="19" name="DriftfremtidigudenprojektHeader3">
          <a:extLst>
            <a:ext uri="{FF2B5EF4-FFF2-40B4-BE49-F238E27FC236}">
              <a16:creationId xmlns:a16="http://schemas.microsoft.com/office/drawing/2014/main" id="{00000000-0008-0000-0700-000013000000}"/>
            </a:ext>
          </a:extLst>
        </xdr:cNvPr>
        <xdr:cNvSpPr/>
      </xdr:nvSpPr>
      <xdr:spPr>
        <a:xfrm>
          <a:off x="238125" y="838200"/>
          <a:ext cx="10563225" cy="342900"/>
        </a:xfrm>
        <a:prstGeom prst="roundRect">
          <a:avLst>
            <a:gd name="adj" fmla="val 0"/>
          </a:avLst>
        </a:prstGeom>
        <a:noFill/>
        <a:ln w="25400" cap="flat" cmpd="sng" algn="ctr">
          <a:noFill/>
          <a:prstDash val="solid"/>
        </a:ln>
        <a:effectLst/>
        <a:extLst>
          <a:ext uri="{909E8E84-426E-40DD-AFC4-6F175D3DCCD1}">
            <a14:hiddenFill xmlns:a14="http://schemas.microsoft.com/office/drawing/2010/main">
              <a:gradFill flip="none" rotWithShape="1">
                <a:gsLst>
                  <a:gs pos="0">
                    <a:srgbClr val="FFFFFF"/>
                  </a:gs>
                  <a:gs pos="100000">
                    <a:srgbClr val="FFFFFF"/>
                  </a:gs>
                </a:gsLst>
                <a:lin ang="5400000" scaled="1"/>
                <a:tileRect/>
              </a:gra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l"/>
          <a:r>
            <a:rPr lang="da-DK" sz="1800" b="1">
              <a:solidFill>
                <a:srgbClr val="000000"/>
              </a:solidFill>
              <a:latin typeface="Arial"/>
            </a:rPr>
            <a:t>0-scenarie</a:t>
          </a:r>
        </a:p>
      </xdr:txBody>
    </xdr:sp>
    <xdr:clientData/>
  </xdr:twoCellAnchor>
  <xdr:twoCellAnchor>
    <xdr:from>
      <xdr:col>1</xdr:col>
      <xdr:colOff>0</xdr:colOff>
      <xdr:row>5</xdr:row>
      <xdr:rowOff>12700</xdr:rowOff>
    </xdr:from>
    <xdr:to>
      <xdr:col>20</xdr:col>
      <xdr:colOff>0</xdr:colOff>
      <xdr:row>5</xdr:row>
      <xdr:rowOff>355600</xdr:rowOff>
    </xdr:to>
    <xdr:sp macro="" textlink="" fLocksText="0">
      <xdr:nvSpPr>
        <xdr:cNvPr id="20" name="DriftfremtidigudenprojektMain1">
          <a:extLst>
            <a:ext uri="{FF2B5EF4-FFF2-40B4-BE49-F238E27FC236}">
              <a16:creationId xmlns:a16="http://schemas.microsoft.com/office/drawing/2014/main" id="{00000000-0008-0000-0700-000014000000}"/>
            </a:ext>
          </a:extLst>
        </xdr:cNvPr>
        <xdr:cNvSpPr/>
      </xdr:nvSpPr>
      <xdr:spPr>
        <a:xfrm>
          <a:off x="238125" y="1565275"/>
          <a:ext cx="20621625" cy="342900"/>
        </a:xfrm>
        <a:prstGeom prst="roundRect">
          <a:avLst>
            <a:gd name="adj" fmla="val 0"/>
          </a:avLst>
        </a:prstGeom>
        <a:gradFill flip="none" rotWithShape="1">
          <a:gsLst>
            <a:gs pos="0">
              <a:srgbClr val="940027"/>
            </a:gs>
            <a:gs pos="100000">
              <a:srgbClr val="940027"/>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88900" rtlCol="0" anchor="ctr"/>
        <a:lstStyle/>
        <a:p>
          <a:pPr algn="l"/>
          <a:r>
            <a:rPr lang="da-DK" sz="2000" b="1">
              <a:solidFill>
                <a:srgbClr val="FFFFFF"/>
              </a:solidFill>
              <a:latin typeface="Arial"/>
            </a:rPr>
            <a:t>Økonomi </a:t>
          </a:r>
        </a:p>
      </xdr:txBody>
    </xdr:sp>
    <xdr:clientData/>
  </xdr:twoCellAnchor>
  <xdr:twoCellAnchor>
    <xdr:from>
      <xdr:col>1</xdr:col>
      <xdr:colOff>0</xdr:colOff>
      <xdr:row>11</xdr:row>
      <xdr:rowOff>12700</xdr:rowOff>
    </xdr:from>
    <xdr:to>
      <xdr:col>20</xdr:col>
      <xdr:colOff>0</xdr:colOff>
      <xdr:row>11</xdr:row>
      <xdr:rowOff>355600</xdr:rowOff>
    </xdr:to>
    <xdr:sp macro="" textlink="" fLocksText="0">
      <xdr:nvSpPr>
        <xdr:cNvPr id="21" name="DriftfremtidigudenprojektMain2">
          <a:extLst>
            <a:ext uri="{FF2B5EF4-FFF2-40B4-BE49-F238E27FC236}">
              <a16:creationId xmlns:a16="http://schemas.microsoft.com/office/drawing/2014/main" id="{00000000-0008-0000-0700-000015000000}"/>
            </a:ext>
          </a:extLst>
        </xdr:cNvPr>
        <xdr:cNvSpPr/>
      </xdr:nvSpPr>
      <xdr:spPr>
        <a:xfrm>
          <a:off x="238125" y="3108325"/>
          <a:ext cx="20621625" cy="342900"/>
        </a:xfrm>
        <a:prstGeom prst="roundRect">
          <a:avLst>
            <a:gd name="adj" fmla="val 0"/>
          </a:avLst>
        </a:prstGeom>
        <a:gradFill flip="none" rotWithShape="1">
          <a:gsLst>
            <a:gs pos="0">
              <a:srgbClr val="940027"/>
            </a:gs>
            <a:gs pos="100000">
              <a:srgbClr val="940027"/>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88900" rtlCol="0" anchor="ctr"/>
        <a:lstStyle/>
        <a:p>
          <a:pPr algn="l"/>
          <a:r>
            <a:rPr lang="da-DK" sz="2000" b="1">
              <a:solidFill>
                <a:srgbClr val="FFFFFF"/>
              </a:solidFill>
              <a:latin typeface="Arial"/>
            </a:rPr>
            <a:t>Kvalitetsløft</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0</xdr:colOff>
      <xdr:row>1</xdr:row>
      <xdr:rowOff>38100</xdr:rowOff>
    </xdr:from>
    <xdr:to>
      <xdr:col>8</xdr:col>
      <xdr:colOff>0</xdr:colOff>
      <xdr:row>1</xdr:row>
      <xdr:rowOff>609600</xdr:rowOff>
    </xdr:to>
    <xdr:sp macro="" textlink="" fLocksText="0">
      <xdr:nvSpPr>
        <xdr:cNvPr id="17" name="DriftmedprojektHeader1">
          <a:extLst>
            <a:ext uri="{FF2B5EF4-FFF2-40B4-BE49-F238E27FC236}">
              <a16:creationId xmlns:a16="http://schemas.microsoft.com/office/drawing/2014/main" id="{00000000-0008-0000-0800-000011000000}"/>
            </a:ext>
          </a:extLst>
        </xdr:cNvPr>
        <xdr:cNvSpPr/>
      </xdr:nvSpPr>
      <xdr:spPr>
        <a:xfrm>
          <a:off x="238125" y="219075"/>
          <a:ext cx="10563225" cy="571500"/>
        </a:xfrm>
        <a:prstGeom prst="roundRect">
          <a:avLst>
            <a:gd name="adj" fmla="val 0"/>
          </a:avLst>
        </a:prstGeom>
        <a:noFill/>
        <a:ln w="25400" cap="flat" cmpd="sng" algn="ctr">
          <a:noFill/>
          <a:prstDash val="solid"/>
        </a:ln>
        <a:effectLst/>
        <a:extLst>
          <a:ext uri="{909E8E84-426E-40DD-AFC4-6F175D3DCCD1}">
            <a14:hiddenFill xmlns:a14="http://schemas.microsoft.com/office/drawing/2010/main">
              <a:gradFill flip="none" rotWithShape="1">
                <a:gsLst>
                  <a:gs pos="0">
                    <a:srgbClr val="FFFFFF"/>
                  </a:gs>
                  <a:gs pos="100000">
                    <a:srgbClr val="FFFFFF"/>
                  </a:gs>
                </a:gsLst>
                <a:lin ang="5400000" scaled="1"/>
                <a:tileRect/>
              </a:gra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l"/>
          <a:r>
            <a:rPr lang="da-DK" sz="3600" b="1">
              <a:solidFill>
                <a:srgbClr val="000000"/>
              </a:solidFill>
              <a:latin typeface="Arial"/>
            </a:rPr>
            <a:t>Drift - med projekt</a:t>
          </a:r>
        </a:p>
      </xdr:txBody>
    </xdr:sp>
    <xdr:clientData/>
  </xdr:twoCellAnchor>
  <xdr:twoCellAnchor>
    <xdr:from>
      <xdr:col>14</xdr:col>
      <xdr:colOff>0</xdr:colOff>
      <xdr:row>1</xdr:row>
      <xdr:rowOff>38100</xdr:rowOff>
    </xdr:from>
    <xdr:to>
      <xdr:col>17</xdr:col>
      <xdr:colOff>0</xdr:colOff>
      <xdr:row>3</xdr:row>
      <xdr:rowOff>0</xdr:rowOff>
    </xdr:to>
    <xdr:sp macro="" textlink="" fLocksText="0">
      <xdr:nvSpPr>
        <xdr:cNvPr id="18" name="DriftmedprojektHeader2">
          <a:extLst>
            <a:ext uri="{FF2B5EF4-FFF2-40B4-BE49-F238E27FC236}">
              <a16:creationId xmlns:a16="http://schemas.microsoft.com/office/drawing/2014/main" id="{00000000-0008-0000-0800-000012000000}"/>
            </a:ext>
          </a:extLst>
        </xdr:cNvPr>
        <xdr:cNvSpPr/>
      </xdr:nvSpPr>
      <xdr:spPr>
        <a:xfrm>
          <a:off x="16487775" y="219075"/>
          <a:ext cx="2009775" cy="762000"/>
        </a:xfrm>
        <a:prstGeom prst="roundRect">
          <a:avLst>
            <a:gd name="adj" fmla="val 0"/>
          </a:avLst>
        </a:prstGeom>
        <a:gradFill flip="none" rotWithShape="1">
          <a:gsLst>
            <a:gs pos="0">
              <a:srgbClr val="D9D9D9"/>
            </a:gs>
            <a:gs pos="100000">
              <a:srgbClr val="D9D9D9"/>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254000" tIns="38100" rtlCol="0" anchor="ctr"/>
        <a:lstStyle/>
        <a:p>
          <a:pPr algn="l"/>
          <a:r>
            <a:rPr lang="da-DK" sz="1000">
              <a:solidFill>
                <a:srgbClr val="000000"/>
              </a:solidFill>
              <a:latin typeface="Arial"/>
            </a:rPr>
            <a:t>Projektudgifter, samt driftssituationen med projektet fra de første gevinster realiseres.</a:t>
          </a:r>
        </a:p>
      </xdr:txBody>
    </xdr:sp>
    <xdr:clientData/>
  </xdr:twoCellAnchor>
  <xdr:twoCellAnchor>
    <xdr:from>
      <xdr:col>1</xdr:col>
      <xdr:colOff>0</xdr:colOff>
      <xdr:row>2</xdr:row>
      <xdr:rowOff>38100</xdr:rowOff>
    </xdr:from>
    <xdr:to>
      <xdr:col>8</xdr:col>
      <xdr:colOff>0</xdr:colOff>
      <xdr:row>2</xdr:row>
      <xdr:rowOff>381000</xdr:rowOff>
    </xdr:to>
    <xdr:sp macro="" textlink="" fLocksText="0">
      <xdr:nvSpPr>
        <xdr:cNvPr id="19" name="DriftmedprojektHeader3">
          <a:extLst>
            <a:ext uri="{FF2B5EF4-FFF2-40B4-BE49-F238E27FC236}">
              <a16:creationId xmlns:a16="http://schemas.microsoft.com/office/drawing/2014/main" id="{00000000-0008-0000-0800-000013000000}"/>
            </a:ext>
          </a:extLst>
        </xdr:cNvPr>
        <xdr:cNvSpPr/>
      </xdr:nvSpPr>
      <xdr:spPr>
        <a:xfrm>
          <a:off x="238125" y="838200"/>
          <a:ext cx="10563225" cy="342900"/>
        </a:xfrm>
        <a:prstGeom prst="roundRect">
          <a:avLst>
            <a:gd name="adj" fmla="val 0"/>
          </a:avLst>
        </a:prstGeom>
        <a:noFill/>
        <a:ln w="25400" cap="flat" cmpd="sng" algn="ctr">
          <a:noFill/>
          <a:prstDash val="solid"/>
        </a:ln>
        <a:effectLst/>
        <a:extLst>
          <a:ext uri="{909E8E84-426E-40DD-AFC4-6F175D3DCCD1}">
            <a14:hiddenFill xmlns:a14="http://schemas.microsoft.com/office/drawing/2010/main">
              <a:gradFill flip="none" rotWithShape="1">
                <a:gsLst>
                  <a:gs pos="0">
                    <a:srgbClr val="FFFFFF"/>
                  </a:gs>
                  <a:gs pos="100000">
                    <a:srgbClr val="FFFFFF"/>
                  </a:gs>
                </a:gsLst>
                <a:lin ang="5400000" scaled="1"/>
                <a:tileRect/>
              </a:gra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l"/>
          <a:r>
            <a:rPr lang="da-DK" sz="1800" b="1">
              <a:solidFill>
                <a:srgbClr val="000000"/>
              </a:solidFill>
              <a:latin typeface="Arial"/>
            </a:rPr>
            <a:t>1-scenarie</a:t>
          </a:r>
        </a:p>
      </xdr:txBody>
    </xdr:sp>
    <xdr:clientData/>
  </xdr:twoCellAnchor>
  <xdr:twoCellAnchor>
    <xdr:from>
      <xdr:col>1</xdr:col>
      <xdr:colOff>0</xdr:colOff>
      <xdr:row>5</xdr:row>
      <xdr:rowOff>12700</xdr:rowOff>
    </xdr:from>
    <xdr:to>
      <xdr:col>20</xdr:col>
      <xdr:colOff>0</xdr:colOff>
      <xdr:row>5</xdr:row>
      <xdr:rowOff>355600</xdr:rowOff>
    </xdr:to>
    <xdr:sp macro="" textlink="" fLocksText="0">
      <xdr:nvSpPr>
        <xdr:cNvPr id="20" name="DriftmedprojektMain1">
          <a:extLst>
            <a:ext uri="{FF2B5EF4-FFF2-40B4-BE49-F238E27FC236}">
              <a16:creationId xmlns:a16="http://schemas.microsoft.com/office/drawing/2014/main" id="{00000000-0008-0000-0800-000014000000}"/>
            </a:ext>
          </a:extLst>
        </xdr:cNvPr>
        <xdr:cNvSpPr/>
      </xdr:nvSpPr>
      <xdr:spPr>
        <a:xfrm>
          <a:off x="238125" y="1565275"/>
          <a:ext cx="20621625" cy="342900"/>
        </a:xfrm>
        <a:prstGeom prst="roundRect">
          <a:avLst>
            <a:gd name="adj" fmla="val 0"/>
          </a:avLst>
        </a:prstGeom>
        <a:gradFill flip="none" rotWithShape="1">
          <a:gsLst>
            <a:gs pos="0">
              <a:srgbClr val="940027"/>
            </a:gs>
            <a:gs pos="100000">
              <a:srgbClr val="940027"/>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88900" rtlCol="0" anchor="ctr"/>
        <a:lstStyle/>
        <a:p>
          <a:pPr algn="l"/>
          <a:r>
            <a:rPr lang="da-DK" sz="2000" b="1">
              <a:solidFill>
                <a:srgbClr val="FFFFFF"/>
              </a:solidFill>
              <a:latin typeface="Arial"/>
            </a:rPr>
            <a:t>Økonomi </a:t>
          </a:r>
        </a:p>
      </xdr:txBody>
    </xdr:sp>
    <xdr:clientData/>
  </xdr:twoCellAnchor>
  <xdr:twoCellAnchor>
    <xdr:from>
      <xdr:col>1</xdr:col>
      <xdr:colOff>0</xdr:colOff>
      <xdr:row>11</xdr:row>
      <xdr:rowOff>12700</xdr:rowOff>
    </xdr:from>
    <xdr:to>
      <xdr:col>20</xdr:col>
      <xdr:colOff>0</xdr:colOff>
      <xdr:row>11</xdr:row>
      <xdr:rowOff>355600</xdr:rowOff>
    </xdr:to>
    <xdr:sp macro="" textlink="" fLocksText="0">
      <xdr:nvSpPr>
        <xdr:cNvPr id="21" name="DriftmedprojektMain2">
          <a:extLst>
            <a:ext uri="{FF2B5EF4-FFF2-40B4-BE49-F238E27FC236}">
              <a16:creationId xmlns:a16="http://schemas.microsoft.com/office/drawing/2014/main" id="{00000000-0008-0000-0800-000015000000}"/>
            </a:ext>
          </a:extLst>
        </xdr:cNvPr>
        <xdr:cNvSpPr/>
      </xdr:nvSpPr>
      <xdr:spPr>
        <a:xfrm>
          <a:off x="238125" y="3108325"/>
          <a:ext cx="20621625" cy="342900"/>
        </a:xfrm>
        <a:prstGeom prst="roundRect">
          <a:avLst>
            <a:gd name="adj" fmla="val 0"/>
          </a:avLst>
        </a:prstGeom>
        <a:gradFill flip="none" rotWithShape="1">
          <a:gsLst>
            <a:gs pos="0">
              <a:srgbClr val="940027"/>
            </a:gs>
            <a:gs pos="100000">
              <a:srgbClr val="940027"/>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88900" rtlCol="0" anchor="ctr"/>
        <a:lstStyle/>
        <a:p>
          <a:pPr algn="l"/>
          <a:r>
            <a:rPr lang="da-DK" sz="2000" b="1">
              <a:solidFill>
                <a:srgbClr val="FFFFFF"/>
              </a:solidFill>
              <a:latin typeface="Arial"/>
            </a:rPr>
            <a:t>Kvalitetsløft</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0</xdr:colOff>
      <xdr:row>1</xdr:row>
      <xdr:rowOff>38100</xdr:rowOff>
    </xdr:from>
    <xdr:to>
      <xdr:col>8</xdr:col>
      <xdr:colOff>0</xdr:colOff>
      <xdr:row>1</xdr:row>
      <xdr:rowOff>609600</xdr:rowOff>
    </xdr:to>
    <xdr:sp macro="" textlink="" fLocksText="0">
      <xdr:nvSpPr>
        <xdr:cNvPr id="14" name="DriftfprojektHeader2">
          <a:extLst>
            <a:ext uri="{FF2B5EF4-FFF2-40B4-BE49-F238E27FC236}">
              <a16:creationId xmlns:a16="http://schemas.microsoft.com/office/drawing/2014/main" id="{00000000-0008-0000-0900-00000E000000}"/>
            </a:ext>
          </a:extLst>
        </xdr:cNvPr>
        <xdr:cNvSpPr/>
      </xdr:nvSpPr>
      <xdr:spPr>
        <a:xfrm>
          <a:off x="238125" y="219075"/>
          <a:ext cx="10563225" cy="571500"/>
        </a:xfrm>
        <a:prstGeom prst="roundRect">
          <a:avLst>
            <a:gd name="adj" fmla="val 0"/>
          </a:avLst>
        </a:prstGeom>
        <a:noFill/>
        <a:ln w="25400" cap="flat" cmpd="sng" algn="ctr">
          <a:noFill/>
          <a:prstDash val="solid"/>
        </a:ln>
        <a:effectLst/>
        <a:extLst>
          <a:ext uri="{909E8E84-426E-40DD-AFC4-6F175D3DCCD1}">
            <a14:hiddenFill xmlns:a14="http://schemas.microsoft.com/office/drawing/2010/main">
              <a:gradFill flip="none" rotWithShape="1">
                <a:gsLst>
                  <a:gs pos="0">
                    <a:srgbClr val="FFFFFF"/>
                  </a:gs>
                  <a:gs pos="100000">
                    <a:srgbClr val="FFFFFF"/>
                  </a:gs>
                </a:gsLst>
                <a:lin ang="5400000" scaled="1"/>
                <a:tileRect/>
              </a:gra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l"/>
          <a:r>
            <a:rPr lang="da-DK" sz="3600" b="1">
              <a:solidFill>
                <a:srgbClr val="000000"/>
              </a:solidFill>
              <a:latin typeface="Arial"/>
            </a:rPr>
            <a:t>Drift - nuværende</a:t>
          </a:r>
        </a:p>
      </xdr:txBody>
    </xdr:sp>
    <xdr:clientData/>
  </xdr:twoCellAnchor>
  <xdr:twoCellAnchor>
    <xdr:from>
      <xdr:col>14</xdr:col>
      <xdr:colOff>0</xdr:colOff>
      <xdr:row>1</xdr:row>
      <xdr:rowOff>38100</xdr:rowOff>
    </xdr:from>
    <xdr:to>
      <xdr:col>17</xdr:col>
      <xdr:colOff>0</xdr:colOff>
      <xdr:row>3</xdr:row>
      <xdr:rowOff>0</xdr:rowOff>
    </xdr:to>
    <xdr:sp macro="" textlink="" fLocksText="0">
      <xdr:nvSpPr>
        <xdr:cNvPr id="15" name="DriftfprojektHeader2H1">
          <a:extLst>
            <a:ext uri="{FF2B5EF4-FFF2-40B4-BE49-F238E27FC236}">
              <a16:creationId xmlns:a16="http://schemas.microsoft.com/office/drawing/2014/main" id="{00000000-0008-0000-0900-00000F000000}"/>
            </a:ext>
          </a:extLst>
        </xdr:cNvPr>
        <xdr:cNvSpPr/>
      </xdr:nvSpPr>
      <xdr:spPr>
        <a:xfrm>
          <a:off x="16487775" y="219075"/>
          <a:ext cx="2009775" cy="762000"/>
        </a:xfrm>
        <a:prstGeom prst="roundRect">
          <a:avLst>
            <a:gd name="adj" fmla="val 0"/>
          </a:avLst>
        </a:prstGeom>
        <a:gradFill flip="none" rotWithShape="1">
          <a:gsLst>
            <a:gs pos="0">
              <a:srgbClr val="D9D9D9"/>
            </a:gs>
            <a:gs pos="100000">
              <a:srgbClr val="D9D9D9"/>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254000" tIns="38100" rtlCol="0" anchor="ctr"/>
        <a:lstStyle/>
        <a:p>
          <a:pPr algn="l"/>
          <a:r>
            <a:rPr lang="da-DK" sz="1000">
              <a:solidFill>
                <a:srgbClr val="000000"/>
              </a:solidFill>
              <a:latin typeface="Arial"/>
            </a:rPr>
            <a:t>Situation før projektet sættes i gang med årets udgifter til at løse samme opgaver som nyanskaffelsen vil påvirke - uden renter og afskrivninger</a:t>
          </a:r>
        </a:p>
      </xdr:txBody>
    </xdr:sp>
    <xdr:clientData/>
  </xdr:twoCellAnchor>
  <xdr:twoCellAnchor>
    <xdr:from>
      <xdr:col>1</xdr:col>
      <xdr:colOff>0</xdr:colOff>
      <xdr:row>2</xdr:row>
      <xdr:rowOff>38100</xdr:rowOff>
    </xdr:from>
    <xdr:to>
      <xdr:col>8</xdr:col>
      <xdr:colOff>0</xdr:colOff>
      <xdr:row>2</xdr:row>
      <xdr:rowOff>381000</xdr:rowOff>
    </xdr:to>
    <xdr:sp macro="" textlink="" fLocksText="0">
      <xdr:nvSpPr>
        <xdr:cNvPr id="16" name="DriftfprojektHeader2R1">
          <a:extLst>
            <a:ext uri="{FF2B5EF4-FFF2-40B4-BE49-F238E27FC236}">
              <a16:creationId xmlns:a16="http://schemas.microsoft.com/office/drawing/2014/main" id="{00000000-0008-0000-0900-000010000000}"/>
            </a:ext>
          </a:extLst>
        </xdr:cNvPr>
        <xdr:cNvSpPr/>
      </xdr:nvSpPr>
      <xdr:spPr>
        <a:xfrm>
          <a:off x="238125" y="838200"/>
          <a:ext cx="10563225" cy="342900"/>
        </a:xfrm>
        <a:prstGeom prst="roundRect">
          <a:avLst>
            <a:gd name="adj" fmla="val 0"/>
          </a:avLst>
        </a:prstGeom>
        <a:noFill/>
        <a:ln w="25400" cap="flat" cmpd="sng" algn="ctr">
          <a:noFill/>
          <a:prstDash val="solid"/>
        </a:ln>
        <a:effectLst/>
        <a:extLst>
          <a:ext uri="{909E8E84-426E-40DD-AFC4-6F175D3DCCD1}">
            <a14:hiddenFill xmlns:a14="http://schemas.microsoft.com/office/drawing/2010/main">
              <a:gradFill flip="none" rotWithShape="1">
                <a:gsLst>
                  <a:gs pos="0">
                    <a:srgbClr val="FFFFFF"/>
                  </a:gs>
                  <a:gs pos="100000">
                    <a:srgbClr val="FFFFFF"/>
                  </a:gs>
                </a:gsLst>
                <a:lin ang="5400000" scaled="1"/>
                <a:tileRect/>
              </a:gra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l"/>
          <a:r>
            <a:rPr lang="da-DK" sz="1800" b="1">
              <a:solidFill>
                <a:srgbClr val="000000"/>
              </a:solidFill>
              <a:latin typeface="Arial"/>
            </a:rPr>
            <a:t>før-situation</a:t>
          </a:r>
        </a:p>
      </xdr:txBody>
    </xdr:sp>
    <xdr:clientData/>
  </xdr:twoCellAnchor>
  <xdr:twoCellAnchor>
    <xdr:from>
      <xdr:col>1</xdr:col>
      <xdr:colOff>0</xdr:colOff>
      <xdr:row>5</xdr:row>
      <xdr:rowOff>12700</xdr:rowOff>
    </xdr:from>
    <xdr:to>
      <xdr:col>20</xdr:col>
      <xdr:colOff>0</xdr:colOff>
      <xdr:row>5</xdr:row>
      <xdr:rowOff>355600</xdr:rowOff>
    </xdr:to>
    <xdr:sp macro="" textlink="" fLocksText="0">
      <xdr:nvSpPr>
        <xdr:cNvPr id="17" name="DriftfprojektMain1">
          <a:extLst>
            <a:ext uri="{FF2B5EF4-FFF2-40B4-BE49-F238E27FC236}">
              <a16:creationId xmlns:a16="http://schemas.microsoft.com/office/drawing/2014/main" id="{00000000-0008-0000-0900-000011000000}"/>
            </a:ext>
          </a:extLst>
        </xdr:cNvPr>
        <xdr:cNvSpPr/>
      </xdr:nvSpPr>
      <xdr:spPr>
        <a:xfrm>
          <a:off x="238125" y="1565275"/>
          <a:ext cx="20621625" cy="342900"/>
        </a:xfrm>
        <a:prstGeom prst="roundRect">
          <a:avLst>
            <a:gd name="adj" fmla="val 0"/>
          </a:avLst>
        </a:prstGeom>
        <a:gradFill flip="none" rotWithShape="1">
          <a:gsLst>
            <a:gs pos="0">
              <a:srgbClr val="940027"/>
            </a:gs>
            <a:gs pos="100000">
              <a:srgbClr val="940027"/>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88900" rtlCol="0" anchor="ctr"/>
        <a:lstStyle/>
        <a:p>
          <a:pPr algn="l"/>
          <a:r>
            <a:rPr lang="da-DK" sz="2000" b="1">
              <a:solidFill>
                <a:srgbClr val="FFFFFF"/>
              </a:solidFill>
              <a:latin typeface="Arial"/>
            </a:rPr>
            <a:t>Økonomi </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11</xdr:row>
      <xdr:rowOff>12700</xdr:rowOff>
    </xdr:from>
    <xdr:to>
      <xdr:col>0</xdr:col>
      <xdr:colOff>254001</xdr:colOff>
      <xdr:row>15</xdr:row>
      <xdr:rowOff>1</xdr:rowOff>
    </xdr:to>
    <xdr:sp macro="" textlink="">
      <xdr:nvSpPr>
        <xdr:cNvPr id="2297" name="BCM_HolderH1">
          <a:extLst>
            <a:ext uri="{FF2B5EF4-FFF2-40B4-BE49-F238E27FC236}">
              <a16:creationId xmlns:a16="http://schemas.microsoft.com/office/drawing/2014/main" id="{00000000-0008-0000-0B00-0000F9080000}"/>
            </a:ext>
          </a:extLst>
        </xdr:cNvPr>
        <xdr:cNvSpPr/>
      </xdr:nvSpPr>
      <xdr:spPr>
        <a:xfrm>
          <a:off x="0" y="3136900"/>
          <a:ext cx="254001" cy="977901"/>
        </a:xfrm>
        <a:custGeom>
          <a:avLst/>
          <a:gdLst/>
          <a:ahLst/>
          <a:cxnLst/>
          <a:rect l="0" t="0" r="0" b="0"/>
          <a:pathLst>
            <a:path w="254001" h="977901">
              <a:moveTo>
                <a:pt x="254000" y="0"/>
              </a:moveTo>
              <a:lnTo>
                <a:pt x="0" y="0"/>
              </a:lnTo>
              <a:lnTo>
                <a:pt x="0" y="977900"/>
              </a:lnTo>
              <a:lnTo>
                <a:pt x="127000" y="977900"/>
              </a:lnTo>
              <a:lnTo>
                <a:pt x="127000" y="63500"/>
              </a:lnTo>
              <a:lnTo>
                <a:pt x="254000" y="63500"/>
              </a:lnTo>
              <a:close/>
            </a:path>
          </a:pathLst>
        </a:custGeom>
        <a:noFill/>
        <a:ln w="25400" cap="flat" cmpd="sng" algn="ctr">
          <a:noFill/>
          <a:prstDash val="solid"/>
        </a:ln>
        <a:effectLst/>
        <a:extLst>
          <a:ext uri="{909E8E84-426E-40DD-AFC4-6F175D3DCCD1}">
            <a14:hiddenFill xmlns:a14="http://schemas.microsoft.com/office/drawing/2010/main">
              <a:gradFill flip="none" rotWithShape="1">
                <a:gsLst>
                  <a:gs pos="0">
                    <a:srgbClr val="C5D9F1"/>
                  </a:gs>
                  <a:gs pos="100000">
                    <a:srgbClr val="C5D9F1"/>
                  </a:gs>
                </a:gsLst>
                <a:lin ang="5400000" scaled="1"/>
                <a:tileRect/>
              </a:gra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clientData/>
  </xdr:twoCellAnchor>
  <xdr:twoCellAnchor>
    <xdr:from>
      <xdr:col>19</xdr:col>
      <xdr:colOff>317500</xdr:colOff>
      <xdr:row>11</xdr:row>
      <xdr:rowOff>12700</xdr:rowOff>
    </xdr:from>
    <xdr:to>
      <xdr:col>20</xdr:col>
      <xdr:colOff>1</xdr:colOff>
      <xdr:row>15</xdr:row>
      <xdr:rowOff>1</xdr:rowOff>
    </xdr:to>
    <xdr:sp macro="" textlink="">
      <xdr:nvSpPr>
        <xdr:cNvPr id="2298" name="BCM_HolderH1a">
          <a:extLst>
            <a:ext uri="{FF2B5EF4-FFF2-40B4-BE49-F238E27FC236}">
              <a16:creationId xmlns:a16="http://schemas.microsoft.com/office/drawing/2014/main" id="{00000000-0008-0000-0B00-0000FA080000}"/>
            </a:ext>
          </a:extLst>
        </xdr:cNvPr>
        <xdr:cNvSpPr/>
      </xdr:nvSpPr>
      <xdr:spPr>
        <a:xfrm>
          <a:off x="16919575" y="3136900"/>
          <a:ext cx="254001" cy="977901"/>
        </a:xfrm>
        <a:custGeom>
          <a:avLst/>
          <a:gdLst/>
          <a:ahLst/>
          <a:cxnLst/>
          <a:rect l="0" t="0" r="0" b="0"/>
          <a:pathLst>
            <a:path w="254001" h="977901">
              <a:moveTo>
                <a:pt x="0" y="0"/>
              </a:moveTo>
              <a:lnTo>
                <a:pt x="254000" y="0"/>
              </a:lnTo>
              <a:lnTo>
                <a:pt x="254000" y="977900"/>
              </a:lnTo>
              <a:lnTo>
                <a:pt x="127000" y="977900"/>
              </a:lnTo>
              <a:lnTo>
                <a:pt x="127000" y="63500"/>
              </a:lnTo>
              <a:lnTo>
                <a:pt x="0" y="63500"/>
              </a:lnTo>
              <a:close/>
            </a:path>
          </a:pathLst>
        </a:custGeom>
        <a:noFill/>
        <a:ln w="25400" cap="flat" cmpd="sng" algn="ctr">
          <a:noFill/>
          <a:prstDash val="solid"/>
        </a:ln>
        <a:effectLst/>
        <a:extLst>
          <a:ext uri="{909E8E84-426E-40DD-AFC4-6F175D3DCCD1}">
            <a14:hiddenFill xmlns:a14="http://schemas.microsoft.com/office/drawing/2010/main">
              <a:gradFill flip="none" rotWithShape="1">
                <a:gsLst>
                  <a:gs pos="0">
                    <a:srgbClr val="FDE9D9"/>
                  </a:gs>
                  <a:gs pos="100000">
                    <a:srgbClr val="FDE9D9"/>
                  </a:gs>
                </a:gsLst>
                <a:lin ang="5400000" scaled="1"/>
                <a:tileRect/>
              </a:gra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clientData/>
  </xdr:twoCellAnchor>
  <xdr:twoCellAnchor>
    <xdr:from>
      <xdr:col>6</xdr:col>
      <xdr:colOff>0</xdr:colOff>
      <xdr:row>8</xdr:row>
      <xdr:rowOff>38100</xdr:rowOff>
    </xdr:from>
    <xdr:to>
      <xdr:col>11</xdr:col>
      <xdr:colOff>0</xdr:colOff>
      <xdr:row>11</xdr:row>
      <xdr:rowOff>0</xdr:rowOff>
    </xdr:to>
    <xdr:sp macro="" textlink="" fLocksText="0">
      <xdr:nvSpPr>
        <xdr:cNvPr id="2299" name="BCM_Text1">
          <a:extLst>
            <a:ext uri="{FF2B5EF4-FFF2-40B4-BE49-F238E27FC236}">
              <a16:creationId xmlns:a16="http://schemas.microsoft.com/office/drawing/2014/main" id="{00000000-0008-0000-0B00-0000FB080000}"/>
            </a:ext>
          </a:extLst>
        </xdr:cNvPr>
        <xdr:cNvSpPr/>
      </xdr:nvSpPr>
      <xdr:spPr>
        <a:xfrm>
          <a:off x="7762875" y="2419350"/>
          <a:ext cx="3810000" cy="704850"/>
        </a:xfrm>
        <a:prstGeom prst="roundRect">
          <a:avLst>
            <a:gd name="adj" fmla="val 0"/>
          </a:avLst>
        </a:prstGeom>
        <a:noFill/>
        <a:ln w="25400" cap="flat" cmpd="sng" algn="ctr">
          <a:noFill/>
          <a:prstDash val="solid"/>
        </a:ln>
        <a:effectLst/>
        <a:extLst>
          <a:ext uri="{909E8E84-426E-40DD-AFC4-6F175D3DCCD1}">
            <a14:hiddenFill xmlns:a14="http://schemas.microsoft.com/office/drawing/2010/main">
              <a:gradFill flip="none" rotWithShape="1">
                <a:gsLst>
                  <a:gs pos="0">
                    <a:srgbClr val="D9D9D9"/>
                  </a:gs>
                  <a:gs pos="100000">
                    <a:srgbClr val="FFFFFF"/>
                  </a:gs>
                </a:gsLst>
                <a:lin ang="5400000" scaled="1"/>
                <a:tileRect/>
              </a:gra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t"/>
        <a:lstStyle/>
        <a:p>
          <a:pPr algn="l"/>
          <a:r>
            <a:rPr lang="da-DK" sz="1200" b="0">
              <a:solidFill>
                <a:srgbClr val="000000"/>
              </a:solidFill>
              <a:latin typeface="Arial"/>
            </a:rPr>
            <a:t>Nettonutidsværdien er nutidsværdien af de økonomiske nettogevinster uden renter, diskonteret med 4% p/a fra udgangsåret. </a:t>
          </a:r>
        </a:p>
      </xdr:txBody>
    </xdr:sp>
    <xdr:clientData/>
  </xdr:twoCellAnchor>
  <xdr:twoCellAnchor>
    <xdr:from>
      <xdr:col>6</xdr:col>
      <xdr:colOff>0</xdr:colOff>
      <xdr:row>12</xdr:row>
      <xdr:rowOff>38100</xdr:rowOff>
    </xdr:from>
    <xdr:to>
      <xdr:col>11</xdr:col>
      <xdr:colOff>0</xdr:colOff>
      <xdr:row>15</xdr:row>
      <xdr:rowOff>0</xdr:rowOff>
    </xdr:to>
    <xdr:sp macro="" textlink="" fLocksText="0">
      <xdr:nvSpPr>
        <xdr:cNvPr id="2300" name="BCM_Text2">
          <a:extLst>
            <a:ext uri="{FF2B5EF4-FFF2-40B4-BE49-F238E27FC236}">
              <a16:creationId xmlns:a16="http://schemas.microsoft.com/office/drawing/2014/main" id="{00000000-0008-0000-0B00-0000FC080000}"/>
            </a:ext>
          </a:extLst>
        </xdr:cNvPr>
        <xdr:cNvSpPr/>
      </xdr:nvSpPr>
      <xdr:spPr>
        <a:xfrm>
          <a:off x="7762875" y="3409950"/>
          <a:ext cx="3810000" cy="704850"/>
        </a:xfrm>
        <a:prstGeom prst="roundRect">
          <a:avLst>
            <a:gd name="adj" fmla="val 0"/>
          </a:avLst>
        </a:prstGeom>
        <a:noFill/>
        <a:ln w="25400" cap="flat" cmpd="sng" algn="ctr">
          <a:noFill/>
          <a:prstDash val="solid"/>
        </a:ln>
        <a:effectLst/>
        <a:extLst>
          <a:ext uri="{909E8E84-426E-40DD-AFC4-6F175D3DCCD1}">
            <a14:hiddenFill xmlns:a14="http://schemas.microsoft.com/office/drawing/2010/main">
              <a:gradFill flip="none" rotWithShape="1">
                <a:gsLst>
                  <a:gs pos="0">
                    <a:srgbClr val="D9D9D9"/>
                  </a:gs>
                  <a:gs pos="100000">
                    <a:srgbClr val="FFFFFF"/>
                  </a:gs>
                </a:gsLst>
                <a:lin ang="5400000" scaled="1"/>
                <a:tileRect/>
              </a:gra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t"/>
        <a:lstStyle/>
        <a:p>
          <a:pPr algn="l"/>
          <a:r>
            <a:rPr lang="da-DK" sz="1200" b="0">
              <a:solidFill>
                <a:srgbClr val="000000"/>
              </a:solidFill>
              <a:latin typeface="Arial"/>
            </a:rPr>
            <a:t>Nettogevinsten, inkl. renter, er den omkostningsbaserede økonomiske nettogevinst.</a:t>
          </a:r>
        </a:p>
      </xdr:txBody>
    </xdr:sp>
    <xdr:clientData/>
  </xdr:twoCellAnchor>
  <xdr:twoCellAnchor>
    <xdr:from>
      <xdr:col>6</xdr:col>
      <xdr:colOff>0</xdr:colOff>
      <xdr:row>16</xdr:row>
      <xdr:rowOff>38100</xdr:rowOff>
    </xdr:from>
    <xdr:to>
      <xdr:col>11</xdr:col>
      <xdr:colOff>0</xdr:colOff>
      <xdr:row>16</xdr:row>
      <xdr:rowOff>749300</xdr:rowOff>
    </xdr:to>
    <xdr:sp macro="" textlink="" fLocksText="0">
      <xdr:nvSpPr>
        <xdr:cNvPr id="2301" name="BCM_Text3">
          <a:extLst>
            <a:ext uri="{FF2B5EF4-FFF2-40B4-BE49-F238E27FC236}">
              <a16:creationId xmlns:a16="http://schemas.microsoft.com/office/drawing/2014/main" id="{00000000-0008-0000-0B00-0000FD080000}"/>
            </a:ext>
          </a:extLst>
        </xdr:cNvPr>
        <xdr:cNvSpPr/>
      </xdr:nvSpPr>
      <xdr:spPr>
        <a:xfrm>
          <a:off x="7762875" y="4400550"/>
          <a:ext cx="3810000" cy="711200"/>
        </a:xfrm>
        <a:prstGeom prst="roundRect">
          <a:avLst>
            <a:gd name="adj" fmla="val 0"/>
          </a:avLst>
        </a:prstGeom>
        <a:noFill/>
        <a:ln w="25400" cap="flat" cmpd="sng" algn="ctr">
          <a:noFill/>
          <a:prstDash val="solid"/>
        </a:ln>
        <a:effectLst/>
        <a:extLst>
          <a:ext uri="{909E8E84-426E-40DD-AFC4-6F175D3DCCD1}">
            <a14:hiddenFill xmlns:a14="http://schemas.microsoft.com/office/drawing/2010/main">
              <a:gradFill flip="none" rotWithShape="1">
                <a:gsLst>
                  <a:gs pos="0">
                    <a:srgbClr val="D9D9D9"/>
                  </a:gs>
                  <a:gs pos="100000">
                    <a:srgbClr val="FFFFFF"/>
                  </a:gs>
                </a:gsLst>
                <a:lin ang="5400000" scaled="1"/>
                <a:tileRect/>
              </a:gra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t"/>
        <a:lstStyle/>
        <a:p>
          <a:pPr algn="l"/>
          <a:r>
            <a:rPr lang="da-DK" sz="1200" b="0">
              <a:solidFill>
                <a:srgbClr val="000000"/>
              </a:solidFill>
              <a:latin typeface="Arial"/>
            </a:rPr>
            <a:t>Alle udgifter relateret til selve projektet/programmet inkl. risikopulje, ekskl. renter.</a:t>
          </a:r>
        </a:p>
      </xdr:txBody>
    </xdr:sp>
    <xdr:clientData/>
  </xdr:twoCellAnchor>
  <xdr:twoCellAnchor>
    <xdr:from>
      <xdr:col>1</xdr:col>
      <xdr:colOff>0</xdr:colOff>
      <xdr:row>16</xdr:row>
      <xdr:rowOff>38100</xdr:rowOff>
    </xdr:from>
    <xdr:to>
      <xdr:col>4</xdr:col>
      <xdr:colOff>0</xdr:colOff>
      <xdr:row>16</xdr:row>
      <xdr:rowOff>749300</xdr:rowOff>
    </xdr:to>
    <xdr:sp macro="" textlink="" fLocksText="0">
      <xdr:nvSpPr>
        <xdr:cNvPr id="2302" name="BCM_Text4">
          <a:extLst>
            <a:ext uri="{FF2B5EF4-FFF2-40B4-BE49-F238E27FC236}">
              <a16:creationId xmlns:a16="http://schemas.microsoft.com/office/drawing/2014/main" id="{00000000-0008-0000-0B00-0000FE080000}"/>
            </a:ext>
          </a:extLst>
        </xdr:cNvPr>
        <xdr:cNvSpPr/>
      </xdr:nvSpPr>
      <xdr:spPr>
        <a:xfrm>
          <a:off x="571500" y="4400550"/>
          <a:ext cx="5667375" cy="711200"/>
        </a:xfrm>
        <a:prstGeom prst="roundRect">
          <a:avLst>
            <a:gd name="adj" fmla="val 0"/>
          </a:avLst>
        </a:prstGeom>
        <a:noFill/>
        <a:ln w="25400" cap="flat" cmpd="sng" algn="ctr">
          <a:noFill/>
          <a:prstDash val="solid"/>
        </a:ln>
        <a:effectLst/>
        <a:extLst>
          <a:ext uri="{909E8E84-426E-40DD-AFC4-6F175D3DCCD1}">
            <a14:hiddenFill xmlns:a14="http://schemas.microsoft.com/office/drawing/2010/main">
              <a:gradFill flip="none" rotWithShape="1">
                <a:gsLst>
                  <a:gs pos="0">
                    <a:srgbClr val="D9D9D9"/>
                  </a:gs>
                  <a:gs pos="100000">
                    <a:srgbClr val="FFFFFF"/>
                  </a:gs>
                </a:gsLst>
                <a:lin ang="5400000" scaled="1"/>
                <a:tileRect/>
              </a:gra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t"/>
        <a:lstStyle/>
        <a:p>
          <a:pPr algn="l"/>
          <a:r>
            <a:rPr lang="da-DK" sz="1200" b="0">
              <a:solidFill>
                <a:srgbClr val="000000"/>
              </a:solidFill>
              <a:latin typeface="Arial"/>
            </a:rPr>
            <a:t>* Disse beløb bruges af Statens IT-projektråd til deres halvårlige trafiklysvurderinger af statslige it-projekter</a:t>
          </a:r>
        </a:p>
      </xdr:txBody>
    </xdr:sp>
    <xdr:clientData/>
  </xdr:twoCellAnchor>
  <xdr:twoCellAnchor>
    <xdr:from>
      <xdr:col>6</xdr:col>
      <xdr:colOff>0</xdr:colOff>
      <xdr:row>7</xdr:row>
      <xdr:rowOff>0</xdr:rowOff>
    </xdr:from>
    <xdr:to>
      <xdr:col>19</xdr:col>
      <xdr:colOff>0</xdr:colOff>
      <xdr:row>11</xdr:row>
      <xdr:rowOff>0</xdr:rowOff>
    </xdr:to>
    <xdr:sp macro="" textlink="" fLocksText="0">
      <xdr:nvSpPr>
        <xdr:cNvPr id="2303" name="BCM_PIPTextHide">
          <a:extLst>
            <a:ext uri="{FF2B5EF4-FFF2-40B4-BE49-F238E27FC236}">
              <a16:creationId xmlns:a16="http://schemas.microsoft.com/office/drawing/2014/main" id="{00000000-0008-0000-0B00-0000FF080000}"/>
            </a:ext>
          </a:extLst>
        </xdr:cNvPr>
        <xdr:cNvSpPr/>
      </xdr:nvSpPr>
      <xdr:spPr>
        <a:xfrm>
          <a:off x="7762875" y="2133600"/>
          <a:ext cx="8839200" cy="990600"/>
        </a:xfrm>
        <a:prstGeom prst="roundRect">
          <a:avLst>
            <a:gd name="adj" fmla="val 0"/>
          </a:avLst>
        </a:prstGeom>
        <a:gradFill flip="none" rotWithShape="1">
          <a:gsLst>
            <a:gs pos="0">
              <a:srgbClr val="FFFFFF"/>
            </a:gs>
            <a:gs pos="100000">
              <a:srgbClr val="FFFFFF"/>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t"/>
        <a:lstStyle/>
        <a:p>
          <a:pPr algn="l"/>
          <a:endParaRPr lang="da-DK" sz="1200" b="0">
            <a:solidFill>
              <a:srgbClr val="000000"/>
            </a:solidFill>
            <a:latin typeface="Arial"/>
          </a:endParaRPr>
        </a:p>
      </xdr:txBody>
    </xdr:sp>
    <xdr:clientData/>
  </xdr:twoCellAnchor>
  <xdr:twoCellAnchor>
    <xdr:from>
      <xdr:col>1</xdr:col>
      <xdr:colOff>0</xdr:colOff>
      <xdr:row>18</xdr:row>
      <xdr:rowOff>12700</xdr:rowOff>
    </xdr:from>
    <xdr:to>
      <xdr:col>19</xdr:col>
      <xdr:colOff>0</xdr:colOff>
      <xdr:row>18</xdr:row>
      <xdr:rowOff>355600</xdr:rowOff>
    </xdr:to>
    <xdr:sp macro="" textlink="" fLocksText="0">
      <xdr:nvSpPr>
        <xdr:cNvPr id="2304" name="subcat1">
          <a:extLst>
            <a:ext uri="{FF2B5EF4-FFF2-40B4-BE49-F238E27FC236}">
              <a16:creationId xmlns:a16="http://schemas.microsoft.com/office/drawing/2014/main" id="{00000000-0008-0000-0B00-000000090000}"/>
            </a:ext>
          </a:extLst>
        </xdr:cNvPr>
        <xdr:cNvSpPr/>
      </xdr:nvSpPr>
      <xdr:spPr>
        <a:xfrm>
          <a:off x="571500" y="5318125"/>
          <a:ext cx="16030575" cy="342900"/>
        </a:xfrm>
        <a:prstGeom prst="roundRect">
          <a:avLst>
            <a:gd name="adj" fmla="val 0"/>
          </a:avLst>
        </a:prstGeom>
        <a:gradFill flip="none" rotWithShape="1">
          <a:gsLst>
            <a:gs pos="0">
              <a:srgbClr val="940027"/>
            </a:gs>
            <a:gs pos="100000">
              <a:srgbClr val="940027"/>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88900" rtlCol="0" anchor="ctr"/>
        <a:lstStyle/>
        <a:p>
          <a:pPr algn="l"/>
          <a:r>
            <a:rPr lang="da-DK" sz="2000" b="1">
              <a:solidFill>
                <a:srgbClr val="FFFFFF"/>
              </a:solidFill>
              <a:latin typeface="Arial"/>
            </a:rPr>
            <a:t>Økonomiske nøgletal</a:t>
          </a:r>
        </a:p>
      </xdr:txBody>
    </xdr:sp>
    <xdr:clientData/>
  </xdr:twoCellAnchor>
  <xdr:twoCellAnchor>
    <xdr:from>
      <xdr:col>19</xdr:col>
      <xdr:colOff>317500</xdr:colOff>
      <xdr:row>21</xdr:row>
      <xdr:rowOff>12700</xdr:rowOff>
    </xdr:from>
    <xdr:to>
      <xdr:col>20</xdr:col>
      <xdr:colOff>1</xdr:colOff>
      <xdr:row>22</xdr:row>
      <xdr:rowOff>1</xdr:rowOff>
    </xdr:to>
    <xdr:sp macro="" textlink="">
      <xdr:nvSpPr>
        <xdr:cNvPr id="2305" name="BCM_HolderH1b">
          <a:extLst>
            <a:ext uri="{FF2B5EF4-FFF2-40B4-BE49-F238E27FC236}">
              <a16:creationId xmlns:a16="http://schemas.microsoft.com/office/drawing/2014/main" id="{00000000-0008-0000-0B00-000001090000}"/>
            </a:ext>
          </a:extLst>
        </xdr:cNvPr>
        <xdr:cNvSpPr/>
      </xdr:nvSpPr>
      <xdr:spPr>
        <a:xfrm>
          <a:off x="16919575" y="6042025"/>
          <a:ext cx="254001" cy="168276"/>
        </a:xfrm>
        <a:custGeom>
          <a:avLst/>
          <a:gdLst/>
          <a:ahLst/>
          <a:cxnLst/>
          <a:rect l="0" t="0" r="0" b="0"/>
          <a:pathLst>
            <a:path w="254001" h="168276">
              <a:moveTo>
                <a:pt x="0" y="0"/>
              </a:moveTo>
              <a:lnTo>
                <a:pt x="254000" y="0"/>
              </a:lnTo>
              <a:lnTo>
                <a:pt x="254000" y="168275"/>
              </a:lnTo>
              <a:lnTo>
                <a:pt x="127000" y="168275"/>
              </a:lnTo>
              <a:lnTo>
                <a:pt x="127000" y="63500"/>
              </a:lnTo>
              <a:lnTo>
                <a:pt x="0" y="63500"/>
              </a:lnTo>
              <a:close/>
            </a:path>
          </a:pathLst>
        </a:custGeom>
        <a:noFill/>
        <a:ln w="25400" cap="flat" cmpd="sng" algn="ctr">
          <a:noFill/>
          <a:prstDash val="solid"/>
        </a:ln>
        <a:effectLst/>
        <a:extLst>
          <a:ext uri="{909E8E84-426E-40DD-AFC4-6F175D3DCCD1}">
            <a14:hiddenFill xmlns:a14="http://schemas.microsoft.com/office/drawing/2010/main">
              <a:gradFill flip="none" rotWithShape="1">
                <a:gsLst>
                  <a:gs pos="0">
                    <a:srgbClr val="FDE9D9"/>
                  </a:gs>
                  <a:gs pos="100000">
                    <a:srgbClr val="FDE9D9"/>
                  </a:gs>
                </a:gsLst>
                <a:lin ang="5400000" scaled="1"/>
                <a:tileRect/>
              </a:gra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clientData/>
  </xdr:twoCellAnchor>
  <xdr:twoCellAnchor>
    <xdr:from>
      <xdr:col>19</xdr:col>
      <xdr:colOff>317500</xdr:colOff>
      <xdr:row>23</xdr:row>
      <xdr:rowOff>12700</xdr:rowOff>
    </xdr:from>
    <xdr:to>
      <xdr:col>20</xdr:col>
      <xdr:colOff>1</xdr:colOff>
      <xdr:row>28</xdr:row>
      <xdr:rowOff>1</xdr:rowOff>
    </xdr:to>
    <xdr:sp macro="" textlink="">
      <xdr:nvSpPr>
        <xdr:cNvPr id="2306" name="BCM_HolderH1c">
          <a:extLst>
            <a:ext uri="{FF2B5EF4-FFF2-40B4-BE49-F238E27FC236}">
              <a16:creationId xmlns:a16="http://schemas.microsoft.com/office/drawing/2014/main" id="{00000000-0008-0000-0B00-000002090000}"/>
            </a:ext>
          </a:extLst>
        </xdr:cNvPr>
        <xdr:cNvSpPr/>
      </xdr:nvSpPr>
      <xdr:spPr>
        <a:xfrm>
          <a:off x="16919575" y="6403975"/>
          <a:ext cx="254001" cy="892176"/>
        </a:xfrm>
        <a:custGeom>
          <a:avLst/>
          <a:gdLst/>
          <a:ahLst/>
          <a:cxnLst/>
          <a:rect l="0" t="0" r="0" b="0"/>
          <a:pathLst>
            <a:path w="254001" h="892176">
              <a:moveTo>
                <a:pt x="0" y="0"/>
              </a:moveTo>
              <a:lnTo>
                <a:pt x="254000" y="0"/>
              </a:lnTo>
              <a:lnTo>
                <a:pt x="254000" y="892175"/>
              </a:lnTo>
              <a:lnTo>
                <a:pt x="127000" y="892175"/>
              </a:lnTo>
              <a:lnTo>
                <a:pt x="127000" y="63500"/>
              </a:lnTo>
              <a:lnTo>
                <a:pt x="0" y="63500"/>
              </a:lnTo>
              <a:close/>
            </a:path>
          </a:pathLst>
        </a:custGeom>
        <a:noFill/>
        <a:ln w="25400" cap="flat" cmpd="sng" algn="ctr">
          <a:noFill/>
          <a:prstDash val="solid"/>
        </a:ln>
        <a:effectLst/>
        <a:extLst>
          <a:ext uri="{909E8E84-426E-40DD-AFC4-6F175D3DCCD1}">
            <a14:hiddenFill xmlns:a14="http://schemas.microsoft.com/office/drawing/2010/main">
              <a:gradFill flip="none" rotWithShape="1">
                <a:gsLst>
                  <a:gs pos="0">
                    <a:srgbClr val="FDE9D9"/>
                  </a:gs>
                  <a:gs pos="100000">
                    <a:srgbClr val="FDE9D9"/>
                  </a:gs>
                </a:gsLst>
                <a:lin ang="5400000" scaled="1"/>
                <a:tileRect/>
              </a:gra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clientData/>
  </xdr:twoCellAnchor>
  <xdr:twoCellAnchor>
    <xdr:from>
      <xdr:col>1</xdr:col>
      <xdr:colOff>0</xdr:colOff>
      <xdr:row>30</xdr:row>
      <xdr:rowOff>12700</xdr:rowOff>
    </xdr:from>
    <xdr:to>
      <xdr:col>19</xdr:col>
      <xdr:colOff>0</xdr:colOff>
      <xdr:row>30</xdr:row>
      <xdr:rowOff>355600</xdr:rowOff>
    </xdr:to>
    <xdr:sp macro="" textlink="" fLocksText="0">
      <xdr:nvSpPr>
        <xdr:cNvPr id="2307" name="subcat2">
          <a:extLst>
            <a:ext uri="{FF2B5EF4-FFF2-40B4-BE49-F238E27FC236}">
              <a16:creationId xmlns:a16="http://schemas.microsoft.com/office/drawing/2014/main" id="{00000000-0008-0000-0B00-000003090000}"/>
            </a:ext>
          </a:extLst>
        </xdr:cNvPr>
        <xdr:cNvSpPr/>
      </xdr:nvSpPr>
      <xdr:spPr>
        <a:xfrm>
          <a:off x="571500" y="8147050"/>
          <a:ext cx="16030575" cy="342900"/>
        </a:xfrm>
        <a:prstGeom prst="roundRect">
          <a:avLst>
            <a:gd name="adj" fmla="val 0"/>
          </a:avLst>
        </a:prstGeom>
        <a:gradFill flip="none" rotWithShape="1">
          <a:gsLst>
            <a:gs pos="0">
              <a:srgbClr val="940027"/>
            </a:gs>
            <a:gs pos="100000">
              <a:srgbClr val="940027"/>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88900" rtlCol="0" anchor="ctr"/>
        <a:lstStyle/>
        <a:p>
          <a:pPr algn="l"/>
          <a:r>
            <a:rPr lang="da-DK" sz="2000" b="1">
              <a:solidFill>
                <a:srgbClr val="FFFFFF"/>
              </a:solidFill>
              <a:latin typeface="Arial"/>
            </a:rPr>
            <a:t>Faseopdelte udgifter</a:t>
          </a:r>
        </a:p>
      </xdr:txBody>
    </xdr:sp>
    <xdr:clientData/>
  </xdr:twoCellAnchor>
  <xdr:twoCellAnchor>
    <xdr:from>
      <xdr:col>0</xdr:col>
      <xdr:colOff>0</xdr:colOff>
      <xdr:row>30</xdr:row>
      <xdr:rowOff>12700</xdr:rowOff>
    </xdr:from>
    <xdr:to>
      <xdr:col>0</xdr:col>
      <xdr:colOff>254001</xdr:colOff>
      <xdr:row>46</xdr:row>
      <xdr:rowOff>1</xdr:rowOff>
    </xdr:to>
    <xdr:sp macro="" textlink="">
      <xdr:nvSpPr>
        <xdr:cNvPr id="2308" name="BCM_subcat2_Holder1">
          <a:extLst>
            <a:ext uri="{FF2B5EF4-FFF2-40B4-BE49-F238E27FC236}">
              <a16:creationId xmlns:a16="http://schemas.microsoft.com/office/drawing/2014/main" id="{00000000-0008-0000-0B00-000004090000}"/>
            </a:ext>
          </a:extLst>
        </xdr:cNvPr>
        <xdr:cNvSpPr/>
      </xdr:nvSpPr>
      <xdr:spPr>
        <a:xfrm>
          <a:off x="0" y="8147050"/>
          <a:ext cx="254001" cy="3063876"/>
        </a:xfrm>
        <a:custGeom>
          <a:avLst/>
          <a:gdLst/>
          <a:ahLst/>
          <a:cxnLst/>
          <a:rect l="0" t="0" r="0" b="0"/>
          <a:pathLst>
            <a:path w="254001" h="3063876">
              <a:moveTo>
                <a:pt x="254000" y="0"/>
              </a:moveTo>
              <a:lnTo>
                <a:pt x="0" y="0"/>
              </a:lnTo>
              <a:lnTo>
                <a:pt x="0" y="3063875"/>
              </a:lnTo>
              <a:lnTo>
                <a:pt x="127000" y="3063875"/>
              </a:lnTo>
              <a:lnTo>
                <a:pt x="127000" y="63500"/>
              </a:lnTo>
              <a:lnTo>
                <a:pt x="254000" y="63500"/>
              </a:lnTo>
              <a:close/>
            </a:path>
          </a:pathLst>
        </a:custGeom>
        <a:noFill/>
        <a:ln w="25400" cap="flat" cmpd="sng" algn="ctr">
          <a:noFill/>
          <a:prstDash val="solid"/>
        </a:ln>
        <a:effectLst/>
        <a:extLst>
          <a:ext uri="{909E8E84-426E-40DD-AFC4-6F175D3DCCD1}">
            <a14:hiddenFill xmlns:a14="http://schemas.microsoft.com/office/drawing/2010/main">
              <a:gradFill flip="none" rotWithShape="1">
                <a:gsLst>
                  <a:gs pos="0">
                    <a:srgbClr val="C4D79B"/>
                  </a:gs>
                  <a:gs pos="100000">
                    <a:srgbClr val="C4D79B"/>
                  </a:gs>
                </a:gsLst>
                <a:lin ang="5400000" scaled="1"/>
                <a:tileRect/>
              </a:gra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clientData/>
  </xdr:twoCellAnchor>
  <xdr:twoCellAnchor>
    <xdr:from>
      <xdr:col>0</xdr:col>
      <xdr:colOff>0</xdr:colOff>
      <xdr:row>39</xdr:row>
      <xdr:rowOff>12700</xdr:rowOff>
    </xdr:from>
    <xdr:to>
      <xdr:col>0</xdr:col>
      <xdr:colOff>254001</xdr:colOff>
      <xdr:row>40</xdr:row>
      <xdr:rowOff>1</xdr:rowOff>
    </xdr:to>
    <xdr:sp macro="" textlink="">
      <xdr:nvSpPr>
        <xdr:cNvPr id="2309" name="BCM_subcat2_Holder2">
          <a:extLst>
            <a:ext uri="{FF2B5EF4-FFF2-40B4-BE49-F238E27FC236}">
              <a16:creationId xmlns:a16="http://schemas.microsoft.com/office/drawing/2014/main" id="{00000000-0008-0000-0B00-000005090000}"/>
            </a:ext>
          </a:extLst>
        </xdr:cNvPr>
        <xdr:cNvSpPr/>
      </xdr:nvSpPr>
      <xdr:spPr>
        <a:xfrm>
          <a:off x="0" y="9956800"/>
          <a:ext cx="254001" cy="168276"/>
        </a:xfrm>
        <a:custGeom>
          <a:avLst/>
          <a:gdLst/>
          <a:ahLst/>
          <a:cxnLst/>
          <a:rect l="0" t="0" r="0" b="0"/>
          <a:pathLst>
            <a:path w="254001" h="168276">
              <a:moveTo>
                <a:pt x="254000" y="0"/>
              </a:moveTo>
              <a:lnTo>
                <a:pt x="0" y="0"/>
              </a:lnTo>
              <a:lnTo>
                <a:pt x="0" y="168275"/>
              </a:lnTo>
              <a:lnTo>
                <a:pt x="127000" y="168275"/>
              </a:lnTo>
              <a:lnTo>
                <a:pt x="127000" y="63500"/>
              </a:lnTo>
              <a:lnTo>
                <a:pt x="254000" y="63500"/>
              </a:lnTo>
              <a:close/>
            </a:path>
          </a:pathLst>
        </a:custGeom>
        <a:noFill/>
        <a:ln w="25400" cap="flat" cmpd="sng" algn="ctr">
          <a:noFill/>
          <a:prstDash val="solid"/>
        </a:ln>
        <a:effectLst/>
        <a:extLst>
          <a:ext uri="{909E8E84-426E-40DD-AFC4-6F175D3DCCD1}">
            <a14:hiddenFill xmlns:a14="http://schemas.microsoft.com/office/drawing/2010/main">
              <a:gradFill flip="none" rotWithShape="1">
                <a:gsLst>
                  <a:gs pos="0">
                    <a:srgbClr val="FFFF00"/>
                  </a:gs>
                  <a:gs pos="100000">
                    <a:srgbClr val="FFFF00"/>
                  </a:gs>
                </a:gsLst>
                <a:lin ang="5400000" scaled="1"/>
                <a:tileRect/>
              </a:gra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clientData/>
  </xdr:twoCellAnchor>
  <xdr:twoCellAnchor>
    <xdr:from>
      <xdr:col>0</xdr:col>
      <xdr:colOff>0</xdr:colOff>
      <xdr:row>41</xdr:row>
      <xdr:rowOff>12700</xdr:rowOff>
    </xdr:from>
    <xdr:to>
      <xdr:col>0</xdr:col>
      <xdr:colOff>254001</xdr:colOff>
      <xdr:row>44</xdr:row>
      <xdr:rowOff>1</xdr:rowOff>
    </xdr:to>
    <xdr:sp macro="" textlink="">
      <xdr:nvSpPr>
        <xdr:cNvPr id="2310" name="BCM_subcat2_Holder3">
          <a:extLst>
            <a:ext uri="{FF2B5EF4-FFF2-40B4-BE49-F238E27FC236}">
              <a16:creationId xmlns:a16="http://schemas.microsoft.com/office/drawing/2014/main" id="{00000000-0008-0000-0B00-000006090000}"/>
            </a:ext>
          </a:extLst>
        </xdr:cNvPr>
        <xdr:cNvSpPr/>
      </xdr:nvSpPr>
      <xdr:spPr>
        <a:xfrm>
          <a:off x="0" y="10318750"/>
          <a:ext cx="254001" cy="530226"/>
        </a:xfrm>
        <a:custGeom>
          <a:avLst/>
          <a:gdLst/>
          <a:ahLst/>
          <a:cxnLst/>
          <a:rect l="0" t="0" r="0" b="0"/>
          <a:pathLst>
            <a:path w="254001" h="530226">
              <a:moveTo>
                <a:pt x="254000" y="0"/>
              </a:moveTo>
              <a:lnTo>
                <a:pt x="0" y="0"/>
              </a:lnTo>
              <a:lnTo>
                <a:pt x="0" y="530225"/>
              </a:lnTo>
              <a:lnTo>
                <a:pt x="127000" y="530225"/>
              </a:lnTo>
              <a:lnTo>
                <a:pt x="127000" y="63500"/>
              </a:lnTo>
              <a:lnTo>
                <a:pt x="254000" y="63500"/>
              </a:lnTo>
              <a:close/>
            </a:path>
          </a:pathLst>
        </a:custGeom>
        <a:noFill/>
        <a:ln w="25400" cap="flat" cmpd="sng" algn="ctr">
          <a:noFill/>
          <a:prstDash val="solid"/>
        </a:ln>
        <a:effectLst/>
        <a:extLst>
          <a:ext uri="{909E8E84-426E-40DD-AFC4-6F175D3DCCD1}">
            <a14:hiddenFill xmlns:a14="http://schemas.microsoft.com/office/drawing/2010/main">
              <a:gradFill flip="none" rotWithShape="1">
                <a:gsLst>
                  <a:gs pos="0">
                    <a:srgbClr val="C5D9F1"/>
                  </a:gs>
                  <a:gs pos="100000">
                    <a:srgbClr val="C5D9F1"/>
                  </a:gs>
                </a:gsLst>
                <a:lin ang="5400000" scaled="1"/>
                <a:tileRect/>
              </a:gra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clientData/>
  </xdr:twoCellAnchor>
  <xdr:twoCellAnchor>
    <xdr:from>
      <xdr:col>1</xdr:col>
      <xdr:colOff>0</xdr:colOff>
      <xdr:row>46</xdr:row>
      <xdr:rowOff>12700</xdr:rowOff>
    </xdr:from>
    <xdr:to>
      <xdr:col>19</xdr:col>
      <xdr:colOff>0</xdr:colOff>
      <xdr:row>46</xdr:row>
      <xdr:rowOff>355600</xdr:rowOff>
    </xdr:to>
    <xdr:sp macro="" textlink="" fLocksText="0">
      <xdr:nvSpPr>
        <xdr:cNvPr id="2311" name="subcat3">
          <a:extLst>
            <a:ext uri="{FF2B5EF4-FFF2-40B4-BE49-F238E27FC236}">
              <a16:creationId xmlns:a16="http://schemas.microsoft.com/office/drawing/2014/main" id="{00000000-0008-0000-0B00-000007090000}"/>
            </a:ext>
          </a:extLst>
        </xdr:cNvPr>
        <xdr:cNvSpPr/>
      </xdr:nvSpPr>
      <xdr:spPr>
        <a:xfrm>
          <a:off x="571500" y="11699875"/>
          <a:ext cx="16030575" cy="342900"/>
        </a:xfrm>
        <a:prstGeom prst="roundRect">
          <a:avLst>
            <a:gd name="adj" fmla="val 0"/>
          </a:avLst>
        </a:prstGeom>
        <a:gradFill flip="none" rotWithShape="1">
          <a:gsLst>
            <a:gs pos="0">
              <a:srgbClr val="940027"/>
            </a:gs>
            <a:gs pos="100000">
              <a:srgbClr val="940027"/>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88900" rtlCol="0" anchor="ctr"/>
        <a:lstStyle/>
        <a:p>
          <a:pPr algn="l"/>
          <a:r>
            <a:rPr lang="da-DK" sz="2000" b="1">
              <a:solidFill>
                <a:srgbClr val="FFFFFF"/>
              </a:solidFill>
              <a:latin typeface="Arial"/>
            </a:rPr>
            <a:t>Udgifter fordelt på projekter</a:t>
          </a:r>
        </a:p>
      </xdr:txBody>
    </xdr:sp>
    <xdr:clientData/>
  </xdr:twoCellAnchor>
  <xdr:twoCellAnchor>
    <xdr:from>
      <xdr:col>19</xdr:col>
      <xdr:colOff>317500</xdr:colOff>
      <xdr:row>46</xdr:row>
      <xdr:rowOff>12700</xdr:rowOff>
    </xdr:from>
    <xdr:to>
      <xdr:col>20</xdr:col>
      <xdr:colOff>1</xdr:colOff>
      <xdr:row>62</xdr:row>
      <xdr:rowOff>1</xdr:rowOff>
    </xdr:to>
    <xdr:sp macro="" textlink="">
      <xdr:nvSpPr>
        <xdr:cNvPr id="2312" name="BCM_HolderH1d">
          <a:extLst>
            <a:ext uri="{FF2B5EF4-FFF2-40B4-BE49-F238E27FC236}">
              <a16:creationId xmlns:a16="http://schemas.microsoft.com/office/drawing/2014/main" id="{00000000-0008-0000-0B00-000008090000}"/>
            </a:ext>
          </a:extLst>
        </xdr:cNvPr>
        <xdr:cNvSpPr/>
      </xdr:nvSpPr>
      <xdr:spPr>
        <a:xfrm>
          <a:off x="16919575" y="11699875"/>
          <a:ext cx="254001" cy="3063876"/>
        </a:xfrm>
        <a:custGeom>
          <a:avLst/>
          <a:gdLst/>
          <a:ahLst/>
          <a:cxnLst/>
          <a:rect l="0" t="0" r="0" b="0"/>
          <a:pathLst>
            <a:path w="254001" h="3063876">
              <a:moveTo>
                <a:pt x="0" y="0"/>
              </a:moveTo>
              <a:lnTo>
                <a:pt x="254000" y="0"/>
              </a:lnTo>
              <a:lnTo>
                <a:pt x="254000" y="3063875"/>
              </a:lnTo>
              <a:lnTo>
                <a:pt x="127000" y="3063875"/>
              </a:lnTo>
              <a:lnTo>
                <a:pt x="127000" y="63500"/>
              </a:lnTo>
              <a:lnTo>
                <a:pt x="0" y="63500"/>
              </a:lnTo>
              <a:close/>
            </a:path>
          </a:pathLst>
        </a:custGeom>
        <a:noFill/>
        <a:ln w="25400" cap="flat" cmpd="sng" algn="ctr">
          <a:noFill/>
          <a:prstDash val="solid"/>
        </a:ln>
        <a:effectLst/>
        <a:extLst>
          <a:ext uri="{909E8E84-426E-40DD-AFC4-6F175D3DCCD1}">
            <a14:hiddenFill xmlns:a14="http://schemas.microsoft.com/office/drawing/2010/main">
              <a:gradFill flip="none" rotWithShape="1">
                <a:gsLst>
                  <a:gs pos="0">
                    <a:srgbClr val="FDE9D9"/>
                  </a:gs>
                  <a:gs pos="100000">
                    <a:srgbClr val="FDE9D9"/>
                  </a:gs>
                </a:gsLst>
                <a:lin ang="5400000" scaled="1"/>
                <a:tileRect/>
              </a:gra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clientData/>
  </xdr:twoCellAnchor>
  <xdr:twoCellAnchor>
    <xdr:from>
      <xdr:col>0</xdr:col>
      <xdr:colOff>0</xdr:colOff>
      <xdr:row>46</xdr:row>
      <xdr:rowOff>12700</xdr:rowOff>
    </xdr:from>
    <xdr:to>
      <xdr:col>0</xdr:col>
      <xdr:colOff>254001</xdr:colOff>
      <xdr:row>62</xdr:row>
      <xdr:rowOff>1</xdr:rowOff>
    </xdr:to>
    <xdr:sp macro="" textlink="">
      <xdr:nvSpPr>
        <xdr:cNvPr id="2313" name="BCM_subcat3_Holder1">
          <a:extLst>
            <a:ext uri="{FF2B5EF4-FFF2-40B4-BE49-F238E27FC236}">
              <a16:creationId xmlns:a16="http://schemas.microsoft.com/office/drawing/2014/main" id="{00000000-0008-0000-0B00-000009090000}"/>
            </a:ext>
          </a:extLst>
        </xdr:cNvPr>
        <xdr:cNvSpPr/>
      </xdr:nvSpPr>
      <xdr:spPr>
        <a:xfrm>
          <a:off x="0" y="11699875"/>
          <a:ext cx="254001" cy="3063876"/>
        </a:xfrm>
        <a:custGeom>
          <a:avLst/>
          <a:gdLst/>
          <a:ahLst/>
          <a:cxnLst/>
          <a:rect l="0" t="0" r="0" b="0"/>
          <a:pathLst>
            <a:path w="254001" h="3063876">
              <a:moveTo>
                <a:pt x="254000" y="0"/>
              </a:moveTo>
              <a:lnTo>
                <a:pt x="0" y="0"/>
              </a:lnTo>
              <a:lnTo>
                <a:pt x="0" y="3063875"/>
              </a:lnTo>
              <a:lnTo>
                <a:pt x="127000" y="3063875"/>
              </a:lnTo>
              <a:lnTo>
                <a:pt x="127000" y="63500"/>
              </a:lnTo>
              <a:lnTo>
                <a:pt x="254000" y="63500"/>
              </a:lnTo>
              <a:close/>
            </a:path>
          </a:pathLst>
        </a:custGeom>
        <a:noFill/>
        <a:ln w="25400" cap="flat" cmpd="sng" algn="ctr">
          <a:noFill/>
          <a:prstDash val="solid"/>
        </a:ln>
        <a:effectLst/>
        <a:extLst>
          <a:ext uri="{909E8E84-426E-40DD-AFC4-6F175D3DCCD1}">
            <a14:hiddenFill xmlns:a14="http://schemas.microsoft.com/office/drawing/2010/main">
              <a:gradFill flip="none" rotWithShape="1">
                <a:gsLst>
                  <a:gs pos="0">
                    <a:srgbClr val="B1A0C7"/>
                  </a:gs>
                  <a:gs pos="100000">
                    <a:srgbClr val="B1A0C7"/>
                  </a:gs>
                </a:gsLst>
                <a:lin ang="5400000" scaled="1"/>
                <a:tileRect/>
              </a:gra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clientData/>
  </xdr:twoCellAnchor>
  <xdr:twoCellAnchor>
    <xdr:from>
      <xdr:col>0</xdr:col>
      <xdr:colOff>0</xdr:colOff>
      <xdr:row>55</xdr:row>
      <xdr:rowOff>12700</xdr:rowOff>
    </xdr:from>
    <xdr:to>
      <xdr:col>0</xdr:col>
      <xdr:colOff>254001</xdr:colOff>
      <xdr:row>56</xdr:row>
      <xdr:rowOff>1</xdr:rowOff>
    </xdr:to>
    <xdr:sp macro="" textlink="">
      <xdr:nvSpPr>
        <xdr:cNvPr id="2314" name="BCM_subcat3_Holder2">
          <a:extLst>
            <a:ext uri="{FF2B5EF4-FFF2-40B4-BE49-F238E27FC236}">
              <a16:creationId xmlns:a16="http://schemas.microsoft.com/office/drawing/2014/main" id="{00000000-0008-0000-0B00-00000A090000}"/>
            </a:ext>
          </a:extLst>
        </xdr:cNvPr>
        <xdr:cNvSpPr/>
      </xdr:nvSpPr>
      <xdr:spPr>
        <a:xfrm>
          <a:off x="0" y="13662025"/>
          <a:ext cx="254001" cy="168276"/>
        </a:xfrm>
        <a:custGeom>
          <a:avLst/>
          <a:gdLst/>
          <a:ahLst/>
          <a:cxnLst/>
          <a:rect l="0" t="0" r="0" b="0"/>
          <a:pathLst>
            <a:path w="254001" h="168276">
              <a:moveTo>
                <a:pt x="254000" y="0"/>
              </a:moveTo>
              <a:lnTo>
                <a:pt x="0" y="0"/>
              </a:lnTo>
              <a:lnTo>
                <a:pt x="0" y="168275"/>
              </a:lnTo>
              <a:lnTo>
                <a:pt x="127000" y="168275"/>
              </a:lnTo>
              <a:lnTo>
                <a:pt x="127000" y="63500"/>
              </a:lnTo>
              <a:lnTo>
                <a:pt x="254000" y="63500"/>
              </a:lnTo>
              <a:close/>
            </a:path>
          </a:pathLst>
        </a:custGeom>
        <a:noFill/>
        <a:ln w="25400" cap="flat" cmpd="sng" algn="ctr">
          <a:noFill/>
          <a:prstDash val="solid"/>
        </a:ln>
        <a:effectLst/>
        <a:extLst>
          <a:ext uri="{909E8E84-426E-40DD-AFC4-6F175D3DCCD1}">
            <a14:hiddenFill xmlns:a14="http://schemas.microsoft.com/office/drawing/2010/main">
              <a:gradFill flip="none" rotWithShape="1">
                <a:gsLst>
                  <a:gs pos="0">
                    <a:srgbClr val="FFFF00"/>
                  </a:gs>
                  <a:gs pos="100000">
                    <a:srgbClr val="FFFF00"/>
                  </a:gs>
                </a:gsLst>
                <a:lin ang="5400000" scaled="1"/>
                <a:tileRect/>
              </a:gra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clientData/>
  </xdr:twoCellAnchor>
  <xdr:twoCellAnchor>
    <xdr:from>
      <xdr:col>0</xdr:col>
      <xdr:colOff>0</xdr:colOff>
      <xdr:row>58</xdr:row>
      <xdr:rowOff>12700</xdr:rowOff>
    </xdr:from>
    <xdr:to>
      <xdr:col>0</xdr:col>
      <xdr:colOff>254001</xdr:colOff>
      <xdr:row>60</xdr:row>
      <xdr:rowOff>1</xdr:rowOff>
    </xdr:to>
    <xdr:sp macro="" textlink="">
      <xdr:nvSpPr>
        <xdr:cNvPr id="2315" name="BCM_subcat3_Holder3">
          <a:extLst>
            <a:ext uri="{FF2B5EF4-FFF2-40B4-BE49-F238E27FC236}">
              <a16:creationId xmlns:a16="http://schemas.microsoft.com/office/drawing/2014/main" id="{00000000-0008-0000-0B00-00000B090000}"/>
            </a:ext>
          </a:extLst>
        </xdr:cNvPr>
        <xdr:cNvSpPr/>
      </xdr:nvSpPr>
      <xdr:spPr>
        <a:xfrm>
          <a:off x="0" y="14204950"/>
          <a:ext cx="254001" cy="349251"/>
        </a:xfrm>
        <a:custGeom>
          <a:avLst/>
          <a:gdLst/>
          <a:ahLst/>
          <a:cxnLst/>
          <a:rect l="0" t="0" r="0" b="0"/>
          <a:pathLst>
            <a:path w="254001" h="349251">
              <a:moveTo>
                <a:pt x="254000" y="0"/>
              </a:moveTo>
              <a:lnTo>
                <a:pt x="0" y="0"/>
              </a:lnTo>
              <a:lnTo>
                <a:pt x="0" y="349250"/>
              </a:lnTo>
              <a:lnTo>
                <a:pt x="127000" y="349250"/>
              </a:lnTo>
              <a:lnTo>
                <a:pt x="127000" y="63500"/>
              </a:lnTo>
              <a:lnTo>
                <a:pt x="254000" y="63500"/>
              </a:lnTo>
              <a:close/>
            </a:path>
          </a:pathLst>
        </a:custGeom>
        <a:noFill/>
        <a:ln w="25400" cap="flat" cmpd="sng" algn="ctr">
          <a:noFill/>
          <a:prstDash val="solid"/>
        </a:ln>
        <a:effectLst/>
        <a:extLst>
          <a:ext uri="{909E8E84-426E-40DD-AFC4-6F175D3DCCD1}">
            <a14:hiddenFill xmlns:a14="http://schemas.microsoft.com/office/drawing/2010/main">
              <a:gradFill flip="none" rotWithShape="1">
                <a:gsLst>
                  <a:gs pos="0">
                    <a:srgbClr val="C5D9F1"/>
                  </a:gs>
                  <a:gs pos="100000">
                    <a:srgbClr val="C5D9F1"/>
                  </a:gs>
                </a:gsLst>
                <a:lin ang="5400000" scaled="1"/>
                <a:tileRect/>
              </a:gra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clientData/>
  </xdr:twoCellAnchor>
  <xdr:twoCellAnchor>
    <xdr:from>
      <xdr:col>1</xdr:col>
      <xdr:colOff>0</xdr:colOff>
      <xdr:row>62</xdr:row>
      <xdr:rowOff>12700</xdr:rowOff>
    </xdr:from>
    <xdr:to>
      <xdr:col>19</xdr:col>
      <xdr:colOff>0</xdr:colOff>
      <xdr:row>62</xdr:row>
      <xdr:rowOff>355600</xdr:rowOff>
    </xdr:to>
    <xdr:sp macro="" textlink="" fLocksText="0">
      <xdr:nvSpPr>
        <xdr:cNvPr id="2316" name="subcat4">
          <a:extLst>
            <a:ext uri="{FF2B5EF4-FFF2-40B4-BE49-F238E27FC236}">
              <a16:creationId xmlns:a16="http://schemas.microsoft.com/office/drawing/2014/main" id="{00000000-0008-0000-0B00-00000C090000}"/>
            </a:ext>
          </a:extLst>
        </xdr:cNvPr>
        <xdr:cNvSpPr/>
      </xdr:nvSpPr>
      <xdr:spPr>
        <a:xfrm>
          <a:off x="571500" y="14928850"/>
          <a:ext cx="16030575" cy="342900"/>
        </a:xfrm>
        <a:prstGeom prst="roundRect">
          <a:avLst>
            <a:gd name="adj" fmla="val 0"/>
          </a:avLst>
        </a:prstGeom>
        <a:gradFill flip="none" rotWithShape="1">
          <a:gsLst>
            <a:gs pos="0">
              <a:srgbClr val="940027"/>
            </a:gs>
            <a:gs pos="100000">
              <a:srgbClr val="940027"/>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88900" rtlCol="0" anchor="ctr"/>
        <a:lstStyle/>
        <a:p>
          <a:pPr algn="l"/>
          <a:r>
            <a:rPr lang="da-DK" sz="2000" b="1">
              <a:solidFill>
                <a:srgbClr val="FFFFFF"/>
              </a:solidFill>
              <a:latin typeface="Arial"/>
            </a:rPr>
            <a:t>Omkostningsbaserede, økonomiske nøgletal</a:t>
          </a:r>
        </a:p>
      </xdr:txBody>
    </xdr:sp>
    <xdr:clientData/>
  </xdr:twoCellAnchor>
  <xdr:twoCellAnchor>
    <xdr:from>
      <xdr:col>19</xdr:col>
      <xdr:colOff>317500</xdr:colOff>
      <xdr:row>62</xdr:row>
      <xdr:rowOff>12700</xdr:rowOff>
    </xdr:from>
    <xdr:to>
      <xdr:col>20</xdr:col>
      <xdr:colOff>1</xdr:colOff>
      <xdr:row>72</xdr:row>
      <xdr:rowOff>1</xdr:rowOff>
    </xdr:to>
    <xdr:sp macro="" textlink="">
      <xdr:nvSpPr>
        <xdr:cNvPr id="2317" name="BCM_HolderH1e">
          <a:extLst>
            <a:ext uri="{FF2B5EF4-FFF2-40B4-BE49-F238E27FC236}">
              <a16:creationId xmlns:a16="http://schemas.microsoft.com/office/drawing/2014/main" id="{00000000-0008-0000-0B00-00000D090000}"/>
            </a:ext>
          </a:extLst>
        </xdr:cNvPr>
        <xdr:cNvSpPr/>
      </xdr:nvSpPr>
      <xdr:spPr>
        <a:xfrm>
          <a:off x="16919575" y="14928850"/>
          <a:ext cx="254001" cy="1978026"/>
        </a:xfrm>
        <a:custGeom>
          <a:avLst/>
          <a:gdLst/>
          <a:ahLst/>
          <a:cxnLst/>
          <a:rect l="0" t="0" r="0" b="0"/>
          <a:pathLst>
            <a:path w="254001" h="1978026">
              <a:moveTo>
                <a:pt x="0" y="0"/>
              </a:moveTo>
              <a:lnTo>
                <a:pt x="254000" y="0"/>
              </a:lnTo>
              <a:lnTo>
                <a:pt x="254000" y="1978025"/>
              </a:lnTo>
              <a:lnTo>
                <a:pt x="127000" y="1978025"/>
              </a:lnTo>
              <a:lnTo>
                <a:pt x="127000" y="63500"/>
              </a:lnTo>
              <a:lnTo>
                <a:pt x="0" y="63500"/>
              </a:lnTo>
              <a:close/>
            </a:path>
          </a:pathLst>
        </a:custGeom>
        <a:noFill/>
        <a:ln w="25400" cap="flat" cmpd="sng" algn="ctr">
          <a:noFill/>
          <a:prstDash val="solid"/>
        </a:ln>
        <a:effectLst/>
        <a:extLst>
          <a:ext uri="{909E8E84-426E-40DD-AFC4-6F175D3DCCD1}">
            <a14:hiddenFill xmlns:a14="http://schemas.microsoft.com/office/drawing/2010/main">
              <a:gradFill flip="none" rotWithShape="1">
                <a:gsLst>
                  <a:gs pos="0">
                    <a:srgbClr val="FDE9D9"/>
                  </a:gs>
                  <a:gs pos="100000">
                    <a:srgbClr val="FDE9D9"/>
                  </a:gs>
                </a:gsLst>
                <a:lin ang="5400000" scaled="1"/>
                <a:tileRect/>
              </a:gra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clientData/>
  </xdr:twoCellAnchor>
  <xdr:twoCellAnchor>
    <xdr:from>
      <xdr:col>0</xdr:col>
      <xdr:colOff>0</xdr:colOff>
      <xdr:row>62</xdr:row>
      <xdr:rowOff>12700</xdr:rowOff>
    </xdr:from>
    <xdr:to>
      <xdr:col>0</xdr:col>
      <xdr:colOff>254001</xdr:colOff>
      <xdr:row>72</xdr:row>
      <xdr:rowOff>1</xdr:rowOff>
    </xdr:to>
    <xdr:sp macro="" textlink="">
      <xdr:nvSpPr>
        <xdr:cNvPr id="2318" name="BCM_subcat4_Holder1">
          <a:extLst>
            <a:ext uri="{FF2B5EF4-FFF2-40B4-BE49-F238E27FC236}">
              <a16:creationId xmlns:a16="http://schemas.microsoft.com/office/drawing/2014/main" id="{00000000-0008-0000-0B00-00000E090000}"/>
            </a:ext>
          </a:extLst>
        </xdr:cNvPr>
        <xdr:cNvSpPr/>
      </xdr:nvSpPr>
      <xdr:spPr>
        <a:xfrm>
          <a:off x="0" y="14928850"/>
          <a:ext cx="254001" cy="1978026"/>
        </a:xfrm>
        <a:custGeom>
          <a:avLst/>
          <a:gdLst/>
          <a:ahLst/>
          <a:cxnLst/>
          <a:rect l="0" t="0" r="0" b="0"/>
          <a:pathLst>
            <a:path w="254001" h="1978026">
              <a:moveTo>
                <a:pt x="254000" y="0"/>
              </a:moveTo>
              <a:lnTo>
                <a:pt x="0" y="0"/>
              </a:lnTo>
              <a:lnTo>
                <a:pt x="0" y="1978025"/>
              </a:lnTo>
              <a:lnTo>
                <a:pt x="127000" y="1978025"/>
              </a:lnTo>
              <a:lnTo>
                <a:pt x="127000" y="63500"/>
              </a:lnTo>
              <a:lnTo>
                <a:pt x="254000" y="63500"/>
              </a:lnTo>
              <a:close/>
            </a:path>
          </a:pathLst>
        </a:custGeom>
        <a:noFill/>
        <a:ln w="25400" cap="flat" cmpd="sng" algn="ctr">
          <a:noFill/>
          <a:prstDash val="solid"/>
        </a:ln>
        <a:effectLst/>
        <a:extLst>
          <a:ext uri="{909E8E84-426E-40DD-AFC4-6F175D3DCCD1}">
            <a14:hiddenFill xmlns:a14="http://schemas.microsoft.com/office/drawing/2010/main">
              <a:gradFill flip="none" rotWithShape="1">
                <a:gsLst>
                  <a:gs pos="0">
                    <a:srgbClr val="C5D9F1"/>
                  </a:gs>
                  <a:gs pos="100000">
                    <a:srgbClr val="C5D9F1"/>
                  </a:gs>
                </a:gsLst>
                <a:lin ang="5400000" scaled="1"/>
                <a:tileRect/>
              </a:gra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clientData/>
  </xdr:twoCellAnchor>
  <xdr:twoCellAnchor>
    <xdr:from>
      <xdr:col>1</xdr:col>
      <xdr:colOff>0</xdr:colOff>
      <xdr:row>72</xdr:row>
      <xdr:rowOff>12700</xdr:rowOff>
    </xdr:from>
    <xdr:to>
      <xdr:col>19</xdr:col>
      <xdr:colOff>0</xdr:colOff>
      <xdr:row>72</xdr:row>
      <xdr:rowOff>355600</xdr:rowOff>
    </xdr:to>
    <xdr:sp macro="" textlink="" fLocksText="0">
      <xdr:nvSpPr>
        <xdr:cNvPr id="2319" name="subcat5">
          <a:extLst>
            <a:ext uri="{FF2B5EF4-FFF2-40B4-BE49-F238E27FC236}">
              <a16:creationId xmlns:a16="http://schemas.microsoft.com/office/drawing/2014/main" id="{00000000-0008-0000-0B00-00000F090000}"/>
            </a:ext>
          </a:extLst>
        </xdr:cNvPr>
        <xdr:cNvSpPr/>
      </xdr:nvSpPr>
      <xdr:spPr>
        <a:xfrm>
          <a:off x="571500" y="17395825"/>
          <a:ext cx="16030575" cy="342900"/>
        </a:xfrm>
        <a:prstGeom prst="roundRect">
          <a:avLst>
            <a:gd name="adj" fmla="val 0"/>
          </a:avLst>
        </a:prstGeom>
        <a:gradFill flip="none" rotWithShape="1">
          <a:gsLst>
            <a:gs pos="0">
              <a:srgbClr val="940027"/>
            </a:gs>
            <a:gs pos="100000">
              <a:srgbClr val="940027"/>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88900" rtlCol="0" anchor="ctr"/>
        <a:lstStyle/>
        <a:p>
          <a:pPr algn="l"/>
          <a:r>
            <a:rPr lang="da-DK" sz="2000" b="1">
              <a:solidFill>
                <a:srgbClr val="FFFFFF"/>
              </a:solidFill>
              <a:latin typeface="Arial"/>
            </a:rPr>
            <a:t>Økonomiske gevinster</a:t>
          </a:r>
        </a:p>
      </xdr:txBody>
    </xdr:sp>
    <xdr:clientData/>
  </xdr:twoCellAnchor>
  <xdr:twoCellAnchor>
    <xdr:from>
      <xdr:col>19</xdr:col>
      <xdr:colOff>317500</xdr:colOff>
      <xdr:row>72</xdr:row>
      <xdr:rowOff>12700</xdr:rowOff>
    </xdr:from>
    <xdr:to>
      <xdr:col>20</xdr:col>
      <xdr:colOff>1</xdr:colOff>
      <xdr:row>82</xdr:row>
      <xdr:rowOff>1</xdr:rowOff>
    </xdr:to>
    <xdr:sp macro="" textlink="">
      <xdr:nvSpPr>
        <xdr:cNvPr id="2320" name="BCM_HolderH1f">
          <a:extLst>
            <a:ext uri="{FF2B5EF4-FFF2-40B4-BE49-F238E27FC236}">
              <a16:creationId xmlns:a16="http://schemas.microsoft.com/office/drawing/2014/main" id="{00000000-0008-0000-0B00-000010090000}"/>
            </a:ext>
          </a:extLst>
        </xdr:cNvPr>
        <xdr:cNvSpPr/>
      </xdr:nvSpPr>
      <xdr:spPr>
        <a:xfrm>
          <a:off x="16919575" y="17395825"/>
          <a:ext cx="254001" cy="1978026"/>
        </a:xfrm>
        <a:custGeom>
          <a:avLst/>
          <a:gdLst/>
          <a:ahLst/>
          <a:cxnLst/>
          <a:rect l="0" t="0" r="0" b="0"/>
          <a:pathLst>
            <a:path w="254001" h="1978026">
              <a:moveTo>
                <a:pt x="0" y="0"/>
              </a:moveTo>
              <a:lnTo>
                <a:pt x="254000" y="0"/>
              </a:lnTo>
              <a:lnTo>
                <a:pt x="254000" y="1978025"/>
              </a:lnTo>
              <a:lnTo>
                <a:pt x="127000" y="1978025"/>
              </a:lnTo>
              <a:lnTo>
                <a:pt x="127000" y="63500"/>
              </a:lnTo>
              <a:lnTo>
                <a:pt x="0" y="63500"/>
              </a:lnTo>
              <a:close/>
            </a:path>
          </a:pathLst>
        </a:custGeom>
        <a:noFill/>
        <a:ln w="25400" cap="flat" cmpd="sng" algn="ctr">
          <a:noFill/>
          <a:prstDash val="solid"/>
        </a:ln>
        <a:effectLst/>
        <a:extLst>
          <a:ext uri="{909E8E84-426E-40DD-AFC4-6F175D3DCCD1}">
            <a14:hiddenFill xmlns:a14="http://schemas.microsoft.com/office/drawing/2010/main">
              <a:gradFill flip="none" rotWithShape="1">
                <a:gsLst>
                  <a:gs pos="0">
                    <a:srgbClr val="FDE9D9"/>
                  </a:gs>
                  <a:gs pos="100000">
                    <a:srgbClr val="FDE9D9"/>
                  </a:gs>
                </a:gsLst>
                <a:lin ang="5400000" scaled="1"/>
                <a:tileRect/>
              </a:gra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clientData/>
  </xdr:twoCellAnchor>
  <xdr:twoCellAnchor>
    <xdr:from>
      <xdr:col>1</xdr:col>
      <xdr:colOff>0</xdr:colOff>
      <xdr:row>82</xdr:row>
      <xdr:rowOff>12700</xdr:rowOff>
    </xdr:from>
    <xdr:to>
      <xdr:col>19</xdr:col>
      <xdr:colOff>0</xdr:colOff>
      <xdr:row>82</xdr:row>
      <xdr:rowOff>355600</xdr:rowOff>
    </xdr:to>
    <xdr:sp macro="" textlink="" fLocksText="0">
      <xdr:nvSpPr>
        <xdr:cNvPr id="2321" name="subcat6a">
          <a:extLst>
            <a:ext uri="{FF2B5EF4-FFF2-40B4-BE49-F238E27FC236}">
              <a16:creationId xmlns:a16="http://schemas.microsoft.com/office/drawing/2014/main" id="{00000000-0008-0000-0B00-000011090000}"/>
            </a:ext>
          </a:extLst>
        </xdr:cNvPr>
        <xdr:cNvSpPr/>
      </xdr:nvSpPr>
      <xdr:spPr>
        <a:xfrm>
          <a:off x="571500" y="19538950"/>
          <a:ext cx="16030575" cy="342900"/>
        </a:xfrm>
        <a:prstGeom prst="roundRect">
          <a:avLst>
            <a:gd name="adj" fmla="val 0"/>
          </a:avLst>
        </a:prstGeom>
        <a:gradFill flip="none" rotWithShape="1">
          <a:gsLst>
            <a:gs pos="0">
              <a:srgbClr val="940027"/>
            </a:gs>
            <a:gs pos="100000">
              <a:srgbClr val="940027"/>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88900" rtlCol="0" anchor="ctr"/>
        <a:lstStyle/>
        <a:p>
          <a:pPr algn="l"/>
          <a:r>
            <a:rPr lang="da-DK" sz="2000" b="1">
              <a:solidFill>
                <a:srgbClr val="FFFFFF"/>
              </a:solidFill>
              <a:latin typeface="Arial"/>
            </a:rPr>
            <a:t>Ikke-økonomiske gevinster</a:t>
          </a:r>
        </a:p>
      </xdr:txBody>
    </xdr:sp>
    <xdr:clientData/>
  </xdr:twoCellAnchor>
  <xdr:twoCellAnchor>
    <xdr:from>
      <xdr:col>19</xdr:col>
      <xdr:colOff>317500</xdr:colOff>
      <xdr:row>82</xdr:row>
      <xdr:rowOff>12700</xdr:rowOff>
    </xdr:from>
    <xdr:to>
      <xdr:col>20</xdr:col>
      <xdr:colOff>1</xdr:colOff>
      <xdr:row>106</xdr:row>
      <xdr:rowOff>1</xdr:rowOff>
    </xdr:to>
    <xdr:sp macro="" textlink="">
      <xdr:nvSpPr>
        <xdr:cNvPr id="2322" name="BCM_HolderH1g">
          <a:extLst>
            <a:ext uri="{FF2B5EF4-FFF2-40B4-BE49-F238E27FC236}">
              <a16:creationId xmlns:a16="http://schemas.microsoft.com/office/drawing/2014/main" id="{00000000-0008-0000-0B00-000012090000}"/>
            </a:ext>
          </a:extLst>
        </xdr:cNvPr>
        <xdr:cNvSpPr/>
      </xdr:nvSpPr>
      <xdr:spPr>
        <a:xfrm>
          <a:off x="16919575" y="19538950"/>
          <a:ext cx="254001" cy="4511676"/>
        </a:xfrm>
        <a:custGeom>
          <a:avLst/>
          <a:gdLst/>
          <a:ahLst/>
          <a:cxnLst/>
          <a:rect l="0" t="0" r="0" b="0"/>
          <a:pathLst>
            <a:path w="254001" h="4511676">
              <a:moveTo>
                <a:pt x="0" y="0"/>
              </a:moveTo>
              <a:lnTo>
                <a:pt x="254000" y="0"/>
              </a:lnTo>
              <a:lnTo>
                <a:pt x="254000" y="4511675"/>
              </a:lnTo>
              <a:lnTo>
                <a:pt x="127000" y="4511675"/>
              </a:lnTo>
              <a:lnTo>
                <a:pt x="127000" y="63500"/>
              </a:lnTo>
              <a:lnTo>
                <a:pt x="0" y="63500"/>
              </a:lnTo>
              <a:close/>
            </a:path>
          </a:pathLst>
        </a:custGeom>
        <a:noFill/>
        <a:ln w="25400" cap="flat" cmpd="sng" algn="ctr">
          <a:noFill/>
          <a:prstDash val="solid"/>
        </a:ln>
        <a:effectLst/>
        <a:extLst>
          <a:ext uri="{909E8E84-426E-40DD-AFC4-6F175D3DCCD1}">
            <a14:hiddenFill xmlns:a14="http://schemas.microsoft.com/office/drawing/2010/main">
              <a:gradFill flip="none" rotWithShape="1">
                <a:gsLst>
                  <a:gs pos="0">
                    <a:srgbClr val="FDE9D9"/>
                  </a:gs>
                  <a:gs pos="100000">
                    <a:srgbClr val="FDE9D9"/>
                  </a:gs>
                </a:gsLst>
                <a:lin ang="5400000" scaled="1"/>
                <a:tileRect/>
              </a:gra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clientData/>
  </xdr:twoCellAnchor>
  <xdr:twoCellAnchor>
    <xdr:from>
      <xdr:col>1</xdr:col>
      <xdr:colOff>0</xdr:colOff>
      <xdr:row>93</xdr:row>
      <xdr:rowOff>12700</xdr:rowOff>
    </xdr:from>
    <xdr:to>
      <xdr:col>19</xdr:col>
      <xdr:colOff>0</xdr:colOff>
      <xdr:row>93</xdr:row>
      <xdr:rowOff>355600</xdr:rowOff>
    </xdr:to>
    <xdr:sp macro="" textlink="" fLocksText="0">
      <xdr:nvSpPr>
        <xdr:cNvPr id="2323" name="subcat6b">
          <a:extLst>
            <a:ext uri="{FF2B5EF4-FFF2-40B4-BE49-F238E27FC236}">
              <a16:creationId xmlns:a16="http://schemas.microsoft.com/office/drawing/2014/main" id="{00000000-0008-0000-0B00-000013090000}"/>
            </a:ext>
          </a:extLst>
        </xdr:cNvPr>
        <xdr:cNvSpPr/>
      </xdr:nvSpPr>
      <xdr:spPr>
        <a:xfrm>
          <a:off x="571500" y="22339300"/>
          <a:ext cx="16030575" cy="342900"/>
        </a:xfrm>
        <a:prstGeom prst="roundRect">
          <a:avLst>
            <a:gd name="adj" fmla="val 0"/>
          </a:avLst>
        </a:prstGeom>
        <a:gradFill flip="none" rotWithShape="1">
          <a:gsLst>
            <a:gs pos="0">
              <a:srgbClr val="940027"/>
            </a:gs>
            <a:gs pos="100000">
              <a:srgbClr val="940027"/>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88900" rtlCol="0" anchor="ctr"/>
        <a:lstStyle/>
        <a:p>
          <a:pPr algn="l"/>
          <a:r>
            <a:rPr lang="da-DK" sz="2000" b="1">
              <a:solidFill>
                <a:srgbClr val="FFFFFF"/>
              </a:solidFill>
              <a:latin typeface="Arial"/>
            </a:rPr>
            <a:t>Risici fordelt på risikotyper</a:t>
          </a:r>
        </a:p>
      </xdr:txBody>
    </xdr:sp>
    <xdr:clientData/>
  </xdr:twoCellAnchor>
  <xdr:twoCellAnchor>
    <xdr:from>
      <xdr:col>1</xdr:col>
      <xdr:colOff>0</xdr:colOff>
      <xdr:row>106</xdr:row>
      <xdr:rowOff>12700</xdr:rowOff>
    </xdr:from>
    <xdr:to>
      <xdr:col>19</xdr:col>
      <xdr:colOff>0</xdr:colOff>
      <xdr:row>106</xdr:row>
      <xdr:rowOff>355600</xdr:rowOff>
    </xdr:to>
    <xdr:sp macro="" textlink="" fLocksText="0">
      <xdr:nvSpPr>
        <xdr:cNvPr id="2324" name="subcat7">
          <a:extLst>
            <a:ext uri="{FF2B5EF4-FFF2-40B4-BE49-F238E27FC236}">
              <a16:creationId xmlns:a16="http://schemas.microsoft.com/office/drawing/2014/main" id="{00000000-0008-0000-0B00-000014090000}"/>
            </a:ext>
          </a:extLst>
        </xdr:cNvPr>
        <xdr:cNvSpPr/>
      </xdr:nvSpPr>
      <xdr:spPr>
        <a:xfrm>
          <a:off x="571500" y="25825450"/>
          <a:ext cx="16030575" cy="342900"/>
        </a:xfrm>
        <a:prstGeom prst="roundRect">
          <a:avLst>
            <a:gd name="adj" fmla="val 0"/>
          </a:avLst>
        </a:prstGeom>
        <a:gradFill flip="none" rotWithShape="1">
          <a:gsLst>
            <a:gs pos="0">
              <a:srgbClr val="940027"/>
            </a:gs>
            <a:gs pos="100000">
              <a:srgbClr val="940027"/>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88900" rtlCol="0" anchor="ctr"/>
        <a:lstStyle/>
        <a:p>
          <a:pPr algn="l"/>
          <a:r>
            <a:rPr lang="da-DK" sz="2000" b="1">
              <a:solidFill>
                <a:srgbClr val="FFFFFF"/>
              </a:solidFill>
              <a:latin typeface="Arial"/>
            </a:rPr>
            <a:t>Sandsynlighedsfordelinger fra Monte carlo-simulering</a:t>
          </a:r>
        </a:p>
      </xdr:txBody>
    </xdr:sp>
    <xdr:clientData/>
  </xdr:twoCellAnchor>
  <xdr:twoCellAnchor>
    <xdr:from>
      <xdr:col>0</xdr:col>
      <xdr:colOff>0</xdr:colOff>
      <xdr:row>106</xdr:row>
      <xdr:rowOff>12700</xdr:rowOff>
    </xdr:from>
    <xdr:to>
      <xdr:col>0</xdr:col>
      <xdr:colOff>254001</xdr:colOff>
      <xdr:row>130</xdr:row>
      <xdr:rowOff>1</xdr:rowOff>
    </xdr:to>
    <xdr:sp macro="" textlink="">
      <xdr:nvSpPr>
        <xdr:cNvPr id="2325" name="BCM_subcat7_Holder1">
          <a:extLst>
            <a:ext uri="{FF2B5EF4-FFF2-40B4-BE49-F238E27FC236}">
              <a16:creationId xmlns:a16="http://schemas.microsoft.com/office/drawing/2014/main" id="{00000000-0008-0000-0B00-000015090000}"/>
            </a:ext>
          </a:extLst>
        </xdr:cNvPr>
        <xdr:cNvSpPr/>
      </xdr:nvSpPr>
      <xdr:spPr>
        <a:xfrm>
          <a:off x="0" y="25825450"/>
          <a:ext cx="254001" cy="4511676"/>
        </a:xfrm>
        <a:custGeom>
          <a:avLst/>
          <a:gdLst/>
          <a:ahLst/>
          <a:cxnLst/>
          <a:rect l="0" t="0" r="0" b="0"/>
          <a:pathLst>
            <a:path w="254001" h="4511676">
              <a:moveTo>
                <a:pt x="254000" y="0"/>
              </a:moveTo>
              <a:lnTo>
                <a:pt x="0" y="0"/>
              </a:lnTo>
              <a:lnTo>
                <a:pt x="0" y="4511675"/>
              </a:lnTo>
              <a:lnTo>
                <a:pt x="127000" y="4511675"/>
              </a:lnTo>
              <a:lnTo>
                <a:pt x="127000" y="63500"/>
              </a:lnTo>
              <a:lnTo>
                <a:pt x="254000" y="63500"/>
              </a:lnTo>
              <a:close/>
            </a:path>
          </a:pathLst>
        </a:custGeom>
        <a:noFill/>
        <a:ln w="25400" cap="flat" cmpd="sng" algn="ctr">
          <a:noFill/>
          <a:prstDash val="solid"/>
        </a:ln>
        <a:effectLst/>
        <a:extLst>
          <a:ext uri="{909E8E84-426E-40DD-AFC4-6F175D3DCCD1}">
            <a14:hiddenFill xmlns:a14="http://schemas.microsoft.com/office/drawing/2010/main">
              <a:gradFill flip="none" rotWithShape="1">
                <a:gsLst>
                  <a:gs pos="0">
                    <a:srgbClr val="FFFF00"/>
                  </a:gs>
                  <a:gs pos="100000">
                    <a:srgbClr val="FFFF00"/>
                  </a:gs>
                </a:gsLst>
                <a:lin ang="5400000" scaled="1"/>
                <a:tileRect/>
              </a:gra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clientData/>
  </xdr:twoCellAnchor>
  <xdr:twoCellAnchor>
    <xdr:from>
      <xdr:col>1</xdr:col>
      <xdr:colOff>0</xdr:colOff>
      <xdr:row>130</xdr:row>
      <xdr:rowOff>12700</xdr:rowOff>
    </xdr:from>
    <xdr:to>
      <xdr:col>19</xdr:col>
      <xdr:colOff>0</xdr:colOff>
      <xdr:row>130</xdr:row>
      <xdr:rowOff>355600</xdr:rowOff>
    </xdr:to>
    <xdr:sp macro="" textlink="" fLocksText="0">
      <xdr:nvSpPr>
        <xdr:cNvPr id="2326" name="subcat8">
          <a:extLst>
            <a:ext uri="{FF2B5EF4-FFF2-40B4-BE49-F238E27FC236}">
              <a16:creationId xmlns:a16="http://schemas.microsoft.com/office/drawing/2014/main" id="{00000000-0008-0000-0B00-000016090000}"/>
            </a:ext>
          </a:extLst>
        </xdr:cNvPr>
        <xdr:cNvSpPr/>
      </xdr:nvSpPr>
      <xdr:spPr>
        <a:xfrm>
          <a:off x="571500" y="30826075"/>
          <a:ext cx="16030575" cy="342900"/>
        </a:xfrm>
        <a:prstGeom prst="roundRect">
          <a:avLst>
            <a:gd name="adj" fmla="val 0"/>
          </a:avLst>
        </a:prstGeom>
        <a:gradFill flip="none" rotWithShape="1">
          <a:gsLst>
            <a:gs pos="0">
              <a:srgbClr val="940027"/>
            </a:gs>
            <a:gs pos="100000">
              <a:srgbClr val="940027"/>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88900" rtlCol="0" anchor="ctr"/>
        <a:lstStyle/>
        <a:p>
          <a:pPr algn="l"/>
          <a:r>
            <a:rPr lang="da-DK" sz="2000" b="1">
              <a:solidFill>
                <a:srgbClr val="FFFFFF"/>
              </a:solidFill>
              <a:latin typeface="Arial"/>
            </a:rPr>
            <a:t>Udgifter fordelt på udgiftsbærere</a:t>
          </a:r>
        </a:p>
      </xdr:txBody>
    </xdr:sp>
    <xdr:clientData/>
  </xdr:twoCellAnchor>
  <xdr:twoCellAnchor>
    <xdr:from>
      <xdr:col>0</xdr:col>
      <xdr:colOff>0</xdr:colOff>
      <xdr:row>137</xdr:row>
      <xdr:rowOff>12700</xdr:rowOff>
    </xdr:from>
    <xdr:to>
      <xdr:col>0</xdr:col>
      <xdr:colOff>254001</xdr:colOff>
      <xdr:row>138</xdr:row>
      <xdr:rowOff>1</xdr:rowOff>
    </xdr:to>
    <xdr:sp macro="" textlink="">
      <xdr:nvSpPr>
        <xdr:cNvPr id="2327" name="BCM_subcat8_Holder2">
          <a:extLst>
            <a:ext uri="{FF2B5EF4-FFF2-40B4-BE49-F238E27FC236}">
              <a16:creationId xmlns:a16="http://schemas.microsoft.com/office/drawing/2014/main" id="{00000000-0008-0000-0B00-000017090000}"/>
            </a:ext>
          </a:extLst>
        </xdr:cNvPr>
        <xdr:cNvSpPr/>
      </xdr:nvSpPr>
      <xdr:spPr>
        <a:xfrm>
          <a:off x="0" y="32426275"/>
          <a:ext cx="254001" cy="168276"/>
        </a:xfrm>
        <a:custGeom>
          <a:avLst/>
          <a:gdLst/>
          <a:ahLst/>
          <a:cxnLst/>
          <a:rect l="0" t="0" r="0" b="0"/>
          <a:pathLst>
            <a:path w="254001" h="168276">
              <a:moveTo>
                <a:pt x="254000" y="0"/>
              </a:moveTo>
              <a:lnTo>
                <a:pt x="0" y="0"/>
              </a:lnTo>
              <a:lnTo>
                <a:pt x="0" y="168275"/>
              </a:lnTo>
              <a:lnTo>
                <a:pt x="127000" y="168275"/>
              </a:lnTo>
              <a:lnTo>
                <a:pt x="127000" y="63500"/>
              </a:lnTo>
              <a:lnTo>
                <a:pt x="254000" y="63500"/>
              </a:lnTo>
              <a:close/>
            </a:path>
          </a:pathLst>
        </a:custGeom>
        <a:noFill/>
        <a:ln w="25400" cap="flat" cmpd="sng" algn="ctr">
          <a:noFill/>
          <a:prstDash val="solid"/>
        </a:ln>
        <a:effectLst/>
        <a:extLst>
          <a:ext uri="{909E8E84-426E-40DD-AFC4-6F175D3DCCD1}">
            <a14:hiddenFill xmlns:a14="http://schemas.microsoft.com/office/drawing/2010/main">
              <a:gradFill flip="none" rotWithShape="1">
                <a:gsLst>
                  <a:gs pos="0">
                    <a:srgbClr val="FFFF00"/>
                  </a:gs>
                  <a:gs pos="100000">
                    <a:srgbClr val="FFFF00"/>
                  </a:gs>
                </a:gsLst>
                <a:lin ang="5400000" scaled="1"/>
                <a:tileRect/>
              </a:gra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clientData/>
  </xdr:twoCellAnchor>
  <xdr:twoCellAnchor>
    <xdr:from>
      <xdr:col>0</xdr:col>
      <xdr:colOff>0</xdr:colOff>
      <xdr:row>139</xdr:row>
      <xdr:rowOff>12700</xdr:rowOff>
    </xdr:from>
    <xdr:to>
      <xdr:col>0</xdr:col>
      <xdr:colOff>254001</xdr:colOff>
      <xdr:row>142</xdr:row>
      <xdr:rowOff>1</xdr:rowOff>
    </xdr:to>
    <xdr:sp macro="" textlink="">
      <xdr:nvSpPr>
        <xdr:cNvPr id="2328" name="BCM_subcat8_Holder3">
          <a:extLst>
            <a:ext uri="{FF2B5EF4-FFF2-40B4-BE49-F238E27FC236}">
              <a16:creationId xmlns:a16="http://schemas.microsoft.com/office/drawing/2014/main" id="{00000000-0008-0000-0B00-000018090000}"/>
            </a:ext>
          </a:extLst>
        </xdr:cNvPr>
        <xdr:cNvSpPr/>
      </xdr:nvSpPr>
      <xdr:spPr>
        <a:xfrm>
          <a:off x="0" y="32788225"/>
          <a:ext cx="254001" cy="530226"/>
        </a:xfrm>
        <a:custGeom>
          <a:avLst/>
          <a:gdLst/>
          <a:ahLst/>
          <a:cxnLst/>
          <a:rect l="0" t="0" r="0" b="0"/>
          <a:pathLst>
            <a:path w="254001" h="530226">
              <a:moveTo>
                <a:pt x="254000" y="0"/>
              </a:moveTo>
              <a:lnTo>
                <a:pt x="0" y="0"/>
              </a:lnTo>
              <a:lnTo>
                <a:pt x="0" y="530225"/>
              </a:lnTo>
              <a:lnTo>
                <a:pt x="127000" y="530225"/>
              </a:lnTo>
              <a:lnTo>
                <a:pt x="127000" y="63500"/>
              </a:lnTo>
              <a:lnTo>
                <a:pt x="254000" y="63500"/>
              </a:lnTo>
              <a:close/>
            </a:path>
          </a:pathLst>
        </a:custGeom>
        <a:noFill/>
        <a:ln w="25400" cap="flat" cmpd="sng" algn="ctr">
          <a:noFill/>
          <a:prstDash val="solid"/>
        </a:ln>
        <a:effectLst/>
        <a:extLst>
          <a:ext uri="{909E8E84-426E-40DD-AFC4-6F175D3DCCD1}">
            <a14:hiddenFill xmlns:a14="http://schemas.microsoft.com/office/drawing/2010/main">
              <a:gradFill flip="none" rotWithShape="1">
                <a:gsLst>
                  <a:gs pos="0">
                    <a:srgbClr val="C5D9F1"/>
                  </a:gs>
                  <a:gs pos="100000">
                    <a:srgbClr val="C5D9F1"/>
                  </a:gs>
                </a:gsLst>
                <a:lin ang="5400000" scaled="1"/>
                <a:tileRect/>
              </a:gra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clientData/>
  </xdr:twoCellAnchor>
  <xdr:twoCellAnchor>
    <xdr:from>
      <xdr:col>1</xdr:col>
      <xdr:colOff>0</xdr:colOff>
      <xdr:row>144</xdr:row>
      <xdr:rowOff>12700</xdr:rowOff>
    </xdr:from>
    <xdr:to>
      <xdr:col>19</xdr:col>
      <xdr:colOff>0</xdr:colOff>
      <xdr:row>144</xdr:row>
      <xdr:rowOff>355600</xdr:rowOff>
    </xdr:to>
    <xdr:sp macro="" textlink="" fLocksText="0">
      <xdr:nvSpPr>
        <xdr:cNvPr id="2329" name="subcat10">
          <a:extLst>
            <a:ext uri="{FF2B5EF4-FFF2-40B4-BE49-F238E27FC236}">
              <a16:creationId xmlns:a16="http://schemas.microsoft.com/office/drawing/2014/main" id="{00000000-0008-0000-0B00-000019090000}"/>
            </a:ext>
          </a:extLst>
        </xdr:cNvPr>
        <xdr:cNvSpPr/>
      </xdr:nvSpPr>
      <xdr:spPr>
        <a:xfrm>
          <a:off x="571500" y="33693100"/>
          <a:ext cx="16030575" cy="342900"/>
        </a:xfrm>
        <a:prstGeom prst="roundRect">
          <a:avLst>
            <a:gd name="adj" fmla="val 0"/>
          </a:avLst>
        </a:prstGeom>
        <a:gradFill flip="none" rotWithShape="1">
          <a:gsLst>
            <a:gs pos="0">
              <a:srgbClr val="940027"/>
            </a:gs>
            <a:gs pos="100000">
              <a:srgbClr val="940027"/>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88900" rtlCol="0" anchor="ctr"/>
        <a:lstStyle/>
        <a:p>
          <a:pPr algn="l"/>
          <a:r>
            <a:rPr lang="da-DK" sz="2000" b="1">
              <a:solidFill>
                <a:srgbClr val="FFFFFF"/>
              </a:solidFill>
              <a:latin typeface="Arial"/>
            </a:rPr>
            <a:t>Projektudgifter fordelt på interne og eksterne ressourcer</a:t>
          </a:r>
        </a:p>
      </xdr:txBody>
    </xdr:sp>
    <xdr:clientData/>
  </xdr:twoCellAnchor>
  <xdr:twoCellAnchor>
    <xdr:from>
      <xdr:col>0</xdr:col>
      <xdr:colOff>0</xdr:colOff>
      <xdr:row>144</xdr:row>
      <xdr:rowOff>12700</xdr:rowOff>
    </xdr:from>
    <xdr:to>
      <xdr:col>0</xdr:col>
      <xdr:colOff>254001</xdr:colOff>
      <xdr:row>153</xdr:row>
      <xdr:rowOff>1</xdr:rowOff>
    </xdr:to>
    <xdr:sp macro="" textlink="">
      <xdr:nvSpPr>
        <xdr:cNvPr id="2330" name="BCM_subcat10_Holder1">
          <a:extLst>
            <a:ext uri="{FF2B5EF4-FFF2-40B4-BE49-F238E27FC236}">
              <a16:creationId xmlns:a16="http://schemas.microsoft.com/office/drawing/2014/main" id="{00000000-0008-0000-0B00-00001A090000}"/>
            </a:ext>
          </a:extLst>
        </xdr:cNvPr>
        <xdr:cNvSpPr/>
      </xdr:nvSpPr>
      <xdr:spPr>
        <a:xfrm>
          <a:off x="0" y="33693100"/>
          <a:ext cx="254001" cy="1797051"/>
        </a:xfrm>
        <a:custGeom>
          <a:avLst/>
          <a:gdLst/>
          <a:ahLst/>
          <a:cxnLst/>
          <a:rect l="0" t="0" r="0" b="0"/>
          <a:pathLst>
            <a:path w="254001" h="1797051">
              <a:moveTo>
                <a:pt x="254000" y="0"/>
              </a:moveTo>
              <a:lnTo>
                <a:pt x="0" y="0"/>
              </a:lnTo>
              <a:lnTo>
                <a:pt x="0" y="1797050"/>
              </a:lnTo>
              <a:lnTo>
                <a:pt x="127000" y="1797050"/>
              </a:lnTo>
              <a:lnTo>
                <a:pt x="127000" y="63500"/>
              </a:lnTo>
              <a:lnTo>
                <a:pt x="254000" y="63500"/>
              </a:lnTo>
              <a:close/>
            </a:path>
          </a:pathLst>
        </a:custGeom>
        <a:noFill/>
        <a:ln w="25400" cap="flat" cmpd="sng" algn="ctr">
          <a:noFill/>
          <a:prstDash val="solid"/>
        </a:ln>
        <a:effectLst/>
        <a:extLst>
          <a:ext uri="{909E8E84-426E-40DD-AFC4-6F175D3DCCD1}">
            <a14:hiddenFill xmlns:a14="http://schemas.microsoft.com/office/drawing/2010/main">
              <a:gradFill flip="none" rotWithShape="1">
                <a:gsLst>
                  <a:gs pos="0">
                    <a:srgbClr val="C4D79B"/>
                  </a:gs>
                  <a:gs pos="100000">
                    <a:srgbClr val="C4D79B"/>
                  </a:gs>
                </a:gsLst>
                <a:lin ang="5400000" scaled="1"/>
                <a:tileRect/>
              </a:gra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clientData/>
  </xdr:twoCellAnchor>
  <xdr:twoCellAnchor>
    <xdr:from>
      <xdr:col>1</xdr:col>
      <xdr:colOff>0</xdr:colOff>
      <xdr:row>153</xdr:row>
      <xdr:rowOff>12700</xdr:rowOff>
    </xdr:from>
    <xdr:to>
      <xdr:col>19</xdr:col>
      <xdr:colOff>0</xdr:colOff>
      <xdr:row>153</xdr:row>
      <xdr:rowOff>355600</xdr:rowOff>
    </xdr:to>
    <xdr:sp macro="" textlink="" fLocksText="0">
      <xdr:nvSpPr>
        <xdr:cNvPr id="2331" name="subcat11">
          <a:extLst>
            <a:ext uri="{FF2B5EF4-FFF2-40B4-BE49-F238E27FC236}">
              <a16:creationId xmlns:a16="http://schemas.microsoft.com/office/drawing/2014/main" id="{00000000-0008-0000-0B00-00001B090000}"/>
            </a:ext>
          </a:extLst>
        </xdr:cNvPr>
        <xdr:cNvSpPr/>
      </xdr:nvSpPr>
      <xdr:spPr>
        <a:xfrm>
          <a:off x="571500" y="35979100"/>
          <a:ext cx="16030575" cy="342900"/>
        </a:xfrm>
        <a:prstGeom prst="roundRect">
          <a:avLst>
            <a:gd name="adj" fmla="val 0"/>
          </a:avLst>
        </a:prstGeom>
        <a:gradFill flip="none" rotWithShape="1">
          <a:gsLst>
            <a:gs pos="0">
              <a:srgbClr val="940027"/>
            </a:gs>
            <a:gs pos="100000">
              <a:srgbClr val="940027"/>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88900" rtlCol="0" anchor="ctr"/>
        <a:lstStyle/>
        <a:p>
          <a:pPr algn="l"/>
          <a:r>
            <a:rPr lang="da-DK" sz="2000" b="1">
              <a:solidFill>
                <a:srgbClr val="FFFFFF"/>
              </a:solidFill>
              <a:latin typeface="Arial"/>
            </a:rPr>
            <a:t>Tidsplan</a:t>
          </a:r>
        </a:p>
      </xdr:txBody>
    </xdr:sp>
    <xdr:clientData/>
  </xdr:twoCellAnchor>
  <xdr:twoCellAnchor>
    <xdr:from>
      <xdr:col>1</xdr:col>
      <xdr:colOff>12700</xdr:colOff>
      <xdr:row>155</xdr:row>
      <xdr:rowOff>12700</xdr:rowOff>
    </xdr:from>
    <xdr:to>
      <xdr:col>6</xdr:col>
      <xdr:colOff>0</xdr:colOff>
      <xdr:row>166</xdr:row>
      <xdr:rowOff>0</xdr:rowOff>
    </xdr:to>
    <xdr:graphicFrame macro="">
      <xdr:nvGraphicFramePr>
        <xdr:cNvPr id="2332" name="BCM_subca11_Chart1" hidden="1">
          <a:extLst>
            <a:ext uri="{FF2B5EF4-FFF2-40B4-BE49-F238E27FC236}">
              <a16:creationId xmlns:a16="http://schemas.microsoft.com/office/drawing/2014/main" id="{00000000-0008-0000-0B00-00001C09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168</xdr:row>
      <xdr:rowOff>12700</xdr:rowOff>
    </xdr:from>
    <xdr:to>
      <xdr:col>19</xdr:col>
      <xdr:colOff>0</xdr:colOff>
      <xdr:row>168</xdr:row>
      <xdr:rowOff>355600</xdr:rowOff>
    </xdr:to>
    <xdr:sp macro="" textlink="" fLocksText="0">
      <xdr:nvSpPr>
        <xdr:cNvPr id="2333" name="subcat12">
          <a:extLst>
            <a:ext uri="{FF2B5EF4-FFF2-40B4-BE49-F238E27FC236}">
              <a16:creationId xmlns:a16="http://schemas.microsoft.com/office/drawing/2014/main" id="{00000000-0008-0000-0B00-00001D090000}"/>
            </a:ext>
          </a:extLst>
        </xdr:cNvPr>
        <xdr:cNvSpPr/>
      </xdr:nvSpPr>
      <xdr:spPr>
        <a:xfrm>
          <a:off x="571500" y="39350950"/>
          <a:ext cx="16030575" cy="342900"/>
        </a:xfrm>
        <a:prstGeom prst="roundRect">
          <a:avLst>
            <a:gd name="adj" fmla="val 0"/>
          </a:avLst>
        </a:prstGeom>
        <a:gradFill flip="none" rotWithShape="1">
          <a:gsLst>
            <a:gs pos="0">
              <a:srgbClr val="940027"/>
            </a:gs>
            <a:gs pos="100000">
              <a:srgbClr val="940027"/>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88900" rtlCol="0" anchor="ctr"/>
        <a:lstStyle/>
        <a:p>
          <a:pPr algn="l"/>
          <a:r>
            <a:rPr lang="da-DK" sz="2000" b="1">
              <a:solidFill>
                <a:srgbClr val="FFFFFF"/>
              </a:solidFill>
              <a:latin typeface="Arial"/>
            </a:rPr>
            <a:t>Risici og usikkerheder</a:t>
          </a:r>
        </a:p>
      </xdr:txBody>
    </xdr:sp>
    <xdr:clientData/>
  </xdr:twoCellAnchor>
  <xdr:twoCellAnchor>
    <xdr:from>
      <xdr:col>1</xdr:col>
      <xdr:colOff>0</xdr:colOff>
      <xdr:row>180</xdr:row>
      <xdr:rowOff>12700</xdr:rowOff>
    </xdr:from>
    <xdr:to>
      <xdr:col>19</xdr:col>
      <xdr:colOff>0</xdr:colOff>
      <xdr:row>180</xdr:row>
      <xdr:rowOff>355600</xdr:rowOff>
    </xdr:to>
    <xdr:sp macro="" textlink="" fLocksText="0">
      <xdr:nvSpPr>
        <xdr:cNvPr id="2334" name="subcat13">
          <a:extLst>
            <a:ext uri="{FF2B5EF4-FFF2-40B4-BE49-F238E27FC236}">
              <a16:creationId xmlns:a16="http://schemas.microsoft.com/office/drawing/2014/main" id="{00000000-0008-0000-0B00-00001E090000}"/>
            </a:ext>
          </a:extLst>
        </xdr:cNvPr>
        <xdr:cNvSpPr/>
      </xdr:nvSpPr>
      <xdr:spPr>
        <a:xfrm>
          <a:off x="571500" y="41856025"/>
          <a:ext cx="16030575" cy="342900"/>
        </a:xfrm>
        <a:prstGeom prst="roundRect">
          <a:avLst>
            <a:gd name="adj" fmla="val 0"/>
          </a:avLst>
        </a:prstGeom>
        <a:gradFill flip="none" rotWithShape="1">
          <a:gsLst>
            <a:gs pos="0">
              <a:srgbClr val="940027"/>
            </a:gs>
            <a:gs pos="100000">
              <a:srgbClr val="940027"/>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88900" rtlCol="0" anchor="ctr"/>
        <a:lstStyle/>
        <a:p>
          <a:pPr algn="l"/>
          <a:r>
            <a:rPr lang="da-DK" sz="2000" b="1">
              <a:solidFill>
                <a:srgbClr val="FFFFFF"/>
              </a:solidFill>
              <a:latin typeface="Arial"/>
            </a:rPr>
            <a:t>Hovedforudsætninger</a:t>
          </a:r>
        </a:p>
      </xdr:txBody>
    </xdr:sp>
    <xdr:clientData/>
  </xdr:twoCellAnchor>
  <xdr:twoCellAnchor>
    <xdr:from>
      <xdr:col>19</xdr:col>
      <xdr:colOff>317500</xdr:colOff>
      <xdr:row>182</xdr:row>
      <xdr:rowOff>12700</xdr:rowOff>
    </xdr:from>
    <xdr:to>
      <xdr:col>20</xdr:col>
      <xdr:colOff>1</xdr:colOff>
      <xdr:row>193</xdr:row>
      <xdr:rowOff>1</xdr:rowOff>
    </xdr:to>
    <xdr:sp macro="" textlink="">
      <xdr:nvSpPr>
        <xdr:cNvPr id="2335" name="BCM_HolderH1h">
          <a:extLst>
            <a:ext uri="{FF2B5EF4-FFF2-40B4-BE49-F238E27FC236}">
              <a16:creationId xmlns:a16="http://schemas.microsoft.com/office/drawing/2014/main" id="{00000000-0008-0000-0B00-00001F090000}"/>
            </a:ext>
          </a:extLst>
        </xdr:cNvPr>
        <xdr:cNvSpPr/>
      </xdr:nvSpPr>
      <xdr:spPr>
        <a:xfrm>
          <a:off x="16919575" y="42398950"/>
          <a:ext cx="254001" cy="1978026"/>
        </a:xfrm>
        <a:custGeom>
          <a:avLst/>
          <a:gdLst/>
          <a:ahLst/>
          <a:cxnLst/>
          <a:rect l="0" t="0" r="0" b="0"/>
          <a:pathLst>
            <a:path w="254001" h="1978026">
              <a:moveTo>
                <a:pt x="0" y="0"/>
              </a:moveTo>
              <a:lnTo>
                <a:pt x="254000" y="0"/>
              </a:lnTo>
              <a:lnTo>
                <a:pt x="254000" y="1978025"/>
              </a:lnTo>
              <a:lnTo>
                <a:pt x="127000" y="1978025"/>
              </a:lnTo>
              <a:lnTo>
                <a:pt x="127000" y="63500"/>
              </a:lnTo>
              <a:lnTo>
                <a:pt x="0" y="63500"/>
              </a:lnTo>
              <a:close/>
            </a:path>
          </a:pathLst>
        </a:custGeom>
        <a:noFill/>
        <a:ln w="25400" cap="flat" cmpd="sng" algn="ctr">
          <a:noFill/>
          <a:prstDash val="solid"/>
        </a:ln>
        <a:effectLst/>
        <a:extLst>
          <a:ext uri="{909E8E84-426E-40DD-AFC4-6F175D3DCCD1}">
            <a14:hiddenFill xmlns:a14="http://schemas.microsoft.com/office/drawing/2010/main">
              <a:gradFill flip="none" rotWithShape="1">
                <a:gsLst>
                  <a:gs pos="0">
                    <a:srgbClr val="FDE9D9"/>
                  </a:gs>
                  <a:gs pos="100000">
                    <a:srgbClr val="FDE9D9"/>
                  </a:gs>
                </a:gsLst>
                <a:lin ang="5400000" scaled="1"/>
                <a:tileRect/>
              </a:gra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clientData/>
  </xdr:twoCellAnchor>
  <xdr:twoCellAnchor>
    <xdr:from>
      <xdr:col>0</xdr:col>
      <xdr:colOff>0</xdr:colOff>
      <xdr:row>199</xdr:row>
      <xdr:rowOff>12700</xdr:rowOff>
    </xdr:from>
    <xdr:to>
      <xdr:col>0</xdr:col>
      <xdr:colOff>254001</xdr:colOff>
      <xdr:row>200</xdr:row>
      <xdr:rowOff>1</xdr:rowOff>
    </xdr:to>
    <xdr:sp macro="" textlink="">
      <xdr:nvSpPr>
        <xdr:cNvPr id="2336" name="BCM_HolderH13_1">
          <a:extLst>
            <a:ext uri="{FF2B5EF4-FFF2-40B4-BE49-F238E27FC236}">
              <a16:creationId xmlns:a16="http://schemas.microsoft.com/office/drawing/2014/main" id="{00000000-0008-0000-0B00-000020090000}"/>
            </a:ext>
          </a:extLst>
        </xdr:cNvPr>
        <xdr:cNvSpPr/>
      </xdr:nvSpPr>
      <xdr:spPr>
        <a:xfrm>
          <a:off x="0" y="46561375"/>
          <a:ext cx="254001" cy="168276"/>
        </a:xfrm>
        <a:custGeom>
          <a:avLst/>
          <a:gdLst/>
          <a:ahLst/>
          <a:cxnLst/>
          <a:rect l="0" t="0" r="0" b="0"/>
          <a:pathLst>
            <a:path w="254001" h="168276">
              <a:moveTo>
                <a:pt x="254000" y="0"/>
              </a:moveTo>
              <a:lnTo>
                <a:pt x="0" y="0"/>
              </a:lnTo>
              <a:lnTo>
                <a:pt x="0" y="168275"/>
              </a:lnTo>
              <a:lnTo>
                <a:pt x="127000" y="168275"/>
              </a:lnTo>
              <a:lnTo>
                <a:pt x="127000" y="63500"/>
              </a:lnTo>
              <a:lnTo>
                <a:pt x="254000" y="63500"/>
              </a:lnTo>
              <a:close/>
            </a:path>
          </a:pathLst>
        </a:custGeom>
        <a:noFill/>
        <a:ln w="25400" cap="flat" cmpd="sng" algn="ctr">
          <a:noFill/>
          <a:prstDash val="solid"/>
        </a:ln>
        <a:effectLst/>
        <a:extLst>
          <a:ext uri="{909E8E84-426E-40DD-AFC4-6F175D3DCCD1}">
            <a14:hiddenFill xmlns:a14="http://schemas.microsoft.com/office/drawing/2010/main">
              <a:gradFill flip="none" rotWithShape="1">
                <a:gsLst>
                  <a:gs pos="0">
                    <a:srgbClr val="FFFFFF"/>
                  </a:gs>
                  <a:gs pos="100000">
                    <a:srgbClr val="FFFFFF"/>
                  </a:gs>
                </a:gsLst>
                <a:lin ang="5400000" scaled="1"/>
                <a:tileRect/>
              </a:gra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clientData/>
  </xdr:twoCellAnchor>
  <xdr:twoCellAnchor>
    <xdr:from>
      <xdr:col>1</xdr:col>
      <xdr:colOff>0</xdr:colOff>
      <xdr:row>203</xdr:row>
      <xdr:rowOff>12700</xdr:rowOff>
    </xdr:from>
    <xdr:to>
      <xdr:col>19</xdr:col>
      <xdr:colOff>0</xdr:colOff>
      <xdr:row>203</xdr:row>
      <xdr:rowOff>355600</xdr:rowOff>
    </xdr:to>
    <xdr:sp macro="" textlink="" fLocksText="0">
      <xdr:nvSpPr>
        <xdr:cNvPr id="2337" name="subcat14">
          <a:extLst>
            <a:ext uri="{FF2B5EF4-FFF2-40B4-BE49-F238E27FC236}">
              <a16:creationId xmlns:a16="http://schemas.microsoft.com/office/drawing/2014/main" id="{00000000-0008-0000-0B00-000021090000}"/>
            </a:ext>
          </a:extLst>
        </xdr:cNvPr>
        <xdr:cNvSpPr/>
      </xdr:nvSpPr>
      <xdr:spPr>
        <a:xfrm>
          <a:off x="571500" y="47285275"/>
          <a:ext cx="16030575" cy="342900"/>
        </a:xfrm>
        <a:prstGeom prst="roundRect">
          <a:avLst>
            <a:gd name="adj" fmla="val 0"/>
          </a:avLst>
        </a:prstGeom>
        <a:gradFill flip="none" rotWithShape="1">
          <a:gsLst>
            <a:gs pos="0">
              <a:srgbClr val="940027"/>
            </a:gs>
            <a:gs pos="100000">
              <a:srgbClr val="940027"/>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88900" rtlCol="0" anchor="ctr"/>
        <a:lstStyle/>
        <a:p>
          <a:pPr algn="l"/>
          <a:r>
            <a:rPr lang="da-DK" sz="2000" b="1">
              <a:solidFill>
                <a:srgbClr val="FFFFFF"/>
              </a:solidFill>
              <a:latin typeface="Arial"/>
            </a:rPr>
            <a:t>Samlet omkostningsbaseret økonomi</a:t>
          </a:r>
        </a:p>
      </xdr:txBody>
    </xdr:sp>
    <xdr:clientData/>
  </xdr:twoCellAnchor>
  <xdr:twoCellAnchor>
    <xdr:from>
      <xdr:col>0</xdr:col>
      <xdr:colOff>0</xdr:colOff>
      <xdr:row>203</xdr:row>
      <xdr:rowOff>12700</xdr:rowOff>
    </xdr:from>
    <xdr:to>
      <xdr:col>0</xdr:col>
      <xdr:colOff>254001</xdr:colOff>
      <xdr:row>221</xdr:row>
      <xdr:rowOff>1</xdr:rowOff>
    </xdr:to>
    <xdr:sp macro="" textlink="">
      <xdr:nvSpPr>
        <xdr:cNvPr id="2338" name="BCM_subcat14_Holder1">
          <a:extLst>
            <a:ext uri="{FF2B5EF4-FFF2-40B4-BE49-F238E27FC236}">
              <a16:creationId xmlns:a16="http://schemas.microsoft.com/office/drawing/2014/main" id="{00000000-0008-0000-0B00-000022090000}"/>
            </a:ext>
          </a:extLst>
        </xdr:cNvPr>
        <xdr:cNvSpPr/>
      </xdr:nvSpPr>
      <xdr:spPr>
        <a:xfrm>
          <a:off x="0" y="47285275"/>
          <a:ext cx="254001" cy="3425826"/>
        </a:xfrm>
        <a:custGeom>
          <a:avLst/>
          <a:gdLst/>
          <a:ahLst/>
          <a:cxnLst/>
          <a:rect l="0" t="0" r="0" b="0"/>
          <a:pathLst>
            <a:path w="254001" h="3425826">
              <a:moveTo>
                <a:pt x="254000" y="0"/>
              </a:moveTo>
              <a:lnTo>
                <a:pt x="0" y="0"/>
              </a:lnTo>
              <a:lnTo>
                <a:pt x="0" y="3425825"/>
              </a:lnTo>
              <a:lnTo>
                <a:pt x="127000" y="3425825"/>
              </a:lnTo>
              <a:lnTo>
                <a:pt x="127000" y="63500"/>
              </a:lnTo>
              <a:lnTo>
                <a:pt x="254000" y="63500"/>
              </a:lnTo>
              <a:close/>
            </a:path>
          </a:pathLst>
        </a:custGeom>
        <a:noFill/>
        <a:ln w="25400" cap="flat" cmpd="sng" algn="ctr">
          <a:noFill/>
          <a:prstDash val="solid"/>
        </a:ln>
        <a:effectLst/>
        <a:extLst>
          <a:ext uri="{909E8E84-426E-40DD-AFC4-6F175D3DCCD1}">
            <a14:hiddenFill xmlns:a14="http://schemas.microsoft.com/office/drawing/2010/main">
              <a:gradFill flip="none" rotWithShape="1">
                <a:gsLst>
                  <a:gs pos="0">
                    <a:srgbClr val="C5D9F1"/>
                  </a:gs>
                  <a:gs pos="100000">
                    <a:srgbClr val="C5D9F1"/>
                  </a:gs>
                </a:gsLst>
                <a:lin ang="5400000" scaled="1"/>
                <a:tileRect/>
              </a:gra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clientData/>
  </xdr:twoCellAnchor>
  <xdr:twoCellAnchor>
    <xdr:from>
      <xdr:col>1</xdr:col>
      <xdr:colOff>0</xdr:colOff>
      <xdr:row>221</xdr:row>
      <xdr:rowOff>12700</xdr:rowOff>
    </xdr:from>
    <xdr:to>
      <xdr:col>19</xdr:col>
      <xdr:colOff>0</xdr:colOff>
      <xdr:row>221</xdr:row>
      <xdr:rowOff>355600</xdr:rowOff>
    </xdr:to>
    <xdr:sp macro="" textlink="" fLocksText="0">
      <xdr:nvSpPr>
        <xdr:cNvPr id="2339" name="subcat15">
          <a:extLst>
            <a:ext uri="{FF2B5EF4-FFF2-40B4-BE49-F238E27FC236}">
              <a16:creationId xmlns:a16="http://schemas.microsoft.com/office/drawing/2014/main" id="{00000000-0008-0000-0B00-000023090000}"/>
            </a:ext>
          </a:extLst>
        </xdr:cNvPr>
        <xdr:cNvSpPr/>
      </xdr:nvSpPr>
      <xdr:spPr>
        <a:xfrm>
          <a:off x="571500" y="51200050"/>
          <a:ext cx="16030575" cy="342900"/>
        </a:xfrm>
        <a:prstGeom prst="roundRect">
          <a:avLst>
            <a:gd name="adj" fmla="val 0"/>
          </a:avLst>
        </a:prstGeom>
        <a:gradFill flip="none" rotWithShape="1">
          <a:gsLst>
            <a:gs pos="0">
              <a:srgbClr val="940027"/>
            </a:gs>
            <a:gs pos="100000">
              <a:srgbClr val="940027"/>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88900" rtlCol="0" anchor="ctr"/>
        <a:lstStyle/>
        <a:p>
          <a:pPr algn="l"/>
          <a:r>
            <a:rPr lang="da-DK" sz="2000" b="1">
              <a:solidFill>
                <a:srgbClr val="FFFFFF"/>
              </a:solidFill>
              <a:latin typeface="Arial"/>
            </a:rPr>
            <a:t>Økonomiske nøgletal (private og virksomheder)</a:t>
          </a:r>
        </a:p>
      </xdr:txBody>
    </xdr:sp>
    <xdr:clientData/>
  </xdr:twoCellAnchor>
  <xdr:twoCellAnchor>
    <xdr:from>
      <xdr:col>19</xdr:col>
      <xdr:colOff>317500</xdr:colOff>
      <xdr:row>225</xdr:row>
      <xdr:rowOff>12700</xdr:rowOff>
    </xdr:from>
    <xdr:to>
      <xdr:col>20</xdr:col>
      <xdr:colOff>1</xdr:colOff>
      <xdr:row>226</xdr:row>
      <xdr:rowOff>1</xdr:rowOff>
    </xdr:to>
    <xdr:sp macro="" textlink="">
      <xdr:nvSpPr>
        <xdr:cNvPr id="2340" name="BCM_HolderH1i">
          <a:extLst>
            <a:ext uri="{FF2B5EF4-FFF2-40B4-BE49-F238E27FC236}">
              <a16:creationId xmlns:a16="http://schemas.microsoft.com/office/drawing/2014/main" id="{00000000-0008-0000-0B00-000024090000}"/>
            </a:ext>
          </a:extLst>
        </xdr:cNvPr>
        <xdr:cNvSpPr/>
      </xdr:nvSpPr>
      <xdr:spPr>
        <a:xfrm>
          <a:off x="16919575" y="52104925"/>
          <a:ext cx="254001" cy="168276"/>
        </a:xfrm>
        <a:custGeom>
          <a:avLst/>
          <a:gdLst/>
          <a:ahLst/>
          <a:cxnLst/>
          <a:rect l="0" t="0" r="0" b="0"/>
          <a:pathLst>
            <a:path w="254001" h="168276">
              <a:moveTo>
                <a:pt x="0" y="0"/>
              </a:moveTo>
              <a:lnTo>
                <a:pt x="254000" y="0"/>
              </a:lnTo>
              <a:lnTo>
                <a:pt x="254000" y="168275"/>
              </a:lnTo>
              <a:lnTo>
                <a:pt x="127000" y="168275"/>
              </a:lnTo>
              <a:lnTo>
                <a:pt x="127000" y="63500"/>
              </a:lnTo>
              <a:lnTo>
                <a:pt x="0" y="63500"/>
              </a:lnTo>
              <a:close/>
            </a:path>
          </a:pathLst>
        </a:custGeom>
        <a:noFill/>
        <a:ln w="25400" cap="flat" cmpd="sng" algn="ctr">
          <a:noFill/>
          <a:prstDash val="solid"/>
        </a:ln>
        <a:effectLst/>
        <a:extLst>
          <a:ext uri="{909E8E84-426E-40DD-AFC4-6F175D3DCCD1}">
            <a14:hiddenFill xmlns:a14="http://schemas.microsoft.com/office/drawing/2010/main">
              <a:gradFill flip="none" rotWithShape="1">
                <a:gsLst>
                  <a:gs pos="0">
                    <a:srgbClr val="FDE9D9"/>
                  </a:gs>
                  <a:gs pos="100000">
                    <a:srgbClr val="FDE9D9"/>
                  </a:gs>
                </a:gsLst>
                <a:lin ang="5400000" scaled="1"/>
                <a:tileRect/>
              </a:gra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clientData/>
  </xdr:twoCellAnchor>
  <xdr:twoCellAnchor>
    <xdr:from>
      <xdr:col>19</xdr:col>
      <xdr:colOff>317500</xdr:colOff>
      <xdr:row>227</xdr:row>
      <xdr:rowOff>12700</xdr:rowOff>
    </xdr:from>
    <xdr:to>
      <xdr:col>20</xdr:col>
      <xdr:colOff>1</xdr:colOff>
      <xdr:row>232</xdr:row>
      <xdr:rowOff>1</xdr:rowOff>
    </xdr:to>
    <xdr:sp macro="" textlink="">
      <xdr:nvSpPr>
        <xdr:cNvPr id="2341" name="BCM_HolderH1j">
          <a:extLst>
            <a:ext uri="{FF2B5EF4-FFF2-40B4-BE49-F238E27FC236}">
              <a16:creationId xmlns:a16="http://schemas.microsoft.com/office/drawing/2014/main" id="{00000000-0008-0000-0B00-000025090000}"/>
            </a:ext>
          </a:extLst>
        </xdr:cNvPr>
        <xdr:cNvSpPr/>
      </xdr:nvSpPr>
      <xdr:spPr>
        <a:xfrm>
          <a:off x="16919575" y="52466875"/>
          <a:ext cx="254001" cy="892176"/>
        </a:xfrm>
        <a:custGeom>
          <a:avLst/>
          <a:gdLst/>
          <a:ahLst/>
          <a:cxnLst/>
          <a:rect l="0" t="0" r="0" b="0"/>
          <a:pathLst>
            <a:path w="254001" h="892176">
              <a:moveTo>
                <a:pt x="0" y="0"/>
              </a:moveTo>
              <a:lnTo>
                <a:pt x="254000" y="0"/>
              </a:lnTo>
              <a:lnTo>
                <a:pt x="254000" y="892175"/>
              </a:lnTo>
              <a:lnTo>
                <a:pt x="127000" y="892175"/>
              </a:lnTo>
              <a:lnTo>
                <a:pt x="127000" y="63500"/>
              </a:lnTo>
              <a:lnTo>
                <a:pt x="0" y="63500"/>
              </a:lnTo>
              <a:close/>
            </a:path>
          </a:pathLst>
        </a:custGeom>
        <a:noFill/>
        <a:ln w="25400" cap="flat" cmpd="sng" algn="ctr">
          <a:noFill/>
          <a:prstDash val="solid"/>
        </a:ln>
        <a:effectLst/>
        <a:extLst>
          <a:ext uri="{909E8E84-426E-40DD-AFC4-6F175D3DCCD1}">
            <a14:hiddenFill xmlns:a14="http://schemas.microsoft.com/office/drawing/2010/main">
              <a:gradFill flip="none" rotWithShape="1">
                <a:gsLst>
                  <a:gs pos="0">
                    <a:srgbClr val="FDE9D9"/>
                  </a:gs>
                  <a:gs pos="100000">
                    <a:srgbClr val="FDE9D9"/>
                  </a:gs>
                </a:gsLst>
                <a:lin ang="5400000" scaled="1"/>
                <a:tileRect/>
              </a:gra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clientData/>
  </xdr:twoCellAnchor>
  <xdr:twoCellAnchor>
    <xdr:from>
      <xdr:col>1</xdr:col>
      <xdr:colOff>0</xdr:colOff>
      <xdr:row>235</xdr:row>
      <xdr:rowOff>12700</xdr:rowOff>
    </xdr:from>
    <xdr:to>
      <xdr:col>19</xdr:col>
      <xdr:colOff>0</xdr:colOff>
      <xdr:row>235</xdr:row>
      <xdr:rowOff>355600</xdr:rowOff>
    </xdr:to>
    <xdr:sp macro="" textlink="" fLocksText="0">
      <xdr:nvSpPr>
        <xdr:cNvPr id="2342" name="subcat16">
          <a:extLst>
            <a:ext uri="{FF2B5EF4-FFF2-40B4-BE49-F238E27FC236}">
              <a16:creationId xmlns:a16="http://schemas.microsoft.com/office/drawing/2014/main" id="{00000000-0008-0000-0B00-000026090000}"/>
            </a:ext>
          </a:extLst>
        </xdr:cNvPr>
        <xdr:cNvSpPr/>
      </xdr:nvSpPr>
      <xdr:spPr>
        <a:xfrm>
          <a:off x="571500" y="54152800"/>
          <a:ext cx="16030575" cy="342900"/>
        </a:xfrm>
        <a:prstGeom prst="roundRect">
          <a:avLst>
            <a:gd name="adj" fmla="val 0"/>
          </a:avLst>
        </a:prstGeom>
        <a:gradFill flip="none" rotWithShape="1">
          <a:gsLst>
            <a:gs pos="0">
              <a:srgbClr val="940027"/>
            </a:gs>
            <a:gs pos="100000">
              <a:srgbClr val="940027"/>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88900" rtlCol="0" anchor="ctr"/>
        <a:lstStyle/>
        <a:p>
          <a:pPr algn="l"/>
          <a:r>
            <a:rPr lang="da-DK" sz="2000" b="1">
              <a:solidFill>
                <a:srgbClr val="FFFFFF"/>
              </a:solidFill>
              <a:latin typeface="Arial"/>
            </a:rPr>
            <a:t>Samlede udgifter og økonomiske gevinster</a:t>
          </a:r>
        </a:p>
      </xdr:txBody>
    </xdr:sp>
    <xdr:clientData/>
  </xdr:twoCellAnchor>
  <xdr:twoCellAnchor>
    <xdr:from>
      <xdr:col>19</xdr:col>
      <xdr:colOff>317500</xdr:colOff>
      <xdr:row>235</xdr:row>
      <xdr:rowOff>12700</xdr:rowOff>
    </xdr:from>
    <xdr:to>
      <xdr:col>20</xdr:col>
      <xdr:colOff>1</xdr:colOff>
      <xdr:row>286</xdr:row>
      <xdr:rowOff>1</xdr:rowOff>
    </xdr:to>
    <xdr:sp macro="" textlink="">
      <xdr:nvSpPr>
        <xdr:cNvPr id="2343" name="BCM_HolderH1k">
          <a:extLst>
            <a:ext uri="{FF2B5EF4-FFF2-40B4-BE49-F238E27FC236}">
              <a16:creationId xmlns:a16="http://schemas.microsoft.com/office/drawing/2014/main" id="{00000000-0008-0000-0B00-000027090000}"/>
            </a:ext>
          </a:extLst>
        </xdr:cNvPr>
        <xdr:cNvSpPr/>
      </xdr:nvSpPr>
      <xdr:spPr>
        <a:xfrm>
          <a:off x="16919575" y="54152800"/>
          <a:ext cx="254001" cy="9398001"/>
        </a:xfrm>
        <a:custGeom>
          <a:avLst/>
          <a:gdLst/>
          <a:ahLst/>
          <a:cxnLst/>
          <a:rect l="0" t="0" r="0" b="0"/>
          <a:pathLst>
            <a:path w="254001" h="9398001">
              <a:moveTo>
                <a:pt x="0" y="0"/>
              </a:moveTo>
              <a:lnTo>
                <a:pt x="254000" y="0"/>
              </a:lnTo>
              <a:lnTo>
                <a:pt x="254000" y="9398000"/>
              </a:lnTo>
              <a:lnTo>
                <a:pt x="127000" y="9398000"/>
              </a:lnTo>
              <a:lnTo>
                <a:pt x="127000" y="63500"/>
              </a:lnTo>
              <a:lnTo>
                <a:pt x="0" y="63500"/>
              </a:lnTo>
              <a:close/>
            </a:path>
          </a:pathLst>
        </a:custGeom>
        <a:noFill/>
        <a:ln w="25400" cap="flat" cmpd="sng" algn="ctr">
          <a:noFill/>
          <a:prstDash val="solid"/>
        </a:ln>
        <a:effectLst/>
        <a:extLst>
          <a:ext uri="{909E8E84-426E-40DD-AFC4-6F175D3DCCD1}">
            <a14:hiddenFill xmlns:a14="http://schemas.microsoft.com/office/drawing/2010/main">
              <a:gradFill flip="none" rotWithShape="1">
                <a:gsLst>
                  <a:gs pos="0">
                    <a:srgbClr val="FDE9D9"/>
                  </a:gs>
                  <a:gs pos="100000">
                    <a:srgbClr val="FDE9D9"/>
                  </a:gs>
                </a:gsLst>
                <a:lin ang="5400000" scaled="1"/>
                <a:tileRect/>
              </a:gra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clientData/>
  </xdr:twoCellAnchor>
  <xdr:twoCellAnchor>
    <xdr:from>
      <xdr:col>1</xdr:col>
      <xdr:colOff>0</xdr:colOff>
      <xdr:row>286</xdr:row>
      <xdr:rowOff>12700</xdr:rowOff>
    </xdr:from>
    <xdr:to>
      <xdr:col>19</xdr:col>
      <xdr:colOff>0</xdr:colOff>
      <xdr:row>286</xdr:row>
      <xdr:rowOff>355600</xdr:rowOff>
    </xdr:to>
    <xdr:sp macro="" textlink="" fLocksText="0">
      <xdr:nvSpPr>
        <xdr:cNvPr id="2344" name="subcat17">
          <a:extLst>
            <a:ext uri="{FF2B5EF4-FFF2-40B4-BE49-F238E27FC236}">
              <a16:creationId xmlns:a16="http://schemas.microsoft.com/office/drawing/2014/main" id="{00000000-0008-0000-0B00-000028090000}"/>
            </a:ext>
          </a:extLst>
        </xdr:cNvPr>
        <xdr:cNvSpPr/>
      </xdr:nvSpPr>
      <xdr:spPr>
        <a:xfrm>
          <a:off x="571500" y="64039750"/>
          <a:ext cx="16030575" cy="342900"/>
        </a:xfrm>
        <a:prstGeom prst="roundRect">
          <a:avLst>
            <a:gd name="adj" fmla="val 0"/>
          </a:avLst>
        </a:prstGeom>
        <a:gradFill flip="none" rotWithShape="1">
          <a:gsLst>
            <a:gs pos="0">
              <a:srgbClr val="940027"/>
            </a:gs>
            <a:gs pos="100000">
              <a:srgbClr val="940027"/>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88900" rtlCol="0" anchor="ctr"/>
        <a:lstStyle/>
        <a:p>
          <a:pPr algn="l"/>
          <a:r>
            <a:rPr lang="da-DK" sz="2000" b="1">
              <a:solidFill>
                <a:srgbClr val="FFFFFF"/>
              </a:solidFill>
              <a:latin typeface="Arial"/>
            </a:rPr>
            <a:t>Projektets pengestrømme</a:t>
          </a:r>
        </a:p>
      </xdr:txBody>
    </xdr:sp>
    <xdr:clientData/>
  </xdr:twoCellAnchor>
  <xdr:twoCellAnchor>
    <xdr:from>
      <xdr:col>19</xdr:col>
      <xdr:colOff>317500</xdr:colOff>
      <xdr:row>286</xdr:row>
      <xdr:rowOff>12700</xdr:rowOff>
    </xdr:from>
    <xdr:to>
      <xdr:col>20</xdr:col>
      <xdr:colOff>1</xdr:colOff>
      <xdr:row>303</xdr:row>
      <xdr:rowOff>1</xdr:rowOff>
    </xdr:to>
    <xdr:sp macro="" textlink="">
      <xdr:nvSpPr>
        <xdr:cNvPr id="2345" name="BCM_HolderH1l">
          <a:extLst>
            <a:ext uri="{FF2B5EF4-FFF2-40B4-BE49-F238E27FC236}">
              <a16:creationId xmlns:a16="http://schemas.microsoft.com/office/drawing/2014/main" id="{00000000-0008-0000-0B00-000029090000}"/>
            </a:ext>
          </a:extLst>
        </xdr:cNvPr>
        <xdr:cNvSpPr/>
      </xdr:nvSpPr>
      <xdr:spPr>
        <a:xfrm>
          <a:off x="16919575" y="64039750"/>
          <a:ext cx="254001" cy="3244851"/>
        </a:xfrm>
        <a:custGeom>
          <a:avLst/>
          <a:gdLst/>
          <a:ahLst/>
          <a:cxnLst/>
          <a:rect l="0" t="0" r="0" b="0"/>
          <a:pathLst>
            <a:path w="254001" h="3244851">
              <a:moveTo>
                <a:pt x="0" y="0"/>
              </a:moveTo>
              <a:lnTo>
                <a:pt x="254000" y="0"/>
              </a:lnTo>
              <a:lnTo>
                <a:pt x="254000" y="3244850"/>
              </a:lnTo>
              <a:lnTo>
                <a:pt x="127000" y="3244850"/>
              </a:lnTo>
              <a:lnTo>
                <a:pt x="127000" y="63500"/>
              </a:lnTo>
              <a:lnTo>
                <a:pt x="0" y="63500"/>
              </a:lnTo>
              <a:close/>
            </a:path>
          </a:pathLst>
        </a:custGeom>
        <a:noFill/>
        <a:ln w="25400" cap="flat" cmpd="sng" algn="ctr">
          <a:noFill/>
          <a:prstDash val="solid"/>
        </a:ln>
        <a:effectLst/>
        <a:extLst>
          <a:ext uri="{909E8E84-426E-40DD-AFC4-6F175D3DCCD1}">
            <a14:hiddenFill xmlns:a14="http://schemas.microsoft.com/office/drawing/2010/main">
              <a:gradFill flip="none" rotWithShape="1">
                <a:gsLst>
                  <a:gs pos="0">
                    <a:srgbClr val="FDE9D9"/>
                  </a:gs>
                  <a:gs pos="100000">
                    <a:srgbClr val="FDE9D9"/>
                  </a:gs>
                </a:gsLst>
                <a:lin ang="5400000" scaled="1"/>
                <a:tileRect/>
              </a:gra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clientData/>
  </xdr:twoCellAnchor>
  <xdr:twoCellAnchor>
    <xdr:from>
      <xdr:col>1</xdr:col>
      <xdr:colOff>0</xdr:colOff>
      <xdr:row>303</xdr:row>
      <xdr:rowOff>12700</xdr:rowOff>
    </xdr:from>
    <xdr:to>
      <xdr:col>19</xdr:col>
      <xdr:colOff>0</xdr:colOff>
      <xdr:row>303</xdr:row>
      <xdr:rowOff>355600</xdr:rowOff>
    </xdr:to>
    <xdr:sp macro="" textlink="" fLocksText="0">
      <xdr:nvSpPr>
        <xdr:cNvPr id="2346" name="subcat18">
          <a:extLst>
            <a:ext uri="{FF2B5EF4-FFF2-40B4-BE49-F238E27FC236}">
              <a16:creationId xmlns:a16="http://schemas.microsoft.com/office/drawing/2014/main" id="{00000000-0008-0000-0B00-00002A090000}"/>
            </a:ext>
          </a:extLst>
        </xdr:cNvPr>
        <xdr:cNvSpPr/>
      </xdr:nvSpPr>
      <xdr:spPr>
        <a:xfrm>
          <a:off x="571500" y="67773550"/>
          <a:ext cx="16030575" cy="342900"/>
        </a:xfrm>
        <a:prstGeom prst="roundRect">
          <a:avLst>
            <a:gd name="adj" fmla="val 0"/>
          </a:avLst>
        </a:prstGeom>
        <a:gradFill flip="none" rotWithShape="1">
          <a:gsLst>
            <a:gs pos="0">
              <a:srgbClr val="940027"/>
            </a:gs>
            <a:gs pos="100000">
              <a:srgbClr val="940027"/>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88900" rtlCol="0" anchor="ctr"/>
        <a:lstStyle/>
        <a:p>
          <a:pPr algn="l"/>
          <a:r>
            <a:rPr lang="da-DK" sz="2000" b="1">
              <a:solidFill>
                <a:srgbClr val="FFFFFF"/>
              </a:solidFill>
              <a:latin typeface="Arial"/>
            </a:rPr>
            <a:t>Samlet økonomi med og uden projekt</a:t>
          </a:r>
        </a:p>
      </xdr:txBody>
    </xdr:sp>
    <xdr:clientData/>
  </xdr:twoCellAnchor>
  <xdr:twoCellAnchor>
    <xdr:from>
      <xdr:col>19</xdr:col>
      <xdr:colOff>317500</xdr:colOff>
      <xdr:row>303</xdr:row>
      <xdr:rowOff>12700</xdr:rowOff>
    </xdr:from>
    <xdr:to>
      <xdr:col>20</xdr:col>
      <xdr:colOff>1</xdr:colOff>
      <xdr:row>343</xdr:row>
      <xdr:rowOff>1</xdr:rowOff>
    </xdr:to>
    <xdr:sp macro="" textlink="">
      <xdr:nvSpPr>
        <xdr:cNvPr id="2347" name="BCM_HolderH1m">
          <a:extLst>
            <a:ext uri="{FF2B5EF4-FFF2-40B4-BE49-F238E27FC236}">
              <a16:creationId xmlns:a16="http://schemas.microsoft.com/office/drawing/2014/main" id="{00000000-0008-0000-0B00-00002B090000}"/>
            </a:ext>
          </a:extLst>
        </xdr:cNvPr>
        <xdr:cNvSpPr/>
      </xdr:nvSpPr>
      <xdr:spPr>
        <a:xfrm>
          <a:off x="16919575" y="67773550"/>
          <a:ext cx="254001" cy="7407276"/>
        </a:xfrm>
        <a:custGeom>
          <a:avLst/>
          <a:gdLst/>
          <a:ahLst/>
          <a:cxnLst/>
          <a:rect l="0" t="0" r="0" b="0"/>
          <a:pathLst>
            <a:path w="254001" h="7407276">
              <a:moveTo>
                <a:pt x="0" y="0"/>
              </a:moveTo>
              <a:lnTo>
                <a:pt x="254000" y="0"/>
              </a:lnTo>
              <a:lnTo>
                <a:pt x="254000" y="7407275"/>
              </a:lnTo>
              <a:lnTo>
                <a:pt x="127000" y="7407275"/>
              </a:lnTo>
              <a:lnTo>
                <a:pt x="127000" y="63500"/>
              </a:lnTo>
              <a:lnTo>
                <a:pt x="0" y="63500"/>
              </a:lnTo>
              <a:close/>
            </a:path>
          </a:pathLst>
        </a:custGeom>
        <a:noFill/>
        <a:ln w="25400" cap="flat" cmpd="sng" algn="ctr">
          <a:noFill/>
          <a:prstDash val="solid"/>
        </a:ln>
        <a:effectLst/>
        <a:extLst>
          <a:ext uri="{909E8E84-426E-40DD-AFC4-6F175D3DCCD1}">
            <a14:hiddenFill xmlns:a14="http://schemas.microsoft.com/office/drawing/2010/main">
              <a:gradFill flip="none" rotWithShape="1">
                <a:gsLst>
                  <a:gs pos="0">
                    <a:srgbClr val="FDE9D9"/>
                  </a:gs>
                  <a:gs pos="100000">
                    <a:srgbClr val="FDE9D9"/>
                  </a:gs>
                </a:gsLst>
                <a:lin ang="5400000" scaled="1"/>
                <a:tileRect/>
              </a:gra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clientData/>
  </xdr:twoCellAnchor>
  <xdr:twoCellAnchor>
    <xdr:from>
      <xdr:col>1</xdr:col>
      <xdr:colOff>0</xdr:colOff>
      <xdr:row>364</xdr:row>
      <xdr:rowOff>12700</xdr:rowOff>
    </xdr:from>
    <xdr:to>
      <xdr:col>19</xdr:col>
      <xdr:colOff>0</xdr:colOff>
      <xdr:row>364</xdr:row>
      <xdr:rowOff>355600</xdr:rowOff>
    </xdr:to>
    <xdr:sp macro="" textlink="" fLocksText="0">
      <xdr:nvSpPr>
        <xdr:cNvPr id="2348" name="subcat19">
          <a:extLst>
            <a:ext uri="{FF2B5EF4-FFF2-40B4-BE49-F238E27FC236}">
              <a16:creationId xmlns:a16="http://schemas.microsoft.com/office/drawing/2014/main" id="{00000000-0008-0000-0B00-00002C090000}"/>
            </a:ext>
          </a:extLst>
        </xdr:cNvPr>
        <xdr:cNvSpPr/>
      </xdr:nvSpPr>
      <xdr:spPr>
        <a:xfrm>
          <a:off x="571500" y="75669775"/>
          <a:ext cx="16030575" cy="342900"/>
        </a:xfrm>
        <a:prstGeom prst="roundRect">
          <a:avLst>
            <a:gd name="adj" fmla="val 0"/>
          </a:avLst>
        </a:prstGeom>
        <a:gradFill flip="none" rotWithShape="1">
          <a:gsLst>
            <a:gs pos="0">
              <a:srgbClr val="940027"/>
            </a:gs>
            <a:gs pos="100000">
              <a:srgbClr val="940027"/>
            </a:gs>
          </a:gsLst>
          <a:lin ang="5400000" scaled="1"/>
          <a:tileRect/>
        </a:gra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88900" rtlCol="0" anchor="ctr"/>
        <a:lstStyle/>
        <a:p>
          <a:pPr algn="l"/>
          <a:r>
            <a:rPr lang="da-DK" sz="2000" b="1">
              <a:solidFill>
                <a:srgbClr val="FFFFFF"/>
              </a:solidFill>
              <a:latin typeface="Arial"/>
            </a:rPr>
            <a:t>Illustration af samlet økonomi</a:t>
          </a:r>
        </a:p>
      </xdr:txBody>
    </xdr:sp>
    <xdr:clientData/>
  </xdr:twoCellAnchor>
  <xdr:twoCellAnchor>
    <xdr:from>
      <xdr:col>19</xdr:col>
      <xdr:colOff>317500</xdr:colOff>
      <xdr:row>364</xdr:row>
      <xdr:rowOff>12700</xdr:rowOff>
    </xdr:from>
    <xdr:to>
      <xdr:col>20</xdr:col>
      <xdr:colOff>1</xdr:colOff>
      <xdr:row>385</xdr:row>
      <xdr:rowOff>1</xdr:rowOff>
    </xdr:to>
    <xdr:sp macro="" textlink="">
      <xdr:nvSpPr>
        <xdr:cNvPr id="2349" name="BCM_HolderH1n">
          <a:extLst>
            <a:ext uri="{FF2B5EF4-FFF2-40B4-BE49-F238E27FC236}">
              <a16:creationId xmlns:a16="http://schemas.microsoft.com/office/drawing/2014/main" id="{00000000-0008-0000-0B00-00002D090000}"/>
            </a:ext>
          </a:extLst>
        </xdr:cNvPr>
        <xdr:cNvSpPr/>
      </xdr:nvSpPr>
      <xdr:spPr>
        <a:xfrm>
          <a:off x="16919575" y="75669775"/>
          <a:ext cx="254001" cy="3968751"/>
        </a:xfrm>
        <a:custGeom>
          <a:avLst/>
          <a:gdLst/>
          <a:ahLst/>
          <a:cxnLst/>
          <a:rect l="0" t="0" r="0" b="0"/>
          <a:pathLst>
            <a:path w="254001" h="3968751">
              <a:moveTo>
                <a:pt x="0" y="0"/>
              </a:moveTo>
              <a:lnTo>
                <a:pt x="254000" y="0"/>
              </a:lnTo>
              <a:lnTo>
                <a:pt x="254000" y="3968750"/>
              </a:lnTo>
              <a:lnTo>
                <a:pt x="127000" y="3968750"/>
              </a:lnTo>
              <a:lnTo>
                <a:pt x="127000" y="63500"/>
              </a:lnTo>
              <a:lnTo>
                <a:pt x="0" y="63500"/>
              </a:lnTo>
              <a:close/>
            </a:path>
          </a:pathLst>
        </a:custGeom>
        <a:noFill/>
        <a:ln w="25400" cap="flat" cmpd="sng" algn="ctr">
          <a:noFill/>
          <a:prstDash val="solid"/>
        </a:ln>
        <a:effectLst/>
        <a:extLst>
          <a:ext uri="{909E8E84-426E-40DD-AFC4-6F175D3DCCD1}">
            <a14:hiddenFill xmlns:a14="http://schemas.microsoft.com/office/drawing/2010/main">
              <a:gradFill flip="none" rotWithShape="1">
                <a:gsLst>
                  <a:gs pos="0">
                    <a:srgbClr val="FDE9D9"/>
                  </a:gs>
                  <a:gs pos="100000">
                    <a:srgbClr val="FDE9D9"/>
                  </a:gs>
                </a:gsLst>
                <a:lin ang="5400000" scaled="1"/>
                <a:tileRect/>
              </a:gra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0</xdr:colOff>
      <xdr:row>1</xdr:row>
      <xdr:rowOff>38100</xdr:rowOff>
    </xdr:from>
    <xdr:to>
      <xdr:col>13</xdr:col>
      <xdr:colOff>0</xdr:colOff>
      <xdr:row>1</xdr:row>
      <xdr:rowOff>609600</xdr:rowOff>
    </xdr:to>
    <xdr:sp macro="" textlink="" fLocksText="0">
      <xdr:nvSpPr>
        <xdr:cNvPr id="5" name="ProjektudgifterCHeader">
          <a:extLst>
            <a:ext uri="{FF2B5EF4-FFF2-40B4-BE49-F238E27FC236}">
              <a16:creationId xmlns:a16="http://schemas.microsoft.com/office/drawing/2014/main" id="{00000000-0008-0000-0C00-000005000000}"/>
            </a:ext>
          </a:extLst>
        </xdr:cNvPr>
        <xdr:cNvSpPr/>
      </xdr:nvSpPr>
      <xdr:spPr>
        <a:xfrm>
          <a:off x="609600" y="219075"/>
          <a:ext cx="16278225" cy="571500"/>
        </a:xfrm>
        <a:prstGeom prst="roundRect">
          <a:avLst>
            <a:gd name="adj" fmla="val 0"/>
          </a:avLst>
        </a:prstGeom>
        <a:noFill/>
        <a:ln w="25400" cap="flat" cmpd="sng" algn="ctr">
          <a:noFill/>
          <a:prstDash val="solid"/>
        </a:ln>
        <a:effectLst/>
        <a:extLst>
          <a:ext uri="{909E8E84-426E-40DD-AFC4-6F175D3DCCD1}">
            <a14:hiddenFill xmlns:a14="http://schemas.microsoft.com/office/drawing/2010/main">
              <a:gradFill flip="none" rotWithShape="1">
                <a:gsLst>
                  <a:gs pos="0">
                    <a:srgbClr val="FFFFFF"/>
                  </a:gs>
                  <a:gs pos="100000">
                    <a:srgbClr val="FFFFFF"/>
                  </a:gs>
                </a:gsLst>
                <a:lin ang="5400000" scaled="1"/>
                <a:tileRect/>
              </a:gra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l"/>
          <a:r>
            <a:rPr lang="da-DK" sz="3600" b="1">
              <a:solidFill>
                <a:srgbClr val="000000"/>
              </a:solidFill>
              <a:latin typeface="Arial"/>
            </a:rPr>
            <a:t>Projektudgifter Calculation Sheet</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0</xdr:colOff>
      <xdr:row>1</xdr:row>
      <xdr:rowOff>38100</xdr:rowOff>
    </xdr:from>
    <xdr:to>
      <xdr:col>13</xdr:col>
      <xdr:colOff>0</xdr:colOff>
      <xdr:row>1</xdr:row>
      <xdr:rowOff>609600</xdr:rowOff>
    </xdr:to>
    <xdr:sp macro="" textlink="" fLocksText="0">
      <xdr:nvSpPr>
        <xdr:cNvPr id="5" name="ProgramudgifterCHeader">
          <a:extLst>
            <a:ext uri="{FF2B5EF4-FFF2-40B4-BE49-F238E27FC236}">
              <a16:creationId xmlns:a16="http://schemas.microsoft.com/office/drawing/2014/main" id="{00000000-0008-0000-0D00-000005000000}"/>
            </a:ext>
          </a:extLst>
        </xdr:cNvPr>
        <xdr:cNvSpPr/>
      </xdr:nvSpPr>
      <xdr:spPr>
        <a:xfrm>
          <a:off x="609600" y="219075"/>
          <a:ext cx="16430625" cy="571500"/>
        </a:xfrm>
        <a:prstGeom prst="roundRect">
          <a:avLst>
            <a:gd name="adj" fmla="val 0"/>
          </a:avLst>
        </a:prstGeom>
        <a:noFill/>
        <a:ln w="25400" cap="flat" cmpd="sng" algn="ctr">
          <a:noFill/>
          <a:prstDash val="solid"/>
        </a:ln>
        <a:effectLst/>
        <a:extLst>
          <a:ext uri="{909E8E84-426E-40DD-AFC4-6F175D3DCCD1}">
            <a14:hiddenFill xmlns:a14="http://schemas.microsoft.com/office/drawing/2010/main">
              <a:gradFill flip="none" rotWithShape="1">
                <a:gsLst>
                  <a:gs pos="0">
                    <a:srgbClr val="FFFFFF"/>
                  </a:gs>
                  <a:gs pos="100000">
                    <a:srgbClr val="FFFFFF"/>
                  </a:gs>
                </a:gsLst>
                <a:lin ang="5400000" scaled="1"/>
                <a:tileRect/>
              </a:gra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l"/>
          <a:r>
            <a:rPr lang="da-DK" sz="3600" b="1">
              <a:solidFill>
                <a:srgbClr val="000000"/>
              </a:solidFill>
              <a:latin typeface="Arial"/>
            </a:rPr>
            <a:t>Programudgifter Calculation Sheet</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xdr:col>
      <xdr:colOff>0</xdr:colOff>
      <xdr:row>1</xdr:row>
      <xdr:rowOff>38100</xdr:rowOff>
    </xdr:from>
    <xdr:to>
      <xdr:col>13</xdr:col>
      <xdr:colOff>0</xdr:colOff>
      <xdr:row>1</xdr:row>
      <xdr:rowOff>609600</xdr:rowOff>
    </xdr:to>
    <xdr:sp macro="" textlink="" fLocksText="0">
      <xdr:nvSpPr>
        <xdr:cNvPr id="5" name="DriftfremtidigudenprojektCHeader">
          <a:extLst>
            <a:ext uri="{FF2B5EF4-FFF2-40B4-BE49-F238E27FC236}">
              <a16:creationId xmlns:a16="http://schemas.microsoft.com/office/drawing/2014/main" id="{00000000-0008-0000-0E00-000005000000}"/>
            </a:ext>
          </a:extLst>
        </xdr:cNvPr>
        <xdr:cNvSpPr/>
      </xdr:nvSpPr>
      <xdr:spPr>
        <a:xfrm>
          <a:off x="609600" y="219075"/>
          <a:ext cx="16430625" cy="571500"/>
        </a:xfrm>
        <a:prstGeom prst="roundRect">
          <a:avLst>
            <a:gd name="adj" fmla="val 0"/>
          </a:avLst>
        </a:prstGeom>
        <a:noFill/>
        <a:ln w="25400" cap="flat" cmpd="sng" algn="ctr">
          <a:noFill/>
          <a:prstDash val="solid"/>
        </a:ln>
        <a:effectLst/>
        <a:extLst>
          <a:ext uri="{909E8E84-426E-40DD-AFC4-6F175D3DCCD1}">
            <a14:hiddenFill xmlns:a14="http://schemas.microsoft.com/office/drawing/2010/main">
              <a:gradFill flip="none" rotWithShape="1">
                <a:gsLst>
                  <a:gs pos="0">
                    <a:srgbClr val="FFFFFF"/>
                  </a:gs>
                  <a:gs pos="100000">
                    <a:srgbClr val="FFFFFF"/>
                  </a:gs>
                </a:gsLst>
                <a:lin ang="5400000" scaled="1"/>
                <a:tileRect/>
              </a:gra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l"/>
          <a:r>
            <a:rPr lang="da-DK" sz="3600" b="1">
              <a:solidFill>
                <a:srgbClr val="000000"/>
              </a:solidFill>
              <a:latin typeface="Arial"/>
            </a:rPr>
            <a:t>Drift - fremtidig uden projekt Calculation Sheet</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1</xdr:col>
      <xdr:colOff>0</xdr:colOff>
      <xdr:row>1</xdr:row>
      <xdr:rowOff>38100</xdr:rowOff>
    </xdr:from>
    <xdr:to>
      <xdr:col>13</xdr:col>
      <xdr:colOff>0</xdr:colOff>
      <xdr:row>1</xdr:row>
      <xdr:rowOff>609600</xdr:rowOff>
    </xdr:to>
    <xdr:sp macro="" textlink="" fLocksText="0">
      <xdr:nvSpPr>
        <xdr:cNvPr id="5" name="DriftfremtidigudenprojektDHeader">
          <a:extLst>
            <a:ext uri="{FF2B5EF4-FFF2-40B4-BE49-F238E27FC236}">
              <a16:creationId xmlns:a16="http://schemas.microsoft.com/office/drawing/2014/main" id="{00000000-0008-0000-0F00-000005000000}"/>
            </a:ext>
          </a:extLst>
        </xdr:cNvPr>
        <xdr:cNvSpPr/>
      </xdr:nvSpPr>
      <xdr:spPr>
        <a:xfrm>
          <a:off x="609600" y="219075"/>
          <a:ext cx="15601950" cy="571500"/>
        </a:xfrm>
        <a:prstGeom prst="roundRect">
          <a:avLst>
            <a:gd name="adj" fmla="val 0"/>
          </a:avLst>
        </a:prstGeom>
        <a:noFill/>
        <a:ln w="25400" cap="flat" cmpd="sng" algn="ctr">
          <a:noFill/>
          <a:prstDash val="solid"/>
        </a:ln>
        <a:effectLst/>
        <a:extLst>
          <a:ext uri="{909E8E84-426E-40DD-AFC4-6F175D3DCCD1}">
            <a14:hiddenFill xmlns:a14="http://schemas.microsoft.com/office/drawing/2010/main">
              <a:gradFill flip="none" rotWithShape="1">
                <a:gsLst>
                  <a:gs pos="0">
                    <a:srgbClr val="FFFFFF"/>
                  </a:gs>
                  <a:gs pos="100000">
                    <a:srgbClr val="FFFFFF"/>
                  </a:gs>
                </a:gsLst>
                <a:lin ang="5400000" scaled="1"/>
                <a:tileRect/>
              </a:gra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l"/>
          <a:r>
            <a:rPr lang="da-DK" sz="3600" b="1">
              <a:solidFill>
                <a:srgbClr val="000000"/>
              </a:solidFill>
              <a:latin typeface="Arial"/>
            </a:rPr>
            <a:t>Drift - fremtidig uden projekt Calculation Sheet</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1</xdr:col>
      <xdr:colOff>0</xdr:colOff>
      <xdr:row>1</xdr:row>
      <xdr:rowOff>38100</xdr:rowOff>
    </xdr:from>
    <xdr:to>
      <xdr:col>13</xdr:col>
      <xdr:colOff>0</xdr:colOff>
      <xdr:row>1</xdr:row>
      <xdr:rowOff>609600</xdr:rowOff>
    </xdr:to>
    <xdr:sp macro="" textlink="" fLocksText="0">
      <xdr:nvSpPr>
        <xdr:cNvPr id="5" name="DriftfremtidigudenprojektEHeader">
          <a:extLst>
            <a:ext uri="{FF2B5EF4-FFF2-40B4-BE49-F238E27FC236}">
              <a16:creationId xmlns:a16="http://schemas.microsoft.com/office/drawing/2014/main" id="{00000000-0008-0000-1000-000005000000}"/>
            </a:ext>
          </a:extLst>
        </xdr:cNvPr>
        <xdr:cNvSpPr/>
      </xdr:nvSpPr>
      <xdr:spPr>
        <a:xfrm>
          <a:off x="609600" y="219075"/>
          <a:ext cx="9725025" cy="571500"/>
        </a:xfrm>
        <a:prstGeom prst="roundRect">
          <a:avLst>
            <a:gd name="adj" fmla="val 0"/>
          </a:avLst>
        </a:prstGeom>
        <a:noFill/>
        <a:ln w="25400" cap="flat" cmpd="sng" algn="ctr">
          <a:noFill/>
          <a:prstDash val="solid"/>
        </a:ln>
        <a:effectLst/>
        <a:extLst>
          <a:ext uri="{909E8E84-426E-40DD-AFC4-6F175D3DCCD1}">
            <a14:hiddenFill xmlns:a14="http://schemas.microsoft.com/office/drawing/2010/main">
              <a:gradFill flip="none" rotWithShape="1">
                <a:gsLst>
                  <a:gs pos="0">
                    <a:srgbClr val="FFFFFF"/>
                  </a:gs>
                  <a:gs pos="100000">
                    <a:srgbClr val="FFFFFF"/>
                  </a:gs>
                </a:gsLst>
                <a:lin ang="5400000" scaled="1"/>
                <a:tileRect/>
              </a:gra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l"/>
          <a:r>
            <a:rPr lang="da-DK" sz="3600" b="1">
              <a:solidFill>
                <a:srgbClr val="000000"/>
              </a:solidFill>
              <a:latin typeface="Arial"/>
            </a:rPr>
            <a:t>Drift - fremtidig uden projekt Calculation Sheet</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1</xdr:col>
      <xdr:colOff>0</xdr:colOff>
      <xdr:row>1</xdr:row>
      <xdr:rowOff>38100</xdr:rowOff>
    </xdr:from>
    <xdr:to>
      <xdr:col>13</xdr:col>
      <xdr:colOff>0</xdr:colOff>
      <xdr:row>1</xdr:row>
      <xdr:rowOff>609600</xdr:rowOff>
    </xdr:to>
    <xdr:sp macro="" textlink="" fLocksText="0">
      <xdr:nvSpPr>
        <xdr:cNvPr id="5" name="DriftmedprojektCHeader">
          <a:extLst>
            <a:ext uri="{FF2B5EF4-FFF2-40B4-BE49-F238E27FC236}">
              <a16:creationId xmlns:a16="http://schemas.microsoft.com/office/drawing/2014/main" id="{00000000-0008-0000-1100-000005000000}"/>
            </a:ext>
          </a:extLst>
        </xdr:cNvPr>
        <xdr:cNvSpPr/>
      </xdr:nvSpPr>
      <xdr:spPr>
        <a:xfrm>
          <a:off x="609600" y="219075"/>
          <a:ext cx="16430625" cy="571500"/>
        </a:xfrm>
        <a:prstGeom prst="roundRect">
          <a:avLst>
            <a:gd name="adj" fmla="val 0"/>
          </a:avLst>
        </a:prstGeom>
        <a:noFill/>
        <a:ln w="25400" cap="flat" cmpd="sng" algn="ctr">
          <a:noFill/>
          <a:prstDash val="solid"/>
        </a:ln>
        <a:effectLst/>
        <a:extLst>
          <a:ext uri="{909E8E84-426E-40DD-AFC4-6F175D3DCCD1}">
            <a14:hiddenFill xmlns:a14="http://schemas.microsoft.com/office/drawing/2010/main">
              <a:gradFill flip="none" rotWithShape="1">
                <a:gsLst>
                  <a:gs pos="0">
                    <a:srgbClr val="FFFFFF"/>
                  </a:gs>
                  <a:gs pos="100000">
                    <a:srgbClr val="FFFFFF"/>
                  </a:gs>
                </a:gsLst>
                <a:lin ang="5400000" scaled="1"/>
                <a:tileRect/>
              </a:gra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l"/>
          <a:r>
            <a:rPr lang="da-DK" sz="3600" b="1">
              <a:solidFill>
                <a:srgbClr val="000000"/>
              </a:solidFill>
              <a:latin typeface="Arial"/>
            </a:rPr>
            <a:t>Drift - med projekt Calculation Sheet</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1</xdr:row>
      <xdr:rowOff>38100</xdr:rowOff>
    </xdr:from>
    <xdr:to>
      <xdr:col>13</xdr:col>
      <xdr:colOff>0</xdr:colOff>
      <xdr:row>1</xdr:row>
      <xdr:rowOff>609600</xdr:rowOff>
    </xdr:to>
    <xdr:sp macro="" textlink="" fLocksText="0">
      <xdr:nvSpPr>
        <xdr:cNvPr id="5" name="DriftmedprojektDHeader">
          <a:extLst>
            <a:ext uri="{FF2B5EF4-FFF2-40B4-BE49-F238E27FC236}">
              <a16:creationId xmlns:a16="http://schemas.microsoft.com/office/drawing/2014/main" id="{00000000-0008-0000-1200-000005000000}"/>
            </a:ext>
          </a:extLst>
        </xdr:cNvPr>
        <xdr:cNvSpPr/>
      </xdr:nvSpPr>
      <xdr:spPr>
        <a:xfrm>
          <a:off x="609600" y="219075"/>
          <a:ext cx="13506450" cy="571500"/>
        </a:xfrm>
        <a:prstGeom prst="roundRect">
          <a:avLst>
            <a:gd name="adj" fmla="val 0"/>
          </a:avLst>
        </a:prstGeom>
        <a:noFill/>
        <a:ln w="25400" cap="flat" cmpd="sng" algn="ctr">
          <a:noFill/>
          <a:prstDash val="solid"/>
        </a:ln>
        <a:effectLst/>
        <a:extLst>
          <a:ext uri="{909E8E84-426E-40DD-AFC4-6F175D3DCCD1}">
            <a14:hiddenFill xmlns:a14="http://schemas.microsoft.com/office/drawing/2010/main">
              <a:gradFill flip="none" rotWithShape="1">
                <a:gsLst>
                  <a:gs pos="0">
                    <a:srgbClr val="FFFFFF"/>
                  </a:gs>
                  <a:gs pos="100000">
                    <a:srgbClr val="FFFFFF"/>
                  </a:gs>
                </a:gsLst>
                <a:lin ang="5400000" scaled="1"/>
                <a:tileRect/>
              </a:gra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l"/>
          <a:r>
            <a:rPr lang="da-DK" sz="3600" b="1">
              <a:solidFill>
                <a:srgbClr val="000000"/>
              </a:solidFill>
              <a:latin typeface="Arial"/>
            </a:rPr>
            <a:t>Drift - fremtidig uden projekt Calculation Sheet</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1</xdr:row>
      <xdr:rowOff>38100</xdr:rowOff>
    </xdr:from>
    <xdr:to>
      <xdr:col>13</xdr:col>
      <xdr:colOff>0</xdr:colOff>
      <xdr:row>1</xdr:row>
      <xdr:rowOff>609600</xdr:rowOff>
    </xdr:to>
    <xdr:sp macro="" textlink="" fLocksText="0">
      <xdr:nvSpPr>
        <xdr:cNvPr id="5" name="DriftmedprojektEHeader">
          <a:extLst>
            <a:ext uri="{FF2B5EF4-FFF2-40B4-BE49-F238E27FC236}">
              <a16:creationId xmlns:a16="http://schemas.microsoft.com/office/drawing/2014/main" id="{00000000-0008-0000-1300-000005000000}"/>
            </a:ext>
          </a:extLst>
        </xdr:cNvPr>
        <xdr:cNvSpPr/>
      </xdr:nvSpPr>
      <xdr:spPr>
        <a:xfrm>
          <a:off x="609600" y="219075"/>
          <a:ext cx="13506450" cy="571500"/>
        </a:xfrm>
        <a:prstGeom prst="roundRect">
          <a:avLst>
            <a:gd name="adj" fmla="val 0"/>
          </a:avLst>
        </a:prstGeom>
        <a:noFill/>
        <a:ln w="25400" cap="flat" cmpd="sng" algn="ctr">
          <a:noFill/>
          <a:prstDash val="solid"/>
        </a:ln>
        <a:effectLst/>
        <a:extLst>
          <a:ext uri="{909E8E84-426E-40DD-AFC4-6F175D3DCCD1}">
            <a14:hiddenFill xmlns:a14="http://schemas.microsoft.com/office/drawing/2010/main">
              <a:gradFill flip="none" rotWithShape="1">
                <a:gsLst>
                  <a:gs pos="0">
                    <a:srgbClr val="FFFFFF"/>
                  </a:gs>
                  <a:gs pos="100000">
                    <a:srgbClr val="FFFFFF"/>
                  </a:gs>
                </a:gsLst>
                <a:lin ang="5400000" scaled="1"/>
                <a:tileRect/>
              </a:gra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l"/>
          <a:r>
            <a:rPr lang="da-DK" sz="3600" b="1">
              <a:solidFill>
                <a:srgbClr val="000000"/>
              </a:solidFill>
              <a:latin typeface="Arial"/>
            </a:rPr>
            <a:t>Drift - fremtidig uden projekt Calculation Sheet</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1</xdr:row>
      <xdr:rowOff>38100</xdr:rowOff>
    </xdr:from>
    <xdr:to>
      <xdr:col>13</xdr:col>
      <xdr:colOff>0</xdr:colOff>
      <xdr:row>1</xdr:row>
      <xdr:rowOff>609600</xdr:rowOff>
    </xdr:to>
    <xdr:sp macro="" textlink="" fLocksText="0">
      <xdr:nvSpPr>
        <xdr:cNvPr id="5" name="DriftfprojektCHeader">
          <a:extLst>
            <a:ext uri="{FF2B5EF4-FFF2-40B4-BE49-F238E27FC236}">
              <a16:creationId xmlns:a16="http://schemas.microsoft.com/office/drawing/2014/main" id="{00000000-0008-0000-1400-000005000000}"/>
            </a:ext>
          </a:extLst>
        </xdr:cNvPr>
        <xdr:cNvSpPr/>
      </xdr:nvSpPr>
      <xdr:spPr>
        <a:xfrm>
          <a:off x="609600" y="219075"/>
          <a:ext cx="11544300" cy="571500"/>
        </a:xfrm>
        <a:prstGeom prst="roundRect">
          <a:avLst>
            <a:gd name="adj" fmla="val 0"/>
          </a:avLst>
        </a:prstGeom>
        <a:noFill/>
        <a:ln w="25400" cap="flat" cmpd="sng" algn="ctr">
          <a:noFill/>
          <a:prstDash val="solid"/>
        </a:ln>
        <a:effectLst/>
        <a:extLst>
          <a:ext uri="{909E8E84-426E-40DD-AFC4-6F175D3DCCD1}">
            <a14:hiddenFill xmlns:a14="http://schemas.microsoft.com/office/drawing/2010/main">
              <a:gradFill flip="none" rotWithShape="1">
                <a:gsLst>
                  <a:gs pos="0">
                    <a:srgbClr val="FFFFFF"/>
                  </a:gs>
                  <a:gs pos="100000">
                    <a:srgbClr val="FFFFFF"/>
                  </a:gs>
                </a:gsLst>
                <a:lin ang="5400000" scaled="1"/>
                <a:tileRect/>
              </a:gra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l"/>
          <a:r>
            <a:rPr lang="da-DK" sz="3600" b="1">
              <a:solidFill>
                <a:srgbClr val="000000"/>
              </a:solidFill>
              <a:latin typeface="Arial"/>
            </a:rPr>
            <a:t>Drift - med projekt Calculation Sheet</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1</xdr:row>
      <xdr:rowOff>38100</xdr:rowOff>
    </xdr:from>
    <xdr:to>
      <xdr:col>13</xdr:col>
      <xdr:colOff>0</xdr:colOff>
      <xdr:row>1</xdr:row>
      <xdr:rowOff>609600</xdr:rowOff>
    </xdr:to>
    <xdr:sp macro="" textlink="" fLocksText="0">
      <xdr:nvSpPr>
        <xdr:cNvPr id="5" name="DriftfprojektFHeader">
          <a:extLst>
            <a:ext uri="{FF2B5EF4-FFF2-40B4-BE49-F238E27FC236}">
              <a16:creationId xmlns:a16="http://schemas.microsoft.com/office/drawing/2014/main" id="{00000000-0008-0000-1500-000005000000}"/>
            </a:ext>
          </a:extLst>
        </xdr:cNvPr>
        <xdr:cNvSpPr/>
      </xdr:nvSpPr>
      <xdr:spPr>
        <a:xfrm>
          <a:off x="609600" y="219075"/>
          <a:ext cx="11058525" cy="571500"/>
        </a:xfrm>
        <a:prstGeom prst="roundRect">
          <a:avLst>
            <a:gd name="adj" fmla="val 0"/>
          </a:avLst>
        </a:prstGeom>
        <a:noFill/>
        <a:ln w="25400" cap="flat" cmpd="sng" algn="ctr">
          <a:noFill/>
          <a:prstDash val="solid"/>
        </a:ln>
        <a:effectLst/>
        <a:extLst>
          <a:ext uri="{909E8E84-426E-40DD-AFC4-6F175D3DCCD1}">
            <a14:hiddenFill xmlns:a14="http://schemas.microsoft.com/office/drawing/2010/main">
              <a:gradFill flip="none" rotWithShape="1">
                <a:gsLst>
                  <a:gs pos="0">
                    <a:srgbClr val="FFFFFF"/>
                  </a:gs>
                  <a:gs pos="100000">
                    <a:srgbClr val="FFFFFF"/>
                  </a:gs>
                </a:gsLst>
                <a:lin ang="5400000" scaled="1"/>
                <a:tileRect/>
              </a:gra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l"/>
          <a:r>
            <a:rPr lang="da-DK" sz="3600" b="1">
              <a:solidFill>
                <a:srgbClr val="000000"/>
              </a:solidFill>
              <a:latin typeface="Arial"/>
            </a:rPr>
            <a:t>Drift - med projekt Calculation Sheet</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1</xdr:row>
      <xdr:rowOff>38100</xdr:rowOff>
    </xdr:from>
    <xdr:to>
      <xdr:col>13</xdr:col>
      <xdr:colOff>0</xdr:colOff>
      <xdr:row>1</xdr:row>
      <xdr:rowOff>609600</xdr:rowOff>
    </xdr:to>
    <xdr:sp macro="" textlink="" fLocksText="0">
      <xdr:nvSpPr>
        <xdr:cNvPr id="5" name="DriftmedprojektFHeader">
          <a:extLst>
            <a:ext uri="{FF2B5EF4-FFF2-40B4-BE49-F238E27FC236}">
              <a16:creationId xmlns:a16="http://schemas.microsoft.com/office/drawing/2014/main" id="{00000000-0008-0000-1600-000005000000}"/>
            </a:ext>
          </a:extLst>
        </xdr:cNvPr>
        <xdr:cNvSpPr/>
      </xdr:nvSpPr>
      <xdr:spPr>
        <a:xfrm>
          <a:off x="609600" y="219075"/>
          <a:ext cx="11058525" cy="571500"/>
        </a:xfrm>
        <a:prstGeom prst="roundRect">
          <a:avLst>
            <a:gd name="adj" fmla="val 0"/>
          </a:avLst>
        </a:prstGeom>
        <a:noFill/>
        <a:ln w="25400" cap="flat" cmpd="sng" algn="ctr">
          <a:noFill/>
          <a:prstDash val="solid"/>
        </a:ln>
        <a:effectLst/>
        <a:extLst>
          <a:ext uri="{909E8E84-426E-40DD-AFC4-6F175D3DCCD1}">
            <a14:hiddenFill xmlns:a14="http://schemas.microsoft.com/office/drawing/2010/main">
              <a:gradFill flip="none" rotWithShape="1">
                <a:gsLst>
                  <a:gs pos="0">
                    <a:srgbClr val="FFFFFF"/>
                  </a:gs>
                  <a:gs pos="100000">
                    <a:srgbClr val="FFFFFF"/>
                  </a:gs>
                </a:gsLst>
                <a:lin ang="5400000" scaled="1"/>
                <a:tileRect/>
              </a:gra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l"/>
          <a:r>
            <a:rPr lang="da-DK" sz="3600" b="1">
              <a:solidFill>
                <a:srgbClr val="000000"/>
              </a:solidFill>
              <a:latin typeface="Arial"/>
            </a:rPr>
            <a:t>Drift - fremtidig uden projekt Calculation Sheet</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1</xdr:row>
      <xdr:rowOff>38100</xdr:rowOff>
    </xdr:from>
    <xdr:to>
      <xdr:col>13</xdr:col>
      <xdr:colOff>0</xdr:colOff>
      <xdr:row>1</xdr:row>
      <xdr:rowOff>609600</xdr:rowOff>
    </xdr:to>
    <xdr:sp macro="" textlink="" fLocksText="0">
      <xdr:nvSpPr>
        <xdr:cNvPr id="5" name="DriftfremtidigudenprojektFHeader">
          <a:extLst>
            <a:ext uri="{FF2B5EF4-FFF2-40B4-BE49-F238E27FC236}">
              <a16:creationId xmlns:a16="http://schemas.microsoft.com/office/drawing/2014/main" id="{00000000-0008-0000-1700-000005000000}"/>
            </a:ext>
          </a:extLst>
        </xdr:cNvPr>
        <xdr:cNvSpPr/>
      </xdr:nvSpPr>
      <xdr:spPr>
        <a:xfrm>
          <a:off x="609600" y="219075"/>
          <a:ext cx="11058525" cy="571500"/>
        </a:xfrm>
        <a:prstGeom prst="roundRect">
          <a:avLst>
            <a:gd name="adj" fmla="val 0"/>
          </a:avLst>
        </a:prstGeom>
        <a:noFill/>
        <a:ln w="25400" cap="flat" cmpd="sng" algn="ctr">
          <a:noFill/>
          <a:prstDash val="solid"/>
        </a:ln>
        <a:effectLst/>
        <a:extLst>
          <a:ext uri="{909E8E84-426E-40DD-AFC4-6F175D3DCCD1}">
            <a14:hiddenFill xmlns:a14="http://schemas.microsoft.com/office/drawing/2010/main">
              <a:gradFill flip="none" rotWithShape="1">
                <a:gsLst>
                  <a:gs pos="0">
                    <a:srgbClr val="FFFFFF"/>
                  </a:gs>
                  <a:gs pos="100000">
                    <a:srgbClr val="FFFFFF"/>
                  </a:gs>
                </a:gsLst>
                <a:lin ang="5400000" scaled="1"/>
                <a:tileRect/>
              </a:gra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l"/>
          <a:r>
            <a:rPr lang="da-DK" sz="3600" b="1">
              <a:solidFill>
                <a:srgbClr val="000000"/>
              </a:solidFill>
              <a:latin typeface="Arial"/>
            </a:rPr>
            <a:t>Drift - fremtidig uden projekt Calculation Sheet</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1</xdr:row>
      <xdr:rowOff>38100</xdr:rowOff>
    </xdr:from>
    <xdr:to>
      <xdr:col>13</xdr:col>
      <xdr:colOff>0</xdr:colOff>
      <xdr:row>1</xdr:row>
      <xdr:rowOff>609600</xdr:rowOff>
    </xdr:to>
    <xdr:sp macro="" textlink="" fLocksText="0">
      <xdr:nvSpPr>
        <xdr:cNvPr id="5" name="ProjektudgifterFHeader">
          <a:extLst>
            <a:ext uri="{FF2B5EF4-FFF2-40B4-BE49-F238E27FC236}">
              <a16:creationId xmlns:a16="http://schemas.microsoft.com/office/drawing/2014/main" id="{00000000-0008-0000-1800-000005000000}"/>
            </a:ext>
          </a:extLst>
        </xdr:cNvPr>
        <xdr:cNvSpPr/>
      </xdr:nvSpPr>
      <xdr:spPr>
        <a:xfrm>
          <a:off x="609600" y="219075"/>
          <a:ext cx="11058525" cy="571500"/>
        </a:xfrm>
        <a:prstGeom prst="roundRect">
          <a:avLst>
            <a:gd name="adj" fmla="val 0"/>
          </a:avLst>
        </a:prstGeom>
        <a:noFill/>
        <a:ln w="25400" cap="flat" cmpd="sng" algn="ctr">
          <a:noFill/>
          <a:prstDash val="solid"/>
        </a:ln>
        <a:effectLst/>
        <a:extLst>
          <a:ext uri="{909E8E84-426E-40DD-AFC4-6F175D3DCCD1}">
            <a14:hiddenFill xmlns:a14="http://schemas.microsoft.com/office/drawing/2010/main">
              <a:gradFill flip="none" rotWithShape="1">
                <a:gsLst>
                  <a:gs pos="0">
                    <a:srgbClr val="FFFFFF"/>
                  </a:gs>
                  <a:gs pos="100000">
                    <a:srgbClr val="FFFFFF"/>
                  </a:gs>
                </a:gsLst>
                <a:lin ang="5400000" scaled="1"/>
                <a:tileRect/>
              </a:gra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l"/>
          <a:r>
            <a:rPr lang="da-DK" sz="3600" b="1">
              <a:solidFill>
                <a:srgbClr val="000000"/>
              </a:solidFill>
              <a:latin typeface="Arial"/>
            </a:rPr>
            <a:t>Projektudgifter Calculation Sheet</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1</xdr:row>
      <xdr:rowOff>38100</xdr:rowOff>
    </xdr:from>
    <xdr:to>
      <xdr:col>13</xdr:col>
      <xdr:colOff>0</xdr:colOff>
      <xdr:row>1</xdr:row>
      <xdr:rowOff>609600</xdr:rowOff>
    </xdr:to>
    <xdr:sp macro="" textlink="" fLocksText="0">
      <xdr:nvSpPr>
        <xdr:cNvPr id="5" name="ProgramudgifterFHeader">
          <a:extLst>
            <a:ext uri="{FF2B5EF4-FFF2-40B4-BE49-F238E27FC236}">
              <a16:creationId xmlns:a16="http://schemas.microsoft.com/office/drawing/2014/main" id="{00000000-0008-0000-1900-000005000000}"/>
            </a:ext>
          </a:extLst>
        </xdr:cNvPr>
        <xdr:cNvSpPr/>
      </xdr:nvSpPr>
      <xdr:spPr>
        <a:xfrm>
          <a:off x="609600" y="219075"/>
          <a:ext cx="11058525" cy="571500"/>
        </a:xfrm>
        <a:prstGeom prst="roundRect">
          <a:avLst>
            <a:gd name="adj" fmla="val 0"/>
          </a:avLst>
        </a:prstGeom>
        <a:noFill/>
        <a:ln w="25400" cap="flat" cmpd="sng" algn="ctr">
          <a:noFill/>
          <a:prstDash val="solid"/>
        </a:ln>
        <a:effectLst/>
        <a:extLst>
          <a:ext uri="{909E8E84-426E-40DD-AFC4-6F175D3DCCD1}">
            <a14:hiddenFill xmlns:a14="http://schemas.microsoft.com/office/drawing/2010/main">
              <a:gradFill flip="none" rotWithShape="1">
                <a:gsLst>
                  <a:gs pos="0">
                    <a:srgbClr val="FFFFFF"/>
                  </a:gs>
                  <a:gs pos="100000">
                    <a:srgbClr val="FFFFFF"/>
                  </a:gs>
                </a:gsLst>
                <a:lin ang="5400000" scaled="1"/>
                <a:tileRect/>
              </a:gra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63500" tIns="38100" rtlCol="0" anchor="ctr"/>
        <a:lstStyle/>
        <a:p>
          <a:pPr algn="l"/>
          <a:r>
            <a:rPr lang="da-DK" sz="3600" b="1">
              <a:solidFill>
                <a:srgbClr val="000000"/>
              </a:solidFill>
              <a:latin typeface="Arial"/>
            </a:rPr>
            <a:t>Programudgifter Calculation Sheet</a:t>
          </a:r>
        </a:p>
      </xdr:txBody>
    </xdr:sp>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hyperlink" Target="http://www.digst.dk/Styring/Statens-projektmodel/Statens-Business-Casemodel/Dowload-BC" TargetMode="External"/><Relationship Id="rId1" Type="http://schemas.openxmlformats.org/officeDocument/2006/relationships/hyperlink" Target="http://www.digst.dk/Styring/Statens-projektmodel/Statens-Business-Casemodel/~/media/Files/Statens%20projektmodel/Obligatorisk/Notat%20makro%20indstillinger.ashx"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8.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rgb="FF00B050"/>
  </sheetPr>
  <dimension ref="A1:G1"/>
  <sheetViews>
    <sheetView zoomScale="70" zoomScaleNormal="70" workbookViewId="0">
      <selection activeCell="E12" sqref="E12"/>
    </sheetView>
  </sheetViews>
  <sheetFormatPr defaultRowHeight="15" x14ac:dyDescent="0.25"/>
  <cols>
    <col min="1" max="1" width="32.140625" customWidth="1"/>
    <col min="2" max="2" width="25.5703125" customWidth="1"/>
    <col min="3" max="3" width="26.28515625" customWidth="1"/>
    <col min="4" max="4" width="28.7109375" customWidth="1"/>
    <col min="5" max="5" width="123.5703125" customWidth="1"/>
    <col min="6" max="6" width="60.140625" customWidth="1"/>
    <col min="7" max="7" width="54.85546875" customWidth="1"/>
  </cols>
  <sheetData>
    <row r="1" spans="1:7" ht="280.5" customHeight="1" x14ac:dyDescent="0.25">
      <c r="A1" s="1" t="s">
        <v>135</v>
      </c>
      <c r="B1" s="1" t="s">
        <v>136</v>
      </c>
      <c r="C1" s="1" t="s">
        <v>137</v>
      </c>
      <c r="D1" s="1" t="s">
        <v>138</v>
      </c>
      <c r="E1" s="1" t="s">
        <v>130</v>
      </c>
      <c r="F1" s="1" t="s">
        <v>556</v>
      </c>
      <c r="G1" s="1" t="s">
        <v>557</v>
      </c>
    </row>
  </sheetData>
  <sheetProtection algorithmName="SHA-512" hashValue="TCiSJIrXgQIfLFDOiYKu5kL2xMsudx441mKjfhfADz8g1QOIgVBJaGsI3bM58pIMEPJymE7LqJUaQBbdEGNprg==" saltValue="UZRVIx5OqB9MFEAG3N9P0g==" spinCount="100000" sheet="1" objects="1" scenario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D9:J16"/>
  <sheetViews>
    <sheetView showGridLines="0" showRowColHeaders="0" tabSelected="1" workbookViewId="0">
      <selection activeCell="G7" sqref="G7"/>
    </sheetView>
  </sheetViews>
  <sheetFormatPr defaultRowHeight="15" x14ac:dyDescent="0.25"/>
  <cols>
    <col min="7" max="7" width="18.7109375" customWidth="1"/>
    <col min="9" max="9" width="16.5703125" customWidth="1"/>
    <col min="10" max="10" width="6" customWidth="1"/>
  </cols>
  <sheetData>
    <row r="9" spans="4:10" ht="23.25" x14ac:dyDescent="0.25">
      <c r="D9" s="2" t="s">
        <v>1127</v>
      </c>
    </row>
    <row r="11" spans="4:10" x14ac:dyDescent="0.25">
      <c r="D11" s="3"/>
    </row>
    <row r="12" spans="4:10" ht="18.75" x14ac:dyDescent="0.3">
      <c r="D12" s="4" t="s">
        <v>1128</v>
      </c>
    </row>
    <row r="14" spans="4:10" ht="18.75" x14ac:dyDescent="0.3">
      <c r="D14" s="4" t="s">
        <v>1129</v>
      </c>
      <c r="E14" s="4"/>
      <c r="F14" s="4"/>
      <c r="G14" s="4"/>
      <c r="H14" s="5" t="s">
        <v>1130</v>
      </c>
      <c r="I14" s="4"/>
      <c r="J14" s="4"/>
    </row>
    <row r="15" spans="4:10" ht="18.75" x14ac:dyDescent="0.3">
      <c r="D15" s="4"/>
      <c r="E15" s="4"/>
      <c r="F15" s="4"/>
      <c r="G15" s="4"/>
      <c r="H15" s="4"/>
      <c r="I15" s="4"/>
      <c r="J15" s="4"/>
    </row>
    <row r="16" spans="4:10" ht="18.75" x14ac:dyDescent="0.3">
      <c r="D16" s="4" t="s">
        <v>1131</v>
      </c>
      <c r="E16" s="4"/>
      <c r="F16" s="4"/>
      <c r="G16" s="4"/>
      <c r="H16" s="4"/>
      <c r="I16" s="4"/>
      <c r="J16" s="5" t="s">
        <v>1130</v>
      </c>
    </row>
  </sheetData>
  <sheetProtection algorithmName="SHA-512" hashValue="vKXK4XRyvF8WGwuI3HwiQT5TJ0jVhVLIMJXKTIQsxFibVKFb1Dgc8uwjMf4js//bgxjfZOBK4Xy0s0qL+wPAQA==" saltValue="HDpagEb2dx+QoJFrH7fq1w==" spinCount="100000" sheet="1" objects="1" scenarios="1"/>
  <hyperlinks>
    <hyperlink ref="H14" r:id="rId1" xr:uid="{00000000-0004-0000-0100-000000000000}"/>
    <hyperlink ref="J16" r:id="rId2" location="Øvrige" xr:uid="{00000000-0004-0000-0100-000001000000}"/>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000000"/>
  </sheetPr>
  <dimension ref="D3:I130"/>
  <sheetViews>
    <sheetView showGridLines="0" zoomScale="80" zoomScaleNormal="80" workbookViewId="0"/>
  </sheetViews>
  <sheetFormatPr defaultColWidth="10.140625" defaultRowHeight="14.25" customHeight="1" x14ac:dyDescent="0.2"/>
  <cols>
    <col min="1" max="1" width="10" style="81" customWidth="1"/>
    <col min="2" max="14" width="12.5703125" style="81" customWidth="1"/>
    <col min="15" max="200" width="10" style="81" customWidth="1"/>
    <col min="201" max="16384" width="10.140625" style="81"/>
  </cols>
  <sheetData>
    <row r="3" ht="41.1" customHeight="1" x14ac:dyDescent="0.2"/>
    <row r="5" ht="62.1" customHeight="1" x14ac:dyDescent="0.2"/>
    <row r="6" ht="14.25" hidden="1" customHeight="1" x14ac:dyDescent="0.2"/>
    <row r="7" ht="24" hidden="1" customHeight="1" x14ac:dyDescent="0.2"/>
    <row r="8" ht="14.25" hidden="1" customHeight="1" x14ac:dyDescent="0.2"/>
    <row r="9" ht="144" hidden="1" customHeight="1" x14ac:dyDescent="0.2"/>
    <row r="10" ht="14.25" hidden="1" customHeight="1" x14ac:dyDescent="0.2"/>
    <row r="11" ht="5.0999999999999996" hidden="1" customHeight="1" x14ac:dyDescent="0.2"/>
    <row r="12" ht="14.25" hidden="1" customHeight="1" x14ac:dyDescent="0.2"/>
    <row r="13" ht="24" hidden="1" customHeight="1" x14ac:dyDescent="0.2"/>
    <row r="14" ht="14.25" hidden="1" customHeight="1" x14ac:dyDescent="0.2"/>
    <row r="15" ht="144" hidden="1" customHeight="1" x14ac:dyDescent="0.2"/>
    <row r="16" ht="14.25" hidden="1" customHeight="1" x14ac:dyDescent="0.2"/>
    <row r="17" ht="5.0999999999999996" hidden="1" customHeight="1" x14ac:dyDescent="0.2"/>
    <row r="18" ht="14.25" hidden="1" customHeight="1" x14ac:dyDescent="0.2"/>
    <row r="19" ht="24" hidden="1" customHeight="1" x14ac:dyDescent="0.2"/>
    <row r="20" ht="14.25" hidden="1" customHeight="1" x14ac:dyDescent="0.2"/>
    <row r="21" ht="144" hidden="1" customHeight="1" x14ac:dyDescent="0.2"/>
    <row r="22" ht="14.25" hidden="1" customHeight="1" x14ac:dyDescent="0.2"/>
    <row r="23" ht="5.0999999999999996" hidden="1" customHeight="1" x14ac:dyDescent="0.2"/>
    <row r="24" ht="14.25" hidden="1" customHeight="1" x14ac:dyDescent="0.2"/>
    <row r="25" ht="24" hidden="1" customHeight="1" x14ac:dyDescent="0.2"/>
    <row r="26" ht="14.25" hidden="1" customHeight="1" x14ac:dyDescent="0.2"/>
    <row r="27" ht="144" hidden="1" customHeight="1" x14ac:dyDescent="0.2"/>
    <row r="28" ht="14.25" hidden="1" customHeight="1" x14ac:dyDescent="0.2"/>
    <row r="29" ht="5.0999999999999996" hidden="1" customHeight="1" x14ac:dyDescent="0.2"/>
    <row r="30" ht="14.25" hidden="1" customHeight="1" x14ac:dyDescent="0.2"/>
    <row r="31" ht="24" hidden="1" customHeight="1" x14ac:dyDescent="0.2"/>
    <row r="32" ht="14.25" hidden="1" customHeight="1" x14ac:dyDescent="0.2"/>
    <row r="33" ht="144" hidden="1" customHeight="1" x14ac:dyDescent="0.2"/>
    <row r="34" ht="14.25" hidden="1" customHeight="1" x14ac:dyDescent="0.2"/>
    <row r="35" ht="5.0999999999999996" hidden="1" customHeight="1" x14ac:dyDescent="0.2"/>
    <row r="36" ht="14.25" hidden="1" customHeight="1" x14ac:dyDescent="0.2"/>
    <row r="37" ht="24" hidden="1" customHeight="1" x14ac:dyDescent="0.2"/>
    <row r="38" ht="14.25" hidden="1" customHeight="1" x14ac:dyDescent="0.2"/>
    <row r="39" ht="144" hidden="1" customHeight="1" x14ac:dyDescent="0.2"/>
    <row r="40" ht="14.25" hidden="1" customHeight="1" x14ac:dyDescent="0.2"/>
    <row r="41" ht="5.0999999999999996" hidden="1" customHeight="1" x14ac:dyDescent="0.2"/>
    <row r="42" ht="14.25" hidden="1" customHeight="1" x14ac:dyDescent="0.2"/>
    <row r="43" ht="24" hidden="1" customHeight="1" x14ac:dyDescent="0.2"/>
    <row r="44" ht="14.25" hidden="1" customHeight="1" x14ac:dyDescent="0.2"/>
    <row r="45" ht="144" hidden="1" customHeight="1" x14ac:dyDescent="0.2"/>
    <row r="47" ht="62.1" customHeight="1" x14ac:dyDescent="0.2"/>
    <row r="48" ht="14.25" hidden="1" customHeight="1" x14ac:dyDescent="0.2"/>
    <row r="49" ht="156.94999999999999" hidden="1" customHeight="1" x14ac:dyDescent="0.2"/>
    <row r="50" ht="14.25" hidden="1" customHeight="1" x14ac:dyDescent="0.2"/>
    <row r="51" ht="42" hidden="1" customHeight="1" x14ac:dyDescent="0.2"/>
    <row r="52" ht="14.25" hidden="1" customHeight="1" x14ac:dyDescent="0.2"/>
    <row r="53" ht="57" hidden="1" customHeight="1" x14ac:dyDescent="0.2"/>
    <row r="54" ht="14.25" hidden="1" customHeight="1" x14ac:dyDescent="0.2"/>
    <row r="55" ht="14.25" hidden="1" customHeight="1" x14ac:dyDescent="0.2"/>
    <row r="56" ht="14.25" hidden="1" customHeight="1" x14ac:dyDescent="0.2"/>
    <row r="57" ht="14.25" hidden="1" customHeight="1" x14ac:dyDescent="0.2"/>
    <row r="58" ht="14.25" hidden="1" customHeight="1" x14ac:dyDescent="0.2"/>
    <row r="59" ht="14.25" hidden="1" customHeight="1" x14ac:dyDescent="0.2"/>
    <row r="60" ht="14.25" hidden="1" customHeight="1" x14ac:dyDescent="0.2"/>
    <row r="61" ht="14.25" hidden="1" customHeight="1" x14ac:dyDescent="0.2"/>
    <row r="62" ht="14.25" hidden="1" customHeight="1" x14ac:dyDescent="0.2"/>
    <row r="63" ht="14.25" hidden="1" customHeight="1" x14ac:dyDescent="0.2"/>
    <row r="64" ht="14.25" hidden="1" customHeight="1" x14ac:dyDescent="0.2"/>
    <row r="65" ht="14.25" hidden="1" customHeight="1" x14ac:dyDescent="0.2"/>
    <row r="66" ht="14.25" hidden="1" customHeight="1" x14ac:dyDescent="0.2"/>
    <row r="67" ht="14.25" hidden="1" customHeight="1" x14ac:dyDescent="0.2"/>
    <row r="68" ht="14.25" hidden="1" customHeight="1" x14ac:dyDescent="0.2"/>
    <row r="69" ht="14.25" hidden="1" customHeight="1" x14ac:dyDescent="0.2"/>
    <row r="70" ht="14.25" hidden="1" customHeight="1" x14ac:dyDescent="0.2"/>
    <row r="71" ht="14.25" hidden="1" customHeight="1" x14ac:dyDescent="0.2"/>
    <row r="72" ht="14.25" hidden="1" customHeight="1" x14ac:dyDescent="0.2"/>
    <row r="73" ht="14.25" hidden="1" customHeight="1" x14ac:dyDescent="0.2"/>
    <row r="74" ht="14.25" hidden="1" customHeight="1" x14ac:dyDescent="0.2"/>
    <row r="75" ht="14.25" hidden="1" customHeight="1" x14ac:dyDescent="0.2"/>
    <row r="76" ht="14.25" hidden="1" customHeight="1" x14ac:dyDescent="0.2"/>
    <row r="77" ht="57" hidden="1" customHeight="1" x14ac:dyDescent="0.2"/>
    <row r="78" ht="14.25" hidden="1" customHeight="1" x14ac:dyDescent="0.2"/>
    <row r="79" ht="42" hidden="1" customHeight="1" x14ac:dyDescent="0.2"/>
    <row r="80" ht="14.25" hidden="1" customHeight="1" x14ac:dyDescent="0.2"/>
    <row r="81" ht="221.1" hidden="1" customHeight="1" x14ac:dyDescent="0.2"/>
    <row r="82" ht="14.25" hidden="1" customHeight="1" x14ac:dyDescent="0.2"/>
    <row r="83" ht="42" hidden="1" customHeight="1" x14ac:dyDescent="0.2"/>
    <row r="84" ht="14.25" hidden="1" customHeight="1" x14ac:dyDescent="0.2"/>
    <row r="85" ht="156.94999999999999" hidden="1" customHeight="1" x14ac:dyDescent="0.2"/>
    <row r="86" ht="14.25" hidden="1" customHeight="1" x14ac:dyDescent="0.2"/>
    <row r="87" ht="42" hidden="1" customHeight="1" x14ac:dyDescent="0.2"/>
    <row r="88" ht="14.25" hidden="1" customHeight="1" x14ac:dyDescent="0.2"/>
    <row r="89" ht="101.1" hidden="1" customHeight="1" x14ac:dyDescent="0.2"/>
    <row r="90" ht="14.25" hidden="1" customHeight="1" x14ac:dyDescent="0.2"/>
    <row r="91" ht="42" hidden="1" customHeight="1" x14ac:dyDescent="0.2"/>
    <row r="92" ht="14.25" hidden="1" customHeight="1" x14ac:dyDescent="0.2"/>
    <row r="93" ht="101.1" hidden="1" customHeight="1" x14ac:dyDescent="0.2"/>
    <row r="94" ht="14.25" hidden="1" customHeight="1" x14ac:dyDescent="0.2"/>
    <row r="95" ht="42" hidden="1" customHeight="1" x14ac:dyDescent="0.2"/>
    <row r="96" ht="14.25" hidden="1" customHeight="1" x14ac:dyDescent="0.2"/>
    <row r="97" spans="4:9" ht="180.95" hidden="1" customHeight="1" x14ac:dyDescent="0.2"/>
    <row r="99" spans="4:9" ht="62.1" customHeight="1" x14ac:dyDescent="0.2"/>
    <row r="101" spans="4:9" ht="42" customHeight="1" x14ac:dyDescent="0.2"/>
    <row r="103" spans="4:9" ht="23.1" customHeight="1" x14ac:dyDescent="0.2">
      <c r="D103" s="296" t="s">
        <v>178</v>
      </c>
      <c r="E103" s="296"/>
      <c r="F103" s="296"/>
      <c r="G103" s="296"/>
      <c r="H103" s="296"/>
      <c r="I103" s="296"/>
    </row>
    <row r="104" spans="4:9" ht="5.0999999999999996" customHeight="1" x14ac:dyDescent="0.2"/>
    <row r="106" spans="4:9" ht="23.1" customHeight="1" x14ac:dyDescent="0.2">
      <c r="D106" s="296" t="s">
        <v>112</v>
      </c>
      <c r="E106" s="296"/>
      <c r="F106" s="296"/>
      <c r="G106" s="296"/>
      <c r="H106" s="296"/>
      <c r="I106" s="296"/>
    </row>
    <row r="107" spans="4:9" ht="5.0999999999999996" customHeight="1" x14ac:dyDescent="0.2"/>
    <row r="109" spans="4:9" ht="23.1" customHeight="1" x14ac:dyDescent="0.2">
      <c r="D109" s="296" t="s">
        <v>179</v>
      </c>
      <c r="E109" s="296"/>
      <c r="F109" s="296"/>
      <c r="G109" s="296"/>
      <c r="H109" s="296"/>
      <c r="I109" s="296"/>
    </row>
    <row r="110" spans="4:9" ht="5.0999999999999996" customHeight="1" x14ac:dyDescent="0.2"/>
    <row r="112" spans="4:9" ht="30.95" customHeight="1" x14ac:dyDescent="0.2"/>
    <row r="114" ht="26.1" customHeight="1" x14ac:dyDescent="0.2"/>
    <row r="115" ht="26.1" customHeight="1" x14ac:dyDescent="0.2"/>
    <row r="116" ht="26.1" customHeight="1" x14ac:dyDescent="0.2"/>
    <row r="118" ht="5.0999999999999996" customHeight="1" x14ac:dyDescent="0.2"/>
    <row r="120" ht="30.95" customHeight="1" x14ac:dyDescent="0.2"/>
    <row r="122" ht="26.1" customHeight="1" x14ac:dyDescent="0.2"/>
    <row r="123" ht="26.1" customHeight="1" x14ac:dyDescent="0.2"/>
    <row r="124" ht="26.1" customHeight="1" x14ac:dyDescent="0.2"/>
    <row r="125" ht="26.1" customHeight="1" x14ac:dyDescent="0.2"/>
    <row r="126" ht="26.1" customHeight="1" x14ac:dyDescent="0.2"/>
    <row r="128" ht="5.0999999999999996" customHeight="1" x14ac:dyDescent="0.2"/>
    <row r="130" ht="26.1" customHeight="1" x14ac:dyDescent="0.2"/>
  </sheetData>
  <sheetProtection algorithmName="SHA-512" hashValue="mEMnpB5R0gaf4STiCxEdb6jbHoZeSlz/hROssHqqKsQdFGKbA3mjz6Xt4vC+4q/wG9Y+hb8mjhwibWqftdCf0g==" saltValue="1ojlojljIUrK3Z4tThCE7g==" spinCount="100000" sheet="1" objects="1" scenarios="1"/>
  <mergeCells count="3">
    <mergeCell ref="D103:I103"/>
    <mergeCell ref="D106:I106"/>
    <mergeCell ref="D109:I109"/>
  </mergeCell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2">
    <tabColor rgb="FF000000"/>
  </sheetPr>
  <dimension ref="B6:BK257"/>
  <sheetViews>
    <sheetView showGridLines="0" zoomScale="80" zoomScaleNormal="80" workbookViewId="0">
      <selection activeCell="A23" sqref="A23"/>
    </sheetView>
  </sheetViews>
  <sheetFormatPr defaultColWidth="9.140625" defaultRowHeight="14.25" customHeight="1" x14ac:dyDescent="0.2"/>
  <cols>
    <col min="1" max="1" width="10" style="81" customWidth="1"/>
    <col min="2" max="14" width="12.5703125" style="81" customWidth="1"/>
    <col min="15" max="16384" width="9.140625" style="81"/>
  </cols>
  <sheetData>
    <row r="6" spans="4:9" ht="41.1" customHeight="1" x14ac:dyDescent="0.2"/>
    <row r="8" spans="4:9" ht="62.1" customHeight="1" x14ac:dyDescent="0.2"/>
    <row r="10" spans="4:9" ht="42" customHeight="1" x14ac:dyDescent="0.2"/>
    <row r="11" spans="4:9" ht="14.25" hidden="1" customHeight="1" x14ac:dyDescent="0.2"/>
    <row r="12" spans="4:9" ht="24" hidden="1" customHeight="1" x14ac:dyDescent="0.2">
      <c r="D12" s="296" t="s">
        <v>178</v>
      </c>
      <c r="E12" s="296"/>
      <c r="F12" s="296"/>
      <c r="G12" s="296"/>
      <c r="H12" s="296"/>
      <c r="I12" s="296"/>
    </row>
    <row r="13" spans="4:9" ht="5.0999999999999996" hidden="1" customHeight="1" x14ac:dyDescent="0.2"/>
    <row r="14" spans="4:9" ht="14.25" hidden="1" customHeight="1" x14ac:dyDescent="0.2"/>
    <row r="15" spans="4:9" ht="23.1" hidden="1" customHeight="1" x14ac:dyDescent="0.2">
      <c r="D15" s="296" t="s">
        <v>112</v>
      </c>
      <c r="E15" s="296"/>
      <c r="F15" s="296"/>
      <c r="G15" s="296"/>
      <c r="H15" s="296"/>
      <c r="I15" s="296"/>
    </row>
    <row r="16" spans="4:9" ht="5.0999999999999996" hidden="1" customHeight="1" x14ac:dyDescent="0.2"/>
    <row r="17" spans="4:9" ht="14.25" hidden="1" customHeight="1" x14ac:dyDescent="0.2"/>
    <row r="18" spans="4:9" ht="24" hidden="1" customHeight="1" x14ac:dyDescent="0.2">
      <c r="D18" s="296" t="s">
        <v>179</v>
      </c>
      <c r="E18" s="296"/>
      <c r="F18" s="296"/>
      <c r="G18" s="296"/>
      <c r="H18" s="296"/>
      <c r="I18" s="296"/>
    </row>
    <row r="19" spans="4:9" ht="5.0999999999999996" hidden="1" customHeight="1" x14ac:dyDescent="0.2"/>
    <row r="20" spans="4:9" ht="14.25" hidden="1" customHeight="1" x14ac:dyDescent="0.2"/>
    <row r="21" spans="4:9" ht="30.95" hidden="1" customHeight="1" x14ac:dyDescent="0.2"/>
    <row r="22" spans="4:9" ht="14.25" hidden="1" customHeight="1" x14ac:dyDescent="0.2"/>
    <row r="23" spans="4:9" ht="26.1" hidden="1" customHeight="1" x14ac:dyDescent="0.2"/>
    <row r="24" spans="4:9" ht="26.1" hidden="1" customHeight="1" x14ac:dyDescent="0.2"/>
    <row r="25" spans="4:9" ht="26.1" hidden="1" customHeight="1" x14ac:dyDescent="0.2"/>
    <row r="26" spans="4:9" ht="14.25" hidden="1" customHeight="1" x14ac:dyDescent="0.2"/>
    <row r="27" spans="4:9" ht="5.0999999999999996" hidden="1" customHeight="1" x14ac:dyDescent="0.2"/>
    <row r="28" spans="4:9" ht="14.25" hidden="1" customHeight="1" x14ac:dyDescent="0.2"/>
    <row r="29" spans="4:9" ht="30.95" hidden="1" customHeight="1" x14ac:dyDescent="0.2"/>
    <row r="30" spans="4:9" ht="14.25" hidden="1" customHeight="1" x14ac:dyDescent="0.2"/>
    <row r="31" spans="4:9" ht="26.1" hidden="1" customHeight="1" x14ac:dyDescent="0.2"/>
    <row r="32" spans="4:9" ht="26.1" hidden="1" customHeight="1" x14ac:dyDescent="0.2"/>
    <row r="33" ht="26.1" hidden="1" customHeight="1" x14ac:dyDescent="0.2"/>
    <row r="34" ht="26.1" hidden="1" customHeight="1" x14ac:dyDescent="0.2"/>
    <row r="35" ht="26.1" hidden="1" customHeight="1" x14ac:dyDescent="0.2"/>
    <row r="36" ht="14.25" hidden="1" customHeight="1" x14ac:dyDescent="0.2"/>
    <row r="37" ht="14.25" hidden="1" customHeight="1" x14ac:dyDescent="0.2"/>
    <row r="39" ht="42" customHeight="1" x14ac:dyDescent="0.2"/>
    <row r="41" ht="24" customHeight="1" x14ac:dyDescent="0.2"/>
    <row r="42" ht="14.25" hidden="1" customHeight="1" x14ac:dyDescent="0.2"/>
    <row r="43" ht="173.1" hidden="1" customHeight="1" x14ac:dyDescent="0.2"/>
    <row r="45" ht="26.1" customHeight="1" x14ac:dyDescent="0.2"/>
    <row r="46" ht="26.1" customHeight="1" x14ac:dyDescent="0.2"/>
    <row r="47" ht="26.1" customHeight="1" x14ac:dyDescent="0.2"/>
    <row r="50" ht="5.0999999999999996" customHeight="1" x14ac:dyDescent="0.2"/>
    <row r="53" ht="24" customHeight="1" x14ac:dyDescent="0.2"/>
    <row r="54" ht="14.25" hidden="1" customHeight="1" x14ac:dyDescent="0.2"/>
    <row r="55" ht="167.1" hidden="1" customHeight="1" x14ac:dyDescent="0.2"/>
    <row r="57" ht="26.1" customHeight="1" x14ac:dyDescent="0.2"/>
    <row r="58" ht="26.1" customHeight="1" x14ac:dyDescent="0.2"/>
    <row r="61" ht="5.0999999999999996" customHeight="1" x14ac:dyDescent="0.2"/>
    <row r="63" ht="24" customHeight="1" x14ac:dyDescent="0.2"/>
    <row r="64" ht="14.25" hidden="1" customHeight="1" x14ac:dyDescent="0.2"/>
    <row r="65" spans="4:9" ht="120.95" hidden="1" customHeight="1" x14ac:dyDescent="0.2"/>
    <row r="67" spans="4:9" ht="26.1" customHeight="1" x14ac:dyDescent="0.2"/>
    <row r="68" spans="4:9" ht="26.1" customHeight="1" x14ac:dyDescent="0.2"/>
    <row r="71" spans="4:9" ht="5.0999999999999996" customHeight="1" x14ac:dyDescent="0.2"/>
    <row r="73" spans="4:9" ht="24" customHeight="1" x14ac:dyDescent="0.2"/>
    <row r="74" spans="4:9" ht="14.25" hidden="1" customHeight="1" x14ac:dyDescent="0.2"/>
    <row r="75" spans="4:9" ht="60.95" hidden="1" customHeight="1" x14ac:dyDescent="0.2"/>
    <row r="77" spans="4:9" ht="24" customHeight="1" x14ac:dyDescent="0.2">
      <c r="D77" s="296" t="s">
        <v>1179</v>
      </c>
      <c r="E77" s="296"/>
      <c r="F77" s="296"/>
      <c r="G77" s="296"/>
      <c r="H77" s="296"/>
      <c r="I77" s="296"/>
    </row>
    <row r="78" spans="4:9" ht="5.0999999999999996" customHeight="1" x14ac:dyDescent="0.2"/>
    <row r="80" spans="4:9" ht="24" customHeight="1" x14ac:dyDescent="0.2">
      <c r="D80" s="296" t="s">
        <v>1180</v>
      </c>
      <c r="E80" s="296"/>
      <c r="F80" s="296"/>
      <c r="G80" s="296"/>
      <c r="H80" s="296"/>
      <c r="I80" s="296"/>
    </row>
    <row r="81" spans="4:9" ht="5.0999999999999996" customHeight="1" x14ac:dyDescent="0.2"/>
    <row r="83" spans="4:9" ht="24" customHeight="1" x14ac:dyDescent="0.2">
      <c r="D83" s="296" t="s">
        <v>1181</v>
      </c>
      <c r="E83" s="296"/>
      <c r="F83" s="296"/>
      <c r="G83" s="296"/>
      <c r="H83" s="296"/>
      <c r="I83" s="296"/>
    </row>
    <row r="84" spans="4:9" ht="5.0999999999999996" customHeight="1" x14ac:dyDescent="0.2"/>
    <row r="86" spans="4:9" ht="24" customHeight="1" x14ac:dyDescent="0.2">
      <c r="D86" s="296" t="s">
        <v>1182</v>
      </c>
      <c r="E86" s="296"/>
      <c r="F86" s="296"/>
      <c r="G86" s="296"/>
      <c r="H86" s="296"/>
      <c r="I86" s="296"/>
    </row>
    <row r="87" spans="4:9" ht="5.0999999999999996" customHeight="1" x14ac:dyDescent="0.2"/>
    <row r="89" spans="4:9" ht="24" customHeight="1" x14ac:dyDescent="0.2">
      <c r="D89" s="296" t="s">
        <v>1183</v>
      </c>
      <c r="E89" s="296"/>
      <c r="F89" s="296"/>
      <c r="G89" s="296"/>
      <c r="H89" s="296"/>
      <c r="I89" s="296"/>
    </row>
    <row r="90" spans="4:9" ht="5.0999999999999996" customHeight="1" x14ac:dyDescent="0.2"/>
    <row r="92" spans="4:9" ht="24" customHeight="1" x14ac:dyDescent="0.2">
      <c r="D92" s="296" t="s">
        <v>84</v>
      </c>
      <c r="E92" s="296"/>
      <c r="F92" s="296"/>
      <c r="G92" s="296"/>
      <c r="H92" s="296"/>
      <c r="I92" s="296"/>
    </row>
    <row r="93" spans="4:9" ht="5.0999999999999996" customHeight="1" x14ac:dyDescent="0.2"/>
    <row r="95" spans="4:9" ht="24" customHeight="1" x14ac:dyDescent="0.2">
      <c r="D95" s="296" t="s">
        <v>85</v>
      </c>
      <c r="E95" s="296"/>
      <c r="F95" s="296"/>
      <c r="G95" s="296"/>
      <c r="H95" s="296"/>
      <c r="I95" s="296"/>
    </row>
    <row r="96" spans="4:9" ht="5.0999999999999996" customHeight="1" x14ac:dyDescent="0.2"/>
    <row r="98" spans="2:11" ht="24" customHeight="1" x14ac:dyDescent="0.2">
      <c r="D98" s="296" t="s">
        <v>86</v>
      </c>
      <c r="E98" s="296"/>
      <c r="F98" s="296"/>
      <c r="G98" s="296"/>
      <c r="H98" s="296"/>
      <c r="I98" s="296"/>
    </row>
    <row r="99" spans="2:11" ht="5.0999999999999996" customHeight="1" x14ac:dyDescent="0.2"/>
    <row r="101" spans="2:11" ht="24" customHeight="1" x14ac:dyDescent="0.2">
      <c r="D101" s="296" t="s">
        <v>1486</v>
      </c>
      <c r="E101" s="296"/>
      <c r="F101" s="296"/>
      <c r="G101" s="296"/>
      <c r="H101" s="296"/>
      <c r="I101" s="296"/>
    </row>
    <row r="102" spans="2:11" ht="5.0999999999999996" customHeight="1" x14ac:dyDescent="0.2"/>
    <row r="104" spans="2:11" ht="24" customHeight="1" x14ac:dyDescent="0.2"/>
    <row r="106" spans="2:11" ht="42" customHeight="1" x14ac:dyDescent="0.2"/>
    <row r="108" spans="2:11" ht="35.1" customHeight="1" thickBot="1" x14ac:dyDescent="0.25">
      <c r="B108" s="297" t="s">
        <v>660</v>
      </c>
      <c r="C108" s="297"/>
      <c r="D108" s="298" t="s">
        <v>222</v>
      </c>
      <c r="E108" s="299"/>
      <c r="F108" s="298" t="s">
        <v>223</v>
      </c>
      <c r="G108" s="299"/>
      <c r="H108" s="298" t="s">
        <v>224</v>
      </c>
      <c r="I108" s="299"/>
      <c r="J108" s="298" t="s">
        <v>225</v>
      </c>
      <c r="K108" s="299"/>
    </row>
    <row r="109" spans="2:11" ht="24.95" customHeight="1" x14ac:dyDescent="0.2">
      <c r="B109" s="300" t="s">
        <v>226</v>
      </c>
      <c r="C109" s="300"/>
      <c r="D109" s="301">
        <v>41275</v>
      </c>
      <c r="E109" s="302"/>
      <c r="F109" s="301">
        <v>41640</v>
      </c>
      <c r="G109" s="302"/>
      <c r="H109" s="303">
        <f t="shared" ref="H109:H115" si="0">IFERROR(IF(AND(((YEAR(F109)-YEAR(D109))*12+MONTH(F109)-MONTH(D109))&gt;=0,((YEAR(F109)-YEAR(D109))*12+MONTH(F109)-MONTH(D109))&lt;200,D109&lt;&gt;"",F109&lt;&gt;""),(YEAR(F109)-YEAR(D109))*12+MONTH(F109)-MONTH(D109),"-"),"-")</f>
        <v>12</v>
      </c>
      <c r="I109" s="304"/>
      <c r="J109" s="305">
        <f t="shared" ref="J109" si="1">IFERROR(H109/SUM(H109:I115),0)</f>
        <v>1</v>
      </c>
      <c r="K109" s="306"/>
    </row>
    <row r="110" spans="2:11" ht="24.95" customHeight="1" x14ac:dyDescent="0.2">
      <c r="B110" s="307" t="s">
        <v>184</v>
      </c>
      <c r="C110" s="307"/>
      <c r="D110" s="308"/>
      <c r="E110" s="309"/>
      <c r="F110" s="308"/>
      <c r="G110" s="309"/>
      <c r="H110" s="310" t="str">
        <f t="shared" si="0"/>
        <v>-</v>
      </c>
      <c r="I110" s="311"/>
      <c r="J110" s="312">
        <f t="shared" ref="J110" si="2">IFERROR(H110/SUM(H109:I115),0)</f>
        <v>0</v>
      </c>
      <c r="K110" s="313"/>
    </row>
    <row r="111" spans="2:11" ht="24.95" customHeight="1" x14ac:dyDescent="0.2">
      <c r="B111" s="307" t="s">
        <v>185</v>
      </c>
      <c r="C111" s="307"/>
      <c r="D111" s="314" t="str">
        <f t="shared" ref="D111" si="3">IF(MIN(D112:E113)=0,"-",MIN(D112:E113))</f>
        <v>-</v>
      </c>
      <c r="E111" s="315"/>
      <c r="F111" s="314" t="str">
        <f t="shared" ref="F111" si="4">IF(MAX(F112:G113)=0,"-",MAX(F112:G113))</f>
        <v>-</v>
      </c>
      <c r="G111" s="315"/>
      <c r="H111" s="310" t="str">
        <f t="shared" si="0"/>
        <v>-</v>
      </c>
      <c r="I111" s="311"/>
      <c r="J111" s="312">
        <f t="shared" ref="J111" si="5">IFERROR(H111/SUM(H109:I115),0)</f>
        <v>0</v>
      </c>
      <c r="K111" s="313"/>
    </row>
    <row r="112" spans="2:11" ht="24.95" customHeight="1" x14ac:dyDescent="0.2">
      <c r="B112" s="307" t="s">
        <v>227</v>
      </c>
      <c r="C112" s="307"/>
      <c r="D112" s="308"/>
      <c r="E112" s="309"/>
      <c r="F112" s="308"/>
      <c r="G112" s="309"/>
      <c r="H112" s="310" t="str">
        <f t="shared" si="0"/>
        <v>-</v>
      </c>
      <c r="I112" s="311"/>
      <c r="J112" s="312">
        <f t="shared" ref="J112" si="6">IFERROR(H112/SUM(H109:I115),0)</f>
        <v>0</v>
      </c>
      <c r="K112" s="313"/>
    </row>
    <row r="113" spans="2:11" ht="24.95" customHeight="1" x14ac:dyDescent="0.2">
      <c r="B113" s="307" t="s">
        <v>228</v>
      </c>
      <c r="C113" s="307"/>
      <c r="D113" s="308"/>
      <c r="E113" s="309"/>
      <c r="F113" s="308"/>
      <c r="G113" s="309"/>
      <c r="H113" s="310" t="str">
        <f t="shared" si="0"/>
        <v>-</v>
      </c>
      <c r="I113" s="311"/>
      <c r="J113" s="312">
        <f t="shared" ref="J113" si="7">IFERROR(H113/SUM(H109:I115),0)</f>
        <v>0</v>
      </c>
      <c r="K113" s="313"/>
    </row>
    <row r="114" spans="2:11" ht="24.95" customHeight="1" x14ac:dyDescent="0.2">
      <c r="B114" s="307" t="s">
        <v>229</v>
      </c>
      <c r="C114" s="307"/>
      <c r="D114" s="308"/>
      <c r="E114" s="309"/>
      <c r="F114" s="308"/>
      <c r="G114" s="309"/>
      <c r="H114" s="310" t="str">
        <f t="shared" si="0"/>
        <v>-</v>
      </c>
      <c r="I114" s="311"/>
      <c r="J114" s="312">
        <f t="shared" ref="J114" si="8">IFERROR(H114/SUM(H109:I115),0)</f>
        <v>0</v>
      </c>
      <c r="K114" s="313"/>
    </row>
    <row r="115" spans="2:11" ht="24.95" customHeight="1" x14ac:dyDescent="0.2">
      <c r="B115" s="316" t="s">
        <v>186</v>
      </c>
      <c r="C115" s="316"/>
      <c r="D115" s="317"/>
      <c r="E115" s="318"/>
      <c r="F115" s="317"/>
      <c r="G115" s="318"/>
      <c r="H115" s="319" t="str">
        <f t="shared" si="0"/>
        <v>-</v>
      </c>
      <c r="I115" s="320"/>
      <c r="J115" s="321">
        <f t="shared" ref="J115" si="9">IFERROR(H115/SUM(H109:I115),0)</f>
        <v>0</v>
      </c>
      <c r="K115" s="322"/>
    </row>
    <row r="117" spans="2:11" ht="42" customHeight="1" x14ac:dyDescent="0.2"/>
    <row r="118" spans="2:11" ht="14.25" hidden="1" customHeight="1" x14ac:dyDescent="0.2"/>
    <row r="119" spans="2:11" ht="33.950000000000003" hidden="1" customHeight="1" thickBot="1" x14ac:dyDescent="0.25">
      <c r="B119" s="332" t="s">
        <v>233</v>
      </c>
      <c r="C119" s="332"/>
      <c r="D119" s="331" t="s">
        <v>234</v>
      </c>
      <c r="E119" s="333"/>
      <c r="F119" s="331" t="s">
        <v>235</v>
      </c>
      <c r="G119" s="333"/>
      <c r="H119" s="331" t="s">
        <v>236</v>
      </c>
      <c r="I119" s="333"/>
      <c r="J119" s="334" t="s">
        <v>237</v>
      </c>
      <c r="K119" s="335"/>
    </row>
    <row r="120" spans="2:11" ht="30" hidden="1" customHeight="1" x14ac:dyDescent="0.2">
      <c r="B120" s="323" t="s">
        <v>1361</v>
      </c>
      <c r="C120" s="323"/>
      <c r="D120" s="324" t="s">
        <v>1194</v>
      </c>
      <c r="E120" s="325"/>
      <c r="F120" s="326">
        <v>3</v>
      </c>
      <c r="G120" s="327"/>
      <c r="H120" s="326">
        <v>-3</v>
      </c>
      <c r="I120" s="327"/>
      <c r="J120" s="319">
        <f t="shared" ref="J120:J121" si="10">F120*H120</f>
        <v>-9</v>
      </c>
      <c r="K120" s="320"/>
    </row>
    <row r="121" spans="2:11" ht="30" hidden="1" customHeight="1" x14ac:dyDescent="0.2">
      <c r="B121" s="323" t="s">
        <v>680</v>
      </c>
      <c r="C121" s="323"/>
      <c r="D121" s="324" t="s">
        <v>1194</v>
      </c>
      <c r="E121" s="325"/>
      <c r="F121" s="326"/>
      <c r="G121" s="327"/>
      <c r="H121" s="326"/>
      <c r="I121" s="327"/>
      <c r="J121" s="319">
        <f t="shared" si="10"/>
        <v>0</v>
      </c>
      <c r="K121" s="320"/>
    </row>
    <row r="122" spans="2:11" ht="14.25" hidden="1" customHeight="1" x14ac:dyDescent="0.2"/>
    <row r="123" spans="2:11" ht="24" hidden="1" customHeight="1" x14ac:dyDescent="0.2"/>
    <row r="125" spans="2:11" ht="42" customHeight="1" x14ac:dyDescent="0.2"/>
    <row r="126" spans="2:11" ht="14.25" hidden="1" customHeight="1" x14ac:dyDescent="0.2"/>
    <row r="127" spans="2:11" ht="33.950000000000003" hidden="1" customHeight="1" thickBot="1" x14ac:dyDescent="0.25">
      <c r="B127" s="328" t="s">
        <v>369</v>
      </c>
      <c r="C127" s="329"/>
      <c r="D127" s="329"/>
      <c r="E127" s="329"/>
      <c r="F127" s="330" t="s">
        <v>370</v>
      </c>
      <c r="G127" s="330"/>
      <c r="H127" s="330" t="s">
        <v>626</v>
      </c>
      <c r="I127" s="331"/>
    </row>
    <row r="128" spans="2:11" ht="30" hidden="1" customHeight="1" x14ac:dyDescent="0.2">
      <c r="B128" s="323" t="s">
        <v>1451</v>
      </c>
      <c r="C128" s="323"/>
      <c r="D128" s="323"/>
      <c r="E128" s="336"/>
      <c r="F128" s="337" t="s">
        <v>1457</v>
      </c>
      <c r="G128" s="338"/>
      <c r="H128" s="326"/>
      <c r="I128" s="327"/>
    </row>
    <row r="129" spans="4:9" ht="14.25" hidden="1" customHeight="1" x14ac:dyDescent="0.2"/>
    <row r="130" spans="4:9" ht="24" hidden="1" customHeight="1" x14ac:dyDescent="0.2"/>
    <row r="132" spans="4:9" ht="42" customHeight="1" x14ac:dyDescent="0.2"/>
    <row r="133" spans="4:9" ht="14.25" hidden="1" customHeight="1" x14ac:dyDescent="0.2"/>
    <row r="134" spans="4:9" ht="30.95" hidden="1" customHeight="1" x14ac:dyDescent="0.2"/>
    <row r="135" spans="4:9" ht="14.25" hidden="1" customHeight="1" x14ac:dyDescent="0.2"/>
    <row r="136" spans="4:9" ht="24" hidden="1" customHeight="1" x14ac:dyDescent="0.2">
      <c r="D136" s="296" t="s">
        <v>684</v>
      </c>
      <c r="E136" s="296"/>
      <c r="F136" s="296"/>
      <c r="G136" s="296"/>
      <c r="H136" s="296"/>
      <c r="I136" s="296"/>
    </row>
    <row r="137" spans="4:9" ht="5.0999999999999996" hidden="1" customHeight="1" x14ac:dyDescent="0.2"/>
    <row r="138" spans="4:9" ht="14.25" hidden="1" customHeight="1" x14ac:dyDescent="0.2"/>
    <row r="139" spans="4:9" ht="24" hidden="1" customHeight="1" x14ac:dyDescent="0.2"/>
    <row r="141" spans="4:9" ht="42" hidden="1" customHeight="1" x14ac:dyDescent="0.2"/>
    <row r="142" spans="4:9" ht="14.25" hidden="1" customHeight="1" x14ac:dyDescent="0.2"/>
    <row r="143" spans="4:9" ht="30.95" hidden="1" customHeight="1" x14ac:dyDescent="0.2"/>
    <row r="144" spans="4:9" ht="14.25" hidden="1" customHeight="1" x14ac:dyDescent="0.2"/>
    <row r="145" spans="4:9" ht="24" hidden="1" customHeight="1" x14ac:dyDescent="0.2">
      <c r="D145" s="296" t="s">
        <v>348</v>
      </c>
      <c r="E145" s="296"/>
      <c r="F145" s="296"/>
      <c r="G145" s="296"/>
      <c r="H145" s="296"/>
      <c r="I145" s="296"/>
    </row>
    <row r="146" spans="4:9" ht="5.0999999999999996" hidden="1" customHeight="1" x14ac:dyDescent="0.2"/>
    <row r="147" spans="4:9" ht="14.25" hidden="1" customHeight="1" x14ac:dyDescent="0.2"/>
    <row r="148" spans="4:9" ht="24" hidden="1" customHeight="1" x14ac:dyDescent="0.2">
      <c r="D148" s="296" t="s">
        <v>1265</v>
      </c>
      <c r="E148" s="296"/>
      <c r="F148" s="296"/>
      <c r="G148" s="296"/>
      <c r="H148" s="296"/>
      <c r="I148" s="296"/>
    </row>
    <row r="149" spans="4:9" ht="5.0999999999999996" hidden="1" customHeight="1" x14ac:dyDescent="0.2"/>
    <row r="150" spans="4:9" ht="14.25" hidden="1" customHeight="1" x14ac:dyDescent="0.2"/>
    <row r="151" spans="4:9" ht="24" hidden="1" customHeight="1" x14ac:dyDescent="0.2"/>
    <row r="152" spans="4:9" ht="14.25" hidden="1" customHeight="1" x14ac:dyDescent="0.2"/>
    <row r="153" spans="4:9" ht="42" customHeight="1" x14ac:dyDescent="0.2"/>
    <row r="154" spans="4:9" ht="14.25" hidden="1" customHeight="1" x14ac:dyDescent="0.2"/>
    <row r="155" spans="4:9" ht="30.95" hidden="1" customHeight="1" x14ac:dyDescent="0.2"/>
    <row r="156" spans="4:9" ht="14.25" hidden="1" customHeight="1" x14ac:dyDescent="0.2"/>
    <row r="157" spans="4:9" ht="24" hidden="1" customHeight="1" x14ac:dyDescent="0.2">
      <c r="D157" s="296" t="s">
        <v>693</v>
      </c>
      <c r="E157" s="296"/>
      <c r="F157" s="296"/>
      <c r="G157" s="296"/>
      <c r="H157" s="296"/>
      <c r="I157" s="296"/>
    </row>
    <row r="158" spans="4:9" ht="5.0999999999999996" hidden="1" customHeight="1" x14ac:dyDescent="0.2"/>
    <row r="159" spans="4:9" ht="14.25" hidden="1" customHeight="1" x14ac:dyDescent="0.2"/>
    <row r="160" spans="4:9" ht="24" hidden="1" customHeight="1" x14ac:dyDescent="0.2"/>
    <row r="162" spans="4:9" ht="42" customHeight="1" x14ac:dyDescent="0.2"/>
    <row r="163" spans="4:9" ht="14.25" hidden="1" customHeight="1" x14ac:dyDescent="0.2"/>
    <row r="164" spans="4:9" ht="24" hidden="1" customHeight="1" x14ac:dyDescent="0.2"/>
    <row r="165" spans="4:9" ht="14.25" hidden="1" customHeight="1" x14ac:dyDescent="0.2"/>
    <row r="166" spans="4:9" ht="30.95" hidden="1" customHeight="1" x14ac:dyDescent="0.2"/>
    <row r="167" spans="4:9" ht="24" hidden="1" customHeight="1" x14ac:dyDescent="0.2">
      <c r="D167" s="296">
        <v>2013</v>
      </c>
      <c r="E167" s="296"/>
      <c r="F167" s="296"/>
      <c r="G167" s="296"/>
      <c r="H167" s="296"/>
      <c r="I167" s="296"/>
    </row>
    <row r="168" spans="4:9" ht="5.0999999999999996" hidden="1" customHeight="1" x14ac:dyDescent="0.2"/>
    <row r="169" spans="4:9" ht="14.25" hidden="1" customHeight="1" x14ac:dyDescent="0.2"/>
    <row r="170" spans="4:9" ht="30.95" hidden="1" customHeight="1" x14ac:dyDescent="0.2"/>
    <row r="171" spans="4:9" ht="24" hidden="1" customHeight="1" x14ac:dyDescent="0.2">
      <c r="D171" s="296">
        <v>2013</v>
      </c>
      <c r="E171" s="296"/>
      <c r="F171" s="296"/>
      <c r="G171" s="296"/>
      <c r="H171" s="296"/>
      <c r="I171" s="296"/>
    </row>
    <row r="172" spans="4:9" ht="5.0999999999999996" hidden="1" customHeight="1" x14ac:dyDescent="0.2"/>
    <row r="173" spans="4:9" ht="14.25" hidden="1" customHeight="1" x14ac:dyDescent="0.2"/>
    <row r="174" spans="4:9" ht="30.95" hidden="1" customHeight="1" x14ac:dyDescent="0.2"/>
    <row r="175" spans="4:9" ht="24" hidden="1" customHeight="1" x14ac:dyDescent="0.2">
      <c r="D175" s="296">
        <v>2014</v>
      </c>
      <c r="E175" s="296"/>
      <c r="F175" s="296"/>
      <c r="G175" s="296"/>
      <c r="H175" s="296"/>
      <c r="I175" s="296"/>
    </row>
    <row r="176" spans="4:9" ht="5.0999999999999996" hidden="1" customHeight="1" x14ac:dyDescent="0.2"/>
    <row r="177" spans="2:63" ht="14.25" hidden="1" customHeight="1" x14ac:dyDescent="0.2"/>
    <row r="178" spans="2:63" ht="14.25" hidden="1" customHeight="1" x14ac:dyDescent="0.2"/>
    <row r="179" spans="2:63" ht="24" hidden="1" customHeight="1" x14ac:dyDescent="0.2"/>
    <row r="180" spans="2:63" ht="33.950000000000003" hidden="1" customHeight="1" thickBot="1" x14ac:dyDescent="0.25">
      <c r="B180" s="297" t="s">
        <v>919</v>
      </c>
      <c r="C180" s="297"/>
      <c r="D180" s="297"/>
      <c r="E180" s="297"/>
      <c r="F180" s="297"/>
      <c r="G180" s="297"/>
      <c r="H180" s="86">
        <v>2013</v>
      </c>
      <c r="I180" s="86">
        <v>2014</v>
      </c>
      <c r="J180" s="37"/>
      <c r="K180" s="37"/>
      <c r="L180" s="37"/>
      <c r="M180" s="37"/>
      <c r="N180" s="37"/>
      <c r="O180" s="37"/>
      <c r="P180" s="37"/>
      <c r="Q180" s="37"/>
      <c r="R180" s="37"/>
      <c r="S180" s="37"/>
      <c r="T180" s="37"/>
      <c r="U180" s="37"/>
      <c r="V180" s="37"/>
      <c r="W180" s="37"/>
      <c r="X180" s="37"/>
      <c r="Y180" s="37"/>
      <c r="Z180" s="37"/>
      <c r="AA180" s="37"/>
      <c r="AB180" s="37"/>
      <c r="AC180" s="37"/>
      <c r="AD180" s="37"/>
      <c r="AE180" s="37"/>
      <c r="AF180" s="37"/>
      <c r="AG180" s="37"/>
      <c r="AH180" s="37"/>
      <c r="AI180" s="37"/>
      <c r="AJ180" s="37"/>
      <c r="AK180" s="37"/>
      <c r="AL180" s="37"/>
      <c r="AM180" s="37"/>
      <c r="AN180" s="37"/>
      <c r="AO180" s="37"/>
      <c r="AP180" s="37"/>
      <c r="AQ180" s="37"/>
      <c r="AR180" s="37"/>
      <c r="AS180" s="37"/>
      <c r="AT180" s="37"/>
      <c r="AU180" s="37"/>
      <c r="AV180" s="37"/>
      <c r="AW180" s="37"/>
      <c r="AX180" s="37"/>
      <c r="AY180" s="37"/>
      <c r="AZ180" s="37"/>
      <c r="BA180" s="37"/>
      <c r="BB180" s="37"/>
      <c r="BC180" s="37"/>
      <c r="BD180" s="37"/>
      <c r="BE180" s="37"/>
      <c r="BF180" s="37"/>
      <c r="BG180" s="115"/>
      <c r="BH180" s="93"/>
      <c r="BI180" s="93"/>
      <c r="BJ180" s="93"/>
      <c r="BK180" s="93"/>
    </row>
    <row r="181" spans="2:63" ht="24.95" hidden="1" customHeight="1" x14ac:dyDescent="0.2">
      <c r="B181" s="300" t="s">
        <v>248</v>
      </c>
      <c r="C181" s="300"/>
      <c r="D181" s="300"/>
      <c r="E181" s="300"/>
      <c r="F181" s="300"/>
      <c r="G181" s="300"/>
      <c r="H181" s="6">
        <f t="shared" ref="H181:I181" si="11">IFERROR(G181+H185+H186+H188-H192,0)</f>
        <v>0</v>
      </c>
      <c r="I181" s="6">
        <f t="shared" si="11"/>
        <v>0</v>
      </c>
      <c r="J181" s="38"/>
      <c r="K181" s="38"/>
      <c r="L181" s="38"/>
      <c r="M181" s="38"/>
      <c r="N181" s="38"/>
      <c r="O181" s="38"/>
      <c r="P181" s="38"/>
      <c r="Q181" s="38"/>
      <c r="R181" s="38"/>
      <c r="S181" s="38"/>
      <c r="T181" s="38"/>
      <c r="U181" s="38"/>
      <c r="V181" s="38"/>
      <c r="W181" s="38"/>
      <c r="X181" s="38"/>
      <c r="Y181" s="38"/>
      <c r="Z181" s="38"/>
      <c r="AA181" s="38"/>
      <c r="AB181" s="38"/>
      <c r="AC181" s="38"/>
      <c r="AD181" s="38"/>
      <c r="AE181" s="38"/>
      <c r="AF181" s="38"/>
      <c r="AG181" s="38"/>
      <c r="AH181" s="38"/>
      <c r="AI181" s="38"/>
      <c r="AJ181" s="38"/>
      <c r="AK181" s="38"/>
      <c r="AL181" s="38"/>
      <c r="AM181" s="38"/>
      <c r="AN181" s="38"/>
      <c r="AO181" s="38"/>
      <c r="AP181" s="38"/>
      <c r="AQ181" s="38"/>
      <c r="AR181" s="38"/>
      <c r="AS181" s="38"/>
      <c r="AT181" s="38"/>
      <c r="AU181" s="38"/>
      <c r="AV181" s="38"/>
      <c r="AW181" s="38"/>
      <c r="AX181" s="38"/>
      <c r="AY181" s="38"/>
      <c r="AZ181" s="38"/>
      <c r="BA181" s="38"/>
      <c r="BB181" s="38"/>
      <c r="BC181" s="38"/>
      <c r="BD181" s="38"/>
      <c r="BE181" s="38"/>
      <c r="BF181" s="38"/>
      <c r="BG181" s="115"/>
      <c r="BH181" s="93"/>
      <c r="BI181" s="93"/>
      <c r="BJ181" s="93"/>
      <c r="BK181" s="93"/>
    </row>
    <row r="182" spans="2:63" ht="24.95" hidden="1" customHeight="1" x14ac:dyDescent="0.2">
      <c r="B182" s="307"/>
      <c r="C182" s="307"/>
      <c r="D182" s="307"/>
      <c r="E182" s="307"/>
      <c r="F182" s="307"/>
      <c r="G182" s="307"/>
      <c r="H182" s="7"/>
      <c r="I182" s="7"/>
      <c r="J182" s="38"/>
      <c r="K182" s="38"/>
      <c r="L182" s="38"/>
      <c r="M182" s="38"/>
      <c r="N182" s="38"/>
      <c r="O182" s="38"/>
      <c r="P182" s="38"/>
      <c r="Q182" s="38"/>
      <c r="R182" s="38"/>
      <c r="S182" s="38"/>
      <c r="T182" s="38"/>
      <c r="U182" s="38"/>
      <c r="V182" s="38"/>
      <c r="W182" s="38"/>
      <c r="X182" s="38"/>
      <c r="Y182" s="38"/>
      <c r="Z182" s="38"/>
      <c r="AA182" s="38"/>
      <c r="AB182" s="38"/>
      <c r="AC182" s="38"/>
      <c r="AD182" s="38"/>
      <c r="AE182" s="38"/>
      <c r="AF182" s="38"/>
      <c r="AG182" s="38"/>
      <c r="AH182" s="38"/>
      <c r="AI182" s="38"/>
      <c r="AJ182" s="38"/>
      <c r="AK182" s="38"/>
      <c r="AL182" s="38"/>
      <c r="AM182" s="38"/>
      <c r="AN182" s="38"/>
      <c r="AO182" s="38"/>
      <c r="AP182" s="38"/>
      <c r="AQ182" s="38"/>
      <c r="AR182" s="38"/>
      <c r="AS182" s="38"/>
      <c r="AT182" s="38"/>
      <c r="AU182" s="38"/>
      <c r="AV182" s="38"/>
      <c r="AW182" s="38"/>
      <c r="AX182" s="38"/>
      <c r="AY182" s="38"/>
      <c r="AZ182" s="38"/>
      <c r="BA182" s="38"/>
      <c r="BB182" s="38"/>
      <c r="BC182" s="38"/>
      <c r="BD182" s="38"/>
      <c r="BE182" s="38"/>
      <c r="BF182" s="38"/>
      <c r="BG182" s="115"/>
      <c r="BH182" s="93"/>
      <c r="BI182" s="93"/>
      <c r="BJ182" s="93"/>
      <c r="BK182" s="93"/>
    </row>
    <row r="183" spans="2:63" ht="24.95" hidden="1" customHeight="1" x14ac:dyDescent="0.2">
      <c r="B183" s="307" t="s">
        <v>249</v>
      </c>
      <c r="C183" s="307"/>
      <c r="D183" s="307"/>
      <c r="E183" s="307"/>
      <c r="F183" s="307"/>
      <c r="G183" s="307"/>
      <c r="H183" s="7">
        <f t="shared" ref="H183:I183" si="12">IFERROR(G183+H185+H186+H188-SUM(H192:H193),0)</f>
        <v>0</v>
      </c>
      <c r="I183" s="7">
        <f t="shared" si="12"/>
        <v>0</v>
      </c>
      <c r="J183" s="38"/>
      <c r="K183" s="38"/>
      <c r="L183" s="38"/>
      <c r="M183" s="38"/>
      <c r="N183" s="38"/>
      <c r="O183" s="38"/>
      <c r="P183" s="38"/>
      <c r="Q183" s="38"/>
      <c r="R183" s="38"/>
      <c r="S183" s="38"/>
      <c r="T183" s="38"/>
      <c r="U183" s="38"/>
      <c r="V183" s="38"/>
      <c r="W183" s="38"/>
      <c r="X183" s="38"/>
      <c r="Y183" s="38"/>
      <c r="Z183" s="38"/>
      <c r="AA183" s="38"/>
      <c r="AB183" s="38"/>
      <c r="AC183" s="38"/>
      <c r="AD183" s="38"/>
      <c r="AE183" s="38"/>
      <c r="AF183" s="38"/>
      <c r="AG183" s="38"/>
      <c r="AH183" s="38"/>
      <c r="AI183" s="38"/>
      <c r="AJ183" s="38"/>
      <c r="AK183" s="38"/>
      <c r="AL183" s="38"/>
      <c r="AM183" s="38"/>
      <c r="AN183" s="38"/>
      <c r="AO183" s="38"/>
      <c r="AP183" s="38"/>
      <c r="AQ183" s="38"/>
      <c r="AR183" s="38"/>
      <c r="AS183" s="38"/>
      <c r="AT183" s="38"/>
      <c r="AU183" s="38"/>
      <c r="AV183" s="38"/>
      <c r="AW183" s="38"/>
      <c r="AX183" s="38"/>
      <c r="AY183" s="38"/>
      <c r="AZ183" s="38"/>
      <c r="BA183" s="38"/>
      <c r="BB183" s="38"/>
      <c r="BC183" s="38"/>
      <c r="BD183" s="38"/>
      <c r="BE183" s="38"/>
      <c r="BF183" s="38"/>
      <c r="BG183" s="115"/>
      <c r="BH183" s="93"/>
      <c r="BI183" s="93"/>
      <c r="BJ183" s="93"/>
      <c r="BK183" s="93"/>
    </row>
    <row r="184" spans="2:63" ht="24.95" hidden="1" customHeight="1" x14ac:dyDescent="0.2">
      <c r="B184" s="307"/>
      <c r="C184" s="307"/>
      <c r="D184" s="307"/>
      <c r="E184" s="307"/>
      <c r="F184" s="307"/>
      <c r="G184" s="307"/>
      <c r="H184" s="8"/>
      <c r="I184" s="8"/>
      <c r="J184" s="39"/>
      <c r="K184" s="39"/>
      <c r="L184" s="39"/>
      <c r="M184" s="39"/>
      <c r="N184" s="39"/>
      <c r="O184" s="39"/>
      <c r="P184" s="39"/>
      <c r="Q184" s="39"/>
      <c r="R184" s="39"/>
      <c r="S184" s="39"/>
      <c r="T184" s="39"/>
      <c r="U184" s="39"/>
      <c r="V184" s="39"/>
      <c r="W184" s="39"/>
      <c r="X184" s="39"/>
      <c r="Y184" s="39"/>
      <c r="Z184" s="39"/>
      <c r="AA184" s="39"/>
      <c r="AB184" s="39"/>
      <c r="AC184" s="39"/>
      <c r="AD184" s="39"/>
      <c r="AE184" s="39"/>
      <c r="AF184" s="39"/>
      <c r="AG184" s="39"/>
      <c r="AH184" s="39"/>
      <c r="AI184" s="39"/>
      <c r="AJ184" s="39"/>
      <c r="AK184" s="39"/>
      <c r="AL184" s="39"/>
      <c r="AM184" s="39"/>
      <c r="AN184" s="39"/>
      <c r="AO184" s="39"/>
      <c r="AP184" s="39"/>
      <c r="AQ184" s="39"/>
      <c r="AR184" s="39"/>
      <c r="AS184" s="39"/>
      <c r="AT184" s="39"/>
      <c r="AU184" s="39"/>
      <c r="AV184" s="39"/>
      <c r="AW184" s="39"/>
      <c r="AX184" s="39"/>
      <c r="AY184" s="39"/>
      <c r="AZ184" s="39"/>
      <c r="BA184" s="39"/>
      <c r="BB184" s="39"/>
      <c r="BC184" s="39"/>
      <c r="BD184" s="39"/>
      <c r="BE184" s="39"/>
      <c r="BF184" s="39"/>
      <c r="BG184" s="115"/>
      <c r="BH184" s="93"/>
      <c r="BI184" s="93"/>
      <c r="BJ184" s="93"/>
      <c r="BK184" s="93"/>
    </row>
    <row r="185" spans="2:63" ht="24.95" hidden="1" customHeight="1" x14ac:dyDescent="0.2">
      <c r="B185" s="307" t="s">
        <v>250</v>
      </c>
      <c r="C185" s="307"/>
      <c r="D185" s="307"/>
      <c r="E185" s="307"/>
      <c r="F185" s="307"/>
      <c r="G185" s="307"/>
      <c r="H185" s="9"/>
      <c r="I185" s="9"/>
      <c r="J185" s="39"/>
      <c r="K185" s="39"/>
      <c r="L185" s="39"/>
      <c r="M185" s="39"/>
      <c r="N185" s="39"/>
      <c r="O185" s="39"/>
      <c r="P185" s="39"/>
      <c r="Q185" s="39"/>
      <c r="R185" s="39"/>
      <c r="S185" s="39"/>
      <c r="T185" s="39"/>
      <c r="U185" s="39"/>
      <c r="V185" s="39"/>
      <c r="W185" s="39"/>
      <c r="X185" s="39"/>
      <c r="Y185" s="39"/>
      <c r="Z185" s="39"/>
      <c r="AA185" s="39"/>
      <c r="AB185" s="39"/>
      <c r="AC185" s="39"/>
      <c r="AD185" s="39"/>
      <c r="AE185" s="39"/>
      <c r="AF185" s="39"/>
      <c r="AG185" s="39"/>
      <c r="AH185" s="39"/>
      <c r="AI185" s="39"/>
      <c r="AJ185" s="39"/>
      <c r="AK185" s="39"/>
      <c r="AL185" s="39"/>
      <c r="AM185" s="39"/>
      <c r="AN185" s="39"/>
      <c r="AO185" s="39"/>
      <c r="AP185" s="39"/>
      <c r="AQ185" s="39"/>
      <c r="AR185" s="39"/>
      <c r="AS185" s="39"/>
      <c r="AT185" s="39"/>
      <c r="AU185" s="39"/>
      <c r="AV185" s="39"/>
      <c r="AW185" s="39"/>
      <c r="AX185" s="39"/>
      <c r="AY185" s="39"/>
      <c r="AZ185" s="39"/>
      <c r="BA185" s="39"/>
      <c r="BB185" s="39"/>
      <c r="BC185" s="39"/>
      <c r="BD185" s="39"/>
      <c r="BE185" s="39"/>
      <c r="BF185" s="39"/>
      <c r="BG185" s="115"/>
      <c r="BH185" s="93"/>
      <c r="BI185" s="93"/>
      <c r="BJ185" s="93"/>
      <c r="BK185" s="93"/>
    </row>
    <row r="186" spans="2:63" ht="24.95" hidden="1" customHeight="1" x14ac:dyDescent="0.2">
      <c r="B186" s="307" t="s">
        <v>80</v>
      </c>
      <c r="C186" s="307"/>
      <c r="D186" s="307"/>
      <c r="E186" s="307"/>
      <c r="F186" s="307"/>
      <c r="G186" s="307"/>
      <c r="H186" s="9"/>
      <c r="I186" s="9"/>
      <c r="J186" s="39"/>
      <c r="K186" s="39"/>
      <c r="L186" s="39"/>
      <c r="M186" s="39"/>
      <c r="N186" s="39"/>
      <c r="O186" s="39"/>
      <c r="P186" s="39"/>
      <c r="Q186" s="39"/>
      <c r="R186" s="39"/>
      <c r="S186" s="39"/>
      <c r="T186" s="39"/>
      <c r="U186" s="39"/>
      <c r="V186" s="39"/>
      <c r="W186" s="39"/>
      <c r="X186" s="39"/>
      <c r="Y186" s="39"/>
      <c r="Z186" s="39"/>
      <c r="AA186" s="39"/>
      <c r="AB186" s="39"/>
      <c r="AC186" s="39"/>
      <c r="AD186" s="39"/>
      <c r="AE186" s="39"/>
      <c r="AF186" s="39"/>
      <c r="AG186" s="39"/>
      <c r="AH186" s="39"/>
      <c r="AI186" s="39"/>
      <c r="AJ186" s="39"/>
      <c r="AK186" s="39"/>
      <c r="AL186" s="39"/>
      <c r="AM186" s="39"/>
      <c r="AN186" s="39"/>
      <c r="AO186" s="39"/>
      <c r="AP186" s="39"/>
      <c r="AQ186" s="39"/>
      <c r="AR186" s="39"/>
      <c r="AS186" s="39"/>
      <c r="AT186" s="39"/>
      <c r="AU186" s="39"/>
      <c r="AV186" s="39"/>
      <c r="AW186" s="39"/>
      <c r="AX186" s="39"/>
      <c r="AY186" s="39"/>
      <c r="AZ186" s="39"/>
      <c r="BA186" s="39"/>
      <c r="BB186" s="39"/>
      <c r="BC186" s="39"/>
      <c r="BD186" s="39"/>
      <c r="BE186" s="39"/>
      <c r="BF186" s="39"/>
      <c r="BG186" s="115"/>
      <c r="BH186" s="93"/>
      <c r="BI186" s="93"/>
      <c r="BJ186" s="93"/>
      <c r="BK186" s="93"/>
    </row>
    <row r="187" spans="2:63" ht="30" hidden="1" customHeight="1" x14ac:dyDescent="0.2">
      <c r="B187" s="307" t="s">
        <v>251</v>
      </c>
      <c r="C187" s="307"/>
      <c r="D187" s="307"/>
      <c r="E187" s="307"/>
      <c r="F187" s="307"/>
      <c r="G187" s="307"/>
      <c r="H187" s="9"/>
      <c r="I187" s="9"/>
      <c r="J187" s="39"/>
      <c r="K187" s="39"/>
      <c r="L187" s="39"/>
      <c r="M187" s="39"/>
      <c r="N187" s="39"/>
      <c r="O187" s="39"/>
      <c r="P187" s="39"/>
      <c r="Q187" s="39"/>
      <c r="R187" s="39"/>
      <c r="S187" s="39"/>
      <c r="T187" s="39"/>
      <c r="U187" s="39"/>
      <c r="V187" s="39"/>
      <c r="W187" s="39"/>
      <c r="X187" s="39"/>
      <c r="Y187" s="39"/>
      <c r="Z187" s="39"/>
      <c r="AA187" s="39"/>
      <c r="AB187" s="39"/>
      <c r="AC187" s="39"/>
      <c r="AD187" s="39"/>
      <c r="AE187" s="39"/>
      <c r="AF187" s="39"/>
      <c r="AG187" s="39"/>
      <c r="AH187" s="39"/>
      <c r="AI187" s="39"/>
      <c r="AJ187" s="39"/>
      <c r="AK187" s="39"/>
      <c r="AL187" s="39"/>
      <c r="AM187" s="39"/>
      <c r="AN187" s="39"/>
      <c r="AO187" s="39"/>
      <c r="AP187" s="39"/>
      <c r="AQ187" s="39"/>
      <c r="AR187" s="39"/>
      <c r="AS187" s="39"/>
      <c r="AT187" s="39"/>
      <c r="AU187" s="39"/>
      <c r="AV187" s="39"/>
      <c r="AW187" s="39"/>
      <c r="AX187" s="39"/>
      <c r="AY187" s="39"/>
      <c r="AZ187" s="39"/>
      <c r="BA187" s="39"/>
      <c r="BB187" s="39"/>
      <c r="BC187" s="39"/>
      <c r="BD187" s="39"/>
      <c r="BE187" s="39"/>
      <c r="BF187" s="39"/>
      <c r="BG187" s="115"/>
      <c r="BH187" s="93"/>
      <c r="BI187" s="93"/>
      <c r="BJ187" s="93"/>
      <c r="BK187" s="93"/>
    </row>
    <row r="188" spans="2:63" ht="24.95" hidden="1" customHeight="1" x14ac:dyDescent="0.2">
      <c r="B188" s="307" t="s">
        <v>252</v>
      </c>
      <c r="C188" s="307"/>
      <c r="D188" s="307"/>
      <c r="E188" s="307"/>
      <c r="F188" s="307"/>
      <c r="G188" s="307"/>
      <c r="H188" s="9"/>
      <c r="I188" s="9"/>
      <c r="J188" s="39"/>
      <c r="K188" s="39"/>
      <c r="L188" s="39"/>
      <c r="M188" s="39"/>
      <c r="N188" s="39"/>
      <c r="O188" s="39"/>
      <c r="P188" s="39"/>
      <c r="Q188" s="39"/>
      <c r="R188" s="39"/>
      <c r="S188" s="39"/>
      <c r="T188" s="39"/>
      <c r="U188" s="39"/>
      <c r="V188" s="39"/>
      <c r="W188" s="39"/>
      <c r="X188" s="39"/>
      <c r="Y188" s="39"/>
      <c r="Z188" s="39"/>
      <c r="AA188" s="39"/>
      <c r="AB188" s="39"/>
      <c r="AC188" s="39"/>
      <c r="AD188" s="39"/>
      <c r="AE188" s="39"/>
      <c r="AF188" s="39"/>
      <c r="AG188" s="39"/>
      <c r="AH188" s="39"/>
      <c r="AI188" s="39"/>
      <c r="AJ188" s="39"/>
      <c r="AK188" s="39"/>
      <c r="AL188" s="39"/>
      <c r="AM188" s="39"/>
      <c r="AN188" s="39"/>
      <c r="AO188" s="39"/>
      <c r="AP188" s="39"/>
      <c r="AQ188" s="39"/>
      <c r="AR188" s="39"/>
      <c r="AS188" s="39"/>
      <c r="AT188" s="39"/>
      <c r="AU188" s="39"/>
      <c r="AV188" s="39"/>
      <c r="AW188" s="39"/>
      <c r="AX188" s="39"/>
      <c r="AY188" s="39"/>
      <c r="AZ188" s="39"/>
      <c r="BA188" s="39"/>
      <c r="BB188" s="39"/>
      <c r="BC188" s="39"/>
      <c r="BD188" s="39"/>
      <c r="BE188" s="39"/>
      <c r="BF188" s="39"/>
      <c r="BG188" s="115"/>
      <c r="BH188" s="93"/>
      <c r="BI188" s="93"/>
      <c r="BJ188" s="93"/>
      <c r="BK188" s="93"/>
    </row>
    <row r="189" spans="2:63" ht="24.95" hidden="1" customHeight="1" x14ac:dyDescent="0.2">
      <c r="B189" s="307"/>
      <c r="C189" s="307"/>
      <c r="D189" s="307"/>
      <c r="E189" s="307"/>
      <c r="F189" s="307"/>
      <c r="G189" s="307"/>
      <c r="H189" s="8"/>
      <c r="I189" s="8"/>
      <c r="J189" s="39"/>
      <c r="K189" s="39"/>
      <c r="L189" s="39"/>
      <c r="M189" s="39"/>
      <c r="N189" s="39"/>
      <c r="O189" s="39"/>
      <c r="P189" s="39"/>
      <c r="Q189" s="39"/>
      <c r="R189" s="39"/>
      <c r="S189" s="39"/>
      <c r="T189" s="39"/>
      <c r="U189" s="39"/>
      <c r="V189" s="39"/>
      <c r="W189" s="39"/>
      <c r="X189" s="39"/>
      <c r="Y189" s="39"/>
      <c r="Z189" s="39"/>
      <c r="AA189" s="39"/>
      <c r="AB189" s="39"/>
      <c r="AC189" s="39"/>
      <c r="AD189" s="39"/>
      <c r="AE189" s="39"/>
      <c r="AF189" s="39"/>
      <c r="AG189" s="39"/>
      <c r="AH189" s="39"/>
      <c r="AI189" s="39"/>
      <c r="AJ189" s="39"/>
      <c r="AK189" s="39"/>
      <c r="AL189" s="39"/>
      <c r="AM189" s="39"/>
      <c r="AN189" s="39"/>
      <c r="AO189" s="39"/>
      <c r="AP189" s="39"/>
      <c r="AQ189" s="39"/>
      <c r="AR189" s="39"/>
      <c r="AS189" s="39"/>
      <c r="AT189" s="39"/>
      <c r="AU189" s="39"/>
      <c r="AV189" s="39"/>
      <c r="AW189" s="39"/>
      <c r="AX189" s="39"/>
      <c r="AY189" s="39"/>
      <c r="AZ189" s="39"/>
      <c r="BA189" s="39"/>
      <c r="BB189" s="39"/>
      <c r="BC189" s="39"/>
      <c r="BD189" s="39"/>
      <c r="BE189" s="39"/>
      <c r="BF189" s="39"/>
      <c r="BG189" s="115"/>
      <c r="BH189" s="93"/>
      <c r="BI189" s="93"/>
      <c r="BJ189" s="93"/>
      <c r="BK189" s="93"/>
    </row>
    <row r="190" spans="2:63" ht="24.95" hidden="1" customHeight="1" x14ac:dyDescent="0.2">
      <c r="B190" s="307" t="s">
        <v>81</v>
      </c>
      <c r="C190" s="307"/>
      <c r="D190" s="307"/>
      <c r="E190" s="307"/>
      <c r="F190" s="307"/>
      <c r="G190" s="307"/>
      <c r="H190" s="7">
        <f t="shared" ref="H190:I190" si="13">IFERROR(5%*(G181+(H185+H186+H188)/2-H192/2),0)</f>
        <v>0</v>
      </c>
      <c r="I190" s="7">
        <f t="shared" si="13"/>
        <v>0</v>
      </c>
      <c r="J190" s="38"/>
      <c r="K190" s="38"/>
      <c r="L190" s="38"/>
      <c r="M190" s="38"/>
      <c r="N190" s="38"/>
      <c r="O190" s="38"/>
      <c r="P190" s="38"/>
      <c r="Q190" s="38"/>
      <c r="R190" s="38"/>
      <c r="S190" s="38"/>
      <c r="T190" s="38"/>
      <c r="U190" s="38"/>
      <c r="V190" s="38"/>
      <c r="W190" s="38"/>
      <c r="X190" s="38"/>
      <c r="Y190" s="38"/>
      <c r="Z190" s="38"/>
      <c r="AA190" s="38"/>
      <c r="AB190" s="38"/>
      <c r="AC190" s="38"/>
      <c r="AD190" s="38"/>
      <c r="AE190" s="38"/>
      <c r="AF190" s="38"/>
      <c r="AG190" s="38"/>
      <c r="AH190" s="38"/>
      <c r="AI190" s="38"/>
      <c r="AJ190" s="38"/>
      <c r="AK190" s="38"/>
      <c r="AL190" s="38"/>
      <c r="AM190" s="38"/>
      <c r="AN190" s="38"/>
      <c r="AO190" s="38"/>
      <c r="AP190" s="38"/>
      <c r="AQ190" s="38"/>
      <c r="AR190" s="38"/>
      <c r="AS190" s="38"/>
      <c r="AT190" s="38"/>
      <c r="AU190" s="38"/>
      <c r="AV190" s="38"/>
      <c r="AW190" s="38"/>
      <c r="AX190" s="38"/>
      <c r="AY190" s="38"/>
      <c r="AZ190" s="38"/>
      <c r="BA190" s="38"/>
      <c r="BB190" s="38"/>
      <c r="BC190" s="38"/>
      <c r="BD190" s="38"/>
      <c r="BE190" s="38"/>
      <c r="BF190" s="38"/>
      <c r="BG190" s="115"/>
      <c r="BH190" s="93"/>
      <c r="BI190" s="93"/>
      <c r="BJ190" s="93"/>
      <c r="BK190" s="93"/>
    </row>
    <row r="191" spans="2:63" ht="24.95" hidden="1" customHeight="1" x14ac:dyDescent="0.2">
      <c r="B191" s="307"/>
      <c r="C191" s="307"/>
      <c r="D191" s="307"/>
      <c r="E191" s="307"/>
      <c r="F191" s="307"/>
      <c r="G191" s="307"/>
      <c r="H191" s="8"/>
      <c r="I191" s="8"/>
      <c r="J191" s="39"/>
      <c r="K191" s="39"/>
      <c r="L191" s="39"/>
      <c r="M191" s="39"/>
      <c r="N191" s="39"/>
      <c r="O191" s="39"/>
      <c r="P191" s="39"/>
      <c r="Q191" s="39"/>
      <c r="R191" s="39"/>
      <c r="S191" s="39"/>
      <c r="T191" s="39"/>
      <c r="U191" s="39"/>
      <c r="V191" s="39"/>
      <c r="W191" s="39"/>
      <c r="X191" s="39"/>
      <c r="Y191" s="39"/>
      <c r="Z191" s="39"/>
      <c r="AA191" s="39"/>
      <c r="AB191" s="39"/>
      <c r="AC191" s="39"/>
      <c r="AD191" s="39"/>
      <c r="AE191" s="39"/>
      <c r="AF191" s="39"/>
      <c r="AG191" s="39"/>
      <c r="AH191" s="39"/>
      <c r="AI191" s="39"/>
      <c r="AJ191" s="39"/>
      <c r="AK191" s="39"/>
      <c r="AL191" s="39"/>
      <c r="AM191" s="39"/>
      <c r="AN191" s="39"/>
      <c r="AO191" s="39"/>
      <c r="AP191" s="39"/>
      <c r="AQ191" s="39"/>
      <c r="AR191" s="39"/>
      <c r="AS191" s="39"/>
      <c r="AT191" s="39"/>
      <c r="AU191" s="39"/>
      <c r="AV191" s="39"/>
      <c r="AW191" s="39"/>
      <c r="AX191" s="39"/>
      <c r="AY191" s="39"/>
      <c r="AZ191" s="39"/>
      <c r="BA191" s="39"/>
      <c r="BB191" s="39"/>
      <c r="BC191" s="39"/>
      <c r="BD191" s="39"/>
      <c r="BE191" s="39"/>
      <c r="BF191" s="39"/>
      <c r="BG191" s="115"/>
      <c r="BH191" s="93"/>
      <c r="BI191" s="93"/>
      <c r="BJ191" s="93"/>
      <c r="BK191" s="93"/>
    </row>
    <row r="192" spans="2:63" ht="24.95" hidden="1" customHeight="1" x14ac:dyDescent="0.2">
      <c r="B192" s="307" t="s">
        <v>82</v>
      </c>
      <c r="C192" s="307"/>
      <c r="D192" s="307"/>
      <c r="E192" s="307"/>
      <c r="F192" s="307"/>
      <c r="G192" s="307"/>
      <c r="H192" s="9"/>
      <c r="I192" s="9"/>
      <c r="J192" s="39"/>
      <c r="K192" s="39"/>
      <c r="L192" s="39"/>
      <c r="M192" s="39"/>
      <c r="N192" s="39"/>
      <c r="O192" s="39"/>
      <c r="P192" s="39"/>
      <c r="Q192" s="39"/>
      <c r="R192" s="39"/>
      <c r="S192" s="39"/>
      <c r="T192" s="39"/>
      <c r="U192" s="39"/>
      <c r="V192" s="39"/>
      <c r="W192" s="39"/>
      <c r="X192" s="39"/>
      <c r="Y192" s="39"/>
      <c r="Z192" s="39"/>
      <c r="AA192" s="39"/>
      <c r="AB192" s="39"/>
      <c r="AC192" s="39"/>
      <c r="AD192" s="39"/>
      <c r="AE192" s="39"/>
      <c r="AF192" s="39"/>
      <c r="AG192" s="39"/>
      <c r="AH192" s="39"/>
      <c r="AI192" s="39"/>
      <c r="AJ192" s="39"/>
      <c r="AK192" s="39"/>
      <c r="AL192" s="39"/>
      <c r="AM192" s="39"/>
      <c r="AN192" s="39"/>
      <c r="AO192" s="39"/>
      <c r="AP192" s="39"/>
      <c r="AQ192" s="39"/>
      <c r="AR192" s="39"/>
      <c r="AS192" s="39"/>
      <c r="AT192" s="39"/>
      <c r="AU192" s="39"/>
      <c r="AV192" s="39"/>
      <c r="AW192" s="39"/>
      <c r="AX192" s="39"/>
      <c r="AY192" s="39"/>
      <c r="AZ192" s="39"/>
      <c r="BA192" s="39"/>
      <c r="BB192" s="39"/>
      <c r="BC192" s="39"/>
      <c r="BD192" s="39"/>
      <c r="BE192" s="39"/>
      <c r="BF192" s="39"/>
      <c r="BG192" s="115"/>
      <c r="BH192" s="93"/>
      <c r="BI192" s="93"/>
      <c r="BJ192" s="93"/>
      <c r="BK192" s="93"/>
    </row>
    <row r="193" spans="2:63" ht="24.95" hidden="1" customHeight="1" x14ac:dyDescent="0.2">
      <c r="B193" s="316" t="s">
        <v>83</v>
      </c>
      <c r="C193" s="316"/>
      <c r="D193" s="316"/>
      <c r="E193" s="316"/>
      <c r="F193" s="316"/>
      <c r="G193" s="316"/>
      <c r="H193" s="85"/>
      <c r="I193" s="85"/>
      <c r="J193" s="39"/>
      <c r="K193" s="39"/>
      <c r="L193" s="39"/>
      <c r="M193" s="39"/>
      <c r="N193" s="39"/>
      <c r="O193" s="39"/>
      <c r="P193" s="39"/>
      <c r="Q193" s="39"/>
      <c r="R193" s="39"/>
      <c r="S193" s="39"/>
      <c r="T193" s="39"/>
      <c r="U193" s="39"/>
      <c r="V193" s="39"/>
      <c r="W193" s="39"/>
      <c r="X193" s="39"/>
      <c r="Y193" s="39"/>
      <c r="Z193" s="39"/>
      <c r="AA193" s="39"/>
      <c r="AB193" s="39"/>
      <c r="AC193" s="39"/>
      <c r="AD193" s="39"/>
      <c r="AE193" s="39"/>
      <c r="AF193" s="39"/>
      <c r="AG193" s="39"/>
      <c r="AH193" s="39"/>
      <c r="AI193" s="39"/>
      <c r="AJ193" s="39"/>
      <c r="AK193" s="39"/>
      <c r="AL193" s="39"/>
      <c r="AM193" s="39"/>
      <c r="AN193" s="39"/>
      <c r="AO193" s="39"/>
      <c r="AP193" s="39"/>
      <c r="AQ193" s="39"/>
      <c r="AR193" s="39"/>
      <c r="AS193" s="39"/>
      <c r="AT193" s="39"/>
      <c r="AU193" s="39"/>
      <c r="AV193" s="39"/>
      <c r="AW193" s="39"/>
      <c r="AX193" s="39"/>
      <c r="AY193" s="39"/>
      <c r="AZ193" s="39"/>
      <c r="BA193" s="39"/>
      <c r="BB193" s="39"/>
      <c r="BC193" s="39"/>
      <c r="BD193" s="39"/>
      <c r="BE193" s="39"/>
      <c r="BF193" s="39"/>
      <c r="BG193" s="115"/>
      <c r="BH193" s="93"/>
      <c r="BI193" s="93"/>
      <c r="BJ193" s="93"/>
      <c r="BK193" s="93"/>
    </row>
    <row r="194" spans="2:63" ht="14.25" hidden="1" customHeight="1" x14ac:dyDescent="0.2"/>
    <row r="196" spans="2:63" ht="42" customHeight="1" x14ac:dyDescent="0.2"/>
    <row r="197" spans="2:63" ht="14.25" hidden="1" customHeight="1" x14ac:dyDescent="0.2"/>
    <row r="198" spans="2:63" ht="24" hidden="1" customHeight="1" x14ac:dyDescent="0.2">
      <c r="D198" s="296">
        <v>2013</v>
      </c>
      <c r="E198" s="296"/>
      <c r="F198" s="296"/>
      <c r="G198" s="296"/>
      <c r="H198" s="296"/>
      <c r="I198" s="296"/>
    </row>
    <row r="200" spans="2:63" ht="42" customHeight="1" x14ac:dyDescent="0.2"/>
    <row r="201" spans="2:63" ht="14.25" hidden="1" customHeight="1" x14ac:dyDescent="0.2"/>
    <row r="202" spans="2:63" ht="33.950000000000003" hidden="1" customHeight="1" thickBot="1" x14ac:dyDescent="0.25">
      <c r="B202" s="339" t="s">
        <v>701</v>
      </c>
      <c r="C202" s="339"/>
      <c r="D202" s="331" t="s">
        <v>255</v>
      </c>
      <c r="E202" s="333"/>
      <c r="F202" s="331" t="s">
        <v>256</v>
      </c>
      <c r="G202" s="333"/>
      <c r="H202" s="331" t="s">
        <v>257</v>
      </c>
      <c r="I202" s="333"/>
      <c r="J202" s="333"/>
      <c r="K202" s="333"/>
    </row>
    <row r="203" spans="2:63" ht="30" hidden="1" customHeight="1" x14ac:dyDescent="0.2">
      <c r="B203" s="340" t="s">
        <v>702</v>
      </c>
      <c r="C203" s="340"/>
      <c r="D203" s="324" t="s">
        <v>703</v>
      </c>
      <c r="E203" s="325"/>
      <c r="F203" s="324" t="s">
        <v>704</v>
      </c>
      <c r="G203" s="325"/>
      <c r="H203" s="324" t="s">
        <v>705</v>
      </c>
      <c r="I203" s="325"/>
      <c r="J203" s="325"/>
      <c r="K203" s="325"/>
    </row>
    <row r="204" spans="2:63" ht="14.25" hidden="1" customHeight="1" x14ac:dyDescent="0.2"/>
    <row r="205" spans="2:63" ht="24" hidden="1" customHeight="1" x14ac:dyDescent="0.2"/>
    <row r="207" spans="2:63" ht="62.1" customHeight="1" x14ac:dyDescent="0.2"/>
    <row r="209" ht="156.94999999999999" customHeight="1" x14ac:dyDescent="0.2"/>
    <row r="211" ht="42" customHeight="1" x14ac:dyDescent="0.2"/>
    <row r="213" ht="57" customHeight="1" x14ac:dyDescent="0.2"/>
    <row r="237" ht="57" customHeight="1" x14ac:dyDescent="0.2"/>
    <row r="239" ht="42" customHeight="1" x14ac:dyDescent="0.2"/>
    <row r="241" ht="221.1" customHeight="1" x14ac:dyDescent="0.2"/>
    <row r="243" ht="42" customHeight="1" x14ac:dyDescent="0.2"/>
    <row r="244" ht="14.25" hidden="1" customHeight="1" x14ac:dyDescent="0.2"/>
    <row r="245" ht="156.94999999999999" hidden="1" customHeight="1" x14ac:dyDescent="0.2"/>
    <row r="247" ht="42" customHeight="1" x14ac:dyDescent="0.2"/>
    <row r="248" ht="14.25" hidden="1" customHeight="1" x14ac:dyDescent="0.2"/>
    <row r="249" ht="101.1" hidden="1" customHeight="1" x14ac:dyDescent="0.2"/>
    <row r="251" ht="42" customHeight="1" x14ac:dyDescent="0.2"/>
    <row r="252" ht="14.25" hidden="1" customHeight="1" x14ac:dyDescent="0.2"/>
    <row r="253" ht="101.1" hidden="1" customHeight="1" x14ac:dyDescent="0.2"/>
    <row r="255" ht="42" customHeight="1" x14ac:dyDescent="0.2"/>
    <row r="256" ht="14.25" hidden="1" customHeight="1" x14ac:dyDescent="0.2"/>
    <row r="257" ht="180.95" hidden="1" customHeight="1" x14ac:dyDescent="0.2"/>
  </sheetData>
  <sheetProtection algorithmName="SHA-512" hashValue="3rBZ5k+r9tm6XzSJTAtqr8WKxOPlktYszdlyahLuXfNY/9P6EQfYdCaRtmeLpz8J6uorlxSLGdZYXEQokoO8KA==" saltValue="lL8eXnodB7FWO26DZovJCA==" spinCount="100000" sheet="1" objects="1" scenarios="1"/>
  <mergeCells count="103">
    <mergeCell ref="B188:G188"/>
    <mergeCell ref="B189:G189"/>
    <mergeCell ref="B190:G190"/>
    <mergeCell ref="B191:G191"/>
    <mergeCell ref="B192:G192"/>
    <mergeCell ref="B193:G193"/>
    <mergeCell ref="B182:G182"/>
    <mergeCell ref="B183:G183"/>
    <mergeCell ref="B184:G184"/>
    <mergeCell ref="B185:G185"/>
    <mergeCell ref="B186:G186"/>
    <mergeCell ref="B187:G187"/>
    <mergeCell ref="D198:I198"/>
    <mergeCell ref="B202:C202"/>
    <mergeCell ref="D202:E202"/>
    <mergeCell ref="F202:G202"/>
    <mergeCell ref="H202:K202"/>
    <mergeCell ref="B203:C203"/>
    <mergeCell ref="D203:E203"/>
    <mergeCell ref="F203:G203"/>
    <mergeCell ref="H203:K203"/>
    <mergeCell ref="D171:I171"/>
    <mergeCell ref="D175:I175"/>
    <mergeCell ref="B180:G180"/>
    <mergeCell ref="B181:G181"/>
    <mergeCell ref="D145:I145"/>
    <mergeCell ref="D148:I148"/>
    <mergeCell ref="B128:E128"/>
    <mergeCell ref="F128:G128"/>
    <mergeCell ref="H128:I128"/>
    <mergeCell ref="D136:I136"/>
    <mergeCell ref="D157:I157"/>
    <mergeCell ref="D167:I167"/>
    <mergeCell ref="B121:C121"/>
    <mergeCell ref="D121:E121"/>
    <mergeCell ref="F121:G121"/>
    <mergeCell ref="H121:I121"/>
    <mergeCell ref="J121:K121"/>
    <mergeCell ref="B127:E127"/>
    <mergeCell ref="F127:G127"/>
    <mergeCell ref="H127:I127"/>
    <mergeCell ref="B119:C119"/>
    <mergeCell ref="D119:E119"/>
    <mergeCell ref="F119:G119"/>
    <mergeCell ref="H119:I119"/>
    <mergeCell ref="J119:K119"/>
    <mergeCell ref="B120:C120"/>
    <mergeCell ref="D120:E120"/>
    <mergeCell ref="F120:G120"/>
    <mergeCell ref="H120:I120"/>
    <mergeCell ref="J120:K120"/>
    <mergeCell ref="B114:C114"/>
    <mergeCell ref="D114:E114"/>
    <mergeCell ref="F114:G114"/>
    <mergeCell ref="H114:I114"/>
    <mergeCell ref="J114:K114"/>
    <mergeCell ref="B115:C115"/>
    <mergeCell ref="D115:E115"/>
    <mergeCell ref="F115:G115"/>
    <mergeCell ref="H115:I115"/>
    <mergeCell ref="J115:K115"/>
    <mergeCell ref="B112:C112"/>
    <mergeCell ref="D112:E112"/>
    <mergeCell ref="F112:G112"/>
    <mergeCell ref="H112:I112"/>
    <mergeCell ref="J112:K112"/>
    <mergeCell ref="B113:C113"/>
    <mergeCell ref="D113:E113"/>
    <mergeCell ref="F113:G113"/>
    <mergeCell ref="H113:I113"/>
    <mergeCell ref="J113:K113"/>
    <mergeCell ref="B110:C110"/>
    <mergeCell ref="D110:E110"/>
    <mergeCell ref="F110:G110"/>
    <mergeCell ref="H110:I110"/>
    <mergeCell ref="J110:K110"/>
    <mergeCell ref="B111:C111"/>
    <mergeCell ref="D111:E111"/>
    <mergeCell ref="F111:G111"/>
    <mergeCell ref="H111:I111"/>
    <mergeCell ref="J111:K111"/>
    <mergeCell ref="B108:C108"/>
    <mergeCell ref="D108:E108"/>
    <mergeCell ref="F108:G108"/>
    <mergeCell ref="H108:I108"/>
    <mergeCell ref="J108:K108"/>
    <mergeCell ref="B109:C109"/>
    <mergeCell ref="D109:E109"/>
    <mergeCell ref="F109:G109"/>
    <mergeCell ref="H109:I109"/>
    <mergeCell ref="J109:K109"/>
    <mergeCell ref="D86:I86"/>
    <mergeCell ref="D89:I89"/>
    <mergeCell ref="D92:I92"/>
    <mergeCell ref="D95:I95"/>
    <mergeCell ref="D98:I98"/>
    <mergeCell ref="D101:I101"/>
    <mergeCell ref="D12:I12"/>
    <mergeCell ref="D15:I15"/>
    <mergeCell ref="D18:I18"/>
    <mergeCell ref="D77:I77"/>
    <mergeCell ref="D80:I80"/>
    <mergeCell ref="D83:I83"/>
  </mergeCells>
  <dataValidations count="8">
    <dataValidation type="date" errorStyle="information" allowBlank="1" showErrorMessage="1" errorTitle="Ugyldig dato" error="Datoer skal tastes som dd-mm-åååå og være mellem 01-01-2000 og 01-01-2050." promptTitle="stuff" prompt="dd-mm-yyyy efter 01-01-2013_x000a_" sqref="D109:E109 B203:C203" xr:uid="{00000000-0002-0000-0300-000000000000}">
      <formula1>36526</formula1>
      <formula2>54789</formula2>
    </dataValidation>
    <dataValidation type="whole" errorStyle="information" allowBlank="1" showInputMessage="1" showErrorMessage="1" errorTitle="invalid year" error="must be an Integer value betwen 2008 and 2033" sqref="D167:I167 D175:I175" xr:uid="{00000000-0002-0000-0300-000001000000}">
      <formula1>2008</formula1>
      <formula2>2033</formula2>
    </dataValidation>
    <dataValidation type="whole" errorStyle="information" allowBlank="1" showInputMessage="1" showErrorMessage="1" errorTitle="invalid year" error="Der kan vælges år mellem 2000 og 2050. Ibrugtagningsåret skal være efter startår og før slutår." sqref="D171:I171" xr:uid="{00000000-0002-0000-0300-000002000000}">
      <formula1>IF(ISERROR(INDIRECT("Forside_f_FP_Main1OmkostSY_1_start",TRUE)),2000,INDIRECT("Forside_f_FP_Main1OmkostSY_1_start",TRUE))</formula1>
      <formula2>IF(ISERROR(INDIRECT("Forside_f_FP_Main1OmkostEY_1_start",TRUE)),2050,INDIRECT("Forside_f_FP_Main1OmkostEY_1_start",TRUE))</formula2>
    </dataValidation>
    <dataValidation type="list" allowBlank="1" showInputMessage="1" showErrorMessage="1" sqref="D198" xr:uid="{00000000-0002-0000-0300-000003000000}">
      <formula1>IF(ISERROR(INDIRECT("MasterSheet_rng_PLOYear",TRUE)),$A:$A,INDIRECT("MasterSheet_rng_PLOYear",TRUE))</formula1>
    </dataValidation>
    <dataValidation type="list" allowBlank="1" showInputMessage="1" showErrorMessage="1" sqref="H120:I121" xr:uid="{00000000-0002-0000-0300-000004000000}">
      <formula1>IF(ISERROR(INDIRECT("MasterSheet_rng_Konsekvens",TRUE)),$A:$A,INDIRECT("MasterSheet_rng_Konsekvens",TRUE))</formula1>
    </dataValidation>
    <dataValidation type="list" allowBlank="1" showInputMessage="1" showErrorMessage="1" sqref="F120:G121" xr:uid="{00000000-0002-0000-0300-000005000000}">
      <formula1>IF(ISERROR(INDIRECT("MasterSheet_rng_Sandsynlighed",TRUE)),$A:$A,INDIRECT("MasterSheet_rng_Sandsynlighed",TRUE))</formula1>
    </dataValidation>
    <dataValidation type="list" allowBlank="1" showInputMessage="1" showErrorMessage="1" sqref="D120:E121" xr:uid="{00000000-0002-0000-0300-000006000000}">
      <formula1>IF(ISERROR(INDIRECT("MasterSheet_rng_RisciType",TRUE)),$A:$A,INDIRECT("MasterSheet_rng_RisciType",TRUE))</formula1>
    </dataValidation>
    <dataValidation type="list" allowBlank="1" showInputMessage="1" showErrorMessage="1" sqref="H128" xr:uid="{00000000-0002-0000-0300-000007000000}">
      <formula1>IF(ISERROR(INDIRECT("MasterSheet_rng_Prioritering",TRUE)),$A:$A,INDIRECT("MasterSheet_rng_Prioritering",TRUE))</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rgb="FF000000"/>
  </sheetPr>
  <dimension ref="D3:I71"/>
  <sheetViews>
    <sheetView showGridLines="0" zoomScale="80" zoomScaleNormal="80" workbookViewId="0">
      <selection activeCell="A11" sqref="A11"/>
    </sheetView>
  </sheetViews>
  <sheetFormatPr defaultColWidth="10.140625" defaultRowHeight="14.25" customHeight="1" x14ac:dyDescent="0.2"/>
  <cols>
    <col min="1" max="1" width="10" style="81" customWidth="1"/>
    <col min="2" max="14" width="12.5703125" style="81" customWidth="1"/>
    <col min="15" max="200" width="9.140625" style="81" customWidth="1"/>
    <col min="201" max="16384" width="10.140625" style="81"/>
  </cols>
  <sheetData>
    <row r="3" ht="41.1" customHeight="1" x14ac:dyDescent="0.2"/>
    <row r="5" ht="62.1" customHeight="1" x14ac:dyDescent="0.2"/>
    <row r="7" ht="24" customHeight="1" x14ac:dyDescent="0.2"/>
    <row r="8" ht="14.25" hidden="1" customHeight="1" x14ac:dyDescent="0.2"/>
    <row r="9" ht="173.1" hidden="1" customHeight="1" x14ac:dyDescent="0.2"/>
    <row r="11" ht="26.1" customHeight="1" x14ac:dyDescent="0.2"/>
    <row r="12" ht="26.1" customHeight="1" x14ac:dyDescent="0.2"/>
    <row r="13" ht="26.1" customHeight="1" x14ac:dyDescent="0.2"/>
    <row r="16" ht="5.0999999999999996" customHeight="1" x14ac:dyDescent="0.2"/>
    <row r="18" ht="24" customHeight="1" x14ac:dyDescent="0.2"/>
    <row r="19" ht="14.25" hidden="1" customHeight="1" x14ac:dyDescent="0.2"/>
    <row r="20" ht="167.1" hidden="1" customHeight="1" x14ac:dyDescent="0.2"/>
    <row r="22" ht="26.1" customHeight="1" x14ac:dyDescent="0.2"/>
    <row r="23" ht="26.1" customHeight="1" x14ac:dyDescent="0.2"/>
    <row r="26" ht="5.0999999999999996" customHeight="1" x14ac:dyDescent="0.2"/>
    <row r="28" ht="24" customHeight="1" x14ac:dyDescent="0.2"/>
    <row r="29" ht="14.25" hidden="1" customHeight="1" x14ac:dyDescent="0.2"/>
    <row r="30" ht="120.95" hidden="1" customHeight="1" x14ac:dyDescent="0.2"/>
    <row r="32" ht="26.1" customHeight="1" x14ac:dyDescent="0.2"/>
    <row r="33" spans="4:9" ht="26.1" customHeight="1" x14ac:dyDescent="0.2"/>
    <row r="36" spans="4:9" ht="5.0999999999999996" customHeight="1" x14ac:dyDescent="0.2"/>
    <row r="38" spans="4:9" ht="24" customHeight="1" x14ac:dyDescent="0.2"/>
    <row r="39" spans="4:9" ht="14.25" hidden="1" customHeight="1" x14ac:dyDescent="0.2"/>
    <row r="40" spans="4:9" ht="60.95" hidden="1" customHeight="1" x14ac:dyDescent="0.2"/>
    <row r="42" spans="4:9" ht="24" customHeight="1" x14ac:dyDescent="0.2">
      <c r="D42" s="296" t="s">
        <v>1179</v>
      </c>
      <c r="E42" s="296"/>
      <c r="F42" s="296"/>
      <c r="G42" s="296"/>
      <c r="H42" s="296"/>
      <c r="I42" s="296"/>
    </row>
    <row r="43" spans="4:9" ht="5.0999999999999996" customHeight="1" x14ac:dyDescent="0.2"/>
    <row r="45" spans="4:9" ht="24" customHeight="1" x14ac:dyDescent="0.2">
      <c r="D45" s="296" t="s">
        <v>1180</v>
      </c>
      <c r="E45" s="296"/>
      <c r="F45" s="296"/>
      <c r="G45" s="296"/>
      <c r="H45" s="296"/>
      <c r="I45" s="296"/>
    </row>
    <row r="46" spans="4:9" ht="5.0999999999999996" customHeight="1" x14ac:dyDescent="0.2"/>
    <row r="48" spans="4:9" ht="24" customHeight="1" x14ac:dyDescent="0.2">
      <c r="D48" s="296" t="s">
        <v>1181</v>
      </c>
      <c r="E48" s="296"/>
      <c r="F48" s="296"/>
      <c r="G48" s="296"/>
      <c r="H48" s="296"/>
      <c r="I48" s="296"/>
    </row>
    <row r="49" spans="4:9" ht="5.0999999999999996" customHeight="1" x14ac:dyDescent="0.2"/>
    <row r="51" spans="4:9" ht="24" customHeight="1" x14ac:dyDescent="0.2">
      <c r="D51" s="296" t="s">
        <v>1182</v>
      </c>
      <c r="E51" s="296"/>
      <c r="F51" s="296"/>
      <c r="G51" s="296"/>
      <c r="H51" s="296"/>
      <c r="I51" s="296"/>
    </row>
    <row r="52" spans="4:9" ht="5.0999999999999996" customHeight="1" x14ac:dyDescent="0.2"/>
    <row r="54" spans="4:9" ht="24" customHeight="1" x14ac:dyDescent="0.2">
      <c r="D54" s="296" t="s">
        <v>1183</v>
      </c>
      <c r="E54" s="296"/>
      <c r="F54" s="296"/>
      <c r="G54" s="296"/>
      <c r="H54" s="296"/>
      <c r="I54" s="296"/>
    </row>
    <row r="55" spans="4:9" ht="5.0999999999999996" customHeight="1" x14ac:dyDescent="0.2"/>
    <row r="57" spans="4:9" ht="24" customHeight="1" x14ac:dyDescent="0.2">
      <c r="D57" s="296" t="s">
        <v>84</v>
      </c>
      <c r="E57" s="296"/>
      <c r="F57" s="296"/>
      <c r="G57" s="296"/>
      <c r="H57" s="296"/>
      <c r="I57" s="296"/>
    </row>
    <row r="58" spans="4:9" ht="5.0999999999999996" customHeight="1" x14ac:dyDescent="0.2"/>
    <row r="60" spans="4:9" ht="24" customHeight="1" x14ac:dyDescent="0.2">
      <c r="D60" s="296" t="s">
        <v>85</v>
      </c>
      <c r="E60" s="296"/>
      <c r="F60" s="296"/>
      <c r="G60" s="296"/>
      <c r="H60" s="296"/>
      <c r="I60" s="296"/>
    </row>
    <row r="61" spans="4:9" ht="5.0999999999999996" customHeight="1" x14ac:dyDescent="0.2"/>
    <row r="63" spans="4:9" ht="24" customHeight="1" x14ac:dyDescent="0.2">
      <c r="D63" s="341" t="s">
        <v>86</v>
      </c>
      <c r="E63" s="341"/>
      <c r="F63" s="341"/>
      <c r="G63" s="341"/>
      <c r="H63" s="341"/>
      <c r="I63" s="341"/>
    </row>
    <row r="64" spans="4:9" ht="5.0999999999999996" customHeight="1" x14ac:dyDescent="0.2"/>
    <row r="66" spans="4:9" ht="24" customHeight="1" x14ac:dyDescent="0.2">
      <c r="D66" s="296" t="s">
        <v>1486</v>
      </c>
      <c r="E66" s="296"/>
      <c r="F66" s="296"/>
      <c r="G66" s="296"/>
      <c r="H66" s="296"/>
      <c r="I66" s="296"/>
    </row>
    <row r="67" spans="4:9" ht="5.0999999999999996" customHeight="1" x14ac:dyDescent="0.2"/>
    <row r="69" spans="4:9" ht="24" customHeight="1" x14ac:dyDescent="0.2"/>
    <row r="71" spans="4:9" ht="26.1" customHeight="1" x14ac:dyDescent="0.2"/>
  </sheetData>
  <sheetProtection algorithmName="SHA-512" hashValue="vEgTNq8XNNeaSCqXw/II6YXxbFou/MmNl5lRTnB7erD4f2HW3VJl6mav+kC2UJ23NWcM6sTrm7Vqrl0g0521sQ==" saltValue="HmshNIz7R8FgHNsrt0O4YA==" spinCount="100000" sheet="1" objects="1" scenarios="1"/>
  <mergeCells count="9">
    <mergeCell ref="D66:I66"/>
    <mergeCell ref="D60:I60"/>
    <mergeCell ref="D63:I63"/>
    <mergeCell ref="D42:I42"/>
    <mergeCell ref="D45:I45"/>
    <mergeCell ref="D48:I48"/>
    <mergeCell ref="D51:I51"/>
    <mergeCell ref="D54:I54"/>
    <mergeCell ref="D57:I57"/>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538DD5"/>
  </sheetPr>
  <dimension ref="B2:AL38"/>
  <sheetViews>
    <sheetView showGridLines="0" zoomScale="80" zoomScaleNormal="80" workbookViewId="0">
      <selection activeCell="B37" sqref="B37:AL37"/>
    </sheetView>
  </sheetViews>
  <sheetFormatPr defaultColWidth="10.140625" defaultRowHeight="14.25" customHeight="1" x14ac:dyDescent="0.25"/>
  <cols>
    <col min="1" max="1" width="3.5703125" customWidth="1"/>
    <col min="2" max="2" width="9.140625" hidden="1" customWidth="1"/>
    <col min="3" max="3" width="60.85546875" customWidth="1"/>
    <col min="4" max="4" width="36.28515625" customWidth="1"/>
    <col min="5" max="5" width="6.140625" customWidth="1"/>
    <col min="6" max="6" width="20" customWidth="1"/>
    <col min="7" max="7" width="28" customWidth="1"/>
    <col min="8" max="8" width="7.140625" customWidth="1"/>
    <col min="9" max="9" width="24.7109375" customWidth="1"/>
    <col min="10" max="10" width="15" customWidth="1"/>
    <col min="11" max="13" width="12.28515625" customWidth="1"/>
    <col min="14" max="16" width="8.7109375" customWidth="1"/>
    <col min="17" max="17" width="12.7109375" customWidth="1"/>
    <col min="18" max="18" width="9.140625" hidden="1" customWidth="1"/>
    <col min="19" max="20" width="17.7109375" customWidth="1"/>
    <col min="21" max="38" width="9.140625" hidden="1" customWidth="1"/>
    <col min="39" max="200" width="9.140625" customWidth="1"/>
  </cols>
  <sheetData>
    <row r="2" spans="2:38" ht="48.95" customHeight="1" x14ac:dyDescent="0.25"/>
    <row r="3" spans="2:38" ht="30.95" customHeight="1" x14ac:dyDescent="0.25"/>
    <row r="6" spans="2:38" ht="29.1" hidden="1" customHeight="1" x14ac:dyDescent="0.25"/>
    <row r="7" spans="2:38" ht="14.25" hidden="1" customHeight="1" x14ac:dyDescent="0.25"/>
    <row r="8" spans="2:38" ht="36" hidden="1" customHeight="1" thickBot="1" x14ac:dyDescent="0.3">
      <c r="B8" s="59" t="s">
        <v>620</v>
      </c>
      <c r="C8" s="342" t="s">
        <v>291</v>
      </c>
      <c r="D8" s="343"/>
      <c r="E8" s="343"/>
      <c r="F8" s="343"/>
      <c r="G8" s="343"/>
      <c r="H8" s="344"/>
      <c r="I8" s="60" t="s">
        <v>1241</v>
      </c>
      <c r="J8" s="60" t="s">
        <v>1238</v>
      </c>
      <c r="K8" s="61" t="s">
        <v>293</v>
      </c>
      <c r="L8" s="61" t="s">
        <v>621</v>
      </c>
      <c r="M8" s="61" t="s">
        <v>294</v>
      </c>
      <c r="N8" s="62" t="s">
        <v>295</v>
      </c>
      <c r="O8" s="62" t="s">
        <v>296</v>
      </c>
      <c r="P8" s="62" t="s">
        <v>297</v>
      </c>
      <c r="Q8" s="61" t="s">
        <v>622</v>
      </c>
      <c r="R8" s="63" t="s">
        <v>623</v>
      </c>
      <c r="S8" s="117"/>
      <c r="T8" s="118"/>
      <c r="U8" s="64" t="s">
        <v>299</v>
      </c>
      <c r="V8" s="65" t="s">
        <v>1312</v>
      </c>
      <c r="W8" s="65" t="s">
        <v>1327</v>
      </c>
      <c r="X8" s="65" t="s">
        <v>1408</v>
      </c>
      <c r="Y8" s="61" t="s">
        <v>300</v>
      </c>
      <c r="Z8" s="61" t="s">
        <v>301</v>
      </c>
      <c r="AA8" s="61" t="s">
        <v>302</v>
      </c>
      <c r="AB8" s="66" t="s">
        <v>1336</v>
      </c>
      <c r="AC8" s="67" t="s">
        <v>1337</v>
      </c>
      <c r="AD8" s="117"/>
      <c r="AE8" s="118"/>
      <c r="AF8" s="118"/>
      <c r="AG8" s="118"/>
      <c r="AH8" s="118"/>
      <c r="AI8" s="118"/>
      <c r="AJ8" s="118"/>
      <c r="AK8" s="93"/>
      <c r="AL8" s="93"/>
    </row>
    <row r="9" spans="2:38" ht="14.25" hidden="1" customHeight="1" x14ac:dyDescent="0.25">
      <c r="B9" s="44">
        <v>1</v>
      </c>
      <c r="C9" s="345"/>
      <c r="D9" s="346"/>
      <c r="E9" s="346"/>
      <c r="F9" s="346"/>
      <c r="G9" s="346"/>
      <c r="H9" s="346"/>
      <c r="I9" s="88"/>
      <c r="J9" s="45" t="s">
        <v>1222</v>
      </c>
      <c r="K9" s="54"/>
      <c r="L9" s="55"/>
      <c r="M9" s="54"/>
      <c r="N9" s="53"/>
      <c r="O9" s="53">
        <v>1</v>
      </c>
      <c r="P9" s="53"/>
      <c r="Q9" s="46">
        <f>SUMPRODUCT(K9:M9,N9:P9)</f>
        <v>0</v>
      </c>
      <c r="R9" s="47">
        <f>L9</f>
        <v>0</v>
      </c>
      <c r="S9" s="117"/>
      <c r="T9" s="118"/>
      <c r="U9" s="51">
        <v>1</v>
      </c>
      <c r="V9" s="46" t="s">
        <v>1573</v>
      </c>
      <c r="W9" s="46"/>
      <c r="X9" s="46">
        <v>1</v>
      </c>
      <c r="Y9" s="46">
        <f>U9*L9*X9</f>
        <v>0</v>
      </c>
      <c r="Z9" s="46">
        <f>U9*Q9*X9</f>
        <v>0</v>
      </c>
      <c r="AA9" s="46">
        <f>U9*R9*X9</f>
        <v>0</v>
      </c>
      <c r="AB9" s="56">
        <f>U9*K9*X9</f>
        <v>0</v>
      </c>
      <c r="AC9" s="57">
        <f>U9*M9*X9</f>
        <v>0</v>
      </c>
      <c r="AD9" s="117"/>
      <c r="AE9" s="118"/>
      <c r="AF9" s="118"/>
      <c r="AG9" s="118"/>
      <c r="AH9" s="118"/>
      <c r="AI9" s="118"/>
      <c r="AJ9" s="118"/>
      <c r="AK9" s="93"/>
      <c r="AL9" s="93"/>
    </row>
    <row r="10" spans="2:38" ht="14.25" hidden="1" customHeight="1" x14ac:dyDescent="0.25"/>
    <row r="11" spans="2:38" ht="14.25" hidden="1" customHeight="1" x14ac:dyDescent="0.25"/>
    <row r="12" spans="2:38" ht="29.1" customHeight="1" x14ac:dyDescent="0.25"/>
    <row r="14" spans="2:38" ht="27" customHeight="1" x14ac:dyDescent="0.25">
      <c r="C14" s="92" t="s">
        <v>309</v>
      </c>
      <c r="D14" s="92"/>
      <c r="E14" s="92"/>
      <c r="F14" s="92"/>
      <c r="G14" s="92"/>
      <c r="H14" s="92"/>
      <c r="I14" s="92"/>
      <c r="J14" s="92"/>
      <c r="K14" s="92"/>
      <c r="L14" s="92"/>
      <c r="M14" s="92"/>
      <c r="N14" s="92"/>
      <c r="O14" s="92"/>
      <c r="P14" s="92"/>
      <c r="Q14" s="92"/>
      <c r="R14" s="92"/>
      <c r="S14" s="92"/>
      <c r="T14" s="92"/>
      <c r="U14" s="92"/>
      <c r="V14" s="92"/>
      <c r="W14" s="92"/>
      <c r="X14" s="92"/>
      <c r="Y14" s="92"/>
      <c r="Z14" s="92"/>
      <c r="AA14" s="92"/>
      <c r="AB14" s="92"/>
      <c r="AC14" s="92"/>
      <c r="AD14" s="92"/>
      <c r="AE14" s="92"/>
      <c r="AF14" s="92"/>
      <c r="AG14" s="92"/>
      <c r="AH14" s="92"/>
      <c r="AI14" s="92"/>
      <c r="AJ14" s="92"/>
      <c r="AK14" s="92"/>
      <c r="AL14" s="92"/>
    </row>
    <row r="16" spans="2:38" ht="36" customHeight="1" thickBot="1" x14ac:dyDescent="0.3">
      <c r="B16" s="59" t="s">
        <v>620</v>
      </c>
      <c r="C16" s="87" t="s">
        <v>291</v>
      </c>
      <c r="D16" s="60" t="s">
        <v>310</v>
      </c>
      <c r="E16" s="89" t="s">
        <v>311</v>
      </c>
      <c r="F16" s="89" t="s">
        <v>624</v>
      </c>
      <c r="G16" s="89" t="s">
        <v>625</v>
      </c>
      <c r="H16" s="89" t="s">
        <v>292</v>
      </c>
      <c r="I16" s="60" t="s">
        <v>1241</v>
      </c>
      <c r="J16" s="60" t="s">
        <v>1238</v>
      </c>
      <c r="K16" s="61" t="s">
        <v>293</v>
      </c>
      <c r="L16" s="61" t="s">
        <v>621</v>
      </c>
      <c r="M16" s="61" t="s">
        <v>294</v>
      </c>
      <c r="N16" s="62" t="s">
        <v>295</v>
      </c>
      <c r="O16" s="62" t="s">
        <v>296</v>
      </c>
      <c r="P16" s="62" t="s">
        <v>297</v>
      </c>
      <c r="Q16" s="61" t="s">
        <v>622</v>
      </c>
      <c r="R16" s="61" t="s">
        <v>623</v>
      </c>
      <c r="S16" s="60" t="s">
        <v>305</v>
      </c>
      <c r="T16" s="60" t="s">
        <v>306</v>
      </c>
      <c r="U16" s="64" t="s">
        <v>299</v>
      </c>
      <c r="V16" s="65" t="s">
        <v>1312</v>
      </c>
      <c r="W16" s="65" t="s">
        <v>1327</v>
      </c>
      <c r="X16" s="65" t="s">
        <v>1408</v>
      </c>
      <c r="Y16" s="61" t="s">
        <v>300</v>
      </c>
      <c r="Z16" s="61" t="s">
        <v>301</v>
      </c>
      <c r="AA16" s="61" t="s">
        <v>302</v>
      </c>
      <c r="AB16" s="66" t="s">
        <v>1336</v>
      </c>
      <c r="AC16" s="66" t="s">
        <v>1337</v>
      </c>
      <c r="AD16" s="61" t="s">
        <v>303</v>
      </c>
      <c r="AE16" s="61" t="s">
        <v>304</v>
      </c>
      <c r="AF16" s="60" t="s">
        <v>312</v>
      </c>
      <c r="AG16" s="61" t="s">
        <v>313</v>
      </c>
      <c r="AH16" s="61" t="s">
        <v>314</v>
      </c>
      <c r="AI16" s="61" t="s">
        <v>315</v>
      </c>
      <c r="AJ16" s="63" t="s">
        <v>316</v>
      </c>
      <c r="AK16" s="68" t="s">
        <v>1340</v>
      </c>
      <c r="AL16" s="68" t="s">
        <v>1440</v>
      </c>
    </row>
    <row r="17" spans="2:38" ht="14.25" customHeight="1" x14ac:dyDescent="0.25">
      <c r="B17" s="44">
        <v>1</v>
      </c>
      <c r="C17" s="48"/>
      <c r="D17" s="49" t="s">
        <v>1216</v>
      </c>
      <c r="E17" s="45"/>
      <c r="F17" s="49"/>
      <c r="G17" s="50"/>
      <c r="H17" s="45">
        <v>2013</v>
      </c>
      <c r="I17" s="88"/>
      <c r="J17" s="45" t="s">
        <v>1222</v>
      </c>
      <c r="K17" s="54"/>
      <c r="L17" s="55"/>
      <c r="M17" s="54"/>
      <c r="N17" s="53"/>
      <c r="O17" s="53">
        <v>1</v>
      </c>
      <c r="P17" s="53"/>
      <c r="Q17" s="46">
        <f>SUMPRODUCT(K17:M17,N17:P17)</f>
        <v>0</v>
      </c>
      <c r="R17" s="46">
        <f>L17</f>
        <v>0</v>
      </c>
      <c r="S17" s="58"/>
      <c r="T17" s="58"/>
      <c r="U17" s="51">
        <v>1</v>
      </c>
      <c r="V17" s="46" t="s">
        <v>309</v>
      </c>
      <c r="W17" s="46" t="str">
        <f>V17&amp;F17&amp;G17&amp;E17</f>
        <v>Idefase</v>
      </c>
      <c r="X17" s="46">
        <f>INDEX(MasterSheet_rng_PLOYearAdjs,MATCH(MasterSheet_Repeater_PloYRep&amp;"-"&amp;H17,MasterSheet_rng_PLOYearAdjsConcat,0))</f>
        <v>1</v>
      </c>
      <c r="Y17" s="46">
        <f>U17*L17*X17</f>
        <v>0</v>
      </c>
      <c r="Z17" s="46">
        <f>U17*Q17*X17</f>
        <v>0</v>
      </c>
      <c r="AA17" s="46">
        <f>U17*R17*X17</f>
        <v>0</v>
      </c>
      <c r="AB17" s="56">
        <f>U17*K17*X17</f>
        <v>0</v>
      </c>
      <c r="AC17" s="57">
        <f>U17*M17*X17</f>
        <v>0</v>
      </c>
      <c r="AD17" s="46">
        <f>Z17-Y17</f>
        <v>0</v>
      </c>
      <c r="AE17" s="46">
        <f>AA17-Y17</f>
        <v>0</v>
      </c>
      <c r="AF17" s="52">
        <f>COUNTA(S17:T17)</f>
        <v>0</v>
      </c>
      <c r="AG17" s="46">
        <f>IF(OR(AF17=0,AF17=1),AD17,AD17*MasterSheet_f_RiskPrimaryPercentage)</f>
        <v>0</v>
      </c>
      <c r="AH17" s="46">
        <f>IF(OR(AF17=0,AF17=1),0,AD17*(1-MasterSheet_f_RiskPrimaryPercentage))</f>
        <v>0</v>
      </c>
      <c r="AI17" s="46">
        <f>IF(OR(AF17=0,AF17=1),AE17,AE17*MasterSheet_f_RiskPrimaryPercentage)</f>
        <v>0</v>
      </c>
      <c r="AJ17" s="47">
        <f>IF(OR(AF17=0,AF17=1),0,AE17*(1-MasterSheet_f_RiskPrimaryPercentage))</f>
        <v>0</v>
      </c>
      <c r="AK17" s="47">
        <f>IF(OR(AF17=0,AF17=1),(M17-L17),(M17-L17)*MasterSheet_f_RiskPrimaryPercentage)</f>
        <v>0</v>
      </c>
      <c r="AL17" s="57">
        <f>IF(OR(AF17=0,AF17=1),(M17-L17),(M17-L17)*(1-MasterSheet_f_RiskPrimaryPercentage))</f>
        <v>0</v>
      </c>
    </row>
    <row r="19" spans="2:38" ht="27" customHeight="1" x14ac:dyDescent="0.25">
      <c r="C19" s="92" t="s">
        <v>317</v>
      </c>
      <c r="D19" s="92"/>
      <c r="E19" s="92"/>
      <c r="F19" s="92"/>
      <c r="G19" s="92"/>
      <c r="H19" s="92"/>
      <c r="I19" s="92"/>
      <c r="J19" s="92"/>
      <c r="K19" s="92"/>
      <c r="L19" s="92"/>
      <c r="M19" s="92"/>
      <c r="N19" s="92"/>
      <c r="O19" s="92"/>
      <c r="P19" s="92"/>
      <c r="Q19" s="92"/>
      <c r="R19" s="92"/>
      <c r="S19" s="92"/>
      <c r="T19" s="92"/>
      <c r="U19" s="92"/>
      <c r="V19" s="92"/>
      <c r="W19" s="92"/>
      <c r="X19" s="92"/>
      <c r="Y19" s="92"/>
      <c r="Z19" s="92"/>
      <c r="AA19" s="92"/>
      <c r="AB19" s="92"/>
      <c r="AC19" s="92"/>
      <c r="AD19" s="92"/>
      <c r="AE19" s="92"/>
      <c r="AF19" s="92"/>
      <c r="AG19" s="92"/>
      <c r="AH19" s="92"/>
      <c r="AI19" s="92"/>
      <c r="AJ19" s="92"/>
      <c r="AK19" s="92"/>
      <c r="AL19" s="92"/>
    </row>
    <row r="21" spans="2:38" ht="36" customHeight="1" thickBot="1" x14ac:dyDescent="0.3">
      <c r="B21" s="59" t="s">
        <v>620</v>
      </c>
      <c r="C21" s="87" t="s">
        <v>291</v>
      </c>
      <c r="D21" s="60" t="s">
        <v>310</v>
      </c>
      <c r="E21" s="89" t="s">
        <v>311</v>
      </c>
      <c r="F21" s="89" t="s">
        <v>624</v>
      </c>
      <c r="G21" s="89" t="s">
        <v>625</v>
      </c>
      <c r="H21" s="89" t="s">
        <v>292</v>
      </c>
      <c r="I21" s="60" t="s">
        <v>1241</v>
      </c>
      <c r="J21" s="60" t="s">
        <v>1238</v>
      </c>
      <c r="K21" s="61" t="s">
        <v>293</v>
      </c>
      <c r="L21" s="61" t="s">
        <v>621</v>
      </c>
      <c r="M21" s="61" t="s">
        <v>294</v>
      </c>
      <c r="N21" s="62" t="s">
        <v>295</v>
      </c>
      <c r="O21" s="62" t="s">
        <v>296</v>
      </c>
      <c r="P21" s="62" t="s">
        <v>297</v>
      </c>
      <c r="Q21" s="61" t="s">
        <v>622</v>
      </c>
      <c r="R21" s="61" t="s">
        <v>623</v>
      </c>
      <c r="S21" s="60" t="s">
        <v>305</v>
      </c>
      <c r="T21" s="60" t="s">
        <v>306</v>
      </c>
      <c r="U21" s="64" t="s">
        <v>299</v>
      </c>
      <c r="V21" s="65" t="s">
        <v>1312</v>
      </c>
      <c r="W21" s="65" t="s">
        <v>1327</v>
      </c>
      <c r="X21" s="65" t="s">
        <v>1408</v>
      </c>
      <c r="Y21" s="61" t="s">
        <v>300</v>
      </c>
      <c r="Z21" s="61" t="s">
        <v>301</v>
      </c>
      <c r="AA21" s="61" t="s">
        <v>302</v>
      </c>
      <c r="AB21" s="66" t="s">
        <v>1336</v>
      </c>
      <c r="AC21" s="66" t="s">
        <v>1337</v>
      </c>
      <c r="AD21" s="61" t="s">
        <v>303</v>
      </c>
      <c r="AE21" s="61" t="s">
        <v>304</v>
      </c>
      <c r="AF21" s="60" t="s">
        <v>312</v>
      </c>
      <c r="AG21" s="61" t="s">
        <v>313</v>
      </c>
      <c r="AH21" s="61" t="s">
        <v>314</v>
      </c>
      <c r="AI21" s="61" t="s">
        <v>315</v>
      </c>
      <c r="AJ21" s="63" t="s">
        <v>316</v>
      </c>
      <c r="AK21" s="68" t="s">
        <v>1340</v>
      </c>
      <c r="AL21" s="68" t="s">
        <v>1440</v>
      </c>
    </row>
    <row r="22" spans="2:38" ht="14.25" customHeight="1" x14ac:dyDescent="0.25">
      <c r="B22" s="44">
        <v>1</v>
      </c>
      <c r="C22" s="48"/>
      <c r="D22" s="49" t="s">
        <v>1216</v>
      </c>
      <c r="E22" s="45"/>
      <c r="F22" s="49"/>
      <c r="G22" s="50"/>
      <c r="H22" s="45">
        <v>2013</v>
      </c>
      <c r="I22" s="88"/>
      <c r="J22" s="45" t="s">
        <v>1222</v>
      </c>
      <c r="K22" s="54"/>
      <c r="L22" s="55"/>
      <c r="M22" s="54"/>
      <c r="N22" s="53"/>
      <c r="O22" s="53">
        <v>1</v>
      </c>
      <c r="P22" s="53"/>
      <c r="Q22" s="46">
        <f>SUMPRODUCT(K22:M22,N22:P22)</f>
        <v>0</v>
      </c>
      <c r="R22" s="46">
        <f>L22</f>
        <v>0</v>
      </c>
      <c r="S22" s="58"/>
      <c r="T22" s="58"/>
      <c r="U22" s="51">
        <v>1</v>
      </c>
      <c r="V22" s="46" t="s">
        <v>317</v>
      </c>
      <c r="W22" s="46" t="str">
        <f>V22&amp;F22&amp;G22&amp;E22</f>
        <v>Analysefase</v>
      </c>
      <c r="X22" s="46">
        <f>INDEX(MasterSheet_rng_PLOYearAdjs,MATCH(MasterSheet_Repeater_PloYRep&amp;"-"&amp;H22,MasterSheet_rng_PLOYearAdjsConcat,0))</f>
        <v>1</v>
      </c>
      <c r="Y22" s="46">
        <f>U22*L22*X22</f>
        <v>0</v>
      </c>
      <c r="Z22" s="46">
        <f>U22*Q22*X22</f>
        <v>0</v>
      </c>
      <c r="AA22" s="46">
        <f>U22*R22*X22</f>
        <v>0</v>
      </c>
      <c r="AB22" s="56">
        <f>U22*K22*X22</f>
        <v>0</v>
      </c>
      <c r="AC22" s="57">
        <f>U22*M22*X22</f>
        <v>0</v>
      </c>
      <c r="AD22" s="46">
        <f>Z22-Y22</f>
        <v>0</v>
      </c>
      <c r="AE22" s="46">
        <f>AA22-Y22</f>
        <v>0</v>
      </c>
      <c r="AF22" s="52">
        <f>COUNTA(S22:T22)</f>
        <v>0</v>
      </c>
      <c r="AG22" s="46">
        <f>IF(OR(AF22=0,AF22=1),AD22,AD22*MasterSheet_f_RiskPrimaryPercentage)</f>
        <v>0</v>
      </c>
      <c r="AH22" s="46">
        <f>IF(OR(AF22=0,AF22=1),0,AD22*(1-MasterSheet_f_RiskPrimaryPercentage))</f>
        <v>0</v>
      </c>
      <c r="AI22" s="46">
        <f>IF(OR(AF22=0,AF22=1),AE22,AE22*MasterSheet_f_RiskPrimaryPercentage)</f>
        <v>0</v>
      </c>
      <c r="AJ22" s="47">
        <f>IF(OR(AF22=0,AF22=1),0,AE22*(1-MasterSheet_f_RiskPrimaryPercentage))</f>
        <v>0</v>
      </c>
      <c r="AK22" s="47">
        <f>IF(OR(AF22=0,AF22=1),(M22-L22),(M22-L22)*MasterSheet_f_RiskPrimaryPercentage)</f>
        <v>0</v>
      </c>
      <c r="AL22" s="57">
        <f>IF(OR(AF22=0,AF22=1),(M22-L22),(M22-L22)*(1-MasterSheet_f_RiskPrimaryPercentage))</f>
        <v>0</v>
      </c>
    </row>
    <row r="24" spans="2:38" ht="27" customHeight="1" x14ac:dyDescent="0.25">
      <c r="C24" s="92" t="s">
        <v>318</v>
      </c>
      <c r="D24" s="92"/>
      <c r="E24" s="92"/>
      <c r="F24" s="92"/>
      <c r="G24" s="92"/>
      <c r="H24" s="92"/>
      <c r="I24" s="92"/>
      <c r="J24" s="92"/>
      <c r="K24" s="92"/>
      <c r="L24" s="92"/>
      <c r="M24" s="92"/>
      <c r="N24" s="92"/>
      <c r="O24" s="92"/>
      <c r="P24" s="92"/>
      <c r="Q24" s="92"/>
      <c r="R24" s="92"/>
      <c r="S24" s="92"/>
      <c r="T24" s="92"/>
      <c r="U24" s="92"/>
      <c r="V24" s="92"/>
      <c r="W24" s="92"/>
      <c r="X24" s="92"/>
      <c r="Y24" s="92"/>
      <c r="Z24" s="92"/>
      <c r="AA24" s="92"/>
      <c r="AB24" s="92"/>
      <c r="AC24" s="92"/>
      <c r="AD24" s="92"/>
      <c r="AE24" s="92"/>
      <c r="AF24" s="92"/>
      <c r="AG24" s="92"/>
      <c r="AH24" s="92"/>
      <c r="AI24" s="92"/>
      <c r="AJ24" s="92"/>
      <c r="AK24" s="92"/>
      <c r="AL24" s="92"/>
    </row>
    <row r="26" spans="2:38" ht="36" customHeight="1" thickBot="1" x14ac:dyDescent="0.3">
      <c r="B26" s="27" t="s">
        <v>620</v>
      </c>
      <c r="C26" s="36" t="s">
        <v>291</v>
      </c>
      <c r="D26" s="28" t="s">
        <v>310</v>
      </c>
      <c r="E26" s="35" t="s">
        <v>311</v>
      </c>
      <c r="F26" s="35" t="s">
        <v>624</v>
      </c>
      <c r="G26" s="35" t="s">
        <v>625</v>
      </c>
      <c r="H26" s="35" t="s">
        <v>292</v>
      </c>
      <c r="I26" s="28" t="s">
        <v>1241</v>
      </c>
      <c r="J26" s="28" t="s">
        <v>1238</v>
      </c>
      <c r="K26" s="29" t="s">
        <v>293</v>
      </c>
      <c r="L26" s="29" t="s">
        <v>621</v>
      </c>
      <c r="M26" s="29" t="s">
        <v>294</v>
      </c>
      <c r="N26" s="30" t="s">
        <v>295</v>
      </c>
      <c r="O26" s="30" t="s">
        <v>296</v>
      </c>
      <c r="P26" s="30" t="s">
        <v>297</v>
      </c>
      <c r="Q26" s="29" t="s">
        <v>622</v>
      </c>
      <c r="R26" s="29" t="s">
        <v>623</v>
      </c>
      <c r="S26" s="28" t="s">
        <v>305</v>
      </c>
      <c r="T26" s="28" t="s">
        <v>306</v>
      </c>
      <c r="U26" s="31" t="s">
        <v>299</v>
      </c>
      <c r="V26" s="32" t="s">
        <v>1312</v>
      </c>
      <c r="W26" s="32" t="s">
        <v>1327</v>
      </c>
      <c r="X26" s="32" t="s">
        <v>1408</v>
      </c>
      <c r="Y26" s="29" t="s">
        <v>300</v>
      </c>
      <c r="Z26" s="29" t="s">
        <v>301</v>
      </c>
      <c r="AA26" s="29" t="s">
        <v>302</v>
      </c>
      <c r="AB26" s="33" t="s">
        <v>1336</v>
      </c>
      <c r="AC26" s="33" t="s">
        <v>1337</v>
      </c>
      <c r="AD26" s="29" t="s">
        <v>303</v>
      </c>
      <c r="AE26" s="29" t="s">
        <v>304</v>
      </c>
      <c r="AF26" s="28" t="s">
        <v>312</v>
      </c>
      <c r="AG26" s="29" t="s">
        <v>313</v>
      </c>
      <c r="AH26" s="29" t="s">
        <v>314</v>
      </c>
      <c r="AI26" s="29" t="s">
        <v>315</v>
      </c>
      <c r="AJ26" s="40" t="s">
        <v>316</v>
      </c>
      <c r="AK26" s="34" t="s">
        <v>1340</v>
      </c>
      <c r="AL26" s="68" t="s">
        <v>1440</v>
      </c>
    </row>
    <row r="27" spans="2:38" ht="14.25" customHeight="1" x14ac:dyDescent="0.25">
      <c r="B27" s="44">
        <v>1</v>
      </c>
      <c r="C27" s="48"/>
      <c r="D27" s="49" t="s">
        <v>1216</v>
      </c>
      <c r="E27" s="45"/>
      <c r="F27" s="49"/>
      <c r="G27" s="50"/>
      <c r="H27" s="45">
        <v>2013</v>
      </c>
      <c r="I27" s="88"/>
      <c r="J27" s="45" t="s">
        <v>1222</v>
      </c>
      <c r="K27" s="54"/>
      <c r="L27" s="55"/>
      <c r="M27" s="54"/>
      <c r="N27" s="53"/>
      <c r="O27" s="53">
        <v>1</v>
      </c>
      <c r="P27" s="53"/>
      <c r="Q27" s="46">
        <f>SUMPRODUCT(K27:M27,N27:P27)</f>
        <v>0</v>
      </c>
      <c r="R27" s="46">
        <f>L27</f>
        <v>0</v>
      </c>
      <c r="S27" s="58"/>
      <c r="T27" s="58"/>
      <c r="U27" s="51">
        <v>1</v>
      </c>
      <c r="V27" s="46" t="s">
        <v>318</v>
      </c>
      <c r="W27" s="46" t="str">
        <f>V27&amp;F27&amp;G27&amp;E27</f>
        <v>Anskaffelsesfase</v>
      </c>
      <c r="X27" s="46">
        <f>INDEX(MasterSheet_rng_PLOYearAdjs,MATCH(MasterSheet_Repeater_PloYRep&amp;"-"&amp;H27,MasterSheet_rng_PLOYearAdjsConcat,0))</f>
        <v>1</v>
      </c>
      <c r="Y27" s="46">
        <f>U27*L27*X27</f>
        <v>0</v>
      </c>
      <c r="Z27" s="46">
        <f>U27*Q27*X27</f>
        <v>0</v>
      </c>
      <c r="AA27" s="46">
        <f>U27*R27*X27</f>
        <v>0</v>
      </c>
      <c r="AB27" s="56">
        <f>U27*K27*X27</f>
        <v>0</v>
      </c>
      <c r="AC27" s="57">
        <f>U27*M27*X27</f>
        <v>0</v>
      </c>
      <c r="AD27" s="46">
        <f>Z27-Y27</f>
        <v>0</v>
      </c>
      <c r="AE27" s="46">
        <f>AA27-Y27</f>
        <v>0</v>
      </c>
      <c r="AF27" s="52">
        <f>COUNTA(S27:T27)</f>
        <v>0</v>
      </c>
      <c r="AG27" s="46">
        <f>IF(OR(AF27=0,AF27=1),AD27,AD27*MasterSheet_f_RiskPrimaryPercentage)</f>
        <v>0</v>
      </c>
      <c r="AH27" s="46">
        <f>IF(OR(AF27=0,AF27=1),0,AD27*(1-MasterSheet_f_RiskPrimaryPercentage))</f>
        <v>0</v>
      </c>
      <c r="AI27" s="46">
        <f>IF(OR(AF27=0,AF27=1),AE27,AE27*MasterSheet_f_RiskPrimaryPercentage)</f>
        <v>0</v>
      </c>
      <c r="AJ27" s="47">
        <f>IF(OR(AF27=0,AF27=1),0,AE27*(1-MasterSheet_f_RiskPrimaryPercentage))</f>
        <v>0</v>
      </c>
      <c r="AK27" s="47">
        <f>IF(OR(AF27=0,AF27=1),(M27-L27),(M27-L27)*MasterSheet_f_RiskPrimaryPercentage)</f>
        <v>0</v>
      </c>
      <c r="AL27" s="57">
        <f>IF(OR(AF27=0,AF27=1),(M27-L27),(M27-L27)*(1-MasterSheet_f_RiskPrimaryPercentage))</f>
        <v>0</v>
      </c>
    </row>
    <row r="29" spans="2:38" ht="27" customHeight="1" x14ac:dyDescent="0.25">
      <c r="C29" s="92" t="s">
        <v>1250</v>
      </c>
      <c r="D29" s="92"/>
      <c r="E29" s="92"/>
      <c r="F29" s="92"/>
      <c r="G29" s="92"/>
      <c r="H29" s="92"/>
      <c r="I29" s="92"/>
      <c r="J29" s="92"/>
      <c r="K29" s="92"/>
      <c r="L29" s="92"/>
      <c r="M29" s="92"/>
      <c r="N29" s="92"/>
      <c r="O29" s="92"/>
      <c r="P29" s="92"/>
      <c r="Q29" s="92"/>
      <c r="R29" s="92"/>
      <c r="S29" s="92"/>
      <c r="T29" s="92"/>
      <c r="U29" s="92"/>
      <c r="V29" s="92"/>
      <c r="W29" s="92"/>
      <c r="X29" s="92"/>
      <c r="Y29" s="92"/>
      <c r="Z29" s="92"/>
      <c r="AA29" s="92"/>
      <c r="AB29" s="92"/>
      <c r="AC29" s="92"/>
      <c r="AD29" s="92"/>
      <c r="AE29" s="92"/>
      <c r="AF29" s="92"/>
      <c r="AG29" s="92"/>
      <c r="AH29" s="92"/>
      <c r="AI29" s="92"/>
      <c r="AJ29" s="92"/>
      <c r="AK29" s="92"/>
      <c r="AL29" s="92"/>
    </row>
    <row r="31" spans="2:38" ht="36" customHeight="1" thickBot="1" x14ac:dyDescent="0.3">
      <c r="B31" s="27" t="s">
        <v>620</v>
      </c>
      <c r="C31" s="36" t="s">
        <v>291</v>
      </c>
      <c r="D31" s="28" t="s">
        <v>310</v>
      </c>
      <c r="E31" s="35" t="s">
        <v>311</v>
      </c>
      <c r="F31" s="35" t="s">
        <v>624</v>
      </c>
      <c r="G31" s="35" t="s">
        <v>625</v>
      </c>
      <c r="H31" s="35" t="s">
        <v>292</v>
      </c>
      <c r="I31" s="28" t="s">
        <v>1241</v>
      </c>
      <c r="J31" s="28" t="s">
        <v>1238</v>
      </c>
      <c r="K31" s="29" t="s">
        <v>293</v>
      </c>
      <c r="L31" s="29" t="s">
        <v>621</v>
      </c>
      <c r="M31" s="29" t="s">
        <v>294</v>
      </c>
      <c r="N31" s="30" t="s">
        <v>295</v>
      </c>
      <c r="O31" s="30" t="s">
        <v>296</v>
      </c>
      <c r="P31" s="30" t="s">
        <v>297</v>
      </c>
      <c r="Q31" s="29" t="s">
        <v>622</v>
      </c>
      <c r="R31" s="29" t="s">
        <v>623</v>
      </c>
      <c r="S31" s="28" t="s">
        <v>305</v>
      </c>
      <c r="T31" s="28" t="s">
        <v>306</v>
      </c>
      <c r="U31" s="31" t="s">
        <v>299</v>
      </c>
      <c r="V31" s="32" t="s">
        <v>1312</v>
      </c>
      <c r="W31" s="32" t="s">
        <v>1327</v>
      </c>
      <c r="X31" s="32" t="s">
        <v>1408</v>
      </c>
      <c r="Y31" s="29" t="s">
        <v>300</v>
      </c>
      <c r="Z31" s="29" t="s">
        <v>301</v>
      </c>
      <c r="AA31" s="29" t="s">
        <v>302</v>
      </c>
      <c r="AB31" s="33" t="s">
        <v>1336</v>
      </c>
      <c r="AC31" s="33" t="s">
        <v>1337</v>
      </c>
      <c r="AD31" s="29" t="s">
        <v>303</v>
      </c>
      <c r="AE31" s="29" t="s">
        <v>304</v>
      </c>
      <c r="AF31" s="28" t="s">
        <v>312</v>
      </c>
      <c r="AG31" s="29" t="s">
        <v>313</v>
      </c>
      <c r="AH31" s="29" t="s">
        <v>314</v>
      </c>
      <c r="AI31" s="29" t="s">
        <v>315</v>
      </c>
      <c r="AJ31" s="40" t="s">
        <v>316</v>
      </c>
      <c r="AK31" s="34" t="s">
        <v>1340</v>
      </c>
      <c r="AL31" s="68" t="s">
        <v>1440</v>
      </c>
    </row>
    <row r="32" spans="2:38" ht="14.25" customHeight="1" x14ac:dyDescent="0.25">
      <c r="B32" s="44">
        <v>1</v>
      </c>
      <c r="C32" s="48"/>
      <c r="D32" s="49" t="s">
        <v>1216</v>
      </c>
      <c r="E32" s="45"/>
      <c r="F32" s="49"/>
      <c r="G32" s="50"/>
      <c r="H32" s="45">
        <v>2013</v>
      </c>
      <c r="I32" s="88"/>
      <c r="J32" s="45" t="s">
        <v>1222</v>
      </c>
      <c r="K32" s="54"/>
      <c r="L32" s="55"/>
      <c r="M32" s="54"/>
      <c r="N32" s="53"/>
      <c r="O32" s="53">
        <v>1</v>
      </c>
      <c r="P32" s="53"/>
      <c r="Q32" s="46">
        <f>SUMPRODUCT(K32:M32,N32:P32)</f>
        <v>0</v>
      </c>
      <c r="R32" s="46">
        <f>L32</f>
        <v>0</v>
      </c>
      <c r="S32" s="58"/>
      <c r="T32" s="58"/>
      <c r="U32" s="51">
        <v>1</v>
      </c>
      <c r="V32" s="46" t="s">
        <v>1250</v>
      </c>
      <c r="W32" s="46" t="str">
        <f>V32&amp;F32&amp;G32&amp;E32</f>
        <v>Gennemførselsfase</v>
      </c>
      <c r="X32" s="46">
        <f>INDEX(MasterSheet_rng_PLOYearAdjs,MATCH(MasterSheet_Repeater_PloYRep&amp;"-"&amp;H32,MasterSheet_rng_PLOYearAdjsConcat,0))</f>
        <v>1</v>
      </c>
      <c r="Y32" s="46">
        <f>U32*L32*X32</f>
        <v>0</v>
      </c>
      <c r="Z32" s="46">
        <f>U32*Q32*X32</f>
        <v>0</v>
      </c>
      <c r="AA32" s="46">
        <f>U32*R32*X32</f>
        <v>0</v>
      </c>
      <c r="AB32" s="56">
        <f>U32*K32*X32</f>
        <v>0</v>
      </c>
      <c r="AC32" s="57">
        <f>U32*M32*X32</f>
        <v>0</v>
      </c>
      <c r="AD32" s="46">
        <f>Z32-Y32</f>
        <v>0</v>
      </c>
      <c r="AE32" s="46">
        <f>AA32-Y32</f>
        <v>0</v>
      </c>
      <c r="AF32" s="52">
        <f>COUNTA(S32:T32)</f>
        <v>0</v>
      </c>
      <c r="AG32" s="46">
        <f>IF(OR(AF32=0,AF32=1),AD32,AD32*MasterSheet_f_RiskPrimaryPercentage)</f>
        <v>0</v>
      </c>
      <c r="AH32" s="46">
        <f>IF(OR(AF32=0,AF32=1),0,AD32*(1-MasterSheet_f_RiskPrimaryPercentage))</f>
        <v>0</v>
      </c>
      <c r="AI32" s="46">
        <f>IF(OR(AF32=0,AF32=1),AE32,AE32*MasterSheet_f_RiskPrimaryPercentage)</f>
        <v>0</v>
      </c>
      <c r="AJ32" s="47">
        <f>IF(OR(AF32=0,AF32=1),0,AE32*(1-MasterSheet_f_RiskPrimaryPercentage))</f>
        <v>0</v>
      </c>
      <c r="AK32" s="47">
        <f>IF(OR(AF32=0,AF32=1),(M32-L32),(M32-L32)*MasterSheet_f_RiskPrimaryPercentage)</f>
        <v>0</v>
      </c>
      <c r="AL32" s="57">
        <f>IF(OR(AF32=0,AF32=1),(M32-L32),(M32-L32)*(1-MasterSheet_f_RiskPrimaryPercentage))</f>
        <v>0</v>
      </c>
    </row>
    <row r="34" spans="2:38" ht="27" hidden="1" customHeight="1" x14ac:dyDescent="0.25">
      <c r="C34" s="92" t="s">
        <v>319</v>
      </c>
      <c r="D34" s="92"/>
      <c r="E34" s="92"/>
      <c r="F34" s="92"/>
      <c r="G34" s="92"/>
      <c r="H34" s="92"/>
      <c r="I34" s="92"/>
      <c r="J34" s="92"/>
      <c r="K34" s="92"/>
      <c r="L34" s="92"/>
      <c r="M34" s="92"/>
      <c r="N34" s="92"/>
      <c r="O34" s="92"/>
      <c r="P34" s="92"/>
      <c r="Q34" s="92"/>
      <c r="R34" s="92"/>
      <c r="S34" s="92"/>
      <c r="T34" s="92"/>
      <c r="U34" s="92"/>
      <c r="V34" s="92"/>
      <c r="W34" s="92"/>
      <c r="X34" s="92"/>
      <c r="Y34" s="92"/>
      <c r="Z34" s="92"/>
      <c r="AA34" s="92"/>
      <c r="AB34" s="92"/>
      <c r="AC34" s="92"/>
      <c r="AD34" s="92"/>
      <c r="AE34" s="92"/>
      <c r="AF34" s="92"/>
      <c r="AG34" s="92"/>
      <c r="AH34" s="92"/>
      <c r="AI34" s="92"/>
      <c r="AJ34" s="92"/>
      <c r="AK34" s="92"/>
      <c r="AL34" s="92"/>
    </row>
    <row r="35" spans="2:38" ht="14.25" hidden="1" customHeight="1" x14ac:dyDescent="0.25"/>
    <row r="36" spans="2:38" ht="36" hidden="1" customHeight="1" thickBot="1" x14ac:dyDescent="0.3">
      <c r="B36" s="27" t="s">
        <v>620</v>
      </c>
      <c r="C36" s="36" t="s">
        <v>291</v>
      </c>
      <c r="D36" s="28" t="s">
        <v>310</v>
      </c>
      <c r="E36" s="35" t="s">
        <v>311</v>
      </c>
      <c r="F36" s="35" t="s">
        <v>624</v>
      </c>
      <c r="G36" s="35" t="s">
        <v>625</v>
      </c>
      <c r="H36" s="35" t="s">
        <v>292</v>
      </c>
      <c r="I36" s="28" t="s">
        <v>1241</v>
      </c>
      <c r="J36" s="28" t="s">
        <v>1238</v>
      </c>
      <c r="K36" s="29" t="s">
        <v>293</v>
      </c>
      <c r="L36" s="29" t="s">
        <v>621</v>
      </c>
      <c r="M36" s="29" t="s">
        <v>294</v>
      </c>
      <c r="N36" s="30" t="s">
        <v>295</v>
      </c>
      <c r="O36" s="30" t="s">
        <v>296</v>
      </c>
      <c r="P36" s="30" t="s">
        <v>297</v>
      </c>
      <c r="Q36" s="29" t="s">
        <v>622</v>
      </c>
      <c r="R36" s="29" t="s">
        <v>623</v>
      </c>
      <c r="S36" s="28" t="s">
        <v>305</v>
      </c>
      <c r="T36" s="28" t="s">
        <v>306</v>
      </c>
      <c r="U36" s="31" t="s">
        <v>299</v>
      </c>
      <c r="V36" s="32" t="s">
        <v>1312</v>
      </c>
      <c r="W36" s="32" t="s">
        <v>1327</v>
      </c>
      <c r="X36" s="32" t="s">
        <v>1408</v>
      </c>
      <c r="Y36" s="29" t="s">
        <v>300</v>
      </c>
      <c r="Z36" s="29" t="s">
        <v>301</v>
      </c>
      <c r="AA36" s="29" t="s">
        <v>302</v>
      </c>
      <c r="AB36" s="33" t="s">
        <v>1336</v>
      </c>
      <c r="AC36" s="33" t="s">
        <v>1337</v>
      </c>
      <c r="AD36" s="29" t="s">
        <v>303</v>
      </c>
      <c r="AE36" s="29" t="s">
        <v>304</v>
      </c>
      <c r="AF36" s="28" t="s">
        <v>312</v>
      </c>
      <c r="AG36" s="29" t="s">
        <v>313</v>
      </c>
      <c r="AH36" s="29" t="s">
        <v>314</v>
      </c>
      <c r="AI36" s="29" t="s">
        <v>315</v>
      </c>
      <c r="AJ36" s="40" t="s">
        <v>316</v>
      </c>
      <c r="AK36" s="34" t="s">
        <v>1340</v>
      </c>
      <c r="AL36" s="68" t="s">
        <v>1440</v>
      </c>
    </row>
    <row r="37" spans="2:38" ht="14.25" hidden="1" customHeight="1" x14ac:dyDescent="0.25">
      <c r="B37" s="44">
        <v>1</v>
      </c>
      <c r="C37" s="48"/>
      <c r="D37" s="49" t="s">
        <v>1216</v>
      </c>
      <c r="E37" s="45"/>
      <c r="F37" s="49"/>
      <c r="G37" s="50"/>
      <c r="H37" s="45">
        <v>2013</v>
      </c>
      <c r="I37" s="88"/>
      <c r="J37" s="45" t="s">
        <v>1222</v>
      </c>
      <c r="K37" s="54"/>
      <c r="L37" s="55"/>
      <c r="M37" s="54"/>
      <c r="N37" s="53"/>
      <c r="O37" s="53">
        <v>1</v>
      </c>
      <c r="P37" s="53"/>
      <c r="Q37" s="46">
        <f>SUMPRODUCT(K37:M37,N37:P37)</f>
        <v>0</v>
      </c>
      <c r="R37" s="46">
        <f>L37</f>
        <v>0</v>
      </c>
      <c r="S37" s="58"/>
      <c r="T37" s="58"/>
      <c r="U37" s="51">
        <v>1</v>
      </c>
      <c r="V37" s="46" t="s">
        <v>319</v>
      </c>
      <c r="W37" s="46" t="str">
        <f>V37&amp;F37&amp;G37&amp;E37</f>
        <v>Realiseringsfase</v>
      </c>
      <c r="X37" s="46">
        <f>INDEX(MasterSheet_rng_PLOYearAdjs,MATCH(MasterSheet_Repeater_PloYRep&amp;"-"&amp;H37,MasterSheet_rng_PLOYearAdjsConcat,0))</f>
        <v>1</v>
      </c>
      <c r="Y37" s="46">
        <f>U37*L37*X37</f>
        <v>0</v>
      </c>
      <c r="Z37" s="46">
        <f>U37*Q37*X37</f>
        <v>0</v>
      </c>
      <c r="AA37" s="46">
        <f>U37*R37*X37</f>
        <v>0</v>
      </c>
      <c r="AB37" s="56">
        <f>U37*K37*X37</f>
        <v>0</v>
      </c>
      <c r="AC37" s="57">
        <f>U37*M37*X37</f>
        <v>0</v>
      </c>
      <c r="AD37" s="46">
        <f>Z37-Y37</f>
        <v>0</v>
      </c>
      <c r="AE37" s="46">
        <f>AA37-Y37</f>
        <v>0</v>
      </c>
      <c r="AF37" s="52">
        <f>COUNTA(S37:T37)</f>
        <v>0</v>
      </c>
      <c r="AG37" s="46">
        <f>IF(OR(AF37=0,AF37=1),AD37,AD37*MasterSheet_f_RiskPrimaryPercentage)</f>
        <v>0</v>
      </c>
      <c r="AH37" s="46">
        <f>IF(OR(AF37=0,AF37=1),0,AD37*(1-MasterSheet_f_RiskPrimaryPercentage))</f>
        <v>0</v>
      </c>
      <c r="AI37" s="46">
        <f>IF(OR(AF37=0,AF37=1),AE37,AE37*MasterSheet_f_RiskPrimaryPercentage)</f>
        <v>0</v>
      </c>
      <c r="AJ37" s="47">
        <f>IF(OR(AF37=0,AF37=1),0,AE37*(1-MasterSheet_f_RiskPrimaryPercentage))</f>
        <v>0</v>
      </c>
      <c r="AK37" s="47">
        <f>IF(OR(AF37=0,AF37=1),(M37-L37),(M37-L37)*MasterSheet_f_RiskPrimaryPercentage)</f>
        <v>0</v>
      </c>
      <c r="AL37" s="57">
        <f>IF(OR(AF37=0,AF37=1),(M37-L37),(M37-L37)*(1-MasterSheet_f_RiskPrimaryPercentage))</f>
        <v>0</v>
      </c>
    </row>
    <row r="38" spans="2:38" ht="14.25" hidden="1" customHeight="1" x14ac:dyDescent="0.25"/>
  </sheetData>
  <sheetProtection algorithmName="SHA-512" hashValue="wv3tkS5MNG/nLjOToPRNY6mMPNXHvpGZTYc/4BxBGdVL6KXiEBDZaz+gTBSKCDoB14jQy9AnuaEvHEtI5xOIUg==" saltValue="0zRdmh7WT6rjh78/xKq5ew==" spinCount="100000" sheet="1" objects="1" scenarios="1"/>
  <mergeCells count="2">
    <mergeCell ref="C8:H8"/>
    <mergeCell ref="C9:H9"/>
  </mergeCells>
  <dataValidations count="9">
    <dataValidation type="list" allowBlank="1" showInputMessage="1" showErrorMessage="1" sqref="J9 J17 J22 J27 J32 J37" xr:uid="{00000000-0002-0000-0500-000000000000}">
      <formula1>IF(ISERROR(INDIRECT("MasterSheet_rng_DistType",TRUE)),$A:$A,INDIRECT("MasterSheet_rng_DistType",TRUE))</formula1>
    </dataValidation>
    <dataValidation type="list" allowBlank="1" showInputMessage="1" showErrorMessage="1" sqref="G17 G22 G27 G32 G37" xr:uid="{00000000-0002-0000-0500-000001000000}">
      <formula1>IF(ISERROR(INDIRECT("MasterSheet_Repeater_Udgifts",TRUE)),$A:$A,INDIRECT("MasterSheet_Repeater_Udgifts",TRUE))</formula1>
    </dataValidation>
    <dataValidation type="list" allowBlank="1" showInputMessage="1" showErrorMessage="1" sqref="S17 S22 S27 S32 S37" xr:uid="{00000000-0002-0000-0500-000002000000}">
      <formula1>IF(ISERROR(INDIRECT("MasterSheet_Repeater_Risci",TRUE)),$A:$A,INDIRECT("MasterSheet_Repeater_Risci",TRUE))</formula1>
    </dataValidation>
    <dataValidation type="list" allowBlank="1" showInputMessage="1" showErrorMessage="1" sqref="F17 F22 F27 F32 F37" xr:uid="{00000000-0002-0000-0500-000003000000}">
      <formula1>IF(ISERROR(INDIRECT("MasterSheet_Repeater_Finanskonti",TRUE)),$A:$A,INDIRECT("MasterSheet_Repeater_Finanskonti",TRUE))</formula1>
    </dataValidation>
    <dataValidation type="list" allowBlank="1" showInputMessage="1" showErrorMessage="1" sqref="H17 H22 H27 H32 H37" xr:uid="{00000000-0002-0000-0500-000004000000}">
      <formula1>IF(ISERROR(INDIRECT("MasterSheet_rng_PLOYear",TRUE)),$A:$A,INDIRECT("MasterSheet_rng_PLOYear",TRUE))</formula1>
    </dataValidation>
    <dataValidation allowBlank="1" errorTitle="Fejl i værdi" error="Du skal vælge e轠Ќ_x0000__x0000__x0000__x0000__x000c__x0000__x0000__x0010__x0000__x0000_㿿_x0000__xffff__xffff__x0000__x0000_ardinet." promptTitle="Vælg fra listen." prompt="Du skal vælge en værdi fra rullegardinet" sqref="AL17 AL22 AL27 AL32 AL37" xr:uid="{00000000-0002-0000-0500-000005000000}"/>
    <dataValidation type="list" allowBlank="1" showInputMessage="1" showErrorMessage="1" sqref="T17 T22 T27 T32 T37" xr:uid="{00000000-0002-0000-0500-000006000000}">
      <formula1>IF(S17="",$A:$A,IF(ISERROR(INDIRECT("MasterSheet_Repeater_Risci",TRUE)),$A:$A,INDIRECT("MasterSheet_Repeater_Risci",TRUE)))</formula1>
    </dataValidation>
    <dataValidation type="list" allowBlank="1" showInputMessage="1" showErrorMessage="1" sqref="D17 D22 D27 D32 D37" xr:uid="{00000000-0002-0000-0500-000007000000}">
      <formula1>IF(U17=1,IF(ISERROR(INDIRECT("MasterSheet_rng_AssumptionsMain",TRUE)),$A:$A,INDIRECT("MasterSheet_rng_AssumptionsMain",TRUE)),IF(ISERROR(INDIRECT("MasterSheet_rng_AssumptionsSub",TRUE)),$A:$A,INDIRECT("MasterSheet_rng_AssumptionsSub",TRUE)))</formula1>
    </dataValidation>
    <dataValidation type="list" allowBlank="1" showInputMessage="1" showErrorMessage="1" sqref="E17 E22 E27 E32 E37" xr:uid="{00000000-0002-0000-0500-000008000000}">
      <formula1>IF(ISERROR(INDIRECT("MasterSheet_Repeater_TidsPlan",TRUE)),$A:$A,INDIRECT("MasterSheet_Repeater_TidsPlan",TRUE))</formula1>
    </dataValidation>
  </dataValidations>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538DD5"/>
  </sheetPr>
  <dimension ref="B2:AL23"/>
  <sheetViews>
    <sheetView showGridLines="0" zoomScale="80" zoomScaleNormal="80" workbookViewId="0">
      <selection activeCell="B23" sqref="B23:AL23"/>
    </sheetView>
  </sheetViews>
  <sheetFormatPr defaultColWidth="10.140625" defaultRowHeight="14.25" customHeight="1" x14ac:dyDescent="0.25"/>
  <cols>
    <col min="1" max="1" width="3.5703125" customWidth="1"/>
    <col min="2" max="2" width="9.140625" hidden="1" customWidth="1"/>
    <col min="3" max="3" width="60.85546875" customWidth="1"/>
    <col min="4" max="4" width="36.28515625" customWidth="1"/>
    <col min="5" max="5" width="6.140625" customWidth="1"/>
    <col min="6" max="6" width="20" customWidth="1"/>
    <col min="7" max="7" width="28" customWidth="1"/>
    <col min="8" max="8" width="7.140625" customWidth="1"/>
    <col min="9" max="9" width="24.7109375" customWidth="1"/>
    <col min="10" max="10" width="15" customWidth="1"/>
    <col min="11" max="13" width="12.28515625" customWidth="1"/>
    <col min="14" max="16" width="8.7109375" customWidth="1"/>
    <col min="17" max="17" width="12.7109375" customWidth="1"/>
    <col min="18" max="18" width="9.140625" hidden="1" customWidth="1"/>
    <col min="19" max="20" width="17.7109375" customWidth="1"/>
    <col min="21" max="38" width="9.140625" hidden="1" customWidth="1"/>
    <col min="39" max="200" width="9.140625" customWidth="1"/>
  </cols>
  <sheetData>
    <row r="2" spans="2:38" ht="48.95" customHeight="1" x14ac:dyDescent="0.25"/>
    <row r="3" spans="2:38" ht="30.95" customHeight="1" x14ac:dyDescent="0.25"/>
    <row r="6" spans="2:38" ht="29.1" hidden="1" customHeight="1" x14ac:dyDescent="0.25"/>
    <row r="7" spans="2:38" ht="14.25" hidden="1" customHeight="1" x14ac:dyDescent="0.25"/>
    <row r="8" spans="2:38" ht="36" hidden="1" customHeight="1" thickBot="1" x14ac:dyDescent="0.3">
      <c r="B8" s="59" t="s">
        <v>620</v>
      </c>
      <c r="C8" s="342" t="s">
        <v>291</v>
      </c>
      <c r="D8" s="343"/>
      <c r="E8" s="343"/>
      <c r="F8" s="343"/>
      <c r="G8" s="343"/>
      <c r="H8" s="343"/>
      <c r="I8" s="60" t="s">
        <v>1241</v>
      </c>
      <c r="J8" s="60" t="s">
        <v>1238</v>
      </c>
      <c r="K8" s="61" t="s">
        <v>293</v>
      </c>
      <c r="L8" s="61" t="s">
        <v>621</v>
      </c>
      <c r="M8" s="61" t="s">
        <v>294</v>
      </c>
      <c r="N8" s="62" t="s">
        <v>295</v>
      </c>
      <c r="O8" s="62" t="s">
        <v>296</v>
      </c>
      <c r="P8" s="62" t="s">
        <v>297</v>
      </c>
      <c r="Q8" s="61" t="s">
        <v>622</v>
      </c>
      <c r="R8" s="63" t="s">
        <v>623</v>
      </c>
      <c r="S8" s="117"/>
      <c r="T8" s="118"/>
      <c r="U8" s="31" t="s">
        <v>299</v>
      </c>
      <c r="V8" s="32" t="s">
        <v>1312</v>
      </c>
      <c r="W8" s="32" t="s">
        <v>1327</v>
      </c>
      <c r="X8" s="32" t="s">
        <v>1408</v>
      </c>
      <c r="Y8" s="29" t="s">
        <v>300</v>
      </c>
      <c r="Z8" s="29" t="s">
        <v>301</v>
      </c>
      <c r="AA8" s="29" t="s">
        <v>302</v>
      </c>
      <c r="AB8" s="33" t="s">
        <v>1336</v>
      </c>
      <c r="AC8" s="33" t="s">
        <v>1337</v>
      </c>
      <c r="AD8" s="117"/>
      <c r="AE8" s="118"/>
      <c r="AF8" s="118"/>
      <c r="AG8" s="118"/>
      <c r="AH8" s="118"/>
      <c r="AI8" s="118"/>
      <c r="AJ8" s="118"/>
      <c r="AK8" s="93"/>
      <c r="AL8" s="93"/>
    </row>
    <row r="9" spans="2:38" ht="14.25" hidden="1" customHeight="1" x14ac:dyDescent="0.25">
      <c r="B9" s="44">
        <v>1</v>
      </c>
      <c r="C9" s="345"/>
      <c r="D9" s="346"/>
      <c r="E9" s="346"/>
      <c r="F9" s="346"/>
      <c r="G9" s="346"/>
      <c r="H9" s="346"/>
      <c r="I9" s="88"/>
      <c r="J9" s="45" t="s">
        <v>1222</v>
      </c>
      <c r="K9" s="54"/>
      <c r="L9" s="55"/>
      <c r="M9" s="54"/>
      <c r="N9" s="53"/>
      <c r="O9" s="53">
        <v>1</v>
      </c>
      <c r="P9" s="53"/>
      <c r="Q9" s="46">
        <f>SUMPRODUCT(K9:M9,N9:P9)</f>
        <v>0</v>
      </c>
      <c r="R9" s="47">
        <f>L9</f>
        <v>0</v>
      </c>
      <c r="S9" s="117"/>
      <c r="T9" s="118"/>
      <c r="U9" s="51">
        <v>1</v>
      </c>
      <c r="V9" s="46" t="s">
        <v>1573</v>
      </c>
      <c r="W9" s="46"/>
      <c r="X9" s="46">
        <v>1</v>
      </c>
      <c r="Y9" s="46">
        <f>U9*L9*X9</f>
        <v>0</v>
      </c>
      <c r="Z9" s="46">
        <f>U9*Q9*X9</f>
        <v>0</v>
      </c>
      <c r="AA9" s="46">
        <f>U9*R9*X9</f>
        <v>0</v>
      </c>
      <c r="AB9" s="56">
        <f>U9*K9*X9</f>
        <v>0</v>
      </c>
      <c r="AC9" s="57">
        <f>U9*M9*X9</f>
        <v>0</v>
      </c>
      <c r="AD9" s="117"/>
      <c r="AE9" s="118"/>
      <c r="AF9" s="118"/>
      <c r="AG9" s="118"/>
      <c r="AH9" s="118"/>
      <c r="AI9" s="118"/>
      <c r="AJ9" s="118"/>
      <c r="AK9" s="93"/>
      <c r="AL9" s="93"/>
    </row>
    <row r="10" spans="2:38" ht="14.25" hidden="1" customHeight="1" x14ac:dyDescent="0.25"/>
    <row r="11" spans="2:38" ht="14.25" hidden="1" customHeight="1" x14ac:dyDescent="0.25"/>
    <row r="12" spans="2:38" ht="29.1" customHeight="1" x14ac:dyDescent="0.25"/>
    <row r="14" spans="2:38" ht="27" customHeight="1" x14ac:dyDescent="0.25">
      <c r="C14" s="92" t="str">
        <f ca="1">OFFSET(INDIRECT("MasterSheet_f_FP_Projekter_1_VS",TRUE),0,35)</f>
        <v>Programledelse</v>
      </c>
      <c r="D14" s="92"/>
      <c r="E14" s="92"/>
      <c r="F14" s="92"/>
      <c r="G14" s="92"/>
      <c r="H14" s="92"/>
      <c r="I14" s="92"/>
      <c r="J14" s="92"/>
      <c r="K14" s="92"/>
      <c r="L14" s="92"/>
      <c r="M14" s="92"/>
      <c r="N14" s="92"/>
      <c r="O14" s="92"/>
      <c r="P14" s="92"/>
      <c r="Q14" s="92"/>
      <c r="R14" s="92"/>
      <c r="S14" s="92"/>
      <c r="T14" s="92"/>
      <c r="U14" s="92"/>
      <c r="V14" s="92"/>
      <c r="W14" s="92"/>
      <c r="X14" s="92"/>
      <c r="Y14" s="92"/>
      <c r="Z14" s="92"/>
      <c r="AA14" s="92"/>
      <c r="AB14" s="92"/>
      <c r="AC14" s="92"/>
      <c r="AD14" s="92"/>
      <c r="AE14" s="92"/>
      <c r="AF14" s="92"/>
      <c r="AG14" s="92"/>
      <c r="AH14" s="92"/>
      <c r="AI14" s="92"/>
      <c r="AJ14" s="92"/>
      <c r="AK14" s="92"/>
      <c r="AL14" s="92"/>
    </row>
    <row r="16" spans="2:38" ht="36" customHeight="1" thickBot="1" x14ac:dyDescent="0.3">
      <c r="B16" s="59" t="s">
        <v>620</v>
      </c>
      <c r="C16" s="87" t="s">
        <v>291</v>
      </c>
      <c r="D16" s="60" t="s">
        <v>310</v>
      </c>
      <c r="E16" s="89" t="s">
        <v>311</v>
      </c>
      <c r="F16" s="89" t="s">
        <v>624</v>
      </c>
      <c r="G16" s="89" t="s">
        <v>625</v>
      </c>
      <c r="H16" s="89" t="s">
        <v>292</v>
      </c>
      <c r="I16" s="60" t="s">
        <v>1241</v>
      </c>
      <c r="J16" s="60" t="s">
        <v>1238</v>
      </c>
      <c r="K16" s="61" t="s">
        <v>293</v>
      </c>
      <c r="L16" s="61" t="s">
        <v>621</v>
      </c>
      <c r="M16" s="61" t="s">
        <v>294</v>
      </c>
      <c r="N16" s="62" t="s">
        <v>295</v>
      </c>
      <c r="O16" s="62" t="s">
        <v>296</v>
      </c>
      <c r="P16" s="62" t="s">
        <v>297</v>
      </c>
      <c r="Q16" s="61" t="s">
        <v>622</v>
      </c>
      <c r="R16" s="61" t="s">
        <v>623</v>
      </c>
      <c r="S16" s="60" t="s">
        <v>305</v>
      </c>
      <c r="T16" s="60" t="s">
        <v>306</v>
      </c>
      <c r="U16" s="64" t="s">
        <v>299</v>
      </c>
      <c r="V16" s="65" t="s">
        <v>1312</v>
      </c>
      <c r="W16" s="65" t="s">
        <v>1327</v>
      </c>
      <c r="X16" s="65" t="s">
        <v>1408</v>
      </c>
      <c r="Y16" s="61" t="s">
        <v>300</v>
      </c>
      <c r="Z16" s="61" t="s">
        <v>301</v>
      </c>
      <c r="AA16" s="61" t="s">
        <v>302</v>
      </c>
      <c r="AB16" s="66" t="s">
        <v>1336</v>
      </c>
      <c r="AC16" s="66" t="s">
        <v>1337</v>
      </c>
      <c r="AD16" s="61" t="s">
        <v>303</v>
      </c>
      <c r="AE16" s="61" t="s">
        <v>304</v>
      </c>
      <c r="AF16" s="60" t="s">
        <v>312</v>
      </c>
      <c r="AG16" s="61" t="s">
        <v>313</v>
      </c>
      <c r="AH16" s="61" t="s">
        <v>314</v>
      </c>
      <c r="AI16" s="61" t="s">
        <v>315</v>
      </c>
      <c r="AJ16" s="63" t="s">
        <v>316</v>
      </c>
      <c r="AK16" s="68" t="s">
        <v>1340</v>
      </c>
      <c r="AL16" s="68" t="s">
        <v>1440</v>
      </c>
    </row>
    <row r="17" spans="2:38" ht="14.25" customHeight="1" x14ac:dyDescent="0.25">
      <c r="B17" s="44">
        <v>1</v>
      </c>
      <c r="C17" s="48"/>
      <c r="D17" s="49" t="s">
        <v>1216</v>
      </c>
      <c r="E17" s="45"/>
      <c r="F17" s="49"/>
      <c r="G17" s="50"/>
      <c r="H17" s="45">
        <v>2013</v>
      </c>
      <c r="I17" s="88"/>
      <c r="J17" s="45" t="s">
        <v>1222</v>
      </c>
      <c r="K17" s="54"/>
      <c r="L17" s="55"/>
      <c r="M17" s="54"/>
      <c r="N17" s="53"/>
      <c r="O17" s="53">
        <v>1</v>
      </c>
      <c r="P17" s="53"/>
      <c r="Q17" s="46">
        <f>SUMPRODUCT(K17:M17,N17:P17)</f>
        <v>0</v>
      </c>
      <c r="R17" s="46">
        <f>L17</f>
        <v>0</v>
      </c>
      <c r="S17" s="58"/>
      <c r="T17" s="58"/>
      <c r="U17" s="51">
        <v>1</v>
      </c>
      <c r="V17" s="46" t="str">
        <f ca="1">C14</f>
        <v>Programledelse</v>
      </c>
      <c r="W17" s="46" t="str">
        <f ca="1">V17&amp;F17&amp;G17&amp;E17</f>
        <v>Programledelse</v>
      </c>
      <c r="X17" s="46">
        <f>INDEX(MasterSheet_rng_PLOYearAdjs,MATCH(MasterSheet_Repeater_PloYRep&amp;"-"&amp;H17,MasterSheet_rng_PLOYearAdjsConcat,0))</f>
        <v>1</v>
      </c>
      <c r="Y17" s="46">
        <f>U17*L17*X17</f>
        <v>0</v>
      </c>
      <c r="Z17" s="46">
        <f>U17*Q17*X17</f>
        <v>0</v>
      </c>
      <c r="AA17" s="46">
        <f>U17*R17*X17</f>
        <v>0</v>
      </c>
      <c r="AB17" s="56">
        <f>U17*K17*X17</f>
        <v>0</v>
      </c>
      <c r="AC17" s="57">
        <f>U17*M17*X17</f>
        <v>0</v>
      </c>
      <c r="AD17" s="46">
        <f>Z17-Y17</f>
        <v>0</v>
      </c>
      <c r="AE17" s="46">
        <f>AA17-Y17</f>
        <v>0</v>
      </c>
      <c r="AF17" s="52">
        <f>COUNTA(S17:T17)</f>
        <v>0</v>
      </c>
      <c r="AG17" s="46">
        <f>IF(OR(AF17=0,AF17=1),AD17,AD17*MasterSheet_f_RiskPrimaryPercentage)</f>
        <v>0</v>
      </c>
      <c r="AH17" s="46">
        <f>IF(OR(AF17=0,AF17=1),0,AD17*(1-MasterSheet_f_RiskPrimaryPercentage))</f>
        <v>0</v>
      </c>
      <c r="AI17" s="46">
        <f>IF(OR(AF17=0,AF17=1),AE17,AE17*MasterSheet_f_RiskPrimaryPercentage)</f>
        <v>0</v>
      </c>
      <c r="AJ17" s="47">
        <f>IF(OR(AF17=0,AF17=1),0,AE17*(1-MasterSheet_f_RiskPrimaryPercentage))</f>
        <v>0</v>
      </c>
      <c r="AK17" s="47">
        <f>IF(OR(AF17=0,AF17=1),(M17-L17),(M17-L17)*MasterSheet_f_RiskPrimaryPercentage)</f>
        <v>0</v>
      </c>
      <c r="AL17" s="57">
        <f>IF(OR(AF17=0,AF17=1),(M17-L17),(M17-L17)*(1-MasterSheet_f_RiskPrimaryPercentage))</f>
        <v>0</v>
      </c>
    </row>
    <row r="20" spans="2:38" ht="27" customHeight="1" x14ac:dyDescent="0.25">
      <c r="C20" s="92" t="str">
        <f ca="1">OFFSET(INDIRECT("MasterSheet_f_FP_Projekter_2_VS",TRUE),0,35)</f>
        <v>[Projekter 1]</v>
      </c>
      <c r="D20" s="92"/>
      <c r="E20" s="92"/>
      <c r="F20" s="92"/>
      <c r="G20" s="92"/>
      <c r="H20" s="92"/>
      <c r="I20" s="92"/>
      <c r="J20" s="92"/>
      <c r="K20" s="92"/>
      <c r="L20" s="92"/>
      <c r="M20" s="92"/>
      <c r="N20" s="92"/>
      <c r="O20" s="92"/>
      <c r="P20" s="92"/>
      <c r="Q20" s="92"/>
      <c r="R20" s="92"/>
      <c r="S20" s="92"/>
      <c r="T20" s="92"/>
      <c r="U20" s="92"/>
      <c r="V20" s="92"/>
      <c r="W20" s="92"/>
      <c r="X20" s="92"/>
      <c r="Y20" s="92"/>
      <c r="Z20" s="92"/>
      <c r="AA20" s="92"/>
      <c r="AB20" s="92"/>
      <c r="AC20" s="92"/>
      <c r="AD20" s="92"/>
      <c r="AE20" s="92"/>
      <c r="AF20" s="92"/>
      <c r="AG20" s="92"/>
      <c r="AH20" s="92"/>
      <c r="AI20" s="92"/>
      <c r="AJ20" s="92"/>
      <c r="AK20" s="92"/>
      <c r="AL20" s="92"/>
    </row>
    <row r="22" spans="2:38" ht="36" customHeight="1" thickBot="1" x14ac:dyDescent="0.3">
      <c r="B22" s="59" t="s">
        <v>620</v>
      </c>
      <c r="C22" s="87" t="s">
        <v>291</v>
      </c>
      <c r="D22" s="60" t="s">
        <v>310</v>
      </c>
      <c r="E22" s="89" t="s">
        <v>311</v>
      </c>
      <c r="F22" s="89" t="s">
        <v>624</v>
      </c>
      <c r="G22" s="89" t="s">
        <v>625</v>
      </c>
      <c r="H22" s="89" t="s">
        <v>292</v>
      </c>
      <c r="I22" s="60" t="s">
        <v>1241</v>
      </c>
      <c r="J22" s="60" t="s">
        <v>1238</v>
      </c>
      <c r="K22" s="61" t="s">
        <v>293</v>
      </c>
      <c r="L22" s="61" t="s">
        <v>621</v>
      </c>
      <c r="M22" s="61" t="s">
        <v>294</v>
      </c>
      <c r="N22" s="62" t="s">
        <v>295</v>
      </c>
      <c r="O22" s="62" t="s">
        <v>296</v>
      </c>
      <c r="P22" s="62" t="s">
        <v>297</v>
      </c>
      <c r="Q22" s="61" t="s">
        <v>622</v>
      </c>
      <c r="R22" s="61" t="s">
        <v>623</v>
      </c>
      <c r="S22" s="60" t="s">
        <v>305</v>
      </c>
      <c r="T22" s="60" t="s">
        <v>306</v>
      </c>
      <c r="U22" s="64" t="s">
        <v>299</v>
      </c>
      <c r="V22" s="65" t="s">
        <v>1312</v>
      </c>
      <c r="W22" s="65" t="s">
        <v>1327</v>
      </c>
      <c r="X22" s="65" t="s">
        <v>1408</v>
      </c>
      <c r="Y22" s="61" t="s">
        <v>300</v>
      </c>
      <c r="Z22" s="61" t="s">
        <v>301</v>
      </c>
      <c r="AA22" s="61" t="s">
        <v>302</v>
      </c>
      <c r="AB22" s="66" t="s">
        <v>1336</v>
      </c>
      <c r="AC22" s="66" t="s">
        <v>1337</v>
      </c>
      <c r="AD22" s="61" t="s">
        <v>303</v>
      </c>
      <c r="AE22" s="61" t="s">
        <v>304</v>
      </c>
      <c r="AF22" s="60" t="s">
        <v>312</v>
      </c>
      <c r="AG22" s="61" t="s">
        <v>313</v>
      </c>
      <c r="AH22" s="61" t="s">
        <v>314</v>
      </c>
      <c r="AI22" s="61" t="s">
        <v>315</v>
      </c>
      <c r="AJ22" s="63" t="s">
        <v>316</v>
      </c>
      <c r="AK22" s="68" t="s">
        <v>1340</v>
      </c>
      <c r="AL22" s="68" t="s">
        <v>1440</v>
      </c>
    </row>
    <row r="23" spans="2:38" ht="14.25" customHeight="1" x14ac:dyDescent="0.25">
      <c r="B23" s="44">
        <v>1</v>
      </c>
      <c r="C23" s="48"/>
      <c r="D23" s="49" t="s">
        <v>1216</v>
      </c>
      <c r="E23" s="45"/>
      <c r="F23" s="49"/>
      <c r="G23" s="50"/>
      <c r="H23" s="45">
        <v>2013</v>
      </c>
      <c r="I23" s="88"/>
      <c r="J23" s="45" t="s">
        <v>1222</v>
      </c>
      <c r="K23" s="54"/>
      <c r="L23" s="55"/>
      <c r="M23" s="54"/>
      <c r="N23" s="53"/>
      <c r="O23" s="53">
        <v>1</v>
      </c>
      <c r="P23" s="53"/>
      <c r="Q23" s="46">
        <f>SUMPRODUCT(K23:M23,N23:P23)</f>
        <v>0</v>
      </c>
      <c r="R23" s="46">
        <f>L23</f>
        <v>0</v>
      </c>
      <c r="S23" s="58"/>
      <c r="T23" s="58"/>
      <c r="U23" s="51">
        <v>1</v>
      </c>
      <c r="V23" s="46" t="str">
        <f ca="1">C20</f>
        <v>[Projekter 1]</v>
      </c>
      <c r="W23" s="46" t="str">
        <f ca="1">V23&amp;F23&amp;G23&amp;E23</f>
        <v>[Projekter 1]</v>
      </c>
      <c r="X23" s="46">
        <f>INDEX(MasterSheet_rng_PLOYearAdjs,MATCH(MasterSheet_Repeater_PloYRep&amp;"-"&amp;H23,MasterSheet_rng_PLOYearAdjsConcat,0))</f>
        <v>1</v>
      </c>
      <c r="Y23" s="46">
        <f>U23*L23*X23</f>
        <v>0</v>
      </c>
      <c r="Z23" s="46">
        <f>U23*Q23*X23</f>
        <v>0</v>
      </c>
      <c r="AA23" s="46">
        <f>U23*R23*X23</f>
        <v>0</v>
      </c>
      <c r="AB23" s="56">
        <f>U23*K23*X23</f>
        <v>0</v>
      </c>
      <c r="AC23" s="57">
        <f>U23*M23*X23</f>
        <v>0</v>
      </c>
      <c r="AD23" s="46">
        <f>Z23-Y23</f>
        <v>0</v>
      </c>
      <c r="AE23" s="46">
        <f>AA23-Y23</f>
        <v>0</v>
      </c>
      <c r="AF23" s="52">
        <f>COUNTA(S23:T23)</f>
        <v>0</v>
      </c>
      <c r="AG23" s="46">
        <f>IF(OR(AF23=0,AF23=1),AD23,AD23*MasterSheet_f_RiskPrimaryPercentage)</f>
        <v>0</v>
      </c>
      <c r="AH23" s="46">
        <f>IF(OR(AF23=0,AF23=1),0,AD23*(1-MasterSheet_f_RiskPrimaryPercentage))</f>
        <v>0</v>
      </c>
      <c r="AI23" s="46">
        <f>IF(OR(AF23=0,AF23=1),AE23,AE23*MasterSheet_f_RiskPrimaryPercentage)</f>
        <v>0</v>
      </c>
      <c r="AJ23" s="47">
        <f>IF(OR(AF23=0,AF23=1),0,AE23*(1-MasterSheet_f_RiskPrimaryPercentage))</f>
        <v>0</v>
      </c>
      <c r="AK23" s="47">
        <f>IF(OR(AF23=0,AF23=1),(M23-L23),(M23-L23)*MasterSheet_f_RiskPrimaryPercentage)</f>
        <v>0</v>
      </c>
      <c r="AL23" s="57">
        <f>IF(OR(AF23=0,AF23=1),(M23-L23),(M23-L23)*(1-MasterSheet_f_RiskPrimaryPercentage))</f>
        <v>0</v>
      </c>
    </row>
  </sheetData>
  <sheetProtection algorithmName="SHA-512" hashValue="wmnIcaUIDoMWhOQJMRcv1etRKBqS9/d5gGpWNjJ5cASZOzH9FIibE3NxEGyJ9aBRcMJPIUumWxLqJqka3biw/A==" saltValue="hcXc6QmCkFUNBgJAotszEA==" spinCount="100000" sheet="1" objects="1" scenarios="1"/>
  <mergeCells count="2">
    <mergeCell ref="C8:H8"/>
    <mergeCell ref="C9:H9"/>
  </mergeCells>
  <dataValidations count="9">
    <dataValidation allowBlank="1" errorTitle="Fejl i værdi" error="Du skal vælge e轠Ќ_x0000__x0000__x0000__x0000__x000c__x0000__x0000__x0010__x0000__x0000_㿿_x0000__xffff__xffff__x0000__x0000_ardinet." promptTitle="Vælg fra listen." prompt="Du skal vælge en værdi fra rullegardinet" sqref="AL17 AL23" xr:uid="{00000000-0002-0000-0600-000000000000}"/>
    <dataValidation type="list" allowBlank="1" showInputMessage="1" showErrorMessage="1" sqref="J9 J17 J23" xr:uid="{00000000-0002-0000-0600-000001000000}">
      <formula1>IF(ISERROR(INDIRECT("MasterSheet_rng_DistType",TRUE)),$A:$A,INDIRECT("MasterSheet_rng_DistType",TRUE))</formula1>
    </dataValidation>
    <dataValidation type="list" allowBlank="1" showInputMessage="1" showErrorMessage="1" sqref="G17 G23" xr:uid="{00000000-0002-0000-0600-000002000000}">
      <formula1>IF(ISERROR(INDIRECT("MasterSheet_Repeater_Udgifts",TRUE)),$A:$A,INDIRECT("MasterSheet_Repeater_Udgifts",TRUE))</formula1>
    </dataValidation>
    <dataValidation type="list" allowBlank="1" showInputMessage="1" showErrorMessage="1" sqref="S17 S23" xr:uid="{00000000-0002-0000-0600-000003000000}">
      <formula1>IF(ISERROR(INDIRECT("MasterSheet_Repeater_Risci",TRUE)),$A:$A,INDIRECT("MasterSheet_Repeater_Risci",TRUE))</formula1>
    </dataValidation>
    <dataValidation type="list" allowBlank="1" showInputMessage="1" showErrorMessage="1" sqref="F17 F23" xr:uid="{00000000-0002-0000-0600-000004000000}">
      <formula1>IF(ISERROR(INDIRECT("MasterSheet_Repeater_Finanskonti",TRUE)),$A:$A,INDIRECT("MasterSheet_Repeater_Finanskonti",TRUE))</formula1>
    </dataValidation>
    <dataValidation type="list" allowBlank="1" showInputMessage="1" showErrorMessage="1" sqref="H17 H23" xr:uid="{00000000-0002-0000-0600-000005000000}">
      <formula1>IF(ISERROR(INDIRECT("MasterSheet_rng_PLOYear",TRUE)),$A:$A,INDIRECT("MasterSheet_rng_PLOYear",TRUE))</formula1>
    </dataValidation>
    <dataValidation type="list" allowBlank="1" showInputMessage="1" showErrorMessage="1" sqref="T17 T23" xr:uid="{00000000-0002-0000-0600-000006000000}">
      <formula1>IF(S17="",$A:$A,IF(ISERROR(INDIRECT("MasterSheet_Repeater_Risci",TRUE)),$A:$A,INDIRECT("MasterSheet_Repeater_Risci",TRUE)))</formula1>
    </dataValidation>
    <dataValidation type="list" allowBlank="1" showInputMessage="1" showErrorMessage="1" sqref="D17 D23" xr:uid="{00000000-0002-0000-0600-000007000000}">
      <formula1>IF(U17=1,IF(ISERROR(INDIRECT("MasterSheet_rng_AssumptionsMain",TRUE)),$A:$A,INDIRECT("MasterSheet_rng_AssumptionsMain",TRUE)),IF(ISERROR(INDIRECT("MasterSheet_rng_AssumptionsSub",TRUE)),$A:$A,INDIRECT("MasterSheet_rng_AssumptionsSub",TRUE)))</formula1>
    </dataValidation>
    <dataValidation type="list" allowBlank="1" showInputMessage="1" showErrorMessage="1" sqref="E17 E23" xr:uid="{00000000-0002-0000-0600-000008000000}">
      <formula1>IF(ISERROR(INDIRECT("MasterSheet_Repeater_TidsPlan",TRUE)),$A:$A,INDIRECT("MasterSheet_Repeater_TidsPlan",TRUE))</formula1>
    </dataValidation>
  </dataValidations>
  <pageMargins left="0.7" right="0.7" top="0.75" bottom="0.75" header="0.3" footer="0.3"/>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38DD5"/>
  </sheetPr>
  <dimension ref="B2:AL22"/>
  <sheetViews>
    <sheetView showGridLines="0" topLeftCell="A10" zoomScale="80" zoomScaleNormal="80" workbookViewId="0">
      <selection activeCell="B22" sqref="B22:AL22"/>
    </sheetView>
  </sheetViews>
  <sheetFormatPr defaultColWidth="10.140625" defaultRowHeight="14.25" customHeight="1" x14ac:dyDescent="0.25"/>
  <cols>
    <col min="1" max="1" width="3.5703125" customWidth="1"/>
    <col min="2" max="2" width="9.140625" hidden="1" customWidth="1"/>
    <col min="3" max="3" width="60.85546875" customWidth="1"/>
    <col min="4" max="4" width="36.28515625" customWidth="1"/>
    <col min="5" max="5" width="6.140625" customWidth="1"/>
    <col min="6" max="6" width="20" customWidth="1"/>
    <col min="7" max="7" width="28" customWidth="1"/>
    <col min="8" max="8" width="7.140625" customWidth="1"/>
    <col min="9" max="9" width="24.7109375" customWidth="1"/>
    <col min="10" max="10" width="15" customWidth="1"/>
    <col min="11" max="13" width="12.28515625" customWidth="1"/>
    <col min="14" max="16" width="8.7109375" customWidth="1"/>
    <col min="17" max="17" width="12.7109375" customWidth="1"/>
    <col min="18" max="18" width="9.140625" hidden="1" customWidth="1"/>
    <col min="19" max="20" width="17.7109375" customWidth="1"/>
    <col min="21" max="38" width="9.140625" hidden="1" customWidth="1"/>
    <col min="39" max="200" width="9.140625" customWidth="1"/>
  </cols>
  <sheetData>
    <row r="2" spans="2:38" ht="48.95" customHeight="1" x14ac:dyDescent="0.25"/>
    <row r="3" spans="2:38" ht="30.95" customHeight="1" x14ac:dyDescent="0.25"/>
    <row r="6" spans="2:38" ht="29.1" customHeight="1" x14ac:dyDescent="0.25"/>
    <row r="8" spans="2:38" ht="36" customHeight="1" thickBot="1" x14ac:dyDescent="0.3">
      <c r="B8" s="59" t="s">
        <v>620</v>
      </c>
      <c r="C8" s="87" t="s">
        <v>291</v>
      </c>
      <c r="D8" s="60" t="s">
        <v>310</v>
      </c>
      <c r="E8" s="89" t="s">
        <v>311</v>
      </c>
      <c r="F8" s="89" t="s">
        <v>624</v>
      </c>
      <c r="G8" s="89" t="s">
        <v>367</v>
      </c>
      <c r="H8" s="89" t="s">
        <v>292</v>
      </c>
      <c r="I8" s="60" t="s">
        <v>1241</v>
      </c>
      <c r="J8" s="60" t="s">
        <v>1238</v>
      </c>
      <c r="K8" s="61" t="s">
        <v>1579</v>
      </c>
      <c r="L8" s="61" t="s">
        <v>621</v>
      </c>
      <c r="M8" s="61" t="s">
        <v>1580</v>
      </c>
      <c r="N8" s="62" t="s">
        <v>295</v>
      </c>
      <c r="O8" s="62" t="s">
        <v>296</v>
      </c>
      <c r="P8" s="62" t="s">
        <v>297</v>
      </c>
      <c r="Q8" s="61" t="s">
        <v>622</v>
      </c>
      <c r="R8" s="61" t="s">
        <v>623</v>
      </c>
      <c r="S8" s="60" t="s">
        <v>305</v>
      </c>
      <c r="T8" s="60" t="s">
        <v>306</v>
      </c>
      <c r="U8" s="64" t="s">
        <v>299</v>
      </c>
      <c r="V8" s="65" t="s">
        <v>1312</v>
      </c>
      <c r="W8" s="65" t="s">
        <v>1327</v>
      </c>
      <c r="X8" s="65" t="s">
        <v>1408</v>
      </c>
      <c r="Y8" s="61" t="s">
        <v>300</v>
      </c>
      <c r="Z8" s="61" t="s">
        <v>301</v>
      </c>
      <c r="AA8" s="61" t="s">
        <v>302</v>
      </c>
      <c r="AB8" s="66" t="s">
        <v>1336</v>
      </c>
      <c r="AC8" s="66" t="s">
        <v>1337</v>
      </c>
      <c r="AD8" s="61" t="s">
        <v>303</v>
      </c>
      <c r="AE8" s="61" t="s">
        <v>304</v>
      </c>
      <c r="AF8" s="60" t="s">
        <v>312</v>
      </c>
      <c r="AG8" s="61" t="s">
        <v>313</v>
      </c>
      <c r="AH8" s="61" t="s">
        <v>314</v>
      </c>
      <c r="AI8" s="61" t="s">
        <v>315</v>
      </c>
      <c r="AJ8" s="63" t="s">
        <v>316</v>
      </c>
      <c r="AK8" s="68" t="s">
        <v>1340</v>
      </c>
      <c r="AL8" s="68" t="s">
        <v>1440</v>
      </c>
    </row>
    <row r="9" spans="2:38" ht="14.25" customHeight="1" x14ac:dyDescent="0.25">
      <c r="B9" s="44">
        <v>1</v>
      </c>
      <c r="C9" s="48"/>
      <c r="D9" s="49" t="s">
        <v>1216</v>
      </c>
      <c r="E9" s="45"/>
      <c r="F9" s="49"/>
      <c r="G9" s="49"/>
      <c r="H9" s="45">
        <v>2013</v>
      </c>
      <c r="I9" s="88"/>
      <c r="J9" s="45" t="s">
        <v>1222</v>
      </c>
      <c r="K9" s="54"/>
      <c r="L9" s="55"/>
      <c r="M9" s="54"/>
      <c r="N9" s="53"/>
      <c r="O9" s="53">
        <v>1</v>
      </c>
      <c r="P9" s="53"/>
      <c r="Q9" s="46">
        <f>SUMPRODUCT(K9:M9,N9:P9)</f>
        <v>0</v>
      </c>
      <c r="R9" s="46">
        <f>L9</f>
        <v>0</v>
      </c>
      <c r="S9" s="58"/>
      <c r="T9" s="58"/>
      <c r="U9" s="51">
        <v>1</v>
      </c>
      <c r="V9" s="46" t="s">
        <v>1369</v>
      </c>
      <c r="W9" s="46" t="str">
        <f>V9&amp;F9&amp;G9&amp;E9</f>
        <v>OKO</v>
      </c>
      <c r="X9" s="46">
        <f>INDEX(MasterSheet_rng_PLOYearAdjs,MATCH(MasterSheet_Repeater_PloYRep&amp;"-"&amp;H9,MasterSheet_rng_PLOYearAdjsConcat,0))</f>
        <v>1</v>
      </c>
      <c r="Y9" s="46">
        <f>U9*L9*X9</f>
        <v>0</v>
      </c>
      <c r="Z9" s="46">
        <f>U9*Q9*X9</f>
        <v>0</v>
      </c>
      <c r="AA9" s="46">
        <f>U9*R9*X9</f>
        <v>0</v>
      </c>
      <c r="AB9" s="56">
        <f>U9*K9*X9</f>
        <v>0</v>
      </c>
      <c r="AC9" s="57">
        <f>U9*M9*X9</f>
        <v>0</v>
      </c>
      <c r="AD9" s="46">
        <f>Z9-Y9</f>
        <v>0</v>
      </c>
      <c r="AE9" s="46">
        <f>AA9-Y9</f>
        <v>0</v>
      </c>
      <c r="AF9" s="52">
        <f>COUNTA(S9:T9)</f>
        <v>0</v>
      </c>
      <c r="AG9" s="46">
        <f>IF(OR(AF9=0,AF9=1),AD9,AD9*MasterSheet_f_RiskPrimaryPercentage)</f>
        <v>0</v>
      </c>
      <c r="AH9" s="46">
        <f>IF(OR(AF9=0,AF9=1),0,AD9*(1-MasterSheet_f_RiskPrimaryPercentage))</f>
        <v>0</v>
      </c>
      <c r="AI9" s="46">
        <f>IF(OR(AF9=0,AF9=1),AE9,AE9*MasterSheet_f_RiskPrimaryPercentage)</f>
        <v>0</v>
      </c>
      <c r="AJ9" s="47">
        <f>IF(OR(AF9=0,AF9=1),0,AE9*(1-MasterSheet_f_RiskPrimaryPercentage))</f>
        <v>0</v>
      </c>
      <c r="AK9" s="47">
        <f>IF(OR(AF9=0,AF9=1),(M9-L9),(M9-L9)*MasterSheet_f_RiskPrimaryPercentage)</f>
        <v>0</v>
      </c>
      <c r="AL9" s="57">
        <f>IF(OR(AF9=0,AF9=1),(M9-L9),(M9-L9)*(1-MasterSheet_f_RiskPrimaryPercentage))</f>
        <v>0</v>
      </c>
    </row>
    <row r="12" spans="2:38" ht="29.1" customHeight="1" x14ac:dyDescent="0.25"/>
    <row r="14" spans="2:38" ht="27" customHeight="1" x14ac:dyDescent="0.25">
      <c r="C14" s="92" t="s">
        <v>368</v>
      </c>
      <c r="D14" s="92"/>
      <c r="E14" s="92"/>
      <c r="F14" s="92"/>
      <c r="G14" s="92"/>
      <c r="H14" s="92"/>
      <c r="I14" s="92"/>
      <c r="J14" s="92"/>
      <c r="K14" s="92"/>
      <c r="L14" s="92"/>
      <c r="M14" s="92"/>
      <c r="N14" s="92"/>
      <c r="O14" s="92"/>
      <c r="P14" s="92"/>
      <c r="Q14" s="92"/>
      <c r="R14" s="92"/>
      <c r="S14" s="92"/>
      <c r="T14" s="92"/>
      <c r="U14" s="92"/>
      <c r="V14" s="92"/>
      <c r="W14" s="92"/>
      <c r="X14" s="92"/>
      <c r="Y14" s="92"/>
      <c r="Z14" s="92"/>
      <c r="AA14" s="92"/>
      <c r="AB14" s="92"/>
      <c r="AC14" s="92"/>
      <c r="AD14" s="92"/>
      <c r="AE14" s="92"/>
      <c r="AF14" s="92"/>
      <c r="AG14" s="92"/>
      <c r="AH14" s="92"/>
      <c r="AI14" s="92"/>
      <c r="AJ14" s="92"/>
      <c r="AK14" s="92"/>
      <c r="AL14" s="92"/>
    </row>
    <row r="16" spans="2:38" ht="36" customHeight="1" thickBot="1" x14ac:dyDescent="0.3">
      <c r="B16" s="59" t="s">
        <v>620</v>
      </c>
      <c r="C16" s="87" t="s">
        <v>369</v>
      </c>
      <c r="D16" s="60" t="s">
        <v>370</v>
      </c>
      <c r="E16" s="347" t="s">
        <v>626</v>
      </c>
      <c r="F16" s="348"/>
      <c r="G16" s="348"/>
      <c r="H16" s="348"/>
      <c r="I16" s="60" t="s">
        <v>1241</v>
      </c>
      <c r="J16" s="60" t="s">
        <v>1238</v>
      </c>
      <c r="K16" s="61" t="s">
        <v>1579</v>
      </c>
      <c r="L16" s="61" t="s">
        <v>621</v>
      </c>
      <c r="M16" s="61" t="s">
        <v>1580</v>
      </c>
      <c r="N16" s="62" t="s">
        <v>295</v>
      </c>
      <c r="O16" s="62" t="s">
        <v>296</v>
      </c>
      <c r="P16" s="62" t="s">
        <v>297</v>
      </c>
      <c r="Q16" s="61" t="s">
        <v>622</v>
      </c>
      <c r="R16" s="63" t="s">
        <v>623</v>
      </c>
      <c r="S16" s="117"/>
      <c r="T16" s="118"/>
      <c r="U16" s="64" t="s">
        <v>299</v>
      </c>
      <c r="V16" s="65" t="s">
        <v>1312</v>
      </c>
      <c r="W16" s="65" t="s">
        <v>1327</v>
      </c>
      <c r="X16" s="65" t="s">
        <v>1408</v>
      </c>
      <c r="Y16" s="61" t="s">
        <v>300</v>
      </c>
      <c r="Z16" s="61" t="s">
        <v>301</v>
      </c>
      <c r="AA16" s="61" t="s">
        <v>302</v>
      </c>
      <c r="AB16" s="66" t="s">
        <v>1336</v>
      </c>
      <c r="AC16" s="67" t="s">
        <v>1337</v>
      </c>
      <c r="AD16" s="119"/>
      <c r="AE16" s="120"/>
      <c r="AF16" s="120"/>
      <c r="AG16" s="120"/>
      <c r="AH16" s="120"/>
      <c r="AI16" s="11"/>
      <c r="AJ16" s="10"/>
      <c r="AK16" s="93"/>
      <c r="AL16" s="93"/>
    </row>
    <row r="17" spans="2:38" ht="14.25" customHeight="1" x14ac:dyDescent="0.25">
      <c r="B17" s="44">
        <f>ROW(C17)-ROW(Driftfremtidigudenprojekt_f_DriftfremtidigudenprojektMain2T1_start)</f>
        <v>1</v>
      </c>
      <c r="C17" s="73" t="str">
        <f>IF(INDEX(MasterSheet_Repeater_IOKVar,B17)="[Navn]","",INDEX(MasterSheet_Repeater_IOKVar,B17))</f>
        <v/>
      </c>
      <c r="D17" s="74" t="str">
        <f ca="1">IF(OFFSET(Forside_f_FP_Main1IOKVarTable_start,B17,4)="[Enhed]","",OFFSET(Forside_f_FP_Main1IOKVarTable_start,B17,4))</f>
        <v/>
      </c>
      <c r="E17" s="349" t="str">
        <f ca="1">IF(OFFSET(Forside_f_FP_Main1IOKVarTable_start,B17,6)=0,"",OFFSET(Forside_f_FP_Main1IOKVarTable_start,B17,6))</f>
        <v/>
      </c>
      <c r="F17" s="349"/>
      <c r="G17" s="349"/>
      <c r="H17" s="349"/>
      <c r="I17" s="75"/>
      <c r="J17" s="45" t="s">
        <v>1222</v>
      </c>
      <c r="K17" s="54"/>
      <c r="L17" s="55"/>
      <c r="M17" s="54"/>
      <c r="N17" s="53"/>
      <c r="O17" s="53">
        <v>1</v>
      </c>
      <c r="P17" s="53"/>
      <c r="Q17" s="46">
        <f>SUMPRODUCT(K17:M17,N17:P17)</f>
        <v>0</v>
      </c>
      <c r="R17" s="47">
        <f>L17</f>
        <v>0</v>
      </c>
      <c r="S17" s="117"/>
      <c r="T17" s="118"/>
      <c r="U17" s="51">
        <v>1</v>
      </c>
      <c r="V17" s="46" t="s">
        <v>1367</v>
      </c>
      <c r="W17" s="46" t="str">
        <f>V17&amp;C17</f>
        <v>IKO</v>
      </c>
      <c r="X17" s="46">
        <v>1</v>
      </c>
      <c r="Y17" s="46">
        <f>U17*L17*X17</f>
        <v>0</v>
      </c>
      <c r="Z17" s="46">
        <f>U17*Q17*X17</f>
        <v>0</v>
      </c>
      <c r="AA17" s="46">
        <f>U17*R17*X17</f>
        <v>0</v>
      </c>
      <c r="AB17" s="56">
        <f>U17*K17*X17</f>
        <v>0</v>
      </c>
      <c r="AC17" s="57">
        <f>U17*M17*X17</f>
        <v>0</v>
      </c>
      <c r="AD17" s="119"/>
      <c r="AE17" s="120"/>
      <c r="AF17" s="120"/>
      <c r="AG17" s="120"/>
      <c r="AH17" s="120"/>
      <c r="AI17" s="12"/>
      <c r="AJ17" s="13"/>
      <c r="AK17" s="93"/>
      <c r="AL17" s="93"/>
    </row>
    <row r="19" spans="2:38" ht="27" customHeight="1" x14ac:dyDescent="0.25">
      <c r="C19" s="92" t="s">
        <v>371</v>
      </c>
      <c r="D19" s="92"/>
      <c r="E19" s="92"/>
      <c r="F19" s="92"/>
      <c r="G19" s="92"/>
      <c r="H19" s="92"/>
      <c r="I19" s="92"/>
      <c r="J19" s="92"/>
      <c r="K19" s="92"/>
      <c r="L19" s="92"/>
      <c r="M19" s="92"/>
      <c r="N19" s="92"/>
      <c r="O19" s="92"/>
      <c r="P19" s="92"/>
      <c r="Q19" s="92"/>
      <c r="R19" s="92"/>
      <c r="S19" s="92"/>
      <c r="T19" s="92"/>
      <c r="U19" s="92"/>
      <c r="V19" s="92"/>
      <c r="W19" s="92"/>
      <c r="X19" s="92"/>
      <c r="Y19" s="92"/>
      <c r="Z19" s="92"/>
      <c r="AA19" s="92"/>
      <c r="AB19" s="92"/>
      <c r="AC19" s="92"/>
      <c r="AD19" s="92"/>
      <c r="AE19" s="92"/>
      <c r="AF19" s="92"/>
      <c r="AG19" s="92"/>
      <c r="AH19" s="92"/>
      <c r="AI19" s="92"/>
      <c r="AJ19" s="92"/>
      <c r="AK19" s="92"/>
      <c r="AL19" s="92"/>
    </row>
    <row r="21" spans="2:38" ht="36" customHeight="1" thickBot="1" x14ac:dyDescent="0.3">
      <c r="B21" s="59" t="s">
        <v>620</v>
      </c>
      <c r="C21" s="87" t="s">
        <v>291</v>
      </c>
      <c r="D21" s="60" t="s">
        <v>310</v>
      </c>
      <c r="E21" s="347" t="s">
        <v>311</v>
      </c>
      <c r="F21" s="348"/>
      <c r="G21" s="348"/>
      <c r="H21" s="348"/>
      <c r="I21" s="60" t="s">
        <v>1241</v>
      </c>
      <c r="J21" s="60" t="s">
        <v>1238</v>
      </c>
      <c r="K21" s="61" t="s">
        <v>1579</v>
      </c>
      <c r="L21" s="61" t="s">
        <v>621</v>
      </c>
      <c r="M21" s="61" t="s">
        <v>1580</v>
      </c>
      <c r="N21" s="62" t="s">
        <v>295</v>
      </c>
      <c r="O21" s="62" t="s">
        <v>296</v>
      </c>
      <c r="P21" s="62" t="s">
        <v>297</v>
      </c>
      <c r="Q21" s="61" t="s">
        <v>622</v>
      </c>
      <c r="R21" s="63" t="s">
        <v>623</v>
      </c>
      <c r="S21" s="117"/>
      <c r="T21" s="118"/>
      <c r="U21" s="64" t="s">
        <v>299</v>
      </c>
      <c r="V21" s="65" t="s">
        <v>1312</v>
      </c>
      <c r="W21" s="65" t="s">
        <v>1327</v>
      </c>
      <c r="X21" s="65" t="s">
        <v>1408</v>
      </c>
      <c r="Y21" s="61" t="s">
        <v>300</v>
      </c>
      <c r="Z21" s="61" t="s">
        <v>301</v>
      </c>
      <c r="AA21" s="61" t="s">
        <v>302</v>
      </c>
      <c r="AB21" s="66" t="s">
        <v>1336</v>
      </c>
      <c r="AC21" s="67" t="s">
        <v>1337</v>
      </c>
      <c r="AD21" s="42"/>
      <c r="AE21" s="10"/>
      <c r="AF21" s="11"/>
      <c r="AG21" s="10"/>
      <c r="AH21" s="10"/>
      <c r="AI21" s="10"/>
      <c r="AJ21" s="10"/>
      <c r="AK21" s="93"/>
      <c r="AL21" s="93"/>
    </row>
    <row r="22" spans="2:38" ht="14.25" customHeight="1" x14ac:dyDescent="0.25">
      <c r="B22" s="44">
        <v>1</v>
      </c>
      <c r="C22" s="48"/>
      <c r="D22" s="90" t="s">
        <v>1216</v>
      </c>
      <c r="E22" s="350"/>
      <c r="F22" s="351"/>
      <c r="G22" s="351"/>
      <c r="H22" s="351"/>
      <c r="I22" s="48"/>
      <c r="J22" s="45" t="s">
        <v>1222</v>
      </c>
      <c r="K22" s="54"/>
      <c r="L22" s="55"/>
      <c r="M22" s="54"/>
      <c r="N22" s="53"/>
      <c r="O22" s="53">
        <v>1</v>
      </c>
      <c r="P22" s="53"/>
      <c r="Q22" s="46">
        <f>SUMPRODUCT(K22:M22,N22:P22)</f>
        <v>0</v>
      </c>
      <c r="R22" s="47">
        <f>L22</f>
        <v>0</v>
      </c>
      <c r="S22" s="117"/>
      <c r="T22" s="118"/>
      <c r="U22" s="51">
        <v>1</v>
      </c>
      <c r="V22" s="46" t="s">
        <v>1368</v>
      </c>
      <c r="W22" s="46" t="str">
        <f>V22&amp;E22</f>
        <v>OVP</v>
      </c>
      <c r="X22" s="46">
        <v>1</v>
      </c>
      <c r="Y22" s="46">
        <f>U22*L22*X22</f>
        <v>0</v>
      </c>
      <c r="Z22" s="46">
        <f>U22*Q22*X22</f>
        <v>0</v>
      </c>
      <c r="AA22" s="46">
        <f>U22*R22*X22</f>
        <v>0</v>
      </c>
      <c r="AB22" s="56">
        <f>U22*K22*X22</f>
        <v>0</v>
      </c>
      <c r="AC22" s="57">
        <f>U22*M22*X22</f>
        <v>0</v>
      </c>
      <c r="AD22" s="41"/>
      <c r="AE22" s="13"/>
      <c r="AF22" s="12"/>
      <c r="AG22" s="13"/>
      <c r="AH22" s="13"/>
      <c r="AI22" s="13"/>
      <c r="AJ22" s="13"/>
      <c r="AK22" s="93"/>
      <c r="AL22" s="93"/>
    </row>
  </sheetData>
  <sheetProtection algorithmName="SHA-512" hashValue="HoxZjb/2/WxkmpuDgMrtBl/qPMniFnZbEGp365yE8IQyu4EzCM3IYUGZPewQ8kR7p80hYDVmD5FXUu9eD6jDpA==" saltValue="hraFgG5On8gHftqtCtY5Og==" spinCount="100000" sheet="1" objects="1" scenarios="1"/>
  <mergeCells count="4">
    <mergeCell ref="E16:H16"/>
    <mergeCell ref="E17:H17"/>
    <mergeCell ref="E21:H21"/>
    <mergeCell ref="E22:H22"/>
  </mergeCells>
  <dataValidations count="9">
    <dataValidation allowBlank="1" errorTitle="Fejl i værdi" error="Du skal vælge e轠Ќ_x0000__x0000__x0000__x0000__x000c__x0000__x0000__x0010__x0000__x0000_㿿_x0000__xffff__xffff__x0000__x0000_ardinet." promptTitle="Vælg fra listen." prompt="Du skal vælge en værdi fra rullegardinet" sqref="AL9" xr:uid="{00000000-0002-0000-0700-000000000000}"/>
    <dataValidation type="list" allowBlank="1" showInputMessage="1" showErrorMessage="1" sqref="J9 J17 J22" xr:uid="{00000000-0002-0000-0700-000001000000}">
      <formula1>IF(ISERROR(INDIRECT("MasterSheet_rng_DistType",TRUE)),$A:$A,INDIRECT("MasterSheet_rng_DistType",TRUE))</formula1>
    </dataValidation>
    <dataValidation type="list" allowBlank="1" showInputMessage="1" showErrorMessage="1" sqref="T9" xr:uid="{00000000-0002-0000-0700-000002000000}">
      <formula1>IF(S9="",$A:$A,IF(ISERROR(INDIRECT("MasterSheet_Repeater_Risci",TRUE)),$A:$A,INDIRECT("MasterSheet_Repeater_Risci",TRUE)))</formula1>
    </dataValidation>
    <dataValidation type="list" allowBlank="1" showInputMessage="1" showErrorMessage="1" sqref="D9 D22" xr:uid="{00000000-0002-0000-0700-000003000000}">
      <formula1>IF(U9=1,IF(ISERROR(INDIRECT("MasterSheet_rng_AssumptionsMain",TRUE)),$A:$A,INDIRECT("MasterSheet_rng_AssumptionsMain",TRUE)),IF(ISERROR(INDIRECT("MasterSheet_rng_AssumptionsSub",TRUE)),$A:$A,INDIRECT("MasterSheet_rng_AssumptionsSub",TRUE)))</formula1>
    </dataValidation>
    <dataValidation type="list" allowBlank="1" showInputMessage="1" showErrorMessage="1" sqref="G9" xr:uid="{00000000-0002-0000-0700-000004000000}">
      <formula1>IF(ISERROR(INDIRECT("MasterSheet_Repeater_Gevinstejer",TRUE)),$A:$A,INDIRECT("MasterSheet_Repeater_Gevinstejer",TRUE))</formula1>
    </dataValidation>
    <dataValidation type="list" allowBlank="1" showInputMessage="1" showErrorMessage="1" sqref="S9" xr:uid="{00000000-0002-0000-0700-000005000000}">
      <formula1>IF(ISERROR(INDIRECT("MasterSheet_Repeater_Risci",TRUE)),$A:$A,INDIRECT("MasterSheet_Repeater_Risci",TRUE))</formula1>
    </dataValidation>
    <dataValidation type="list" allowBlank="1" showInputMessage="1" showErrorMessage="1" sqref="F9" xr:uid="{00000000-0002-0000-0700-000006000000}">
      <formula1>IF(ISERROR(INDIRECT("MasterSheet_Repeater_Finanskonti",TRUE)),$A:$A,INDIRECT("MasterSheet_Repeater_Finanskonti",TRUE))</formula1>
    </dataValidation>
    <dataValidation type="list" allowBlank="1" showInputMessage="1" showErrorMessage="1" sqref="H9" xr:uid="{00000000-0002-0000-0700-000007000000}">
      <formula1>IF(ISERROR(INDIRECT("MasterSheet_rng_PLOYear",TRUE)),$A:$A,INDIRECT("MasterSheet_rng_PLOYear",TRUE))</formula1>
    </dataValidation>
    <dataValidation type="list" allowBlank="1" showInputMessage="1" showErrorMessage="1" sqref="E9 E22" xr:uid="{00000000-0002-0000-0700-000008000000}">
      <formula1>IF(ISERROR(INDIRECT("MasterSheet_Repeater_TidsPlan",TRUE)),$A:$A,INDIRECT("MasterSheet_Repeater_TidsPlan",TRUE))</formula1>
    </dataValidation>
  </dataValidations>
  <pageMargins left="0.7" right="0.7" top="0.75" bottom="0.75" header="0.3" footer="0.3"/>
  <pageSetup paperSize="9" orientation="portrait" r:id="rId1"/>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538DD5"/>
  </sheetPr>
  <dimension ref="B2:AL22"/>
  <sheetViews>
    <sheetView showGridLines="0" topLeftCell="A7" zoomScale="80" zoomScaleNormal="80" workbookViewId="0">
      <selection activeCell="B22" sqref="B22:AL22"/>
    </sheetView>
  </sheetViews>
  <sheetFormatPr defaultColWidth="10.140625" defaultRowHeight="14.25" customHeight="1" x14ac:dyDescent="0.25"/>
  <cols>
    <col min="1" max="1" width="3.5703125" customWidth="1"/>
    <col min="2" max="2" width="9.140625" hidden="1" customWidth="1"/>
    <col min="3" max="3" width="60.85546875" customWidth="1"/>
    <col min="4" max="4" width="36.28515625" customWidth="1"/>
    <col min="5" max="5" width="6.140625" customWidth="1"/>
    <col min="6" max="6" width="20" customWidth="1"/>
    <col min="7" max="7" width="28" customWidth="1"/>
    <col min="8" max="8" width="7.140625" customWidth="1"/>
    <col min="9" max="9" width="24.7109375" customWidth="1"/>
    <col min="10" max="10" width="15" customWidth="1"/>
    <col min="11" max="13" width="12.28515625" customWidth="1"/>
    <col min="14" max="16" width="8.7109375" customWidth="1"/>
    <col min="17" max="17" width="12.7109375" customWidth="1"/>
    <col min="18" max="18" width="9.140625" hidden="1" customWidth="1"/>
    <col min="19" max="20" width="17.7109375" customWidth="1"/>
    <col min="21" max="38" width="9.140625" hidden="1" customWidth="1"/>
    <col min="39" max="200" width="9.140625" customWidth="1"/>
  </cols>
  <sheetData>
    <row r="2" spans="2:38" ht="48.95" customHeight="1" x14ac:dyDescent="0.25"/>
    <row r="3" spans="2:38" ht="30.95" customHeight="1" x14ac:dyDescent="0.25"/>
    <row r="6" spans="2:38" ht="29.1" customHeight="1" x14ac:dyDescent="0.25"/>
    <row r="8" spans="2:38" ht="36" customHeight="1" thickBot="1" x14ac:dyDescent="0.3">
      <c r="B8" s="59" t="s">
        <v>620</v>
      </c>
      <c r="C8" s="87" t="s">
        <v>291</v>
      </c>
      <c r="D8" s="60" t="s">
        <v>310</v>
      </c>
      <c r="E8" s="89" t="s">
        <v>311</v>
      </c>
      <c r="F8" s="89" t="s">
        <v>624</v>
      </c>
      <c r="G8" s="89" t="s">
        <v>367</v>
      </c>
      <c r="H8" s="89" t="s">
        <v>292</v>
      </c>
      <c r="I8" s="60" t="s">
        <v>1241</v>
      </c>
      <c r="J8" s="60" t="s">
        <v>1238</v>
      </c>
      <c r="K8" s="61" t="s">
        <v>293</v>
      </c>
      <c r="L8" s="61" t="s">
        <v>621</v>
      </c>
      <c r="M8" s="61" t="s">
        <v>294</v>
      </c>
      <c r="N8" s="62" t="s">
        <v>295</v>
      </c>
      <c r="O8" s="62" t="s">
        <v>296</v>
      </c>
      <c r="P8" s="62" t="s">
        <v>297</v>
      </c>
      <c r="Q8" s="61" t="s">
        <v>622</v>
      </c>
      <c r="R8" s="61" t="s">
        <v>623</v>
      </c>
      <c r="S8" s="60" t="s">
        <v>305</v>
      </c>
      <c r="T8" s="60" t="s">
        <v>306</v>
      </c>
      <c r="U8" s="64" t="s">
        <v>299</v>
      </c>
      <c r="V8" s="65" t="s">
        <v>1312</v>
      </c>
      <c r="W8" s="65" t="s">
        <v>1327</v>
      </c>
      <c r="X8" s="65" t="s">
        <v>1408</v>
      </c>
      <c r="Y8" s="61" t="s">
        <v>300</v>
      </c>
      <c r="Z8" s="61" t="s">
        <v>301</v>
      </c>
      <c r="AA8" s="61" t="s">
        <v>302</v>
      </c>
      <c r="AB8" s="66" t="s">
        <v>1336</v>
      </c>
      <c r="AC8" s="66" t="s">
        <v>1337</v>
      </c>
      <c r="AD8" s="61" t="s">
        <v>303</v>
      </c>
      <c r="AE8" s="61" t="s">
        <v>304</v>
      </c>
      <c r="AF8" s="60" t="s">
        <v>312</v>
      </c>
      <c r="AG8" s="61" t="s">
        <v>313</v>
      </c>
      <c r="AH8" s="61" t="s">
        <v>314</v>
      </c>
      <c r="AI8" s="61" t="s">
        <v>315</v>
      </c>
      <c r="AJ8" s="63" t="s">
        <v>316</v>
      </c>
      <c r="AK8" s="68" t="s">
        <v>1340</v>
      </c>
      <c r="AL8" s="68" t="s">
        <v>1440</v>
      </c>
    </row>
    <row r="9" spans="2:38" ht="14.25" customHeight="1" x14ac:dyDescent="0.25">
      <c r="B9" s="44">
        <v>1</v>
      </c>
      <c r="C9" s="48"/>
      <c r="D9" s="49" t="s">
        <v>1216</v>
      </c>
      <c r="E9" s="45"/>
      <c r="F9" s="49"/>
      <c r="G9" s="49"/>
      <c r="H9" s="45">
        <v>2013</v>
      </c>
      <c r="I9" s="88"/>
      <c r="J9" s="45" t="s">
        <v>1222</v>
      </c>
      <c r="K9" s="54"/>
      <c r="L9" s="55"/>
      <c r="M9" s="54"/>
      <c r="N9" s="53"/>
      <c r="O9" s="53">
        <v>1</v>
      </c>
      <c r="P9" s="53"/>
      <c r="Q9" s="46">
        <f>SUMPRODUCT(K9:M9,N9:P9)</f>
        <v>0</v>
      </c>
      <c r="R9" s="46">
        <f>L9</f>
        <v>0</v>
      </c>
      <c r="S9" s="58"/>
      <c r="T9" s="58"/>
      <c r="U9" s="51">
        <v>1</v>
      </c>
      <c r="V9" s="46" t="s">
        <v>1369</v>
      </c>
      <c r="W9" s="46" t="str">
        <f>V9&amp;F9&amp;G9&amp;E9</f>
        <v>OKO</v>
      </c>
      <c r="X9" s="46">
        <f>INDEX(MasterSheet_rng_PLOYearAdjs,MATCH(MasterSheet_Repeater_PloYRep&amp;"-"&amp;H9,MasterSheet_rng_PLOYearAdjsConcat,0))</f>
        <v>1</v>
      </c>
      <c r="Y9" s="46">
        <f>U9*L9*X9</f>
        <v>0</v>
      </c>
      <c r="Z9" s="46">
        <f>U9*Q9*X9</f>
        <v>0</v>
      </c>
      <c r="AA9" s="46">
        <f>U9*R9*X9</f>
        <v>0</v>
      </c>
      <c r="AB9" s="56">
        <f>U9*K9*X9</f>
        <v>0</v>
      </c>
      <c r="AC9" s="57">
        <f>U9*M9*X9</f>
        <v>0</v>
      </c>
      <c r="AD9" s="46">
        <f>Z9-Y9</f>
        <v>0</v>
      </c>
      <c r="AE9" s="46">
        <f>AA9-Y9</f>
        <v>0</v>
      </c>
      <c r="AF9" s="52">
        <f>COUNTA(S9:T9)</f>
        <v>0</v>
      </c>
      <c r="AG9" s="46">
        <f>IF(OR(AF9=0,AF9=1),AD9,AD9*MasterSheet_f_RiskPrimaryPercentage)</f>
        <v>0</v>
      </c>
      <c r="AH9" s="46">
        <f>IF(OR(AF9=0,AF9=1),0,AD9*(1-MasterSheet_f_RiskPrimaryPercentage))</f>
        <v>0</v>
      </c>
      <c r="AI9" s="46">
        <f>IF(OR(AF9=0,AF9=1),AE9,AE9*MasterSheet_f_RiskPrimaryPercentage)</f>
        <v>0</v>
      </c>
      <c r="AJ9" s="47">
        <f>IF(OR(AF9=0,AF9=1),0,AE9*(1-MasterSheet_f_RiskPrimaryPercentage))</f>
        <v>0</v>
      </c>
      <c r="AK9" s="47">
        <f>IF(OR(AF9=0,AF9=1),(M9-L9),(M9-L9)*MasterSheet_f_RiskPrimaryPercentage)</f>
        <v>0</v>
      </c>
      <c r="AL9" s="57">
        <f>IF(OR(AF9=0,AF9=1),(M9-L9),(M9-L9)*(1-MasterSheet_f_RiskPrimaryPercentage))</f>
        <v>0</v>
      </c>
    </row>
    <row r="12" spans="2:38" ht="29.1" customHeight="1" x14ac:dyDescent="0.25"/>
    <row r="14" spans="2:38" ht="27" customHeight="1" x14ac:dyDescent="0.25">
      <c r="C14" s="92" t="s">
        <v>368</v>
      </c>
      <c r="D14" s="92"/>
    </row>
    <row r="16" spans="2:38" ht="36" customHeight="1" thickBot="1" x14ac:dyDescent="0.3">
      <c r="B16" s="59" t="s">
        <v>620</v>
      </c>
      <c r="C16" s="87" t="s">
        <v>369</v>
      </c>
      <c r="D16" s="60" t="s">
        <v>370</v>
      </c>
      <c r="E16" s="347" t="s">
        <v>626</v>
      </c>
      <c r="F16" s="348"/>
      <c r="G16" s="348"/>
      <c r="H16" s="348"/>
      <c r="I16" s="60" t="s">
        <v>1241</v>
      </c>
      <c r="J16" s="60" t="s">
        <v>1238</v>
      </c>
      <c r="K16" s="61" t="s">
        <v>293</v>
      </c>
      <c r="L16" s="61" t="s">
        <v>621</v>
      </c>
      <c r="M16" s="61" t="s">
        <v>294</v>
      </c>
      <c r="N16" s="62" t="s">
        <v>295</v>
      </c>
      <c r="O16" s="62" t="s">
        <v>296</v>
      </c>
      <c r="P16" s="62" t="s">
        <v>297</v>
      </c>
      <c r="Q16" s="61" t="s">
        <v>622</v>
      </c>
      <c r="R16" s="63" t="s">
        <v>623</v>
      </c>
      <c r="S16" s="117"/>
      <c r="T16" s="118"/>
      <c r="U16" s="31" t="s">
        <v>299</v>
      </c>
      <c r="V16" s="32" t="s">
        <v>1312</v>
      </c>
      <c r="W16" s="32" t="s">
        <v>1327</v>
      </c>
      <c r="X16" s="32" t="s">
        <v>1408</v>
      </c>
      <c r="Y16" s="29" t="s">
        <v>300</v>
      </c>
      <c r="Z16" s="29" t="s">
        <v>301</v>
      </c>
      <c r="AA16" s="29" t="s">
        <v>302</v>
      </c>
      <c r="AB16" s="33" t="s">
        <v>1336</v>
      </c>
      <c r="AC16" s="33" t="s">
        <v>1337</v>
      </c>
      <c r="AD16" s="14"/>
      <c r="AE16" s="11"/>
      <c r="AF16" s="11"/>
      <c r="AG16" s="10"/>
      <c r="AH16" s="10"/>
      <c r="AI16" s="11"/>
      <c r="AJ16" s="10"/>
      <c r="AK16" s="93"/>
      <c r="AL16" s="93"/>
    </row>
    <row r="17" spans="2:38" ht="14.25" customHeight="1" x14ac:dyDescent="0.25">
      <c r="B17" s="44">
        <f>ROW(C17)-ROW(Driftmedprojekt_f_DriftmedprojektMain2T1_start)</f>
        <v>1</v>
      </c>
      <c r="C17" s="73" t="str">
        <f>IF(INDEX(MasterSheet_Repeater_IOKVar,B17)="[Navn]","",INDEX(MasterSheet_Repeater_IOKVar,B17))</f>
        <v/>
      </c>
      <c r="D17" s="74" t="str">
        <f ca="1">IF(OFFSET(Forside_f_FP_Main1IOKVarTable_start,B17,4)="[Enhed]","",OFFSET(Forside_f_FP_Main1IOKVarTable_start,B17,4))</f>
        <v/>
      </c>
      <c r="E17" s="349" t="str">
        <f ca="1">IF(OFFSET(Forside_f_FP_Main1IOKVarTable_start,B17,6)=0,"",OFFSET(Forside_f_FP_Main1IOKVarTable_start,B17,6))</f>
        <v/>
      </c>
      <c r="F17" s="349"/>
      <c r="G17" s="349"/>
      <c r="H17" s="349"/>
      <c r="I17" s="48"/>
      <c r="J17" s="45" t="s">
        <v>1222</v>
      </c>
      <c r="K17" s="54"/>
      <c r="L17" s="55"/>
      <c r="M17" s="54"/>
      <c r="N17" s="53"/>
      <c r="O17" s="53">
        <v>1</v>
      </c>
      <c r="P17" s="53"/>
      <c r="Q17" s="46">
        <f>SUMPRODUCT(K17:M17,N17:P17)</f>
        <v>0</v>
      </c>
      <c r="R17" s="47">
        <f>L17</f>
        <v>0</v>
      </c>
      <c r="S17" s="117"/>
      <c r="T17" s="118"/>
      <c r="U17" s="51">
        <v>1</v>
      </c>
      <c r="V17" s="46" t="s">
        <v>1367</v>
      </c>
      <c r="W17" s="46" t="str">
        <f>V17&amp;C17</f>
        <v>IKO</v>
      </c>
      <c r="X17" s="46">
        <v>1</v>
      </c>
      <c r="Y17" s="46">
        <f>U17*L17*X17</f>
        <v>0</v>
      </c>
      <c r="Z17" s="46">
        <f>U17*Q17*X17</f>
        <v>0</v>
      </c>
      <c r="AA17" s="46">
        <f>U17*R17*X17</f>
        <v>0</v>
      </c>
      <c r="AB17" s="56">
        <f>U17*K17*X17</f>
        <v>0</v>
      </c>
      <c r="AC17" s="57">
        <f>U17*M17*X17</f>
        <v>0</v>
      </c>
      <c r="AD17" s="119"/>
      <c r="AE17" s="120"/>
      <c r="AF17" s="120"/>
      <c r="AG17" s="120"/>
      <c r="AH17" s="120"/>
      <c r="AI17" s="12"/>
      <c r="AJ17" s="13"/>
      <c r="AK17" s="93"/>
      <c r="AL17" s="93"/>
    </row>
    <row r="19" spans="2:38" ht="27" customHeight="1" x14ac:dyDescent="0.25">
      <c r="C19" s="92" t="s">
        <v>371</v>
      </c>
      <c r="D19" s="92"/>
    </row>
    <row r="21" spans="2:38" ht="36" customHeight="1" thickBot="1" x14ac:dyDescent="0.3">
      <c r="B21" s="59" t="s">
        <v>620</v>
      </c>
      <c r="C21" s="87" t="s">
        <v>291</v>
      </c>
      <c r="D21" s="60" t="s">
        <v>310</v>
      </c>
      <c r="E21" s="347" t="s">
        <v>311</v>
      </c>
      <c r="F21" s="348"/>
      <c r="G21" s="348"/>
      <c r="H21" s="348"/>
      <c r="I21" s="60" t="s">
        <v>1241</v>
      </c>
      <c r="J21" s="60" t="s">
        <v>1238</v>
      </c>
      <c r="K21" s="61" t="s">
        <v>293</v>
      </c>
      <c r="L21" s="61" t="s">
        <v>621</v>
      </c>
      <c r="M21" s="61" t="s">
        <v>294</v>
      </c>
      <c r="N21" s="62" t="s">
        <v>295</v>
      </c>
      <c r="O21" s="62" t="s">
        <v>296</v>
      </c>
      <c r="P21" s="62" t="s">
        <v>297</v>
      </c>
      <c r="Q21" s="61" t="s">
        <v>622</v>
      </c>
      <c r="R21" s="63" t="s">
        <v>623</v>
      </c>
      <c r="S21" s="117"/>
      <c r="T21" s="118"/>
      <c r="U21" s="31" t="s">
        <v>299</v>
      </c>
      <c r="V21" s="32" t="s">
        <v>1312</v>
      </c>
      <c r="W21" s="32" t="s">
        <v>1327</v>
      </c>
      <c r="X21" s="32" t="s">
        <v>1408</v>
      </c>
      <c r="Y21" s="29" t="s">
        <v>300</v>
      </c>
      <c r="Z21" s="29" t="s">
        <v>301</v>
      </c>
      <c r="AA21" s="29" t="s">
        <v>302</v>
      </c>
      <c r="AB21" s="33" t="s">
        <v>1336</v>
      </c>
      <c r="AC21" s="33" t="s">
        <v>1337</v>
      </c>
      <c r="AD21" s="42"/>
      <c r="AE21" s="10"/>
      <c r="AF21" s="11"/>
      <c r="AG21" s="10"/>
      <c r="AH21" s="10"/>
      <c r="AI21" s="10"/>
      <c r="AJ21" s="10"/>
      <c r="AK21" s="93"/>
      <c r="AL21" s="93"/>
    </row>
    <row r="22" spans="2:38" ht="14.25" customHeight="1" x14ac:dyDescent="0.25">
      <c r="B22" s="44">
        <v>1</v>
      </c>
      <c r="C22" s="48"/>
      <c r="D22" s="90" t="s">
        <v>1216</v>
      </c>
      <c r="E22" s="350"/>
      <c r="F22" s="351"/>
      <c r="G22" s="351"/>
      <c r="H22" s="351"/>
      <c r="I22" s="48"/>
      <c r="J22" s="45" t="s">
        <v>1222</v>
      </c>
      <c r="K22" s="54"/>
      <c r="L22" s="55"/>
      <c r="M22" s="54"/>
      <c r="N22" s="53"/>
      <c r="O22" s="53">
        <v>1</v>
      </c>
      <c r="P22" s="53"/>
      <c r="Q22" s="46">
        <f>SUMPRODUCT(K22:M22,N22:P22)</f>
        <v>0</v>
      </c>
      <c r="R22" s="47">
        <f>L22</f>
        <v>0</v>
      </c>
      <c r="S22" s="117"/>
      <c r="T22" s="118"/>
      <c r="U22" s="51">
        <v>1</v>
      </c>
      <c r="V22" s="46" t="s">
        <v>1368</v>
      </c>
      <c r="W22" s="46" t="str">
        <f>V22&amp;E22</f>
        <v>OVP</v>
      </c>
      <c r="X22" s="46">
        <v>1</v>
      </c>
      <c r="Y22" s="46">
        <f>U22*L22*X22</f>
        <v>0</v>
      </c>
      <c r="Z22" s="46">
        <f>U22*Q22*X22</f>
        <v>0</v>
      </c>
      <c r="AA22" s="46">
        <f>U22*R22*X22</f>
        <v>0</v>
      </c>
      <c r="AB22" s="56">
        <f>U22*K22*X22</f>
        <v>0</v>
      </c>
      <c r="AC22" s="57">
        <f>U22*M22*X22</f>
        <v>0</v>
      </c>
      <c r="AD22" s="41"/>
      <c r="AE22" s="13"/>
      <c r="AF22" s="12"/>
      <c r="AG22" s="13"/>
      <c r="AH22" s="13"/>
      <c r="AI22" s="13"/>
      <c r="AJ22" s="13"/>
      <c r="AK22" s="93"/>
      <c r="AL22" s="93"/>
    </row>
  </sheetData>
  <sheetProtection algorithmName="SHA-512" hashValue="CupNGdXtPnIB9yrJgot7mtq3hukCVCpOyeWvVnMbPIAiQNwkJGsJ/SHz/Bxb7UPceDO6nAvFibVK1L3QeE0Ujw==" saltValue="k0oArr/HQExwIzjCXPbEVg==" spinCount="100000" sheet="1" objects="1" scenarios="1"/>
  <mergeCells count="4">
    <mergeCell ref="E16:H16"/>
    <mergeCell ref="E17:H17"/>
    <mergeCell ref="E21:H21"/>
    <mergeCell ref="E22:H22"/>
  </mergeCells>
  <dataValidations count="9">
    <dataValidation type="list" allowBlank="1" showInputMessage="1" showErrorMessage="1" sqref="J9 J17 J22" xr:uid="{00000000-0002-0000-0800-000000000000}">
      <formula1>IF(ISERROR(INDIRECT("MasterSheet_rng_DistType",TRUE)),$A:$A,INDIRECT("MasterSheet_rng_DistType",TRUE))</formula1>
    </dataValidation>
    <dataValidation allowBlank="1" errorTitle="Fejl i værdi" error="Du skal vælge e轠Ќ_x0000__x0000__x0000__x0000__x000c__x0000__x0000__x0010__x0000__x0000_㿿_x0000__xffff__xffff__x0000__x0000_ardinet." promptTitle="Vælg fra listen." prompt="Du skal vælge en værdi fra rullegardinet" sqref="AL9" xr:uid="{00000000-0002-0000-0800-000001000000}"/>
    <dataValidation type="list" allowBlank="1" showInputMessage="1" showErrorMessage="1" sqref="T9" xr:uid="{00000000-0002-0000-0800-000002000000}">
      <formula1>IF(S9="",$A:$A,IF(ISERROR(INDIRECT("MasterSheet_Repeater_Risci",TRUE)),$A:$A,INDIRECT("MasterSheet_Repeater_Risci",TRUE)))</formula1>
    </dataValidation>
    <dataValidation type="list" allowBlank="1" showInputMessage="1" showErrorMessage="1" sqref="D9 D22" xr:uid="{00000000-0002-0000-0800-000003000000}">
      <formula1>IF(U9=1,IF(ISERROR(INDIRECT("MasterSheet_rng_AssumptionsMain",TRUE)),$A:$A,INDIRECT("MasterSheet_rng_AssumptionsMain",TRUE)),IF(ISERROR(INDIRECT("MasterSheet_rng_AssumptionsSub",TRUE)),$A:$A,INDIRECT("MasterSheet_rng_AssumptionsSub",TRUE)))</formula1>
    </dataValidation>
    <dataValidation type="list" allowBlank="1" showInputMessage="1" showErrorMessage="1" sqref="G9" xr:uid="{00000000-0002-0000-0800-000004000000}">
      <formula1>IF(ISERROR(INDIRECT("MasterSheet_Repeater_Gevinstejer",TRUE)),$A:$A,INDIRECT("MasterSheet_Repeater_Gevinstejer",TRUE))</formula1>
    </dataValidation>
    <dataValidation type="list" allowBlank="1" showInputMessage="1" showErrorMessage="1" sqref="S9" xr:uid="{00000000-0002-0000-0800-000005000000}">
      <formula1>IF(ISERROR(INDIRECT("MasterSheet_Repeater_Risci",TRUE)),$A:$A,INDIRECT("MasterSheet_Repeater_Risci",TRUE))</formula1>
    </dataValidation>
    <dataValidation type="list" allowBlank="1" showInputMessage="1" showErrorMessage="1" sqref="F9" xr:uid="{00000000-0002-0000-0800-000006000000}">
      <formula1>IF(ISERROR(INDIRECT("MasterSheet_Repeater_Finanskonti",TRUE)),$A:$A,INDIRECT("MasterSheet_Repeater_Finanskonti",TRUE))</formula1>
    </dataValidation>
    <dataValidation type="list" allowBlank="1" showInputMessage="1" showErrorMessage="1" sqref="H9" xr:uid="{00000000-0002-0000-0800-000007000000}">
      <formula1>IF(ISERROR(INDIRECT("MasterSheet_rng_PLOYear",TRUE)),$A:$A,INDIRECT("MasterSheet_rng_PLOYear",TRUE))</formula1>
    </dataValidation>
    <dataValidation type="list" allowBlank="1" showInputMessage="1" showErrorMessage="1" sqref="E9 E22" xr:uid="{00000000-0002-0000-0800-000008000000}">
      <formula1>IF(ISERROR(INDIRECT("MasterSheet_Repeater_TidsPlan",TRUE)),$A:$A,INDIRECT("MasterSheet_Repeater_TidsPlan",TRUE))</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538DD5"/>
  </sheetPr>
  <dimension ref="B2:AL9"/>
  <sheetViews>
    <sheetView showGridLines="0" zoomScale="80" zoomScaleNormal="80" workbookViewId="0">
      <selection activeCell="B9" sqref="B9:AL9"/>
    </sheetView>
  </sheetViews>
  <sheetFormatPr defaultColWidth="10.140625" defaultRowHeight="14.25" customHeight="1" x14ac:dyDescent="0.25"/>
  <cols>
    <col min="1" max="1" width="3.5703125" customWidth="1"/>
    <col min="2" max="2" width="9.140625" hidden="1" customWidth="1"/>
    <col min="3" max="3" width="60.85546875" customWidth="1"/>
    <col min="4" max="4" width="36.28515625" customWidth="1"/>
    <col min="5" max="5" width="6.140625" customWidth="1"/>
    <col min="6" max="6" width="20" customWidth="1"/>
    <col min="7" max="7" width="28" customWidth="1"/>
    <col min="8" max="8" width="7.140625" customWidth="1"/>
    <col min="9" max="9" width="24.7109375" customWidth="1"/>
    <col min="10" max="10" width="15" customWidth="1"/>
    <col min="11" max="13" width="12.28515625" customWidth="1"/>
    <col min="14" max="16" width="8.7109375" customWidth="1"/>
    <col min="17" max="17" width="12.7109375" customWidth="1"/>
    <col min="18" max="18" width="9.140625" hidden="1" customWidth="1"/>
    <col min="19" max="20" width="17.7109375" customWidth="1"/>
    <col min="21" max="38" width="9.140625" hidden="1" customWidth="1"/>
    <col min="39" max="200" width="9.140625" customWidth="1"/>
  </cols>
  <sheetData>
    <row r="2" spans="2:38" ht="48.95" customHeight="1" x14ac:dyDescent="0.25"/>
    <row r="3" spans="2:38" ht="30.95" customHeight="1" x14ac:dyDescent="0.25"/>
    <row r="6" spans="2:38" ht="29.1" customHeight="1" x14ac:dyDescent="0.25"/>
    <row r="8" spans="2:38" ht="36" customHeight="1" thickBot="1" x14ac:dyDescent="0.3">
      <c r="B8" s="27" t="s">
        <v>620</v>
      </c>
      <c r="C8" s="352" t="s">
        <v>291</v>
      </c>
      <c r="D8" s="353"/>
      <c r="E8" s="354" t="s">
        <v>363</v>
      </c>
      <c r="F8" s="355"/>
      <c r="G8" s="35" t="s">
        <v>292</v>
      </c>
      <c r="H8" s="117"/>
      <c r="I8" s="118"/>
      <c r="J8" s="118"/>
      <c r="K8" s="118"/>
      <c r="L8" s="118"/>
      <c r="M8" s="118"/>
      <c r="N8" s="118"/>
      <c r="O8" s="118"/>
      <c r="P8" s="118"/>
      <c r="Q8" s="118"/>
      <c r="R8" s="118"/>
      <c r="S8" s="118"/>
      <c r="T8" s="118"/>
      <c r="U8" s="31" t="s">
        <v>299</v>
      </c>
      <c r="V8" s="32" t="s">
        <v>1312</v>
      </c>
      <c r="W8" s="32" t="s">
        <v>1327</v>
      </c>
      <c r="X8" s="32" t="s">
        <v>1408</v>
      </c>
      <c r="Y8" s="121"/>
      <c r="Z8" s="122"/>
      <c r="AA8" s="122"/>
      <c r="AB8" s="122"/>
      <c r="AC8" s="122"/>
      <c r="AD8" s="122"/>
      <c r="AE8" s="122"/>
      <c r="AF8" s="122"/>
      <c r="AG8" s="122"/>
      <c r="AH8" s="122"/>
      <c r="AI8" s="122"/>
      <c r="AJ8" s="122"/>
      <c r="AK8" s="93"/>
      <c r="AL8" s="93"/>
    </row>
    <row r="9" spans="2:38" ht="14.25" customHeight="1" x14ac:dyDescent="0.25">
      <c r="B9" s="71">
        <v>1</v>
      </c>
      <c r="C9" s="356"/>
      <c r="D9" s="356"/>
      <c r="E9" s="357"/>
      <c r="F9" s="358"/>
      <c r="G9" s="72">
        <v>2013</v>
      </c>
      <c r="H9" s="118"/>
      <c r="I9" s="118"/>
      <c r="J9" s="118"/>
      <c r="K9" s="118"/>
      <c r="L9" s="118"/>
      <c r="M9" s="118"/>
      <c r="N9" s="118"/>
      <c r="O9" s="118"/>
      <c r="P9" s="118"/>
      <c r="Q9" s="118"/>
      <c r="R9" s="118"/>
      <c r="S9" s="118"/>
      <c r="T9" s="118"/>
      <c r="U9" s="69">
        <v>1</v>
      </c>
      <c r="V9" s="70" t="s">
        <v>1369</v>
      </c>
      <c r="W9" s="70" t="str">
        <f>V9</f>
        <v>OKO</v>
      </c>
      <c r="X9" s="70">
        <f>INDEX(MasterSheet_rng_PLOYearAdjs,MATCH(MasterSheet_Repeater_PloYRep&amp;"-"&amp;G9,MasterSheet_rng_PLOYearAdjsConcat,0))</f>
        <v>1</v>
      </c>
      <c r="Y9" s="123"/>
      <c r="Z9" s="123"/>
      <c r="AA9" s="123"/>
      <c r="AB9" s="123"/>
      <c r="AC9" s="123"/>
      <c r="AD9" s="123"/>
      <c r="AE9" s="123"/>
      <c r="AF9" s="123"/>
      <c r="AG9" s="123"/>
      <c r="AH9" s="123"/>
      <c r="AI9" s="123"/>
      <c r="AJ9" s="123"/>
      <c r="AK9" s="93"/>
      <c r="AL9" s="93"/>
    </row>
  </sheetData>
  <sheetProtection algorithmName="SHA-512" hashValue="ABLOPSz5OmTSLdli7MWq8CGv/4WPo2mMuWqp3xUeEbK28Hti1m9kJxGjgzcExvQf1OYZx/zQoTd8ufhk/ZwOOw==" saltValue="CHpMZt72R+qOlDEMeIefEg==" spinCount="100000" sheet="1" objects="1" scenarios="1"/>
  <mergeCells count="4">
    <mergeCell ref="C8:D8"/>
    <mergeCell ref="E8:F8"/>
    <mergeCell ref="C9:D9"/>
    <mergeCell ref="E9:F9"/>
  </mergeCells>
  <dataValidations count="1">
    <dataValidation type="list" allowBlank="1" showInputMessage="1" showErrorMessage="1" sqref="G9" xr:uid="{00000000-0002-0000-0900-000000000000}">
      <formula1>IF(ISERROR(INDIRECT("MasterSheet_rng_PLOYear",TRUE)),$A:$A,INDIRECT("MasterSheet_rng_PLOYear",TRUE))</formula1>
    </dataValidation>
  </dataValidations>
  <pageMargins left="0.7" right="0.7" top="0.75" bottom="0.75" header="0.3" footer="0.3"/>
  <drawing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Ark3"/>
  <dimension ref="A1:EQ1245"/>
  <sheetViews>
    <sheetView topLeftCell="A1230" zoomScale="80" zoomScaleNormal="80" workbookViewId="0">
      <selection activeCell="J1118" sqref="J1118"/>
    </sheetView>
  </sheetViews>
  <sheetFormatPr defaultColWidth="9.140625" defaultRowHeight="16.5" customHeight="1" x14ac:dyDescent="0.2"/>
  <cols>
    <col min="1" max="1" width="9.140625" style="93"/>
    <col min="2" max="2" width="43.42578125" style="93" customWidth="1"/>
    <col min="3" max="3" width="23.28515625" style="93" customWidth="1"/>
    <col min="4" max="4" width="41.85546875" style="93" customWidth="1"/>
    <col min="5" max="6" width="9.140625" style="93"/>
    <col min="7" max="7" width="36.42578125" style="93" customWidth="1"/>
    <col min="8" max="8" width="18.7109375" style="93" customWidth="1"/>
    <col min="9" max="9" width="20.7109375" style="93" customWidth="1"/>
    <col min="10" max="14" width="9.140625" style="93"/>
    <col min="15" max="15" width="9.85546875" style="93" bestFit="1" customWidth="1"/>
    <col min="16" max="42" width="9.140625" style="93"/>
    <col min="43" max="43" width="21.5703125" style="93" customWidth="1"/>
    <col min="44" max="44" width="18.140625" style="93" customWidth="1"/>
    <col min="45" max="45" width="13" style="93" bestFit="1" customWidth="1"/>
    <col min="46" max="46" width="13.28515625" style="93" customWidth="1"/>
    <col min="47" max="47" width="13" style="93" bestFit="1" customWidth="1"/>
    <col min="48" max="48" width="14.28515625" style="93" customWidth="1"/>
    <col min="49" max="52" width="11" style="93" bestFit="1" customWidth="1"/>
    <col min="53" max="53" width="13.28515625" style="93" customWidth="1"/>
    <col min="54" max="54" width="11.7109375" style="93" customWidth="1"/>
    <col min="55" max="16384" width="9.140625" style="93"/>
  </cols>
  <sheetData>
    <row r="1" spans="1:74" ht="16.5" customHeight="1" x14ac:dyDescent="0.2">
      <c r="B1" s="93" t="s">
        <v>65</v>
      </c>
      <c r="C1" s="93" t="s">
        <v>66</v>
      </c>
      <c r="D1" s="93" t="s">
        <v>537</v>
      </c>
      <c r="E1" s="93" t="s">
        <v>32</v>
      </c>
      <c r="G1" s="93" t="s">
        <v>537</v>
      </c>
      <c r="H1" s="93" t="s">
        <v>32</v>
      </c>
      <c r="I1" s="93" t="s">
        <v>517</v>
      </c>
      <c r="J1" s="93" t="s">
        <v>962</v>
      </c>
    </row>
    <row r="2" spans="1:74" ht="16.5" customHeight="1" x14ac:dyDescent="0.2">
      <c r="C2" s="93" t="s">
        <v>195</v>
      </c>
      <c r="D2" s="93" t="s">
        <v>1149</v>
      </c>
      <c r="E2" s="93" t="b">
        <v>1</v>
      </c>
      <c r="G2" s="93" t="s">
        <v>364</v>
      </c>
      <c r="H2" s="93" t="b">
        <v>1</v>
      </c>
      <c r="J2" s="93" t="s">
        <v>900</v>
      </c>
    </row>
    <row r="3" spans="1:74" ht="16.5" customHeight="1" x14ac:dyDescent="0.2">
      <c r="C3" s="93" t="b">
        <v>0</v>
      </c>
      <c r="D3" s="93" t="s">
        <v>1152</v>
      </c>
      <c r="E3" s="93" t="b">
        <v>1</v>
      </c>
      <c r="G3" s="93" t="s">
        <v>365</v>
      </c>
      <c r="H3" s="93" t="b">
        <v>1</v>
      </c>
      <c r="J3" s="93" t="s">
        <v>903</v>
      </c>
    </row>
    <row r="4" spans="1:74" ht="16.5" customHeight="1" x14ac:dyDescent="0.2">
      <c r="C4" s="93" t="s">
        <v>1253</v>
      </c>
      <c r="D4" s="93" t="s">
        <v>1154</v>
      </c>
      <c r="E4" s="93" t="b">
        <v>1</v>
      </c>
      <c r="G4" s="93" t="s">
        <v>387</v>
      </c>
      <c r="H4" s="93" t="b">
        <v>1</v>
      </c>
      <c r="J4" s="93" t="s">
        <v>901</v>
      </c>
    </row>
    <row r="5" spans="1:74" ht="16.5" customHeight="1" x14ac:dyDescent="0.2">
      <c r="C5" s="93" t="b">
        <v>1</v>
      </c>
      <c r="D5" s="93" t="s">
        <v>289</v>
      </c>
      <c r="E5" s="93" t="b">
        <v>1</v>
      </c>
      <c r="G5" s="93" t="s">
        <v>406</v>
      </c>
      <c r="H5" s="93" t="b">
        <v>1</v>
      </c>
      <c r="I5" s="93" t="b">
        <v>0</v>
      </c>
      <c r="J5" s="93" t="s">
        <v>902</v>
      </c>
      <c r="O5" s="93" t="s">
        <v>1194</v>
      </c>
    </row>
    <row r="6" spans="1:74" ht="16.5" customHeight="1" x14ac:dyDescent="0.2">
      <c r="D6" s="93" t="s">
        <v>347</v>
      </c>
      <c r="E6" s="93" t="b">
        <v>1</v>
      </c>
      <c r="J6" s="93" t="s">
        <v>961</v>
      </c>
      <c r="K6" s="93" t="s">
        <v>1348</v>
      </c>
    </row>
    <row r="8" spans="1:74" ht="16.5" customHeight="1" x14ac:dyDescent="0.2">
      <c r="D8" s="93" t="s">
        <v>653</v>
      </c>
      <c r="G8" s="93" t="s">
        <v>710</v>
      </c>
      <c r="H8" s="93" t="b">
        <v>1</v>
      </c>
      <c r="O8" s="93" t="s">
        <v>288</v>
      </c>
      <c r="P8" s="93">
        <v>1</v>
      </c>
      <c r="Q8" s="93">
        <v>2</v>
      </c>
      <c r="R8" s="93">
        <v>3</v>
      </c>
      <c r="S8" s="93">
        <v>4</v>
      </c>
      <c r="T8" s="93">
        <v>5</v>
      </c>
      <c r="U8" s="93">
        <v>6</v>
      </c>
      <c r="V8" s="93">
        <v>7</v>
      </c>
      <c r="W8" s="93">
        <v>8</v>
      </c>
      <c r="X8" s="93">
        <v>9</v>
      </c>
      <c r="Y8" s="93">
        <v>10</v>
      </c>
      <c r="Z8" s="93">
        <v>11</v>
      </c>
      <c r="AA8" s="93">
        <v>12</v>
      </c>
      <c r="AB8" s="93">
        <v>13</v>
      </c>
      <c r="AC8" s="93">
        <v>14</v>
      </c>
      <c r="AD8" s="93">
        <v>15</v>
      </c>
      <c r="AE8" s="93">
        <v>16</v>
      </c>
      <c r="AF8" s="93">
        <v>17</v>
      </c>
      <c r="AG8" s="93">
        <v>18</v>
      </c>
      <c r="AH8" s="93">
        <v>19</v>
      </c>
      <c r="AI8" s="93">
        <v>20</v>
      </c>
      <c r="AJ8" s="93">
        <v>21</v>
      </c>
      <c r="AK8" s="93">
        <v>22</v>
      </c>
      <c r="AL8" s="93">
        <v>23</v>
      </c>
      <c r="AM8" s="93">
        <v>24</v>
      </c>
      <c r="AN8" s="93">
        <v>25</v>
      </c>
      <c r="AO8" s="93">
        <v>26</v>
      </c>
      <c r="AP8" s="93">
        <v>27</v>
      </c>
      <c r="AQ8" s="93">
        <v>28</v>
      </c>
      <c r="AR8" s="93">
        <v>29</v>
      </c>
      <c r="AS8" s="93">
        <v>30</v>
      </c>
      <c r="AT8" s="93">
        <v>31</v>
      </c>
      <c r="AU8" s="93">
        <v>32</v>
      </c>
      <c r="AV8" s="93">
        <v>33</v>
      </c>
      <c r="AW8" s="93">
        <v>34</v>
      </c>
      <c r="AX8" s="93">
        <v>35</v>
      </c>
      <c r="AY8" s="93">
        <v>36</v>
      </c>
      <c r="AZ8" s="93">
        <v>37</v>
      </c>
      <c r="BA8" s="93">
        <v>38</v>
      </c>
      <c r="BB8" s="93">
        <v>39</v>
      </c>
      <c r="BC8" s="93">
        <v>40</v>
      </c>
      <c r="BD8" s="93">
        <v>41</v>
      </c>
      <c r="BE8" s="93">
        <v>42</v>
      </c>
      <c r="BF8" s="93">
        <v>43</v>
      </c>
      <c r="BG8" s="93">
        <v>44</v>
      </c>
      <c r="BH8" s="93">
        <v>45</v>
      </c>
      <c r="BI8" s="93">
        <v>46</v>
      </c>
      <c r="BJ8" s="93">
        <v>47</v>
      </c>
      <c r="BK8" s="93">
        <v>48</v>
      </c>
      <c r="BL8" s="93">
        <v>49</v>
      </c>
      <c r="BM8" s="93">
        <v>50</v>
      </c>
      <c r="BN8" s="93">
        <v>51</v>
      </c>
      <c r="BO8" s="93">
        <v>52</v>
      </c>
      <c r="BP8" s="93">
        <v>53</v>
      </c>
      <c r="BQ8" s="93">
        <v>54</v>
      </c>
      <c r="BR8" s="93">
        <v>55</v>
      </c>
      <c r="BS8" s="93">
        <v>56</v>
      </c>
      <c r="BT8" s="93">
        <v>57</v>
      </c>
      <c r="BU8" s="93">
        <v>58</v>
      </c>
      <c r="BV8" s="93">
        <v>59</v>
      </c>
    </row>
    <row r="9" spans="1:74" ht="16.5" customHeight="1" x14ac:dyDescent="0.2">
      <c r="A9" s="93">
        <v>1</v>
      </c>
      <c r="B9" s="93">
        <v>2</v>
      </c>
      <c r="C9" s="93">
        <v>3</v>
      </c>
      <c r="D9" s="93">
        <v>4</v>
      </c>
      <c r="E9" s="93">
        <v>5</v>
      </c>
      <c r="G9" s="93">
        <v>7</v>
      </c>
      <c r="H9" s="93">
        <v>8</v>
      </c>
      <c r="I9" s="93">
        <v>9</v>
      </c>
      <c r="J9" s="93">
        <v>10</v>
      </c>
      <c r="K9" s="93">
        <v>11</v>
      </c>
      <c r="L9" s="93">
        <v>12</v>
      </c>
      <c r="M9" s="93">
        <v>13</v>
      </c>
      <c r="N9" s="93">
        <v>14</v>
      </c>
      <c r="O9" s="93">
        <v>15</v>
      </c>
      <c r="P9" s="93">
        <v>16</v>
      </c>
      <c r="Q9" s="93">
        <v>17</v>
      </c>
      <c r="R9" s="93">
        <v>18</v>
      </c>
      <c r="S9" s="93">
        <v>19</v>
      </c>
      <c r="T9" s="93">
        <v>20</v>
      </c>
      <c r="U9" s="93">
        <v>21</v>
      </c>
      <c r="V9" s="93">
        <v>22</v>
      </c>
      <c r="W9" s="93">
        <v>23</v>
      </c>
      <c r="X9" s="93">
        <v>24</v>
      </c>
      <c r="Y9" s="93">
        <v>25</v>
      </c>
      <c r="Z9" s="93">
        <v>26</v>
      </c>
      <c r="AA9" s="93">
        <v>27</v>
      </c>
      <c r="AB9" s="93">
        <v>28</v>
      </c>
      <c r="AC9" s="93">
        <v>29</v>
      </c>
      <c r="AD9" s="93">
        <v>30</v>
      </c>
      <c r="AE9" s="93">
        <v>31</v>
      </c>
      <c r="AF9" s="93">
        <v>32</v>
      </c>
      <c r="AG9" s="93">
        <v>33</v>
      </c>
      <c r="AH9" s="93">
        <v>34</v>
      </c>
      <c r="AI9" s="93">
        <v>35</v>
      </c>
      <c r="AJ9" s="93">
        <v>36</v>
      </c>
      <c r="AK9" s="93">
        <v>37</v>
      </c>
      <c r="AL9" s="93">
        <v>38</v>
      </c>
      <c r="AM9" s="93">
        <v>39</v>
      </c>
      <c r="AN9" s="93">
        <v>40</v>
      </c>
      <c r="AO9" s="93">
        <v>41</v>
      </c>
      <c r="AP9" s="93">
        <v>42</v>
      </c>
      <c r="AQ9" s="93">
        <v>43</v>
      </c>
      <c r="AR9" s="93">
        <v>44</v>
      </c>
      <c r="AS9" s="93">
        <v>45</v>
      </c>
      <c r="AT9" s="93">
        <v>46</v>
      </c>
      <c r="AU9" s="93">
        <v>47</v>
      </c>
      <c r="AV9" s="93">
        <v>48</v>
      </c>
      <c r="AW9" s="93">
        <v>49</v>
      </c>
      <c r="AX9" s="93">
        <v>50</v>
      </c>
      <c r="AY9" s="93">
        <v>51</v>
      </c>
      <c r="AZ9" s="93">
        <v>52</v>
      </c>
      <c r="BA9" s="93">
        <v>53</v>
      </c>
      <c r="BB9" s="93">
        <v>54</v>
      </c>
      <c r="BC9" s="93">
        <v>55</v>
      </c>
      <c r="BD9" s="93">
        <v>56</v>
      </c>
      <c r="BE9" s="93">
        <v>57</v>
      </c>
      <c r="BF9" s="93">
        <v>58</v>
      </c>
      <c r="BG9" s="93">
        <v>59</v>
      </c>
      <c r="BH9" s="93">
        <v>60</v>
      </c>
      <c r="BI9" s="93">
        <v>61</v>
      </c>
      <c r="BJ9" s="93">
        <v>62</v>
      </c>
      <c r="BK9" s="93">
        <v>63</v>
      </c>
      <c r="BL9" s="93">
        <v>64</v>
      </c>
      <c r="BM9" s="93">
        <v>65</v>
      </c>
      <c r="BN9" s="93">
        <v>66</v>
      </c>
      <c r="BO9" s="93">
        <v>67</v>
      </c>
      <c r="BP9" s="93">
        <v>68</v>
      </c>
      <c r="BQ9" s="93">
        <v>69</v>
      </c>
      <c r="BR9" s="93">
        <v>70</v>
      </c>
      <c r="BS9" s="93">
        <v>71</v>
      </c>
      <c r="BT9" s="93">
        <v>72</v>
      </c>
      <c r="BU9" s="93">
        <v>73</v>
      </c>
      <c r="BV9" s="93">
        <v>74</v>
      </c>
    </row>
    <row r="10" spans="1:74" ht="16.5" customHeight="1" x14ac:dyDescent="0.2">
      <c r="A10" s="93" t="s">
        <v>201</v>
      </c>
      <c r="B10" s="93" t="s">
        <v>0</v>
      </c>
      <c r="C10" s="93" t="s">
        <v>1</v>
      </c>
      <c r="D10" s="93" t="s">
        <v>36</v>
      </c>
      <c r="E10" s="93" t="s">
        <v>37</v>
      </c>
      <c r="G10" s="93" t="s">
        <v>2</v>
      </c>
      <c r="H10" s="93" t="s">
        <v>4</v>
      </c>
      <c r="I10" s="93" t="s">
        <v>38</v>
      </c>
      <c r="J10" s="93" t="s">
        <v>32</v>
      </c>
      <c r="K10" s="93" t="s">
        <v>40</v>
      </c>
      <c r="L10" s="93" t="s">
        <v>39</v>
      </c>
      <c r="M10" s="93" t="s">
        <v>98</v>
      </c>
      <c r="N10" s="93" t="s">
        <v>53</v>
      </c>
      <c r="O10" s="93" t="s">
        <v>12</v>
      </c>
      <c r="P10" s="93" t="s">
        <v>13</v>
      </c>
      <c r="Q10" s="93" t="s">
        <v>41</v>
      </c>
      <c r="R10" s="93" t="s">
        <v>42</v>
      </c>
      <c r="S10" s="93" t="s">
        <v>16</v>
      </c>
      <c r="T10" s="93" t="s">
        <v>17</v>
      </c>
      <c r="U10" s="93" t="s">
        <v>43</v>
      </c>
      <c r="V10" s="93" t="s">
        <v>45</v>
      </c>
      <c r="W10" s="93" t="s">
        <v>46</v>
      </c>
      <c r="X10" s="93" t="s">
        <v>47</v>
      </c>
      <c r="Y10" s="93" t="s">
        <v>44</v>
      </c>
      <c r="Z10" s="93" t="s">
        <v>48</v>
      </c>
      <c r="AA10" s="93" t="s">
        <v>49</v>
      </c>
      <c r="AB10" s="93" t="s">
        <v>50</v>
      </c>
      <c r="AC10" s="93" t="s">
        <v>51</v>
      </c>
      <c r="AD10" s="93" t="s">
        <v>52</v>
      </c>
      <c r="AE10" s="93" t="s">
        <v>18</v>
      </c>
      <c r="AF10" s="93" t="s">
        <v>19</v>
      </c>
      <c r="AG10" s="93" t="s">
        <v>20</v>
      </c>
      <c r="AH10" s="93" t="s">
        <v>24</v>
      </c>
      <c r="AI10" s="93" t="s">
        <v>21</v>
      </c>
      <c r="AJ10" s="93" t="s">
        <v>101</v>
      </c>
      <c r="AK10" s="93" t="s">
        <v>107</v>
      </c>
      <c r="AL10" s="93" t="s">
        <v>647</v>
      </c>
      <c r="AM10" s="93" t="s">
        <v>648</v>
      </c>
      <c r="AN10" s="93" t="s">
        <v>111</v>
      </c>
      <c r="AO10" s="93" t="s">
        <v>134</v>
      </c>
      <c r="AP10" s="93" t="s">
        <v>346</v>
      </c>
      <c r="AQ10" s="93" t="s">
        <v>5</v>
      </c>
      <c r="AR10" s="93" t="s">
        <v>5</v>
      </c>
      <c r="AS10" s="93" t="s">
        <v>5</v>
      </c>
      <c r="AT10" s="93" t="s">
        <v>5</v>
      </c>
      <c r="AU10" s="93" t="s">
        <v>5</v>
      </c>
      <c r="AV10" s="93" t="s">
        <v>5</v>
      </c>
      <c r="AW10" s="93" t="s">
        <v>5</v>
      </c>
      <c r="AX10" s="93" t="s">
        <v>5</v>
      </c>
      <c r="AY10" s="93" t="s">
        <v>5</v>
      </c>
      <c r="AZ10" s="93" t="s">
        <v>5</v>
      </c>
      <c r="BA10" s="93" t="s">
        <v>5</v>
      </c>
      <c r="BB10" s="93" t="s">
        <v>5</v>
      </c>
      <c r="BC10" s="93" t="s">
        <v>5</v>
      </c>
      <c r="BD10" s="93" t="s">
        <v>5</v>
      </c>
      <c r="BE10" s="93" t="s">
        <v>5</v>
      </c>
      <c r="BF10" s="93" t="s">
        <v>5</v>
      </c>
      <c r="BG10" s="93" t="s">
        <v>5</v>
      </c>
      <c r="BH10" s="93" t="s">
        <v>5</v>
      </c>
      <c r="BI10" s="93" t="s">
        <v>5</v>
      </c>
      <c r="BJ10" s="93" t="s">
        <v>5</v>
      </c>
      <c r="BK10" s="93" t="s">
        <v>5</v>
      </c>
      <c r="BL10" s="93" t="s">
        <v>5</v>
      </c>
      <c r="BM10" s="93" t="s">
        <v>5</v>
      </c>
      <c r="BN10" s="93" t="s">
        <v>5</v>
      </c>
      <c r="BO10" s="93" t="s">
        <v>5</v>
      </c>
      <c r="BP10" s="93" t="s">
        <v>5</v>
      </c>
      <c r="BQ10" s="93" t="s">
        <v>5</v>
      </c>
      <c r="BR10" s="93" t="s">
        <v>5</v>
      </c>
      <c r="BS10" s="93" t="s">
        <v>5</v>
      </c>
      <c r="BT10" s="93" t="s">
        <v>5</v>
      </c>
      <c r="BU10" s="93" t="s">
        <v>5</v>
      </c>
      <c r="BV10" s="93" t="s">
        <v>5</v>
      </c>
    </row>
    <row r="11" spans="1:74" ht="16.5" customHeight="1" x14ac:dyDescent="0.2">
      <c r="A11" s="94">
        <v>0</v>
      </c>
      <c r="B11" s="94" t="s">
        <v>10</v>
      </c>
      <c r="C11" s="94" t="s">
        <v>9</v>
      </c>
      <c r="D11" s="94"/>
      <c r="E11" s="94"/>
      <c r="F11" s="94"/>
      <c r="G11" s="94" t="s">
        <v>3</v>
      </c>
      <c r="H11" s="94" t="s">
        <v>15</v>
      </c>
      <c r="I11" s="94"/>
      <c r="J11" s="94" t="b">
        <v>1</v>
      </c>
      <c r="K11" s="94"/>
      <c r="L11" s="94"/>
      <c r="M11" s="94"/>
      <c r="N11" s="94"/>
      <c r="O11" s="94" t="str">
        <f ca="1">CELL("address",AQ11)</f>
        <v>$AQ$11</v>
      </c>
      <c r="P11" s="94" t="s">
        <v>55</v>
      </c>
      <c r="Q11" s="94"/>
      <c r="R11" s="94"/>
      <c r="S11" s="94"/>
      <c r="T11" s="94"/>
      <c r="U11" s="94"/>
      <c r="V11" s="94"/>
      <c r="W11" s="94"/>
      <c r="X11" s="94"/>
      <c r="Y11" s="94"/>
      <c r="Z11" s="94"/>
      <c r="AA11" s="94"/>
      <c r="AB11" s="94"/>
      <c r="AC11" s="94"/>
      <c r="AD11" s="94"/>
      <c r="AE11" s="94"/>
      <c r="AF11" s="94"/>
      <c r="AG11" s="94"/>
      <c r="AH11" s="94"/>
      <c r="AI11" s="94"/>
      <c r="AJ11" s="94"/>
      <c r="AK11" s="94"/>
      <c r="AL11" s="94"/>
      <c r="AM11" s="94"/>
      <c r="AN11" s="94"/>
      <c r="AO11" s="94"/>
      <c r="AP11" s="94"/>
      <c r="AQ11" s="93" t="s">
        <v>663</v>
      </c>
      <c r="AR11" s="93" t="s">
        <v>7</v>
      </c>
      <c r="AS11" s="93" t="s">
        <v>9</v>
      </c>
      <c r="AT11" s="93" t="s">
        <v>8</v>
      </c>
      <c r="AU11" s="93" t="s">
        <v>6</v>
      </c>
      <c r="AV11" s="93" t="s">
        <v>654</v>
      </c>
      <c r="AW11" s="93" t="s">
        <v>656</v>
      </c>
      <c r="AX11" s="93" t="s">
        <v>599</v>
      </c>
      <c r="AY11" s="93" t="s">
        <v>659</v>
      </c>
      <c r="AZ11" s="93" t="s">
        <v>649</v>
      </c>
      <c r="BA11" s="93" t="s">
        <v>658</v>
      </c>
      <c r="BB11" s="93" t="s">
        <v>655</v>
      </c>
      <c r="BC11" s="93" t="s">
        <v>657</v>
      </c>
      <c r="BD11" s="93" t="s">
        <v>87</v>
      </c>
      <c r="BE11" s="93" t="s">
        <v>88</v>
      </c>
      <c r="BF11" s="93" t="s">
        <v>89</v>
      </c>
      <c r="BG11" s="93" t="s">
        <v>90</v>
      </c>
      <c r="BH11" s="93" t="s">
        <v>92</v>
      </c>
      <c r="BI11" s="93" t="s">
        <v>91</v>
      </c>
      <c r="BJ11" s="93" t="s">
        <v>96</v>
      </c>
      <c r="BK11" s="93" t="s">
        <v>99</v>
      </c>
      <c r="BL11" s="93" t="s">
        <v>600</v>
      </c>
      <c r="BM11" s="93" t="s">
        <v>512</v>
      </c>
      <c r="BN11" s="93" t="s">
        <v>598</v>
      </c>
      <c r="BO11" s="93" t="s">
        <v>602</v>
      </c>
      <c r="BP11" s="93" t="s">
        <v>603</v>
      </c>
      <c r="BQ11" s="93" t="s">
        <v>601</v>
      </c>
      <c r="BR11" s="93" t="s">
        <v>604</v>
      </c>
      <c r="BS11" s="93" t="s">
        <v>605</v>
      </c>
      <c r="BT11" s="93" t="s">
        <v>1316</v>
      </c>
    </row>
    <row r="12" spans="1:74" ht="16.5" customHeight="1" x14ac:dyDescent="0.2">
      <c r="A12" s="95">
        <f t="shared" ref="A12:A43" si="0">$A$11+0</f>
        <v>0</v>
      </c>
      <c r="B12" s="95" t="s">
        <v>11</v>
      </c>
      <c r="C12" s="95" t="s">
        <v>6</v>
      </c>
      <c r="D12" s="95"/>
      <c r="E12" s="95"/>
      <c r="F12" s="95"/>
      <c r="G12" s="95" t="s">
        <v>3</v>
      </c>
      <c r="H12" s="95" t="s">
        <v>15</v>
      </c>
      <c r="I12" s="95"/>
      <c r="J12" s="95" t="b">
        <v>1</v>
      </c>
      <c r="K12" s="95"/>
      <c r="L12" s="95"/>
      <c r="M12" s="95"/>
      <c r="N12" s="95"/>
      <c r="O12" s="95" t="s">
        <v>14</v>
      </c>
      <c r="P12" s="95" t="str">
        <f>"$C$" &amp; MATCH("TheEnd",B:B,0)</f>
        <v>$C$1244</v>
      </c>
      <c r="Q12" s="95"/>
      <c r="R12" s="95"/>
      <c r="S12" s="95"/>
      <c r="T12" s="95"/>
      <c r="U12" s="95"/>
      <c r="V12" s="95"/>
      <c r="W12" s="95"/>
      <c r="X12" s="95"/>
      <c r="Y12" s="95"/>
      <c r="Z12" s="95"/>
      <c r="AA12" s="95"/>
      <c r="AB12" s="95"/>
      <c r="AC12" s="95"/>
      <c r="AD12" s="95"/>
      <c r="AE12" s="95"/>
      <c r="AF12" s="95"/>
      <c r="AG12" s="95"/>
      <c r="AH12" s="95"/>
      <c r="AI12" s="95"/>
      <c r="AJ12" s="95"/>
      <c r="AK12" s="95"/>
      <c r="AL12" s="95"/>
      <c r="AM12" s="95"/>
      <c r="AN12" s="95"/>
      <c r="AO12" s="95"/>
      <c r="AP12" s="95"/>
    </row>
    <row r="13" spans="1:74" ht="16.5" customHeight="1" x14ac:dyDescent="0.2">
      <c r="A13" s="96">
        <f t="shared" si="0"/>
        <v>0</v>
      </c>
      <c r="B13" s="96" t="s">
        <v>22</v>
      </c>
      <c r="C13" s="96" t="s">
        <v>7</v>
      </c>
      <c r="D13" s="96"/>
      <c r="E13" s="96"/>
      <c r="F13" s="96"/>
      <c r="G13" s="96" t="s">
        <v>3</v>
      </c>
      <c r="H13" s="96" t="s">
        <v>25</v>
      </c>
      <c r="I13" s="96"/>
      <c r="J13" s="96" t="b">
        <v>1</v>
      </c>
      <c r="K13" s="96"/>
      <c r="L13" s="96"/>
      <c r="M13" s="96"/>
      <c r="N13" s="96"/>
      <c r="O13" s="96" t="str">
        <f ca="1">CELL("address",AQ13)</f>
        <v>$AQ$13</v>
      </c>
      <c r="P13" s="96" t="str">
        <f ca="1">CELL("address",AS13)</f>
        <v>$AS$13</v>
      </c>
      <c r="Q13" s="96"/>
      <c r="R13" s="96"/>
      <c r="S13" s="96"/>
      <c r="T13" s="96"/>
      <c r="U13" s="96"/>
      <c r="V13" s="96"/>
      <c r="W13" s="96"/>
      <c r="X13" s="96"/>
      <c r="Y13" s="96"/>
      <c r="Z13" s="96"/>
      <c r="AA13" s="96"/>
      <c r="AB13" s="96"/>
      <c r="AC13" s="96"/>
      <c r="AD13" s="96"/>
      <c r="AE13" s="96"/>
      <c r="AF13" s="96"/>
      <c r="AG13" s="96"/>
      <c r="AH13" s="96"/>
      <c r="AI13" s="96"/>
      <c r="AJ13" s="96"/>
      <c r="AK13" s="96"/>
      <c r="AL13" s="96"/>
      <c r="AM13" s="96"/>
      <c r="AN13" s="96"/>
      <c r="AO13" s="96"/>
      <c r="AP13" s="96"/>
      <c r="AQ13" s="93" t="s">
        <v>27</v>
      </c>
      <c r="AR13" s="93" t="s">
        <v>29</v>
      </c>
      <c r="AS13" s="93" t="s">
        <v>30</v>
      </c>
    </row>
    <row r="14" spans="1:74" ht="16.5" customHeight="1" x14ac:dyDescent="0.2">
      <c r="A14" s="96">
        <f t="shared" si="0"/>
        <v>0</v>
      </c>
      <c r="B14" s="96" t="s">
        <v>23</v>
      </c>
      <c r="C14" s="96" t="s">
        <v>7</v>
      </c>
      <c r="D14" s="96"/>
      <c r="E14" s="96"/>
      <c r="F14" s="96"/>
      <c r="G14" s="96" t="s">
        <v>3</v>
      </c>
      <c r="H14" s="96" t="s">
        <v>26</v>
      </c>
      <c r="I14" s="96"/>
      <c r="J14" s="96" t="b">
        <v>1</v>
      </c>
      <c r="K14" s="96"/>
      <c r="L14" s="96"/>
      <c r="M14" s="96"/>
      <c r="N14" s="96"/>
      <c r="O14" s="96" t="str">
        <f ca="1">CELL("address",AQ14)</f>
        <v>$AQ$14</v>
      </c>
      <c r="P14" s="96" t="str">
        <f ca="1">CELL("address",AS14)</f>
        <v>$AS$14</v>
      </c>
      <c r="Q14" s="96"/>
      <c r="R14" s="96"/>
      <c r="S14" s="96"/>
      <c r="T14" s="96"/>
      <c r="U14" s="96"/>
      <c r="V14" s="96"/>
      <c r="W14" s="96"/>
      <c r="X14" s="96"/>
      <c r="Y14" s="96"/>
      <c r="Z14" s="96"/>
      <c r="AA14" s="96"/>
      <c r="AB14" s="96"/>
      <c r="AC14" s="96"/>
      <c r="AD14" s="96"/>
      <c r="AE14" s="96"/>
      <c r="AF14" s="96"/>
      <c r="AG14" s="96"/>
      <c r="AH14" s="96"/>
      <c r="AI14" s="96"/>
      <c r="AJ14" s="96"/>
      <c r="AK14" s="96"/>
      <c r="AL14" s="96"/>
      <c r="AM14" s="96"/>
      <c r="AN14" s="96"/>
      <c r="AO14" s="96"/>
      <c r="AP14" s="96"/>
      <c r="AQ14" s="93" t="s">
        <v>28</v>
      </c>
      <c r="AR14" s="93" t="s">
        <v>29</v>
      </c>
      <c r="AS14" s="93" t="s">
        <v>31</v>
      </c>
    </row>
    <row r="15" spans="1:74" ht="16.5" customHeight="1" x14ac:dyDescent="0.2">
      <c r="A15" s="95">
        <f t="shared" si="0"/>
        <v>0</v>
      </c>
      <c r="B15" s="95" t="s">
        <v>60</v>
      </c>
      <c r="C15" s="95" t="s">
        <v>6</v>
      </c>
      <c r="D15" s="95"/>
      <c r="E15" s="95"/>
      <c r="F15" s="95"/>
      <c r="G15" s="95" t="s">
        <v>3</v>
      </c>
      <c r="H15" s="95" t="s">
        <v>25</v>
      </c>
      <c r="I15" s="95"/>
      <c r="J15" s="95" t="b">
        <v>1</v>
      </c>
      <c r="K15" s="95"/>
      <c r="L15" s="95"/>
      <c r="M15" s="95"/>
      <c r="N15" s="95"/>
      <c r="O15" s="95" t="str">
        <f ca="1">CELL("address",AH11)</f>
        <v>$AH$11</v>
      </c>
      <c r="P15" s="95" t="str">
        <f ca="1">MID(O15,1,FIND("$",O15,2)) &amp;  MATCH("TheEnd",B:B,0)</f>
        <v>$AH$1244</v>
      </c>
      <c r="Q15" s="95"/>
      <c r="R15" s="95"/>
      <c r="S15" s="95"/>
      <c r="T15" s="95"/>
      <c r="U15" s="95"/>
      <c r="V15" s="95"/>
      <c r="W15" s="95"/>
      <c r="X15" s="95"/>
      <c r="Y15" s="95"/>
      <c r="Z15" s="95"/>
      <c r="AA15" s="95"/>
      <c r="AB15" s="95"/>
      <c r="AC15" s="95"/>
      <c r="AD15" s="95"/>
      <c r="AE15" s="95"/>
      <c r="AF15" s="95"/>
      <c r="AG15" s="95"/>
      <c r="AH15" s="95"/>
      <c r="AI15" s="95"/>
      <c r="AJ15" s="95"/>
      <c r="AK15" s="95"/>
      <c r="AL15" s="95"/>
      <c r="AM15" s="95"/>
      <c r="AN15" s="95"/>
      <c r="AO15" s="95"/>
      <c r="AP15" s="95"/>
    </row>
    <row r="16" spans="1:74" ht="16.5" customHeight="1" x14ac:dyDescent="0.2">
      <c r="A16" s="95">
        <f t="shared" si="0"/>
        <v>0</v>
      </c>
      <c r="B16" s="95" t="s">
        <v>61</v>
      </c>
      <c r="C16" s="95" t="s">
        <v>6</v>
      </c>
      <c r="D16" s="95"/>
      <c r="E16" s="95"/>
      <c r="F16" s="95"/>
      <c r="G16" s="95" t="s">
        <v>3</v>
      </c>
      <c r="H16" s="95" t="s">
        <v>26</v>
      </c>
      <c r="I16" s="95"/>
      <c r="J16" s="95" t="b">
        <v>1</v>
      </c>
      <c r="K16" s="95"/>
      <c r="L16" s="95"/>
      <c r="M16" s="95"/>
      <c r="N16" s="95"/>
      <c r="O16" s="95" t="str">
        <f ca="1">CELL("address",AI11)</f>
        <v>$AI$11</v>
      </c>
      <c r="P16" s="95" t="str">
        <f ca="1">MID(O16,1,FIND("$",O16,2)) &amp;  MATCH("TheEnd",B:B,0)</f>
        <v>$AI$1244</v>
      </c>
      <c r="Q16" s="95"/>
      <c r="R16" s="95"/>
      <c r="S16" s="95"/>
      <c r="T16" s="95"/>
      <c r="U16" s="95"/>
      <c r="V16" s="95"/>
      <c r="W16" s="95"/>
      <c r="X16" s="95"/>
      <c r="Y16" s="95"/>
      <c r="Z16" s="95"/>
      <c r="AA16" s="95"/>
      <c r="AB16" s="95"/>
      <c r="AC16" s="95"/>
      <c r="AD16" s="95"/>
      <c r="AE16" s="95"/>
      <c r="AF16" s="95"/>
      <c r="AG16" s="95"/>
      <c r="AH16" s="95"/>
      <c r="AI16" s="95"/>
      <c r="AJ16" s="95"/>
      <c r="AK16" s="95"/>
      <c r="AL16" s="95"/>
      <c r="AM16" s="95"/>
      <c r="AN16" s="95"/>
      <c r="AO16" s="95"/>
      <c r="AP16" s="95"/>
    </row>
    <row r="17" spans="1:58" ht="16.5" customHeight="1" x14ac:dyDescent="0.2">
      <c r="A17" s="96">
        <f t="shared" si="0"/>
        <v>0</v>
      </c>
      <c r="B17" s="96" t="s">
        <v>54</v>
      </c>
      <c r="C17" s="96" t="s">
        <v>7</v>
      </c>
      <c r="D17" s="96"/>
      <c r="E17" s="96"/>
      <c r="F17" s="96"/>
      <c r="G17" s="96" t="s">
        <v>3</v>
      </c>
      <c r="H17" s="96" t="s">
        <v>56</v>
      </c>
      <c r="I17" s="96"/>
      <c r="J17" s="96" t="b">
        <v>1</v>
      </c>
      <c r="K17" s="96"/>
      <c r="L17" s="96"/>
      <c r="M17" s="96"/>
      <c r="N17" s="96"/>
      <c r="O17" s="96" t="str">
        <f ca="1">CELL("address",AQ17)</f>
        <v>$AQ$17</v>
      </c>
      <c r="P17" s="96" t="str">
        <f ca="1">CELL("address",AS17)</f>
        <v>$AS$17</v>
      </c>
      <c r="Q17" s="96"/>
      <c r="R17" s="96"/>
      <c r="S17" s="96"/>
      <c r="T17" s="96"/>
      <c r="U17" s="96"/>
      <c r="V17" s="96"/>
      <c r="W17" s="96"/>
      <c r="X17" s="96"/>
      <c r="Y17" s="96"/>
      <c r="Z17" s="96"/>
      <c r="AA17" s="96"/>
      <c r="AB17" s="96"/>
      <c r="AC17" s="96"/>
      <c r="AD17" s="96"/>
      <c r="AE17" s="96"/>
      <c r="AF17" s="96"/>
      <c r="AG17" s="96"/>
      <c r="AH17" s="96"/>
      <c r="AI17" s="96"/>
      <c r="AJ17" s="96"/>
      <c r="AK17" s="96"/>
      <c r="AL17" s="96"/>
      <c r="AM17" s="96"/>
      <c r="AN17" s="96"/>
      <c r="AO17" s="96"/>
      <c r="AP17" s="96"/>
      <c r="AQ17" s="93" t="s">
        <v>57</v>
      </c>
      <c r="AR17" s="93" t="s">
        <v>58</v>
      </c>
      <c r="AS17" s="93" t="s">
        <v>59</v>
      </c>
    </row>
    <row r="18" spans="1:58" ht="16.5" customHeight="1" x14ac:dyDescent="0.2">
      <c r="A18" s="95">
        <f t="shared" si="0"/>
        <v>0</v>
      </c>
      <c r="B18" s="95" t="s">
        <v>62</v>
      </c>
      <c r="C18" s="95" t="s">
        <v>6</v>
      </c>
      <c r="D18" s="95"/>
      <c r="E18" s="95"/>
      <c r="F18" s="95"/>
      <c r="G18" s="95" t="s">
        <v>3</v>
      </c>
      <c r="H18" s="95" t="s">
        <v>56</v>
      </c>
      <c r="I18" s="95"/>
      <c r="J18" s="95" t="b">
        <v>1</v>
      </c>
      <c r="K18" s="95"/>
      <c r="L18" s="95"/>
      <c r="M18" s="95"/>
      <c r="N18" s="95"/>
      <c r="O18" s="95" t="str">
        <f ca="1">CELL("address",N11)</f>
        <v>$N$11</v>
      </c>
      <c r="P18" s="95" t="str">
        <f ca="1">MID(O18,1,FIND("$",O18,2))  &amp; MATCH("TheEnd",B:B,0)</f>
        <v>$N$1244</v>
      </c>
      <c r="Q18" s="95"/>
      <c r="R18" s="95"/>
      <c r="S18" s="95"/>
      <c r="T18" s="95"/>
      <c r="U18" s="95"/>
      <c r="V18" s="95"/>
      <c r="W18" s="95"/>
      <c r="X18" s="95"/>
      <c r="Y18" s="95"/>
      <c r="Z18" s="95"/>
      <c r="AA18" s="95"/>
      <c r="AB18" s="95"/>
      <c r="AC18" s="95"/>
      <c r="AD18" s="95"/>
      <c r="AE18" s="95"/>
      <c r="AF18" s="95"/>
      <c r="AG18" s="95"/>
      <c r="AH18" s="95"/>
      <c r="AI18" s="95"/>
      <c r="AJ18" s="95"/>
      <c r="AK18" s="95"/>
      <c r="AL18" s="95"/>
      <c r="AM18" s="95"/>
      <c r="AN18" s="95"/>
      <c r="AO18" s="95"/>
      <c r="AP18" s="95"/>
    </row>
    <row r="19" spans="1:58" ht="16.5" customHeight="1" x14ac:dyDescent="0.2">
      <c r="A19" s="96">
        <f t="shared" si="0"/>
        <v>0</v>
      </c>
      <c r="B19" s="96" t="s">
        <v>63</v>
      </c>
      <c r="C19" s="96" t="s">
        <v>7</v>
      </c>
      <c r="D19" s="96"/>
      <c r="E19" s="96"/>
      <c r="F19" s="96"/>
      <c r="G19" s="96" t="s">
        <v>3</v>
      </c>
      <c r="H19" s="96" t="s">
        <v>650</v>
      </c>
      <c r="I19" s="96"/>
      <c r="J19" s="96" t="b">
        <v>1</v>
      </c>
      <c r="K19" s="96"/>
      <c r="L19" s="96"/>
      <c r="M19" s="96"/>
      <c r="N19" s="96"/>
      <c r="O19" s="96" t="str">
        <f t="shared" ref="O19:O46" ca="1" si="1">CELL("address",AQ19)</f>
        <v>$AQ$19</v>
      </c>
      <c r="P19" s="96" t="str">
        <f ca="1">CELL("address",AQ19)</f>
        <v>$AQ$19</v>
      </c>
      <c r="Q19" s="96"/>
      <c r="R19" s="96"/>
      <c r="S19" s="96"/>
      <c r="T19" s="96"/>
      <c r="U19" s="96"/>
      <c r="V19" s="96"/>
      <c r="W19" s="96"/>
      <c r="X19" s="96"/>
      <c r="Y19" s="96"/>
      <c r="Z19" s="96"/>
      <c r="AA19" s="96"/>
      <c r="AB19" s="96"/>
      <c r="AC19" s="96"/>
      <c r="AD19" s="96"/>
      <c r="AE19" s="96"/>
      <c r="AF19" s="96"/>
      <c r="AG19" s="96"/>
      <c r="AH19" s="96"/>
      <c r="AI19" s="96"/>
      <c r="AJ19" s="96"/>
      <c r="AK19" s="96"/>
      <c r="AL19" s="96"/>
      <c r="AM19" s="96"/>
      <c r="AN19" s="96"/>
      <c r="AO19" s="96"/>
      <c r="AP19" s="96"/>
      <c r="AQ19" s="93">
        <v>2</v>
      </c>
    </row>
    <row r="20" spans="1:58" ht="16.5" customHeight="1" x14ac:dyDescent="0.2">
      <c r="A20" s="96">
        <f t="shared" si="0"/>
        <v>0</v>
      </c>
      <c r="B20" s="96" t="s">
        <v>64</v>
      </c>
      <c r="C20" s="96" t="s">
        <v>7</v>
      </c>
      <c r="D20" s="96"/>
      <c r="E20" s="96"/>
      <c r="F20" s="96"/>
      <c r="G20" s="96" t="s">
        <v>3</v>
      </c>
      <c r="H20" s="96" t="s">
        <v>651</v>
      </c>
      <c r="I20" s="96"/>
      <c r="J20" s="96" t="b">
        <v>1</v>
      </c>
      <c r="K20" s="96"/>
      <c r="L20" s="96"/>
      <c r="M20" s="96"/>
      <c r="N20" s="96"/>
      <c r="O20" s="96" t="str">
        <f t="shared" ca="1" si="1"/>
        <v>$AQ$20</v>
      </c>
      <c r="P20" s="96" t="str">
        <f ca="1">CELL("address",AQ20)</f>
        <v>$AQ$20</v>
      </c>
      <c r="Q20" s="96"/>
      <c r="R20" s="96"/>
      <c r="S20" s="96"/>
      <c r="T20" s="96"/>
      <c r="U20" s="96"/>
      <c r="V20" s="96"/>
      <c r="W20" s="96"/>
      <c r="X20" s="96"/>
      <c r="Y20" s="96"/>
      <c r="Z20" s="96"/>
      <c r="AA20" s="96"/>
      <c r="AB20" s="96"/>
      <c r="AC20" s="96"/>
      <c r="AD20" s="96"/>
      <c r="AE20" s="96"/>
      <c r="AF20" s="96"/>
      <c r="AG20" s="96"/>
      <c r="AH20" s="96"/>
      <c r="AI20" s="96"/>
      <c r="AJ20" s="96"/>
      <c r="AK20" s="96"/>
      <c r="AL20" s="96"/>
      <c r="AM20" s="96"/>
      <c r="AN20" s="96"/>
      <c r="AO20" s="96"/>
      <c r="AP20" s="96"/>
      <c r="AQ20" s="130" t="s">
        <v>1628</v>
      </c>
    </row>
    <row r="21" spans="1:58" ht="16.5" customHeight="1" x14ac:dyDescent="0.2">
      <c r="A21" s="96">
        <f t="shared" si="0"/>
        <v>0</v>
      </c>
      <c r="B21" s="96" t="s">
        <v>1254</v>
      </c>
      <c r="C21" s="96" t="s">
        <v>7</v>
      </c>
      <c r="D21" s="96"/>
      <c r="E21" s="96"/>
      <c r="F21" s="96"/>
      <c r="G21" s="96" t="s">
        <v>3</v>
      </c>
      <c r="H21" s="96" t="s">
        <v>1255</v>
      </c>
      <c r="I21" s="96"/>
      <c r="J21" s="96" t="b">
        <v>1</v>
      </c>
      <c r="K21" s="96"/>
      <c r="L21" s="96"/>
      <c r="M21" s="96"/>
      <c r="N21" s="96"/>
      <c r="O21" s="96" t="str">
        <f t="shared" ca="1" si="1"/>
        <v>$AQ$21</v>
      </c>
      <c r="P21" s="96" t="str">
        <f ca="1">CELL("address",AQ21)</f>
        <v>$AQ$21</v>
      </c>
      <c r="Q21" s="96"/>
      <c r="R21" s="96"/>
      <c r="S21" s="96"/>
      <c r="T21" s="96"/>
      <c r="U21" s="96"/>
      <c r="V21" s="96"/>
      <c r="W21" s="96"/>
      <c r="X21" s="96"/>
      <c r="Y21" s="96"/>
      <c r="Z21" s="96"/>
      <c r="AA21" s="96"/>
      <c r="AB21" s="96"/>
      <c r="AC21" s="96"/>
      <c r="AD21" s="96"/>
      <c r="AE21" s="96"/>
      <c r="AF21" s="96"/>
      <c r="AG21" s="96"/>
      <c r="AH21" s="96"/>
      <c r="AI21" s="96"/>
      <c r="AJ21" s="96"/>
      <c r="AK21" s="96"/>
      <c r="AL21" s="96"/>
      <c r="AM21" s="96"/>
      <c r="AN21" s="96"/>
      <c r="AO21" s="96"/>
      <c r="AP21" s="96"/>
      <c r="AQ21" s="93" t="b">
        <f>L75</f>
        <v>1</v>
      </c>
    </row>
    <row r="22" spans="1:58" ht="16.5" customHeight="1" x14ac:dyDescent="0.2">
      <c r="A22" s="96">
        <f t="shared" si="0"/>
        <v>0</v>
      </c>
      <c r="B22" s="96" t="s">
        <v>646</v>
      </c>
      <c r="C22" s="96" t="s">
        <v>7</v>
      </c>
      <c r="D22" s="96"/>
      <c r="E22" s="96"/>
      <c r="F22" s="96"/>
      <c r="G22" s="96" t="s">
        <v>3</v>
      </c>
      <c r="H22" s="96" t="s">
        <v>652</v>
      </c>
      <c r="I22" s="96"/>
      <c r="J22" s="96" t="b">
        <v>1</v>
      </c>
      <c r="K22" s="96"/>
      <c r="L22" s="96"/>
      <c r="M22" s="96"/>
      <c r="N22" s="96"/>
      <c r="O22" s="96" t="str">
        <f t="shared" ca="1" si="1"/>
        <v>$AQ$22</v>
      </c>
      <c r="P22" s="96" t="str">
        <f ca="1">CELL("address",AQ22)</f>
        <v>$AQ$22</v>
      </c>
      <c r="Q22" s="96"/>
      <c r="R22" s="96"/>
      <c r="S22" s="96"/>
      <c r="T22" s="96"/>
      <c r="U22" s="96"/>
      <c r="V22" s="96"/>
      <c r="W22" s="96"/>
      <c r="X22" s="96"/>
      <c r="Y22" s="96"/>
      <c r="Z22" s="96"/>
      <c r="AA22" s="96"/>
      <c r="AB22" s="96"/>
      <c r="AC22" s="96"/>
      <c r="AD22" s="96"/>
      <c r="AE22" s="96"/>
      <c r="AF22" s="96"/>
      <c r="AG22" s="96"/>
      <c r="AH22" s="96"/>
      <c r="AI22" s="96"/>
      <c r="AJ22" s="96"/>
      <c r="AK22" s="96"/>
      <c r="AL22" s="96"/>
      <c r="AM22" s="96"/>
      <c r="AN22" s="96"/>
      <c r="AO22" s="96"/>
      <c r="AP22" s="96"/>
      <c r="AQ22" s="93">
        <v>383401528</v>
      </c>
    </row>
    <row r="23" spans="1:58" ht="16.5" customHeight="1" x14ac:dyDescent="0.2">
      <c r="A23" s="96">
        <f t="shared" si="0"/>
        <v>0</v>
      </c>
      <c r="B23" s="96" t="s">
        <v>827</v>
      </c>
      <c r="C23" s="96" t="s">
        <v>7</v>
      </c>
      <c r="D23" s="96"/>
      <c r="E23" s="96"/>
      <c r="F23" s="96"/>
      <c r="G23" s="96" t="s">
        <v>3</v>
      </c>
      <c r="H23" s="96" t="s">
        <v>828</v>
      </c>
      <c r="I23" s="96"/>
      <c r="J23" s="96" t="b">
        <v>1</v>
      </c>
      <c r="K23" s="96"/>
      <c r="L23" s="96"/>
      <c r="M23" s="96"/>
      <c r="N23" s="96"/>
      <c r="O23" s="96" t="str">
        <f t="shared" ca="1" si="1"/>
        <v>$AQ$23</v>
      </c>
      <c r="P23" s="96" t="str">
        <f ca="1">CELL("address",AQ23)</f>
        <v>$AQ$23</v>
      </c>
      <c r="Q23" s="96"/>
      <c r="R23" s="96"/>
      <c r="S23" s="96"/>
      <c r="T23" s="96"/>
      <c r="U23" s="96"/>
      <c r="V23" s="96"/>
      <c r="W23" s="96"/>
      <c r="X23" s="96"/>
      <c r="Y23" s="96"/>
      <c r="Z23" s="96"/>
      <c r="AA23" s="96"/>
      <c r="AB23" s="96"/>
      <c r="AC23" s="96"/>
      <c r="AD23" s="96"/>
      <c r="AE23" s="96"/>
      <c r="AF23" s="96"/>
      <c r="AG23" s="96"/>
      <c r="AH23" s="96"/>
      <c r="AI23" s="96"/>
      <c r="AJ23" s="96"/>
      <c r="AK23" s="96"/>
      <c r="AL23" s="96"/>
      <c r="AM23" s="96"/>
      <c r="AN23" s="96"/>
      <c r="AO23" s="96"/>
      <c r="AP23" s="96"/>
      <c r="AQ23" s="93" t="s">
        <v>1626</v>
      </c>
    </row>
    <row r="24" spans="1:58" ht="16.5" customHeight="1" x14ac:dyDescent="0.2">
      <c r="A24" s="94">
        <f t="shared" si="0"/>
        <v>0</v>
      </c>
      <c r="B24" s="94" t="s">
        <v>1192</v>
      </c>
      <c r="C24" s="94" t="s">
        <v>9</v>
      </c>
      <c r="D24" s="94"/>
      <c r="E24" s="94"/>
      <c r="F24" s="94"/>
      <c r="G24" s="94" t="s">
        <v>3</v>
      </c>
      <c r="H24" s="94" t="s">
        <v>1198</v>
      </c>
      <c r="I24" s="94"/>
      <c r="J24" s="94" t="b">
        <v>1</v>
      </c>
      <c r="K24" s="94"/>
      <c r="L24" s="94"/>
      <c r="M24" s="94"/>
      <c r="N24" s="94"/>
      <c r="O24" s="94" t="str">
        <f t="shared" ca="1" si="1"/>
        <v>$AQ$24</v>
      </c>
      <c r="P24" s="94" t="str">
        <f t="shared" ref="P24:P33" ca="1" si="2">CELL("address",CE24)</f>
        <v>$CE$24</v>
      </c>
      <c r="Q24" s="94"/>
      <c r="R24" s="94"/>
      <c r="S24" s="94"/>
      <c r="T24" s="94"/>
      <c r="U24" s="94"/>
      <c r="V24" s="94"/>
      <c r="W24" s="94"/>
      <c r="X24" s="94"/>
      <c r="Y24" s="94"/>
      <c r="Z24" s="94"/>
      <c r="AA24" s="94"/>
      <c r="AB24" s="94"/>
      <c r="AC24" s="94"/>
      <c r="AD24" s="94"/>
      <c r="AE24" s="94"/>
      <c r="AF24" s="94"/>
      <c r="AG24" s="94"/>
      <c r="AH24" s="94"/>
      <c r="AI24" s="94"/>
      <c r="AJ24" s="94"/>
      <c r="AK24" s="94"/>
      <c r="AL24" s="94"/>
      <c r="AM24" s="94"/>
      <c r="AN24" s="94"/>
      <c r="AO24" s="94"/>
      <c r="AP24" s="94"/>
      <c r="AQ24" s="93" t="s">
        <v>1193</v>
      </c>
      <c r="AR24" s="93" t="s">
        <v>1194</v>
      </c>
      <c r="AS24" s="93" t="s">
        <v>1195</v>
      </c>
      <c r="AT24" s="93" t="s">
        <v>1196</v>
      </c>
      <c r="AU24" s="93" t="s">
        <v>1197</v>
      </c>
    </row>
    <row r="25" spans="1:58" ht="16.5" customHeight="1" x14ac:dyDescent="0.2">
      <c r="A25" s="94">
        <f t="shared" si="0"/>
        <v>0</v>
      </c>
      <c r="B25" s="94" t="s">
        <v>235</v>
      </c>
      <c r="C25" s="94" t="s">
        <v>9</v>
      </c>
      <c r="D25" s="94"/>
      <c r="E25" s="94"/>
      <c r="F25" s="94"/>
      <c r="G25" s="94" t="s">
        <v>3</v>
      </c>
      <c r="H25" s="94" t="s">
        <v>1199</v>
      </c>
      <c r="I25" s="94"/>
      <c r="J25" s="94" t="b">
        <v>1</v>
      </c>
      <c r="K25" s="94"/>
      <c r="L25" s="94"/>
      <c r="M25" s="94"/>
      <c r="N25" s="94"/>
      <c r="O25" s="94" t="str">
        <f t="shared" ca="1" si="1"/>
        <v>$AQ$25</v>
      </c>
      <c r="P25" s="94" t="str">
        <f t="shared" ca="1" si="2"/>
        <v>$CE$25</v>
      </c>
      <c r="Q25" s="94"/>
      <c r="R25" s="94"/>
      <c r="S25" s="94"/>
      <c r="T25" s="94"/>
      <c r="U25" s="94"/>
      <c r="V25" s="94"/>
      <c r="W25" s="94"/>
      <c r="X25" s="94"/>
      <c r="Y25" s="94"/>
      <c r="Z25" s="94"/>
      <c r="AA25" s="94"/>
      <c r="AB25" s="94"/>
      <c r="AC25" s="94"/>
      <c r="AD25" s="94"/>
      <c r="AE25" s="94"/>
      <c r="AF25" s="94"/>
      <c r="AG25" s="94"/>
      <c r="AH25" s="94"/>
      <c r="AI25" s="94"/>
      <c r="AJ25" s="94"/>
      <c r="AK25" s="94"/>
      <c r="AL25" s="94"/>
      <c r="AM25" s="94"/>
      <c r="AN25" s="94"/>
      <c r="AO25" s="94"/>
      <c r="AP25" s="94"/>
      <c r="AQ25" s="93">
        <v>1</v>
      </c>
      <c r="AR25" s="93">
        <v>2</v>
      </c>
      <c r="AS25" s="93">
        <v>3</v>
      </c>
      <c r="AT25" s="93">
        <v>4</v>
      </c>
      <c r="AU25" s="93">
        <v>5</v>
      </c>
    </row>
    <row r="26" spans="1:58" ht="16.5" customHeight="1" x14ac:dyDescent="0.2">
      <c r="A26" s="94">
        <f t="shared" si="0"/>
        <v>0</v>
      </c>
      <c r="B26" s="94" t="s">
        <v>236</v>
      </c>
      <c r="C26" s="94" t="s">
        <v>9</v>
      </c>
      <c r="D26" s="94"/>
      <c r="E26" s="94"/>
      <c r="F26" s="94"/>
      <c r="G26" s="94" t="s">
        <v>3</v>
      </c>
      <c r="H26" s="94" t="s">
        <v>1200</v>
      </c>
      <c r="I26" s="94"/>
      <c r="J26" s="94" t="b">
        <v>1</v>
      </c>
      <c r="K26" s="94"/>
      <c r="L26" s="94"/>
      <c r="M26" s="94"/>
      <c r="N26" s="94"/>
      <c r="O26" s="94" t="str">
        <f t="shared" ca="1" si="1"/>
        <v>$AQ$26</v>
      </c>
      <c r="P26" s="94" t="str">
        <f t="shared" ca="1" si="2"/>
        <v>$CE$26</v>
      </c>
      <c r="Q26" s="94"/>
      <c r="R26" s="94"/>
      <c r="S26" s="94"/>
      <c r="T26" s="94"/>
      <c r="U26" s="94"/>
      <c r="V26" s="94"/>
      <c r="W26" s="94"/>
      <c r="X26" s="94"/>
      <c r="Y26" s="94"/>
      <c r="Z26" s="94"/>
      <c r="AA26" s="94"/>
      <c r="AB26" s="94"/>
      <c r="AC26" s="94"/>
      <c r="AD26" s="94"/>
      <c r="AE26" s="94"/>
      <c r="AF26" s="94"/>
      <c r="AG26" s="94"/>
      <c r="AH26" s="94"/>
      <c r="AI26" s="94"/>
      <c r="AJ26" s="94"/>
      <c r="AK26" s="94"/>
      <c r="AL26" s="94"/>
      <c r="AM26" s="94"/>
      <c r="AN26" s="94"/>
      <c r="AO26" s="94"/>
      <c r="AP26" s="94"/>
      <c r="AQ26" s="93">
        <v>-5</v>
      </c>
      <c r="AR26" s="93">
        <v>-4</v>
      </c>
      <c r="AS26" s="93">
        <v>-3</v>
      </c>
      <c r="AT26" s="93">
        <v>-2</v>
      </c>
      <c r="AU26" s="93">
        <v>-1</v>
      </c>
      <c r="AV26" s="93">
        <v>1</v>
      </c>
      <c r="AW26" s="93">
        <v>2</v>
      </c>
      <c r="AX26" s="93">
        <v>3</v>
      </c>
      <c r="AY26" s="93">
        <v>4</v>
      </c>
      <c r="AZ26" s="93">
        <v>5</v>
      </c>
    </row>
    <row r="27" spans="1:58" ht="16.5" customHeight="1" x14ac:dyDescent="0.2">
      <c r="A27" s="94">
        <f t="shared" si="0"/>
        <v>0</v>
      </c>
      <c r="B27" s="94" t="s">
        <v>1211</v>
      </c>
      <c r="C27" s="94" t="s">
        <v>9</v>
      </c>
      <c r="D27" s="94"/>
      <c r="E27" s="94"/>
      <c r="F27" s="94"/>
      <c r="G27" s="94" t="s">
        <v>3</v>
      </c>
      <c r="H27" s="94" t="s">
        <v>1213</v>
      </c>
      <c r="I27" s="94"/>
      <c r="J27" s="94" t="b">
        <v>1</v>
      </c>
      <c r="K27" s="94"/>
      <c r="L27" s="94"/>
      <c r="M27" s="94"/>
      <c r="N27" s="94"/>
      <c r="O27" s="94" t="str">
        <f t="shared" ca="1" si="1"/>
        <v>$AQ$27</v>
      </c>
      <c r="P27" s="94" t="str">
        <f t="shared" ca="1" si="2"/>
        <v>$CE$27</v>
      </c>
      <c r="Q27" s="94"/>
      <c r="R27" s="94"/>
      <c r="S27" s="94"/>
      <c r="T27" s="94"/>
      <c r="U27" s="94"/>
      <c r="V27" s="94"/>
      <c r="W27" s="94"/>
      <c r="X27" s="94"/>
      <c r="Y27" s="94"/>
      <c r="Z27" s="94"/>
      <c r="AA27" s="94"/>
      <c r="AB27" s="94"/>
      <c r="AC27" s="94"/>
      <c r="AD27" s="94"/>
      <c r="AE27" s="94"/>
      <c r="AF27" s="94"/>
      <c r="AG27" s="94"/>
      <c r="AH27" s="94"/>
      <c r="AI27" s="94"/>
      <c r="AJ27" s="94"/>
      <c r="AK27" s="94"/>
      <c r="AL27" s="94"/>
      <c r="AM27" s="94"/>
      <c r="AN27" s="94"/>
      <c r="AO27" s="94"/>
      <c r="AP27" s="94"/>
      <c r="AQ27" s="93">
        <v>2011</v>
      </c>
      <c r="AR27" s="93">
        <v>2012</v>
      </c>
      <c r="AS27" s="93">
        <v>2013</v>
      </c>
      <c r="AT27" s="93">
        <v>2014</v>
      </c>
    </row>
    <row r="28" spans="1:58" ht="16.5" customHeight="1" x14ac:dyDescent="0.2">
      <c r="A28" s="94">
        <f t="shared" si="0"/>
        <v>0</v>
      </c>
      <c r="B28" s="94" t="s">
        <v>1409</v>
      </c>
      <c r="C28" s="94" t="s">
        <v>9</v>
      </c>
      <c r="D28" s="94"/>
      <c r="E28" s="94"/>
      <c r="F28" s="94"/>
      <c r="G28" s="94" t="s">
        <v>3</v>
      </c>
      <c r="H28" s="94" t="s">
        <v>1410</v>
      </c>
      <c r="I28" s="94"/>
      <c r="J28" s="94" t="b">
        <v>1</v>
      </c>
      <c r="K28" s="94"/>
      <c r="L28" s="94"/>
      <c r="M28" s="94"/>
      <c r="N28" s="94"/>
      <c r="O28" s="94" t="str">
        <f t="shared" ca="1" si="1"/>
        <v>$AQ$28</v>
      </c>
      <c r="P28" s="94" t="str">
        <f t="shared" ca="1" si="2"/>
        <v>$CE$28</v>
      </c>
      <c r="Q28" s="94"/>
      <c r="R28" s="94"/>
      <c r="S28" s="94"/>
      <c r="T28" s="94"/>
      <c r="U28" s="94"/>
      <c r="V28" s="94"/>
      <c r="W28" s="94"/>
      <c r="X28" s="94"/>
      <c r="Y28" s="94"/>
      <c r="Z28" s="94"/>
      <c r="AA28" s="94"/>
      <c r="AB28" s="94"/>
      <c r="AC28" s="94"/>
      <c r="AD28" s="94"/>
      <c r="AE28" s="94"/>
      <c r="AF28" s="94"/>
      <c r="AG28" s="94"/>
      <c r="AH28" s="94"/>
      <c r="AI28" s="94"/>
      <c r="AJ28" s="94"/>
      <c r="AK28" s="94"/>
      <c r="AL28" s="94"/>
      <c r="AM28" s="94"/>
      <c r="AN28" s="94"/>
      <c r="AO28" s="94"/>
      <c r="AP28" s="94"/>
      <c r="AQ28" s="93" t="s">
        <v>1417</v>
      </c>
      <c r="AR28" s="93" t="s">
        <v>1416</v>
      </c>
      <c r="AS28" s="93" t="s">
        <v>1415</v>
      </c>
      <c r="AT28" s="93" t="s">
        <v>1414</v>
      </c>
      <c r="AU28" s="93" t="s">
        <v>1495</v>
      </c>
      <c r="AV28" s="93" t="s">
        <v>1496</v>
      </c>
      <c r="AW28" s="93" t="s">
        <v>1497</v>
      </c>
      <c r="AX28" s="93" t="s">
        <v>1413</v>
      </c>
      <c r="AY28" s="93" t="s">
        <v>1411</v>
      </c>
      <c r="AZ28" s="93" t="s">
        <v>1412</v>
      </c>
      <c r="BA28" s="93" t="s">
        <v>1499</v>
      </c>
      <c r="BB28" s="93" t="s">
        <v>1498</v>
      </c>
      <c r="BC28" s="93" t="s">
        <v>1501</v>
      </c>
      <c r="BD28" s="93" t="s">
        <v>1500</v>
      </c>
      <c r="BE28" s="93" t="s">
        <v>1502</v>
      </c>
      <c r="BF28" s="93" t="s">
        <v>1503</v>
      </c>
    </row>
    <row r="29" spans="1:58" ht="16.5" customHeight="1" x14ac:dyDescent="0.2">
      <c r="A29" s="94">
        <f t="shared" si="0"/>
        <v>0</v>
      </c>
      <c r="B29" s="94" t="s">
        <v>1212</v>
      </c>
      <c r="C29" s="94" t="s">
        <v>9</v>
      </c>
      <c r="D29" s="94"/>
      <c r="E29" s="94"/>
      <c r="F29" s="94"/>
      <c r="G29" s="94" t="s">
        <v>3</v>
      </c>
      <c r="H29" s="94" t="s">
        <v>1214</v>
      </c>
      <c r="I29" s="94"/>
      <c r="J29" s="94" t="b">
        <v>1</v>
      </c>
      <c r="K29" s="94"/>
      <c r="L29" s="94"/>
      <c r="M29" s="94"/>
      <c r="N29" s="94"/>
      <c r="O29" s="94" t="str">
        <f t="shared" ca="1" si="1"/>
        <v>$AQ$29</v>
      </c>
      <c r="P29" s="94" t="str">
        <f t="shared" ca="1" si="2"/>
        <v>$CE$29</v>
      </c>
      <c r="Q29" s="94"/>
      <c r="R29" s="94"/>
      <c r="S29" s="94"/>
      <c r="T29" s="94"/>
      <c r="U29" s="94"/>
      <c r="V29" s="94"/>
      <c r="W29" s="94"/>
      <c r="X29" s="94"/>
      <c r="Y29" s="94"/>
      <c r="Z29" s="94"/>
      <c r="AA29" s="94"/>
      <c r="AB29" s="94"/>
      <c r="AC29" s="94"/>
      <c r="AD29" s="94"/>
      <c r="AE29" s="94"/>
      <c r="AF29" s="94"/>
      <c r="AG29" s="94"/>
      <c r="AH29" s="94"/>
      <c r="AI29" s="94"/>
      <c r="AJ29" s="94"/>
      <c r="AK29" s="94"/>
      <c r="AL29" s="94"/>
      <c r="AM29" s="94"/>
      <c r="AN29" s="94"/>
      <c r="AO29" s="94"/>
      <c r="AP29" s="94"/>
      <c r="AQ29" s="93">
        <v>1</v>
      </c>
      <c r="AR29" s="93">
        <v>1.01</v>
      </c>
      <c r="AS29" s="93">
        <v>1.01606</v>
      </c>
      <c r="AT29" s="93">
        <v>1.03231696</v>
      </c>
      <c r="AU29" s="93">
        <v>0.9686947311221159</v>
      </c>
      <c r="AV29" s="93">
        <v>0.98419384682006972</v>
      </c>
      <c r="AW29" s="93">
        <v>0.99009900990099009</v>
      </c>
      <c r="AX29" s="93">
        <v>1</v>
      </c>
      <c r="AY29" s="93">
        <v>1.006</v>
      </c>
      <c r="AZ29" s="97">
        <v>1.016</v>
      </c>
      <c r="BA29" s="97">
        <v>0.98425196850393704</v>
      </c>
      <c r="BB29" s="93">
        <v>0.99403578528827041</v>
      </c>
      <c r="BC29" s="93">
        <v>1</v>
      </c>
      <c r="BD29" s="97">
        <v>1.0220959999999999</v>
      </c>
      <c r="BE29" s="97">
        <v>0.97838167843333712</v>
      </c>
      <c r="BF29" s="93">
        <v>1</v>
      </c>
    </row>
    <row r="30" spans="1:58" ht="16.5" customHeight="1" x14ac:dyDescent="0.2">
      <c r="A30" s="94">
        <f t="shared" si="0"/>
        <v>0</v>
      </c>
      <c r="B30" s="94" t="s">
        <v>1215</v>
      </c>
      <c r="C30" s="94" t="s">
        <v>9</v>
      </c>
      <c r="D30" s="94"/>
      <c r="E30" s="94"/>
      <c r="F30" s="94"/>
      <c r="G30" s="94" t="s">
        <v>3</v>
      </c>
      <c r="H30" s="94" t="s">
        <v>1220</v>
      </c>
      <c r="I30" s="94"/>
      <c r="J30" s="94" t="b">
        <v>1</v>
      </c>
      <c r="K30" s="94"/>
      <c r="L30" s="94"/>
      <c r="M30" s="94"/>
      <c r="N30" s="94"/>
      <c r="O30" s="94" t="str">
        <f t="shared" ca="1" si="1"/>
        <v>$AQ$30</v>
      </c>
      <c r="P30" s="94" t="str">
        <f t="shared" ca="1" si="2"/>
        <v>$CE$30</v>
      </c>
      <c r="Q30" s="94"/>
      <c r="R30" s="94"/>
      <c r="S30" s="94"/>
      <c r="T30" s="94"/>
      <c r="U30" s="94"/>
      <c r="V30" s="94"/>
      <c r="W30" s="94"/>
      <c r="X30" s="94"/>
      <c r="Y30" s="94"/>
      <c r="Z30" s="94"/>
      <c r="AA30" s="94"/>
      <c r="AB30" s="94"/>
      <c r="AC30" s="94"/>
      <c r="AD30" s="94"/>
      <c r="AE30" s="94"/>
      <c r="AF30" s="94"/>
      <c r="AG30" s="94"/>
      <c r="AH30" s="94"/>
      <c r="AI30" s="94"/>
      <c r="AJ30" s="94"/>
      <c r="AK30" s="94"/>
      <c r="AL30" s="94"/>
      <c r="AM30" s="94"/>
      <c r="AN30" s="94"/>
      <c r="AO30" s="94"/>
      <c r="AP30" s="94"/>
      <c r="AQ30" s="93" t="s">
        <v>1216</v>
      </c>
      <c r="AR30" s="93" t="s">
        <v>1217</v>
      </c>
      <c r="AS30" s="93" t="s">
        <v>1218</v>
      </c>
      <c r="AT30" s="93" t="s">
        <v>1219</v>
      </c>
    </row>
    <row r="31" spans="1:58" ht="16.5" customHeight="1" x14ac:dyDescent="0.2">
      <c r="A31" s="94">
        <f t="shared" si="0"/>
        <v>0</v>
      </c>
      <c r="B31" s="94" t="s">
        <v>1229</v>
      </c>
      <c r="C31" s="94" t="s">
        <v>9</v>
      </c>
      <c r="D31" s="94"/>
      <c r="E31" s="94"/>
      <c r="F31" s="94"/>
      <c r="G31" s="94" t="s">
        <v>3</v>
      </c>
      <c r="H31" s="94" t="s">
        <v>1231</v>
      </c>
      <c r="I31" s="94"/>
      <c r="J31" s="94" t="b">
        <v>1</v>
      </c>
      <c r="K31" s="94"/>
      <c r="L31" s="94"/>
      <c r="M31" s="94"/>
      <c r="N31" s="94"/>
      <c r="O31" s="94" t="str">
        <f t="shared" ca="1" si="1"/>
        <v>$AQ$31</v>
      </c>
      <c r="P31" s="94" t="str">
        <f t="shared" ca="1" si="2"/>
        <v>$CE$31</v>
      </c>
      <c r="Q31" s="94"/>
      <c r="R31" s="94"/>
      <c r="S31" s="94"/>
      <c r="T31" s="94"/>
      <c r="U31" s="94"/>
      <c r="V31" s="94"/>
      <c r="W31" s="94"/>
      <c r="X31" s="94"/>
      <c r="Y31" s="94"/>
      <c r="Z31" s="94"/>
      <c r="AA31" s="94"/>
      <c r="AB31" s="94"/>
      <c r="AC31" s="94"/>
      <c r="AD31" s="94"/>
      <c r="AE31" s="94"/>
      <c r="AF31" s="94"/>
      <c r="AG31" s="94"/>
      <c r="AH31" s="94"/>
      <c r="AI31" s="94"/>
      <c r="AJ31" s="94"/>
      <c r="AK31" s="94"/>
      <c r="AL31" s="94"/>
      <c r="AM31" s="94"/>
      <c r="AN31" s="94"/>
      <c r="AO31" s="94"/>
      <c r="AP31" s="94"/>
      <c r="AQ31" s="93" t="s">
        <v>1216</v>
      </c>
      <c r="AR31" s="93" t="s">
        <v>1217</v>
      </c>
    </row>
    <row r="32" spans="1:58" ht="16.5" customHeight="1" x14ac:dyDescent="0.2">
      <c r="A32" s="94">
        <f t="shared" si="0"/>
        <v>0</v>
      </c>
      <c r="B32" s="94" t="s">
        <v>1230</v>
      </c>
      <c r="C32" s="94" t="s">
        <v>9</v>
      </c>
      <c r="D32" s="94"/>
      <c r="E32" s="94"/>
      <c r="F32" s="94"/>
      <c r="G32" s="94" t="s">
        <v>3</v>
      </c>
      <c r="H32" s="94" t="s">
        <v>1232</v>
      </c>
      <c r="I32" s="94"/>
      <c r="J32" s="94" t="b">
        <v>1</v>
      </c>
      <c r="K32" s="94"/>
      <c r="L32" s="94"/>
      <c r="M32" s="94"/>
      <c r="N32" s="94"/>
      <c r="O32" s="94" t="str">
        <f t="shared" ca="1" si="1"/>
        <v>$AQ$32</v>
      </c>
      <c r="P32" s="94" t="str">
        <f t="shared" ca="1" si="2"/>
        <v>$CE$32</v>
      </c>
      <c r="Q32" s="94"/>
      <c r="R32" s="94"/>
      <c r="S32" s="94"/>
      <c r="T32" s="94"/>
      <c r="U32" s="94"/>
      <c r="V32" s="94"/>
      <c r="W32" s="94"/>
      <c r="X32" s="94"/>
      <c r="Y32" s="94"/>
      <c r="Z32" s="94"/>
      <c r="AA32" s="94"/>
      <c r="AB32" s="94"/>
      <c r="AC32" s="94"/>
      <c r="AD32" s="94"/>
      <c r="AE32" s="94"/>
      <c r="AF32" s="94"/>
      <c r="AG32" s="94"/>
      <c r="AH32" s="94"/>
      <c r="AI32" s="94"/>
      <c r="AJ32" s="94"/>
      <c r="AK32" s="94"/>
      <c r="AL32" s="94"/>
      <c r="AM32" s="94"/>
      <c r="AN32" s="94"/>
      <c r="AO32" s="94"/>
      <c r="AP32" s="94"/>
      <c r="AQ32" s="93" t="s">
        <v>1218</v>
      </c>
      <c r="AR32" s="93" t="s">
        <v>1219</v>
      </c>
    </row>
    <row r="33" spans="1:51" ht="16.5" customHeight="1" x14ac:dyDescent="0.2">
      <c r="A33" s="94">
        <f t="shared" si="0"/>
        <v>0</v>
      </c>
      <c r="B33" s="94" t="s">
        <v>1221</v>
      </c>
      <c r="C33" s="94" t="s">
        <v>9</v>
      </c>
      <c r="D33" s="94"/>
      <c r="E33" s="94"/>
      <c r="F33" s="94"/>
      <c r="G33" s="94" t="s">
        <v>3</v>
      </c>
      <c r="H33" s="94" t="s">
        <v>1225</v>
      </c>
      <c r="I33" s="94"/>
      <c r="J33" s="94" t="b">
        <v>1</v>
      </c>
      <c r="K33" s="94"/>
      <c r="L33" s="94"/>
      <c r="M33" s="94"/>
      <c r="N33" s="94"/>
      <c r="O33" s="94" t="str">
        <f t="shared" ca="1" si="1"/>
        <v>$AQ$33</v>
      </c>
      <c r="P33" s="94" t="str">
        <f t="shared" ca="1" si="2"/>
        <v>$CE$33</v>
      </c>
      <c r="Q33" s="94"/>
      <c r="R33" s="94"/>
      <c r="S33" s="94"/>
      <c r="T33" s="94"/>
      <c r="U33" s="94"/>
      <c r="V33" s="94"/>
      <c r="W33" s="94"/>
      <c r="X33" s="94"/>
      <c r="Y33" s="94"/>
      <c r="Z33" s="94"/>
      <c r="AA33" s="94"/>
      <c r="AB33" s="94"/>
      <c r="AC33" s="94"/>
      <c r="AD33" s="94"/>
      <c r="AE33" s="94"/>
      <c r="AF33" s="94"/>
      <c r="AG33" s="94"/>
      <c r="AH33" s="94"/>
      <c r="AI33" s="94"/>
      <c r="AJ33" s="94"/>
      <c r="AK33" s="94"/>
      <c r="AL33" s="94"/>
      <c r="AM33" s="94"/>
      <c r="AN33" s="94"/>
      <c r="AO33" s="94"/>
      <c r="AP33" s="94"/>
      <c r="AQ33" s="93" t="s">
        <v>1222</v>
      </c>
      <c r="AR33" s="93" t="s">
        <v>1223</v>
      </c>
      <c r="AS33" s="93" t="s">
        <v>1224</v>
      </c>
      <c r="AT33" s="93" t="s">
        <v>307</v>
      </c>
    </row>
    <row r="34" spans="1:51" ht="16.5" customHeight="1" x14ac:dyDescent="0.2">
      <c r="A34" s="96">
        <f t="shared" si="0"/>
        <v>0</v>
      </c>
      <c r="B34" s="96" t="s">
        <v>1227</v>
      </c>
      <c r="C34" s="96" t="s">
        <v>7</v>
      </c>
      <c r="D34" s="96"/>
      <c r="E34" s="96"/>
      <c r="F34" s="96"/>
      <c r="G34" s="96" t="s">
        <v>3</v>
      </c>
      <c r="H34" s="96" t="s">
        <v>1228</v>
      </c>
      <c r="I34" s="96"/>
      <c r="J34" s="96" t="b">
        <v>1</v>
      </c>
      <c r="K34" s="96"/>
      <c r="L34" s="96"/>
      <c r="M34" s="96"/>
      <c r="N34" s="96"/>
      <c r="O34" s="96" t="str">
        <f t="shared" ca="1" si="1"/>
        <v>$AQ$34</v>
      </c>
      <c r="P34" s="96" t="str">
        <f ca="1">CELL("address",AQ34)</f>
        <v>$AQ$34</v>
      </c>
      <c r="Q34" s="96"/>
      <c r="R34" s="96"/>
      <c r="S34" s="96"/>
      <c r="T34" s="96"/>
      <c r="U34" s="96"/>
      <c r="V34" s="96"/>
      <c r="W34" s="96"/>
      <c r="X34" s="96"/>
      <c r="Y34" s="96"/>
      <c r="Z34" s="96"/>
      <c r="AA34" s="96"/>
      <c r="AB34" s="96"/>
      <c r="AC34" s="96"/>
      <c r="AD34" s="96"/>
      <c r="AE34" s="96"/>
      <c r="AF34" s="96"/>
      <c r="AG34" s="96"/>
      <c r="AH34" s="96"/>
      <c r="AI34" s="96"/>
      <c r="AJ34" s="96"/>
      <c r="AK34" s="96"/>
      <c r="AL34" s="96"/>
      <c r="AM34" s="96"/>
      <c r="AN34" s="96"/>
      <c r="AO34" s="96"/>
      <c r="AP34" s="96"/>
    </row>
    <row r="35" spans="1:51" ht="16.5" customHeight="1" x14ac:dyDescent="0.2">
      <c r="A35" s="96">
        <f t="shared" si="0"/>
        <v>0</v>
      </c>
      <c r="B35" s="96" t="s">
        <v>1233</v>
      </c>
      <c r="C35" s="96" t="s">
        <v>7</v>
      </c>
      <c r="D35" s="96"/>
      <c r="E35" s="96"/>
      <c r="F35" s="96"/>
      <c r="G35" s="96" t="s">
        <v>3</v>
      </c>
      <c r="H35" s="96" t="s">
        <v>1234</v>
      </c>
      <c r="I35" s="96"/>
      <c r="J35" s="96" t="b">
        <v>1</v>
      </c>
      <c r="K35" s="96"/>
      <c r="L35" s="96"/>
      <c r="M35" s="96"/>
      <c r="N35" s="96"/>
      <c r="O35" s="96" t="str">
        <f t="shared" ca="1" si="1"/>
        <v>$AQ$35</v>
      </c>
      <c r="P35" s="96" t="str">
        <f ca="1">CELL("address",AQ35)</f>
        <v>$AQ$35</v>
      </c>
      <c r="Q35" s="96"/>
      <c r="R35" s="96"/>
      <c r="S35" s="96"/>
      <c r="T35" s="96"/>
      <c r="U35" s="96"/>
      <c r="V35" s="96"/>
      <c r="W35" s="96"/>
      <c r="X35" s="96"/>
      <c r="Y35" s="96"/>
      <c r="Z35" s="96"/>
      <c r="AA35" s="96"/>
      <c r="AB35" s="96"/>
      <c r="AC35" s="96"/>
      <c r="AD35" s="96"/>
      <c r="AE35" s="96"/>
      <c r="AF35" s="96"/>
      <c r="AG35" s="96"/>
      <c r="AH35" s="96"/>
      <c r="AI35" s="96"/>
      <c r="AJ35" s="96"/>
      <c r="AK35" s="96"/>
      <c r="AL35" s="96"/>
      <c r="AM35" s="96"/>
      <c r="AN35" s="96"/>
      <c r="AO35" s="96"/>
      <c r="AP35" s="96"/>
      <c r="AQ35" s="93">
        <v>0.04</v>
      </c>
    </row>
    <row r="36" spans="1:51" ht="16.5" customHeight="1" x14ac:dyDescent="0.2">
      <c r="A36" s="96">
        <f t="shared" si="0"/>
        <v>0</v>
      </c>
      <c r="B36" s="96" t="s">
        <v>626</v>
      </c>
      <c r="C36" s="96" t="s">
        <v>7</v>
      </c>
      <c r="D36" s="96"/>
      <c r="E36" s="96"/>
      <c r="F36" s="96"/>
      <c r="G36" s="96" t="s">
        <v>3</v>
      </c>
      <c r="H36" s="96" t="s">
        <v>1237</v>
      </c>
      <c r="I36" s="96"/>
      <c r="J36" s="96" t="b">
        <v>1</v>
      </c>
      <c r="K36" s="96"/>
      <c r="L36" s="96"/>
      <c r="M36" s="96"/>
      <c r="N36" s="96"/>
      <c r="O36" s="96" t="str">
        <f t="shared" ca="1" si="1"/>
        <v>$AQ$36</v>
      </c>
      <c r="P36" s="96" t="str">
        <f ca="1">CELL("address",AR36)</f>
        <v>$AR$36</v>
      </c>
      <c r="Q36" s="96"/>
      <c r="R36" s="96"/>
      <c r="S36" s="96"/>
      <c r="T36" s="96"/>
      <c r="U36" s="96"/>
      <c r="V36" s="96"/>
      <c r="W36" s="96"/>
      <c r="X36" s="96"/>
      <c r="Y36" s="96"/>
      <c r="Z36" s="96"/>
      <c r="AA36" s="96"/>
      <c r="AB36" s="96"/>
      <c r="AC36" s="96"/>
      <c r="AD36" s="96"/>
      <c r="AE36" s="96"/>
      <c r="AF36" s="96"/>
      <c r="AG36" s="96"/>
      <c r="AH36" s="96"/>
      <c r="AI36" s="96"/>
      <c r="AJ36" s="96"/>
      <c r="AK36" s="96"/>
      <c r="AL36" s="96"/>
      <c r="AM36" s="96"/>
      <c r="AN36" s="96"/>
      <c r="AO36" s="96"/>
      <c r="AP36" s="96"/>
      <c r="AQ36" s="93" t="s">
        <v>1235</v>
      </c>
      <c r="AR36" s="93" t="s">
        <v>1236</v>
      </c>
    </row>
    <row r="37" spans="1:51" ht="16.5" customHeight="1" x14ac:dyDescent="0.2">
      <c r="A37" s="96">
        <f t="shared" si="0"/>
        <v>0</v>
      </c>
      <c r="B37" s="96" t="s">
        <v>1239</v>
      </c>
      <c r="C37" s="96" t="s">
        <v>7</v>
      </c>
      <c r="D37" s="96"/>
      <c r="E37" s="96"/>
      <c r="F37" s="96"/>
      <c r="G37" s="96" t="s">
        <v>3</v>
      </c>
      <c r="H37" s="96" t="s">
        <v>1240</v>
      </c>
      <c r="I37" s="96"/>
      <c r="J37" s="96" t="b">
        <v>1</v>
      </c>
      <c r="K37" s="96"/>
      <c r="L37" s="96"/>
      <c r="M37" s="96"/>
      <c r="N37" s="96"/>
      <c r="O37" s="96" t="str">
        <f t="shared" ca="1" si="1"/>
        <v>$AQ$37</v>
      </c>
      <c r="P37" s="96" t="str">
        <f ca="1">CELL("address",AQ37)</f>
        <v>$AQ$37</v>
      </c>
      <c r="Q37" s="96"/>
      <c r="R37" s="96"/>
      <c r="S37" s="96"/>
      <c r="T37" s="96"/>
      <c r="U37" s="96"/>
      <c r="V37" s="96"/>
      <c r="W37" s="96"/>
      <c r="X37" s="96"/>
      <c r="Y37" s="96"/>
      <c r="Z37" s="96"/>
      <c r="AA37" s="96"/>
      <c r="AB37" s="96"/>
      <c r="AC37" s="96"/>
      <c r="AD37" s="96"/>
      <c r="AE37" s="96"/>
      <c r="AF37" s="96"/>
      <c r="AG37" s="96"/>
      <c r="AH37" s="96"/>
      <c r="AI37" s="96"/>
      <c r="AJ37" s="96"/>
      <c r="AK37" s="96"/>
      <c r="AL37" s="96"/>
      <c r="AM37" s="96"/>
      <c r="AN37" s="96"/>
      <c r="AO37" s="96"/>
      <c r="AP37" s="96"/>
      <c r="AQ37" s="93">
        <v>0.7</v>
      </c>
    </row>
    <row r="38" spans="1:51" ht="16.5" customHeight="1" x14ac:dyDescent="0.2">
      <c r="A38" s="96">
        <f t="shared" si="0"/>
        <v>0</v>
      </c>
      <c r="B38" s="96" t="s">
        <v>1310</v>
      </c>
      <c r="C38" s="96" t="s">
        <v>7</v>
      </c>
      <c r="D38" s="96"/>
      <c r="E38" s="96"/>
      <c r="F38" s="96"/>
      <c r="G38" s="96" t="s">
        <v>3</v>
      </c>
      <c r="H38" s="96" t="s">
        <v>1311</v>
      </c>
      <c r="I38" s="96"/>
      <c r="J38" s="96" t="b">
        <v>1</v>
      </c>
      <c r="K38" s="96"/>
      <c r="L38" s="96"/>
      <c r="M38" s="96"/>
      <c r="N38" s="96"/>
      <c r="O38" s="96" t="str">
        <f t="shared" ca="1" si="1"/>
        <v>$AQ$38</v>
      </c>
      <c r="P38" s="96" t="str">
        <f ca="1">CELL("address",AV38)</f>
        <v>$AV$38</v>
      </c>
      <c r="Q38" s="96"/>
      <c r="R38" s="96"/>
      <c r="S38" s="96"/>
      <c r="T38" s="96"/>
      <c r="U38" s="96"/>
      <c r="V38" s="96"/>
      <c r="W38" s="96"/>
      <c r="X38" s="96"/>
      <c r="Y38" s="96"/>
      <c r="Z38" s="96"/>
      <c r="AA38" s="96"/>
      <c r="AB38" s="96"/>
      <c r="AC38" s="96"/>
      <c r="AD38" s="96"/>
      <c r="AE38" s="96"/>
      <c r="AF38" s="96"/>
      <c r="AG38" s="96"/>
      <c r="AH38" s="96"/>
      <c r="AI38" s="96"/>
      <c r="AJ38" s="96"/>
      <c r="AK38" s="96"/>
      <c r="AL38" s="96"/>
      <c r="AM38" s="96"/>
      <c r="AN38" s="96"/>
      <c r="AO38" s="96"/>
      <c r="AP38" s="96"/>
    </row>
    <row r="39" spans="1:51" ht="16.5" customHeight="1" x14ac:dyDescent="0.2">
      <c r="A39" s="96">
        <f t="shared" si="0"/>
        <v>0</v>
      </c>
      <c r="B39" s="96" t="s">
        <v>1318</v>
      </c>
      <c r="C39" s="96" t="s">
        <v>7</v>
      </c>
      <c r="D39" s="96"/>
      <c r="E39" s="96"/>
      <c r="F39" s="96"/>
      <c r="G39" s="96" t="s">
        <v>3</v>
      </c>
      <c r="H39" s="96" t="s">
        <v>1319</v>
      </c>
      <c r="I39" s="96"/>
      <c r="J39" s="96" t="b">
        <v>1</v>
      </c>
      <c r="K39" s="96"/>
      <c r="L39" s="96"/>
      <c r="M39" s="96"/>
      <c r="N39" s="96"/>
      <c r="O39" s="96" t="str">
        <f t="shared" ca="1" si="1"/>
        <v>$AQ$39</v>
      </c>
      <c r="P39" s="96" t="str">
        <f ca="1">CELL("address",AU39)</f>
        <v>$AU$39</v>
      </c>
      <c r="Q39" s="96"/>
      <c r="R39" s="96"/>
      <c r="S39" s="96"/>
      <c r="T39" s="96"/>
      <c r="U39" s="96"/>
      <c r="V39" s="96"/>
      <c r="W39" s="96"/>
      <c r="X39" s="96"/>
      <c r="Y39" s="96"/>
      <c r="Z39" s="96"/>
      <c r="AA39" s="96"/>
      <c r="AB39" s="96"/>
      <c r="AC39" s="96"/>
      <c r="AD39" s="96"/>
      <c r="AE39" s="96"/>
      <c r="AF39" s="96"/>
      <c r="AG39" s="96"/>
      <c r="AH39" s="96"/>
      <c r="AI39" s="96"/>
      <c r="AJ39" s="96"/>
      <c r="AK39" s="96"/>
      <c r="AL39" s="96"/>
      <c r="AM39" s="96"/>
      <c r="AN39" s="96"/>
      <c r="AO39" s="96"/>
      <c r="AP39" s="96"/>
      <c r="AQ39" s="93" t="s">
        <v>309</v>
      </c>
      <c r="AR39" s="93" t="s">
        <v>317</v>
      </c>
      <c r="AS39" s="93" t="s">
        <v>318</v>
      </c>
      <c r="AT39" s="93" t="s">
        <v>1250</v>
      </c>
      <c r="AU39" s="93" t="s">
        <v>319</v>
      </c>
    </row>
    <row r="40" spans="1:51" ht="16.5" customHeight="1" x14ac:dyDescent="0.2">
      <c r="A40" s="96">
        <f t="shared" si="0"/>
        <v>0</v>
      </c>
      <c r="B40" s="96" t="s">
        <v>1322</v>
      </c>
      <c r="C40" s="96" t="s">
        <v>7</v>
      </c>
      <c r="D40" s="96"/>
      <c r="E40" s="96"/>
      <c r="F40" s="96"/>
      <c r="G40" s="96" t="s">
        <v>3</v>
      </c>
      <c r="H40" s="96" t="s">
        <v>1323</v>
      </c>
      <c r="I40" s="96"/>
      <c r="J40" s="96" t="b">
        <v>1</v>
      </c>
      <c r="K40" s="96"/>
      <c r="L40" s="96"/>
      <c r="M40" s="96"/>
      <c r="N40" s="96"/>
      <c r="O40" s="96" t="str">
        <f t="shared" ca="1" si="1"/>
        <v>$AQ$40</v>
      </c>
      <c r="P40" s="96" t="str">
        <f ca="1">CELL("address",AS40)</f>
        <v>$AS$40</v>
      </c>
      <c r="Q40" s="96"/>
      <c r="R40" s="96"/>
      <c r="S40" s="96"/>
      <c r="T40" s="96"/>
      <c r="U40" s="96"/>
      <c r="V40" s="96"/>
      <c r="W40" s="96"/>
      <c r="X40" s="96"/>
      <c r="Y40" s="96"/>
      <c r="Z40" s="96"/>
      <c r="AA40" s="96"/>
      <c r="AB40" s="96"/>
      <c r="AC40" s="96"/>
      <c r="AD40" s="96"/>
      <c r="AE40" s="96"/>
      <c r="AF40" s="96"/>
      <c r="AG40" s="96"/>
      <c r="AH40" s="96"/>
      <c r="AI40" s="96"/>
      <c r="AJ40" s="96"/>
      <c r="AK40" s="96"/>
      <c r="AL40" s="96"/>
      <c r="AM40" s="96"/>
      <c r="AN40" s="96"/>
      <c r="AO40" s="96"/>
      <c r="AP40" s="96"/>
      <c r="AQ40" s="93" t="s">
        <v>300</v>
      </c>
      <c r="AR40" s="93" t="s">
        <v>301</v>
      </c>
      <c r="AS40" s="93" t="s">
        <v>302</v>
      </c>
    </row>
    <row r="41" spans="1:51" ht="16.5" customHeight="1" x14ac:dyDescent="0.2">
      <c r="A41" s="96">
        <f t="shared" si="0"/>
        <v>0</v>
      </c>
      <c r="B41" s="96" t="s">
        <v>1375</v>
      </c>
      <c r="C41" s="96" t="s">
        <v>7</v>
      </c>
      <c r="D41" s="96"/>
      <c r="E41" s="96"/>
      <c r="F41" s="96"/>
      <c r="G41" s="96" t="s">
        <v>3</v>
      </c>
      <c r="H41" s="96" t="s">
        <v>1376</v>
      </c>
      <c r="I41" s="96"/>
      <c r="J41" s="96" t="b">
        <v>1</v>
      </c>
      <c r="K41" s="96"/>
      <c r="L41" s="96"/>
      <c r="M41" s="96"/>
      <c r="N41" s="96"/>
      <c r="O41" s="96" t="str">
        <f t="shared" ca="1" si="1"/>
        <v>$AQ$41</v>
      </c>
      <c r="P41" s="96" t="str">
        <f ca="1">CELL("address",AQ41)</f>
        <v>$AQ$41</v>
      </c>
      <c r="Q41" s="96"/>
      <c r="R41" s="96"/>
      <c r="S41" s="96"/>
      <c r="T41" s="96"/>
      <c r="U41" s="96"/>
      <c r="V41" s="96"/>
      <c r="W41" s="96"/>
      <c r="X41" s="96"/>
      <c r="Y41" s="96"/>
      <c r="Z41" s="96"/>
      <c r="AA41" s="96"/>
      <c r="AB41" s="96"/>
      <c r="AC41" s="96"/>
      <c r="AD41" s="96"/>
      <c r="AE41" s="96"/>
      <c r="AF41" s="96"/>
      <c r="AG41" s="96"/>
      <c r="AH41" s="96"/>
      <c r="AI41" s="96"/>
      <c r="AJ41" s="96"/>
      <c r="AK41" s="96"/>
      <c r="AL41" s="96"/>
      <c r="AM41" s="96"/>
      <c r="AN41" s="96"/>
      <c r="AO41" s="96"/>
      <c r="AP41" s="96"/>
      <c r="AQ41" s="93" t="s">
        <v>1369</v>
      </c>
    </row>
    <row r="42" spans="1:51" ht="16.5" customHeight="1" x14ac:dyDescent="0.2">
      <c r="A42" s="96">
        <f t="shared" si="0"/>
        <v>0</v>
      </c>
      <c r="B42" s="96" t="s">
        <v>1394</v>
      </c>
      <c r="C42" s="96" t="s">
        <v>7</v>
      </c>
      <c r="D42" s="96"/>
      <c r="E42" s="96"/>
      <c r="F42" s="96"/>
      <c r="G42" s="96" t="s">
        <v>3</v>
      </c>
      <c r="H42" s="96" t="s">
        <v>1395</v>
      </c>
      <c r="I42" s="96"/>
      <c r="J42" s="96" t="b">
        <v>1</v>
      </c>
      <c r="K42" s="96"/>
      <c r="L42" s="96"/>
      <c r="M42" s="96"/>
      <c r="N42" s="96"/>
      <c r="O42" s="96" t="str">
        <f t="shared" ca="1" si="1"/>
        <v>$AQ$42</v>
      </c>
      <c r="P42" s="96" t="str">
        <f ca="1">CELL("address",AQ42)</f>
        <v>$AQ$42</v>
      </c>
      <c r="Q42" s="96"/>
      <c r="R42" s="96"/>
      <c r="S42" s="96"/>
      <c r="T42" s="96"/>
      <c r="U42" s="96"/>
      <c r="V42" s="96"/>
      <c r="W42" s="96"/>
      <c r="X42" s="96"/>
      <c r="Y42" s="96"/>
      <c r="Z42" s="96"/>
      <c r="AA42" s="96"/>
      <c r="AB42" s="96"/>
      <c r="AC42" s="96"/>
      <c r="AD42" s="96"/>
      <c r="AE42" s="96"/>
      <c r="AF42" s="96"/>
      <c r="AG42" s="96"/>
      <c r="AH42" s="96"/>
      <c r="AI42" s="96"/>
      <c r="AJ42" s="96"/>
      <c r="AK42" s="96"/>
      <c r="AL42" s="96"/>
      <c r="AM42" s="96"/>
      <c r="AN42" s="96"/>
      <c r="AO42" s="96"/>
      <c r="AP42" s="96"/>
      <c r="AQ42" s="93" t="s">
        <v>1367</v>
      </c>
    </row>
    <row r="43" spans="1:51" ht="16.5" customHeight="1" x14ac:dyDescent="0.2">
      <c r="A43" s="96">
        <f t="shared" si="0"/>
        <v>0</v>
      </c>
      <c r="B43" s="96" t="s">
        <v>1397</v>
      </c>
      <c r="C43" s="96" t="s">
        <v>7</v>
      </c>
      <c r="D43" s="96"/>
      <c r="E43" s="96"/>
      <c r="F43" s="96"/>
      <c r="G43" s="96" t="s">
        <v>3</v>
      </c>
      <c r="H43" s="96" t="s">
        <v>1396</v>
      </c>
      <c r="I43" s="96"/>
      <c r="J43" s="96" t="b">
        <v>1</v>
      </c>
      <c r="K43" s="96"/>
      <c r="L43" s="96"/>
      <c r="M43" s="96"/>
      <c r="N43" s="96"/>
      <c r="O43" s="96" t="str">
        <f t="shared" ca="1" si="1"/>
        <v>$AQ$43</v>
      </c>
      <c r="P43" s="96" t="str">
        <f ca="1">CELL("address",AQ43)</f>
        <v>$AQ$43</v>
      </c>
      <c r="Q43" s="96"/>
      <c r="R43" s="96"/>
      <c r="S43" s="96"/>
      <c r="T43" s="96"/>
      <c r="U43" s="96"/>
      <c r="V43" s="96"/>
      <c r="W43" s="96"/>
      <c r="X43" s="96"/>
      <c r="Y43" s="96"/>
      <c r="Z43" s="96"/>
      <c r="AA43" s="96"/>
      <c r="AB43" s="96"/>
      <c r="AC43" s="96"/>
      <c r="AD43" s="96"/>
      <c r="AE43" s="96"/>
      <c r="AF43" s="96"/>
      <c r="AG43" s="96"/>
      <c r="AH43" s="96"/>
      <c r="AI43" s="96"/>
      <c r="AJ43" s="96"/>
      <c r="AK43" s="96"/>
      <c r="AL43" s="96"/>
      <c r="AM43" s="96"/>
      <c r="AN43" s="96"/>
      <c r="AO43" s="96"/>
      <c r="AP43" s="96"/>
      <c r="AQ43" s="93" t="s">
        <v>1368</v>
      </c>
    </row>
    <row r="44" spans="1:51" ht="16.5" customHeight="1" x14ac:dyDescent="0.2">
      <c r="A44" s="96">
        <f t="shared" ref="A44:A79" si="3">$A$11+0</f>
        <v>0</v>
      </c>
      <c r="B44" s="96" t="s">
        <v>1574</v>
      </c>
      <c r="C44" s="96" t="s">
        <v>7</v>
      </c>
      <c r="D44" s="96"/>
      <c r="E44" s="96"/>
      <c r="F44" s="96"/>
      <c r="G44" s="96" t="s">
        <v>3</v>
      </c>
      <c r="H44" s="96" t="s">
        <v>1575</v>
      </c>
      <c r="I44" s="96"/>
      <c r="J44" s="96" t="b">
        <v>1</v>
      </c>
      <c r="K44" s="96"/>
      <c r="L44" s="96"/>
      <c r="M44" s="96"/>
      <c r="N44" s="96"/>
      <c r="O44" s="96" t="str">
        <f t="shared" ca="1" si="1"/>
        <v>$AQ$44</v>
      </c>
      <c r="P44" s="96" t="str">
        <f ca="1">CELL("address",AQ44)</f>
        <v>$AQ$44</v>
      </c>
      <c r="Q44" s="96"/>
      <c r="R44" s="96"/>
      <c r="S44" s="96"/>
      <c r="T44" s="96"/>
      <c r="U44" s="96"/>
      <c r="V44" s="96"/>
      <c r="W44" s="96"/>
      <c r="X44" s="96"/>
      <c r="Y44" s="96"/>
      <c r="Z44" s="96"/>
      <c r="AA44" s="96"/>
      <c r="AB44" s="96"/>
      <c r="AC44" s="96"/>
      <c r="AD44" s="96"/>
      <c r="AE44" s="96"/>
      <c r="AF44" s="96"/>
      <c r="AG44" s="96"/>
      <c r="AH44" s="96"/>
      <c r="AI44" s="96"/>
      <c r="AJ44" s="96"/>
      <c r="AK44" s="96"/>
      <c r="AL44" s="96"/>
      <c r="AM44" s="96"/>
      <c r="AN44" s="96"/>
      <c r="AO44" s="96"/>
      <c r="AP44" s="96"/>
      <c r="AQ44" s="93" t="s">
        <v>1573</v>
      </c>
    </row>
    <row r="45" spans="1:51" ht="16.5" customHeight="1" x14ac:dyDescent="0.2">
      <c r="A45" s="96">
        <f t="shared" si="3"/>
        <v>0</v>
      </c>
      <c r="B45" s="96" t="s">
        <v>1576</v>
      </c>
      <c r="C45" s="96" t="s">
        <v>7</v>
      </c>
      <c r="D45" s="96"/>
      <c r="E45" s="96"/>
      <c r="F45" s="96"/>
      <c r="G45" s="96" t="s">
        <v>3</v>
      </c>
      <c r="H45" s="96" t="s">
        <v>1577</v>
      </c>
      <c r="I45" s="96"/>
      <c r="J45" s="96" t="b">
        <v>1</v>
      </c>
      <c r="K45" s="96"/>
      <c r="L45" s="96"/>
      <c r="M45" s="96"/>
      <c r="N45" s="96"/>
      <c r="O45" s="96" t="str">
        <f t="shared" ref="O45" ca="1" si="4">CELL("address",AQ45)</f>
        <v>$AQ$45</v>
      </c>
      <c r="P45" s="96" t="str">
        <f ca="1">CELL("address",AQ45)</f>
        <v>$AQ$45</v>
      </c>
      <c r="Q45" s="96"/>
      <c r="R45" s="96"/>
      <c r="S45" s="96"/>
      <c r="T45" s="96"/>
      <c r="U45" s="96"/>
      <c r="V45" s="96"/>
      <c r="W45" s="96"/>
      <c r="X45" s="96"/>
      <c r="Y45" s="96"/>
      <c r="Z45" s="96"/>
      <c r="AA45" s="96"/>
      <c r="AB45" s="96"/>
      <c r="AC45" s="96"/>
      <c r="AD45" s="96"/>
      <c r="AE45" s="96"/>
      <c r="AF45" s="96"/>
      <c r="AG45" s="96"/>
      <c r="AH45" s="96"/>
      <c r="AI45" s="96"/>
      <c r="AJ45" s="96"/>
      <c r="AK45" s="96"/>
      <c r="AL45" s="96"/>
      <c r="AM45" s="96"/>
      <c r="AN45" s="96"/>
      <c r="AO45" s="96"/>
      <c r="AP45" s="96"/>
      <c r="AQ45" s="93" t="s">
        <v>1627</v>
      </c>
    </row>
    <row r="46" spans="1:51" ht="16.5" customHeight="1" x14ac:dyDescent="0.2">
      <c r="A46" s="96">
        <f t="shared" si="3"/>
        <v>0</v>
      </c>
      <c r="B46" s="96" t="s">
        <v>1506</v>
      </c>
      <c r="C46" s="96" t="s">
        <v>7</v>
      </c>
      <c r="D46" s="96"/>
      <c r="E46" s="96"/>
      <c r="F46" s="96"/>
      <c r="G46" s="96" t="s">
        <v>3</v>
      </c>
      <c r="H46" s="96" t="s">
        <v>1509</v>
      </c>
      <c r="I46" s="96"/>
      <c r="J46" s="96" t="b">
        <v>1</v>
      </c>
      <c r="K46" s="96"/>
      <c r="L46" s="96"/>
      <c r="M46" s="96"/>
      <c r="N46" s="96"/>
      <c r="O46" s="96" t="str">
        <f t="shared" ca="1" si="1"/>
        <v>$AQ$46</v>
      </c>
      <c r="P46" s="96" t="str">
        <f ca="1">CELL("address",AY46)</f>
        <v>$AY$46</v>
      </c>
      <c r="Q46" s="96"/>
      <c r="R46" s="96"/>
      <c r="S46" s="96"/>
      <c r="T46" s="96"/>
      <c r="U46" s="96"/>
      <c r="V46" s="96"/>
      <c r="W46" s="96"/>
      <c r="X46" s="96"/>
      <c r="Y46" s="96"/>
      <c r="Z46" s="96"/>
      <c r="AA46" s="96"/>
      <c r="AB46" s="96"/>
      <c r="AC46" s="96"/>
      <c r="AD46" s="96"/>
      <c r="AE46" s="96"/>
      <c r="AF46" s="96"/>
      <c r="AG46" s="96"/>
      <c r="AH46" s="96"/>
      <c r="AI46" s="96"/>
      <c r="AJ46" s="96"/>
      <c r="AK46" s="96"/>
      <c r="AL46" s="96"/>
      <c r="AM46" s="96"/>
      <c r="AN46" s="96"/>
      <c r="AO46" s="96"/>
      <c r="AP46" s="96"/>
      <c r="AQ46" s="93" t="s">
        <v>1179</v>
      </c>
      <c r="AR46" s="93" t="s">
        <v>1180</v>
      </c>
      <c r="AS46" s="93" t="s">
        <v>1181</v>
      </c>
      <c r="AT46" s="93" t="s">
        <v>1182</v>
      </c>
      <c r="AU46" s="93" t="s">
        <v>1183</v>
      </c>
      <c r="AV46" s="93" t="s">
        <v>84</v>
      </c>
      <c r="AW46" s="93" t="s">
        <v>85</v>
      </c>
      <c r="AX46" s="93" t="s">
        <v>86</v>
      </c>
      <c r="AY46" s="93" t="s">
        <v>1486</v>
      </c>
    </row>
    <row r="47" spans="1:51" ht="16.5" customHeight="1" x14ac:dyDescent="0.2">
      <c r="A47" s="98">
        <f t="shared" si="3"/>
        <v>0</v>
      </c>
      <c r="B47" s="98" t="s">
        <v>706</v>
      </c>
      <c r="C47" s="98" t="s">
        <v>601</v>
      </c>
      <c r="D47" s="98"/>
      <c r="E47" s="98"/>
      <c r="F47" s="98"/>
      <c r="G47" s="98"/>
      <c r="H47" s="98" t="s">
        <v>719</v>
      </c>
      <c r="I47" s="98" t="s">
        <v>708</v>
      </c>
      <c r="J47" s="98" t="b">
        <f t="shared" ref="J47:J79" si="5">$H$8</f>
        <v>1</v>
      </c>
      <c r="K47" s="98" t="b">
        <v>1</v>
      </c>
      <c r="L47" s="98"/>
      <c r="M47" s="98" t="str">
        <f>"'copyMainAndSub'"</f>
        <v>'copyMainAndSub'</v>
      </c>
      <c r="N47" s="98"/>
      <c r="O47" s="98"/>
      <c r="P47" s="98"/>
      <c r="Q47" s="98"/>
      <c r="R47" s="98"/>
      <c r="S47" s="98"/>
      <c r="T47" s="98"/>
      <c r="U47" s="98"/>
      <c r="V47" s="98"/>
      <c r="W47" s="98"/>
      <c r="X47" s="98"/>
      <c r="Y47" s="98"/>
      <c r="Z47" s="98"/>
      <c r="AA47" s="98"/>
      <c r="AB47" s="98"/>
      <c r="AC47" s="98"/>
      <c r="AD47" s="98"/>
      <c r="AE47" s="98"/>
      <c r="AF47" s="98"/>
      <c r="AG47" s="98"/>
      <c r="AH47" s="98"/>
      <c r="AI47" s="98"/>
      <c r="AJ47" s="98"/>
      <c r="AK47" s="98"/>
      <c r="AL47" s="98"/>
      <c r="AM47" s="98"/>
      <c r="AN47" s="98"/>
      <c r="AO47" s="98"/>
      <c r="AP47" s="98"/>
      <c r="AQ47" s="93" t="s">
        <v>718</v>
      </c>
      <c r="AR47" s="93" t="s">
        <v>708</v>
      </c>
    </row>
    <row r="48" spans="1:51" ht="16.5" customHeight="1" x14ac:dyDescent="0.2">
      <c r="A48" s="98">
        <f t="shared" si="3"/>
        <v>0</v>
      </c>
      <c r="B48" s="98" t="s">
        <v>707</v>
      </c>
      <c r="C48" s="98" t="s">
        <v>601</v>
      </c>
      <c r="D48" s="98"/>
      <c r="E48" s="98"/>
      <c r="F48" s="98"/>
      <c r="G48" s="98"/>
      <c r="H48" s="98" t="s">
        <v>721</v>
      </c>
      <c r="I48" s="98" t="s">
        <v>709</v>
      </c>
      <c r="J48" s="98" t="b">
        <f t="shared" si="5"/>
        <v>1</v>
      </c>
      <c r="K48" s="98" t="b">
        <v>1</v>
      </c>
      <c r="L48" s="98"/>
      <c r="M48" s="98" t="str">
        <f>"'insertMainAndSub'"</f>
        <v>'insertMainAndSub'</v>
      </c>
      <c r="N48" s="98"/>
      <c r="O48" s="98"/>
      <c r="P48" s="98"/>
      <c r="Q48" s="98"/>
      <c r="R48" s="98"/>
      <c r="S48" s="98"/>
      <c r="T48" s="98"/>
      <c r="U48" s="98"/>
      <c r="V48" s="98"/>
      <c r="W48" s="98"/>
      <c r="X48" s="98"/>
      <c r="Y48" s="98"/>
      <c r="Z48" s="98"/>
      <c r="AA48" s="98"/>
      <c r="AB48" s="98"/>
      <c r="AC48" s="98"/>
      <c r="AD48" s="98"/>
      <c r="AE48" s="98"/>
      <c r="AF48" s="98"/>
      <c r="AG48" s="98"/>
      <c r="AH48" s="98"/>
      <c r="AI48" s="98"/>
      <c r="AJ48" s="98"/>
      <c r="AK48" s="98"/>
      <c r="AL48" s="98"/>
      <c r="AM48" s="98"/>
      <c r="AN48" s="98"/>
      <c r="AO48" s="98"/>
      <c r="AP48" s="98"/>
      <c r="AQ48" s="93" t="s">
        <v>720</v>
      </c>
      <c r="AR48" s="93" t="s">
        <v>709</v>
      </c>
    </row>
    <row r="49" spans="1:44" ht="16.5" customHeight="1" x14ac:dyDescent="0.2">
      <c r="A49" s="98">
        <f t="shared" si="3"/>
        <v>0</v>
      </c>
      <c r="B49" s="98" t="s">
        <v>745</v>
      </c>
      <c r="C49" s="98" t="s">
        <v>601</v>
      </c>
      <c r="D49" s="98"/>
      <c r="E49" s="98"/>
      <c r="F49" s="98"/>
      <c r="G49" s="98"/>
      <c r="H49" s="98"/>
      <c r="I49" s="98"/>
      <c r="J49" s="98" t="b">
        <f t="shared" si="5"/>
        <v>1</v>
      </c>
      <c r="K49" s="98" t="b">
        <v>1</v>
      </c>
      <c r="L49" s="98"/>
      <c r="M49" s="98"/>
      <c r="N49" s="98"/>
      <c r="O49" s="98"/>
      <c r="P49" s="98"/>
      <c r="Q49" s="98"/>
      <c r="R49" s="98"/>
      <c r="S49" s="98"/>
      <c r="T49" s="98"/>
      <c r="U49" s="98"/>
      <c r="V49" s="98"/>
      <c r="W49" s="98"/>
      <c r="X49" s="98"/>
      <c r="Y49" s="98"/>
      <c r="Z49" s="98"/>
      <c r="AA49" s="98"/>
      <c r="AB49" s="98"/>
      <c r="AC49" s="98"/>
      <c r="AD49" s="98"/>
      <c r="AE49" s="98"/>
      <c r="AF49" s="98"/>
      <c r="AG49" s="98"/>
      <c r="AH49" s="98"/>
      <c r="AI49" s="98"/>
      <c r="AJ49" s="98"/>
      <c r="AK49" s="98"/>
      <c r="AL49" s="98"/>
      <c r="AM49" s="98"/>
      <c r="AN49" s="98"/>
      <c r="AO49" s="98"/>
      <c r="AP49" s="98"/>
    </row>
    <row r="50" spans="1:44" ht="16.5" customHeight="1" x14ac:dyDescent="0.2">
      <c r="A50" s="98">
        <f t="shared" si="3"/>
        <v>0</v>
      </c>
      <c r="B50" s="98" t="s">
        <v>712</v>
      </c>
      <c r="C50" s="98" t="s">
        <v>603</v>
      </c>
      <c r="D50" s="98"/>
      <c r="E50" s="98"/>
      <c r="F50" s="98"/>
      <c r="G50" s="98"/>
      <c r="H50" s="98"/>
      <c r="I50" s="98" t="s">
        <v>713</v>
      </c>
      <c r="J50" s="98" t="b">
        <f t="shared" si="5"/>
        <v>1</v>
      </c>
      <c r="K50" s="98" t="b">
        <v>1</v>
      </c>
      <c r="L50" s="98"/>
      <c r="M50" s="98"/>
      <c r="N50" s="98"/>
      <c r="O50" s="98"/>
      <c r="P50" s="98"/>
      <c r="Q50" s="98"/>
      <c r="R50" s="98"/>
      <c r="S50" s="98"/>
      <c r="T50" s="98"/>
      <c r="U50" s="98"/>
      <c r="V50" s="98"/>
      <c r="W50" s="98"/>
      <c r="X50" s="98"/>
      <c r="Y50" s="98"/>
      <c r="Z50" s="98"/>
      <c r="AA50" s="98"/>
      <c r="AB50" s="98"/>
      <c r="AC50" s="98"/>
      <c r="AD50" s="98"/>
      <c r="AE50" s="98"/>
      <c r="AF50" s="98"/>
      <c r="AG50" s="98"/>
      <c r="AH50" s="98"/>
      <c r="AI50" s="98"/>
      <c r="AJ50" s="98"/>
      <c r="AK50" s="98"/>
      <c r="AL50" s="98"/>
      <c r="AM50" s="98"/>
      <c r="AN50" s="98"/>
      <c r="AO50" s="98"/>
      <c r="AP50" s="98"/>
    </row>
    <row r="51" spans="1:44" ht="16.5" customHeight="1" x14ac:dyDescent="0.2">
      <c r="A51" s="98">
        <f t="shared" si="3"/>
        <v>0</v>
      </c>
      <c r="B51" s="98" t="s">
        <v>746</v>
      </c>
      <c r="C51" s="98" t="s">
        <v>601</v>
      </c>
      <c r="D51" s="98"/>
      <c r="E51" s="98"/>
      <c r="F51" s="98"/>
      <c r="G51" s="98"/>
      <c r="H51" s="98" t="s">
        <v>715</v>
      </c>
      <c r="I51" s="98" t="s">
        <v>750</v>
      </c>
      <c r="J51" s="98" t="b">
        <f t="shared" si="5"/>
        <v>1</v>
      </c>
      <c r="K51" s="98" t="b">
        <v>1</v>
      </c>
      <c r="L51" s="98"/>
      <c r="M51" s="98" t="str">
        <f>"'insertMain'"</f>
        <v>'insertMain'</v>
      </c>
      <c r="N51" s="98"/>
      <c r="O51" s="98"/>
      <c r="P51" s="98"/>
      <c r="Q51" s="98"/>
      <c r="R51" s="98"/>
      <c r="S51" s="98"/>
      <c r="T51" s="98"/>
      <c r="U51" s="98"/>
      <c r="V51" s="98"/>
      <c r="W51" s="98"/>
      <c r="X51" s="98"/>
      <c r="Y51" s="98"/>
      <c r="Z51" s="98"/>
      <c r="AA51" s="98"/>
      <c r="AB51" s="98"/>
      <c r="AC51" s="98"/>
      <c r="AD51" s="98"/>
      <c r="AE51" s="98"/>
      <c r="AF51" s="98"/>
      <c r="AG51" s="98"/>
      <c r="AH51" s="98"/>
      <c r="AI51" s="98"/>
      <c r="AJ51" s="98"/>
      <c r="AK51" s="98"/>
      <c r="AL51" s="98"/>
      <c r="AM51" s="98"/>
      <c r="AN51" s="98"/>
      <c r="AO51" s="98"/>
      <c r="AP51" s="98"/>
      <c r="AQ51" s="93" t="s">
        <v>714</v>
      </c>
      <c r="AR51" s="93" t="s">
        <v>750</v>
      </c>
    </row>
    <row r="52" spans="1:44" ht="16.5" customHeight="1" x14ac:dyDescent="0.2">
      <c r="A52" s="98">
        <f t="shared" si="3"/>
        <v>0</v>
      </c>
      <c r="B52" s="98" t="s">
        <v>747</v>
      </c>
      <c r="C52" s="98" t="s">
        <v>601</v>
      </c>
      <c r="D52" s="98"/>
      <c r="E52" s="98"/>
      <c r="F52" s="98"/>
      <c r="G52" s="98"/>
      <c r="H52" s="98" t="s">
        <v>717</v>
      </c>
      <c r="I52" s="98" t="s">
        <v>751</v>
      </c>
      <c r="J52" s="98" t="b">
        <f t="shared" si="5"/>
        <v>1</v>
      </c>
      <c r="K52" s="98" t="b">
        <v>1</v>
      </c>
      <c r="L52" s="98"/>
      <c r="M52" s="98" t="str">
        <f>"'insertSub'"</f>
        <v>'insertSub'</v>
      </c>
      <c r="N52" s="98"/>
      <c r="O52" s="98"/>
      <c r="P52" s="98"/>
      <c r="Q52" s="98"/>
      <c r="R52" s="98"/>
      <c r="S52" s="98"/>
      <c r="T52" s="98"/>
      <c r="U52" s="98"/>
      <c r="V52" s="98"/>
      <c r="W52" s="98"/>
      <c r="X52" s="98"/>
      <c r="Y52" s="98"/>
      <c r="Z52" s="98"/>
      <c r="AA52" s="98"/>
      <c r="AB52" s="98"/>
      <c r="AC52" s="98"/>
      <c r="AD52" s="98"/>
      <c r="AE52" s="98"/>
      <c r="AF52" s="98"/>
      <c r="AG52" s="98"/>
      <c r="AH52" s="98"/>
      <c r="AI52" s="98"/>
      <c r="AJ52" s="98"/>
      <c r="AK52" s="98"/>
      <c r="AL52" s="98"/>
      <c r="AM52" s="98"/>
      <c r="AN52" s="98"/>
      <c r="AO52" s="98"/>
      <c r="AP52" s="98"/>
      <c r="AQ52" s="93" t="s">
        <v>716</v>
      </c>
      <c r="AR52" s="93" t="s">
        <v>751</v>
      </c>
    </row>
    <row r="53" spans="1:44" ht="16.5" customHeight="1" x14ac:dyDescent="0.2">
      <c r="A53" s="98">
        <f t="shared" si="3"/>
        <v>0</v>
      </c>
      <c r="B53" s="98" t="s">
        <v>748</v>
      </c>
      <c r="C53" s="98" t="s">
        <v>601</v>
      </c>
      <c r="D53" s="98"/>
      <c r="E53" s="98"/>
      <c r="F53" s="98"/>
      <c r="G53" s="98"/>
      <c r="H53" s="98" t="s">
        <v>724</v>
      </c>
      <c r="I53" s="98" t="s">
        <v>823</v>
      </c>
      <c r="J53" s="98" t="b">
        <f t="shared" si="5"/>
        <v>1</v>
      </c>
      <c r="K53" s="98" t="b">
        <v>1</v>
      </c>
      <c r="L53" s="98" t="b">
        <v>1</v>
      </c>
      <c r="M53" s="98" t="str">
        <f>"'freezeUnfreezeRow'"</f>
        <v>'freezeUnfreezeRow'</v>
      </c>
      <c r="N53" s="98"/>
      <c r="O53" s="98"/>
      <c r="P53" s="98"/>
      <c r="Q53" s="98"/>
      <c r="R53" s="98"/>
      <c r="S53" s="98"/>
      <c r="T53" s="98"/>
      <c r="U53" s="98"/>
      <c r="V53" s="98"/>
      <c r="W53" s="98"/>
      <c r="X53" s="98"/>
      <c r="Y53" s="98"/>
      <c r="Z53" s="98"/>
      <c r="AA53" s="98"/>
      <c r="AB53" s="98"/>
      <c r="AC53" s="98"/>
      <c r="AD53" s="98"/>
      <c r="AE53" s="98"/>
      <c r="AF53" s="98"/>
      <c r="AG53" s="98"/>
      <c r="AH53" s="98"/>
      <c r="AI53" s="98"/>
      <c r="AJ53" s="98"/>
      <c r="AK53" s="98"/>
      <c r="AL53" s="98"/>
      <c r="AM53" s="98"/>
      <c r="AN53" s="98"/>
      <c r="AO53" s="98"/>
      <c r="AP53" s="98"/>
      <c r="AQ53" s="93" t="s">
        <v>723</v>
      </c>
      <c r="AR53" s="93" t="s">
        <v>898</v>
      </c>
    </row>
    <row r="54" spans="1:44" ht="16.5" customHeight="1" x14ac:dyDescent="0.2">
      <c r="A54" s="98">
        <f t="shared" si="3"/>
        <v>0</v>
      </c>
      <c r="B54" s="98" t="s">
        <v>749</v>
      </c>
      <c r="C54" s="98" t="s">
        <v>601</v>
      </c>
      <c r="D54" s="98"/>
      <c r="E54" s="98"/>
      <c r="F54" s="98"/>
      <c r="G54" s="98"/>
      <c r="H54" s="98" t="s">
        <v>831</v>
      </c>
      <c r="I54" s="98" t="s">
        <v>752</v>
      </c>
      <c r="J54" s="98" t="b">
        <f t="shared" si="5"/>
        <v>1</v>
      </c>
      <c r="K54" s="98" t="b">
        <v>1</v>
      </c>
      <c r="L54" s="98"/>
      <c r="M54" s="98" t="str">
        <f>"'deleteMainAndSub'"</f>
        <v>'deleteMainAndSub'</v>
      </c>
      <c r="N54" s="98"/>
      <c r="O54" s="98"/>
      <c r="P54" s="98"/>
      <c r="Q54" s="98"/>
      <c r="R54" s="98"/>
      <c r="S54" s="98"/>
      <c r="T54" s="98"/>
      <c r="U54" s="98"/>
      <c r="V54" s="98"/>
      <c r="W54" s="98"/>
      <c r="X54" s="98"/>
      <c r="Y54" s="98"/>
      <c r="Z54" s="98"/>
      <c r="AA54" s="98"/>
      <c r="AB54" s="98"/>
      <c r="AC54" s="98"/>
      <c r="AD54" s="98"/>
      <c r="AE54" s="98"/>
      <c r="AF54" s="98"/>
      <c r="AG54" s="98"/>
      <c r="AH54" s="98"/>
      <c r="AI54" s="98"/>
      <c r="AJ54" s="98"/>
      <c r="AK54" s="98"/>
      <c r="AL54" s="98"/>
      <c r="AM54" s="98"/>
      <c r="AN54" s="98"/>
      <c r="AO54" s="98"/>
      <c r="AP54" s="98"/>
      <c r="AQ54" s="93" t="s">
        <v>722</v>
      </c>
      <c r="AR54" s="93" t="s">
        <v>899</v>
      </c>
    </row>
    <row r="55" spans="1:44" ht="16.5" customHeight="1" x14ac:dyDescent="0.2">
      <c r="A55" s="98">
        <f t="shared" si="3"/>
        <v>0</v>
      </c>
      <c r="B55" s="98" t="s">
        <v>753</v>
      </c>
      <c r="C55" s="98" t="s">
        <v>603</v>
      </c>
      <c r="D55" s="98"/>
      <c r="E55" s="98"/>
      <c r="F55" s="98"/>
      <c r="G55" s="98"/>
      <c r="H55" s="98"/>
      <c r="I55" s="98" t="s">
        <v>757</v>
      </c>
      <c r="J55" s="98" t="b">
        <f t="shared" si="5"/>
        <v>1</v>
      </c>
      <c r="K55" s="98" t="b">
        <v>1</v>
      </c>
      <c r="L55" s="98"/>
      <c r="M55" s="98"/>
      <c r="N55" s="98"/>
      <c r="O55" s="98"/>
      <c r="P55" s="98"/>
      <c r="Q55" s="98"/>
      <c r="R55" s="98"/>
      <c r="S55" s="98"/>
      <c r="T55" s="98"/>
      <c r="U55" s="98"/>
      <c r="V55" s="98"/>
      <c r="W55" s="98"/>
      <c r="X55" s="98"/>
      <c r="Y55" s="98"/>
      <c r="Z55" s="98"/>
      <c r="AA55" s="98"/>
      <c r="AB55" s="98"/>
      <c r="AC55" s="98"/>
      <c r="AD55" s="98"/>
      <c r="AE55" s="98"/>
      <c r="AF55" s="98"/>
      <c r="AG55" s="98"/>
      <c r="AH55" s="98"/>
      <c r="AI55" s="98"/>
      <c r="AJ55" s="98"/>
      <c r="AK55" s="98"/>
      <c r="AL55" s="98"/>
      <c r="AM55" s="98"/>
      <c r="AN55" s="98"/>
      <c r="AO55" s="98"/>
      <c r="AP55" s="98"/>
    </row>
    <row r="56" spans="1:44" ht="16.5" customHeight="1" x14ac:dyDescent="0.2">
      <c r="A56" s="98">
        <f t="shared" si="3"/>
        <v>0</v>
      </c>
      <c r="B56" s="98" t="s">
        <v>754</v>
      </c>
      <c r="C56" s="98" t="s">
        <v>601</v>
      </c>
      <c r="D56" s="98"/>
      <c r="E56" s="98"/>
      <c r="F56" s="98"/>
      <c r="G56" s="98"/>
      <c r="H56" s="98" t="s">
        <v>1467</v>
      </c>
      <c r="I56" s="98" t="s">
        <v>1461</v>
      </c>
      <c r="J56" s="98" t="b">
        <f t="shared" si="5"/>
        <v>1</v>
      </c>
      <c r="K56" s="98" t="b">
        <v>1</v>
      </c>
      <c r="L56" s="98"/>
      <c r="M56" s="98" t="str">
        <f>"'HideUnhideNoglet FALSE'"</f>
        <v>'HideUnhideNoglet FALSE'</v>
      </c>
      <c r="N56" s="98"/>
      <c r="O56" s="98"/>
      <c r="P56" s="98"/>
      <c r="Q56" s="98"/>
      <c r="R56" s="98"/>
      <c r="S56" s="98"/>
      <c r="T56" s="98"/>
      <c r="U56" s="98"/>
      <c r="V56" s="98"/>
      <c r="W56" s="98"/>
      <c r="X56" s="98"/>
      <c r="Y56" s="98"/>
      <c r="Z56" s="98"/>
      <c r="AA56" s="98"/>
      <c r="AB56" s="98"/>
      <c r="AC56" s="98"/>
      <c r="AD56" s="98"/>
      <c r="AE56" s="98"/>
      <c r="AF56" s="98"/>
      <c r="AG56" s="98"/>
      <c r="AH56" s="98"/>
      <c r="AI56" s="98"/>
      <c r="AJ56" s="98"/>
      <c r="AK56" s="98"/>
      <c r="AL56" s="98"/>
      <c r="AM56" s="98"/>
      <c r="AN56" s="98"/>
      <c r="AO56" s="98"/>
      <c r="AP56" s="98"/>
      <c r="AQ56" s="93" t="s">
        <v>1473</v>
      </c>
      <c r="AR56" s="93" t="s">
        <v>1479</v>
      </c>
    </row>
    <row r="57" spans="1:44" ht="16.5" customHeight="1" x14ac:dyDescent="0.2">
      <c r="A57" s="98">
        <f t="shared" si="3"/>
        <v>0</v>
      </c>
      <c r="B57" s="98" t="s">
        <v>755</v>
      </c>
      <c r="C57" s="98" t="s">
        <v>601</v>
      </c>
      <c r="D57" s="98"/>
      <c r="E57" s="98"/>
      <c r="F57" s="98"/>
      <c r="G57" s="98"/>
      <c r="H57" s="98" t="s">
        <v>1468</v>
      </c>
      <c r="I57" s="98" t="s">
        <v>1462</v>
      </c>
      <c r="J57" s="98" t="b">
        <f t="shared" si="5"/>
        <v>1</v>
      </c>
      <c r="K57" s="98" t="b">
        <v>1</v>
      </c>
      <c r="L57" s="98"/>
      <c r="M57" s="98" t="str">
        <f>"'HideUnhideMain FALSE'"</f>
        <v>'HideUnhideMain FALSE'</v>
      </c>
      <c r="N57" s="98"/>
      <c r="O57" s="98"/>
      <c r="P57" s="98"/>
      <c r="Q57" s="98"/>
      <c r="R57" s="98"/>
      <c r="S57" s="98"/>
      <c r="T57" s="98"/>
      <c r="U57" s="98"/>
      <c r="V57" s="98"/>
      <c r="W57" s="98"/>
      <c r="X57" s="98"/>
      <c r="Y57" s="98"/>
      <c r="Z57" s="98"/>
      <c r="AA57" s="98"/>
      <c r="AB57" s="98"/>
      <c r="AC57" s="98"/>
      <c r="AD57" s="98"/>
      <c r="AE57" s="98"/>
      <c r="AF57" s="98"/>
      <c r="AG57" s="98"/>
      <c r="AH57" s="98"/>
      <c r="AI57" s="98"/>
      <c r="AJ57" s="98"/>
      <c r="AK57" s="98"/>
      <c r="AL57" s="98"/>
      <c r="AM57" s="98"/>
      <c r="AN57" s="98"/>
      <c r="AO57" s="98"/>
      <c r="AP57" s="98"/>
      <c r="AQ57" s="93" t="s">
        <v>1474</v>
      </c>
      <c r="AR57" s="93" t="s">
        <v>1480</v>
      </c>
    </row>
    <row r="58" spans="1:44" ht="16.5" customHeight="1" x14ac:dyDescent="0.2">
      <c r="A58" s="98">
        <f t="shared" si="3"/>
        <v>0</v>
      </c>
      <c r="B58" s="98" t="s">
        <v>756</v>
      </c>
      <c r="C58" s="98" t="s">
        <v>601</v>
      </c>
      <c r="D58" s="98"/>
      <c r="E58" s="98"/>
      <c r="F58" s="98"/>
      <c r="G58" s="98"/>
      <c r="H58" s="98" t="s">
        <v>1469</v>
      </c>
      <c r="I58" s="98" t="s">
        <v>1463</v>
      </c>
      <c r="J58" s="98" t="b">
        <f t="shared" si="5"/>
        <v>1</v>
      </c>
      <c r="K58" s="98" t="b">
        <v>1</v>
      </c>
      <c r="L58" s="98"/>
      <c r="M58" s="98" t="str">
        <f>"'HideUnhideSub FALSE'"</f>
        <v>'HideUnhideSub FALSE'</v>
      </c>
      <c r="N58" s="98"/>
      <c r="O58" s="98"/>
      <c r="P58" s="98"/>
      <c r="Q58" s="98"/>
      <c r="R58" s="98"/>
      <c r="S58" s="98"/>
      <c r="T58" s="98"/>
      <c r="U58" s="98"/>
      <c r="V58" s="98"/>
      <c r="W58" s="98"/>
      <c r="X58" s="98"/>
      <c r="Y58" s="98"/>
      <c r="Z58" s="98"/>
      <c r="AA58" s="98"/>
      <c r="AB58" s="98"/>
      <c r="AC58" s="98"/>
      <c r="AD58" s="98"/>
      <c r="AE58" s="98"/>
      <c r="AF58" s="98"/>
      <c r="AG58" s="98"/>
      <c r="AH58" s="98"/>
      <c r="AI58" s="98"/>
      <c r="AJ58" s="98"/>
      <c r="AK58" s="98"/>
      <c r="AL58" s="98"/>
      <c r="AM58" s="98"/>
      <c r="AN58" s="98"/>
      <c r="AO58" s="98"/>
      <c r="AP58" s="98"/>
      <c r="AQ58" s="93" t="s">
        <v>1475</v>
      </c>
      <c r="AR58" s="93" t="s">
        <v>1481</v>
      </c>
    </row>
    <row r="59" spans="1:44" ht="16.5" customHeight="1" x14ac:dyDescent="0.2">
      <c r="A59" s="98">
        <f t="shared" si="3"/>
        <v>0</v>
      </c>
      <c r="B59" s="98" t="s">
        <v>1458</v>
      </c>
      <c r="C59" s="98" t="s">
        <v>601</v>
      </c>
      <c r="D59" s="98"/>
      <c r="E59" s="98"/>
      <c r="F59" s="98"/>
      <c r="G59" s="98"/>
      <c r="H59" s="98" t="s">
        <v>1470</v>
      </c>
      <c r="I59" s="98" t="s">
        <v>1464</v>
      </c>
      <c r="J59" s="98" t="b">
        <f t="shared" si="5"/>
        <v>1</v>
      </c>
      <c r="K59" s="98" t="b">
        <v>1</v>
      </c>
      <c r="L59" s="98"/>
      <c r="M59" s="98" t="str">
        <f>"'HideUnhideNoglet TRUE'"</f>
        <v>'HideUnhideNoglet TRUE'</v>
      </c>
      <c r="N59" s="98"/>
      <c r="O59" s="98"/>
      <c r="P59" s="98"/>
      <c r="Q59" s="98"/>
      <c r="R59" s="98"/>
      <c r="S59" s="98"/>
      <c r="T59" s="98"/>
      <c r="U59" s="98"/>
      <c r="V59" s="98"/>
      <c r="W59" s="98"/>
      <c r="X59" s="98"/>
      <c r="Y59" s="98"/>
      <c r="Z59" s="98"/>
      <c r="AA59" s="98"/>
      <c r="AB59" s="98"/>
      <c r="AC59" s="98"/>
      <c r="AD59" s="98"/>
      <c r="AE59" s="98"/>
      <c r="AF59" s="98"/>
      <c r="AG59" s="98"/>
      <c r="AH59" s="98"/>
      <c r="AI59" s="98"/>
      <c r="AJ59" s="98"/>
      <c r="AK59" s="98"/>
      <c r="AL59" s="98"/>
      <c r="AM59" s="98"/>
      <c r="AN59" s="98"/>
      <c r="AO59" s="98"/>
      <c r="AP59" s="98"/>
      <c r="AQ59" s="93" t="s">
        <v>1476</v>
      </c>
      <c r="AR59" s="93" t="s">
        <v>1482</v>
      </c>
    </row>
    <row r="60" spans="1:44" ht="16.5" customHeight="1" x14ac:dyDescent="0.2">
      <c r="A60" s="98">
        <f t="shared" si="3"/>
        <v>0</v>
      </c>
      <c r="B60" s="98" t="s">
        <v>1459</v>
      </c>
      <c r="C60" s="98" t="s">
        <v>601</v>
      </c>
      <c r="D60" s="98"/>
      <c r="E60" s="98"/>
      <c r="F60" s="98"/>
      <c r="G60" s="98"/>
      <c r="H60" s="98" t="s">
        <v>1471</v>
      </c>
      <c r="I60" s="98" t="s">
        <v>1465</v>
      </c>
      <c r="J60" s="98" t="b">
        <f t="shared" si="5"/>
        <v>1</v>
      </c>
      <c r="K60" s="98" t="b">
        <v>1</v>
      </c>
      <c r="L60" s="98"/>
      <c r="M60" s="98" t="str">
        <f>"'HideUnhideMain TRUE'"</f>
        <v>'HideUnhideMain TRUE'</v>
      </c>
      <c r="N60" s="98"/>
      <c r="O60" s="98"/>
      <c r="P60" s="98"/>
      <c r="Q60" s="98"/>
      <c r="R60" s="98"/>
      <c r="S60" s="98"/>
      <c r="T60" s="98"/>
      <c r="U60" s="98"/>
      <c r="V60" s="98"/>
      <c r="W60" s="98"/>
      <c r="X60" s="98"/>
      <c r="Y60" s="98"/>
      <c r="Z60" s="98"/>
      <c r="AA60" s="98"/>
      <c r="AB60" s="98"/>
      <c r="AC60" s="98"/>
      <c r="AD60" s="98"/>
      <c r="AE60" s="98"/>
      <c r="AF60" s="98"/>
      <c r="AG60" s="98"/>
      <c r="AH60" s="98"/>
      <c r="AI60" s="98"/>
      <c r="AJ60" s="98"/>
      <c r="AK60" s="98"/>
      <c r="AL60" s="98"/>
      <c r="AM60" s="98"/>
      <c r="AN60" s="98"/>
      <c r="AO60" s="98"/>
      <c r="AP60" s="98"/>
      <c r="AQ60" s="93" t="s">
        <v>1477</v>
      </c>
      <c r="AR60" s="93" t="s">
        <v>1483</v>
      </c>
    </row>
    <row r="61" spans="1:44" ht="16.5" customHeight="1" x14ac:dyDescent="0.2">
      <c r="A61" s="98">
        <f t="shared" si="3"/>
        <v>0</v>
      </c>
      <c r="B61" s="98" t="s">
        <v>1460</v>
      </c>
      <c r="C61" s="98" t="s">
        <v>601</v>
      </c>
      <c r="D61" s="98"/>
      <c r="E61" s="98"/>
      <c r="F61" s="98"/>
      <c r="G61" s="98"/>
      <c r="H61" s="98" t="s">
        <v>1472</v>
      </c>
      <c r="I61" s="98" t="s">
        <v>1466</v>
      </c>
      <c r="J61" s="98" t="b">
        <f t="shared" si="5"/>
        <v>1</v>
      </c>
      <c r="K61" s="98" t="b">
        <v>1</v>
      </c>
      <c r="L61" s="98"/>
      <c r="M61" s="98" t="str">
        <f>"'HideUnhideSub TRUE'"</f>
        <v>'HideUnhideSub TRUE'</v>
      </c>
      <c r="N61" s="98"/>
      <c r="O61" s="98"/>
      <c r="P61" s="98"/>
      <c r="Q61" s="98"/>
      <c r="R61" s="98"/>
      <c r="S61" s="98"/>
      <c r="T61" s="98"/>
      <c r="U61" s="98"/>
      <c r="V61" s="98"/>
      <c r="W61" s="98"/>
      <c r="X61" s="98"/>
      <c r="Y61" s="98"/>
      <c r="Z61" s="98"/>
      <c r="AA61" s="98"/>
      <c r="AB61" s="98"/>
      <c r="AC61" s="98"/>
      <c r="AD61" s="98"/>
      <c r="AE61" s="98"/>
      <c r="AF61" s="98"/>
      <c r="AG61" s="98"/>
      <c r="AH61" s="98"/>
      <c r="AI61" s="98"/>
      <c r="AJ61" s="98"/>
      <c r="AK61" s="98"/>
      <c r="AL61" s="98"/>
      <c r="AM61" s="98"/>
      <c r="AN61" s="98"/>
      <c r="AO61" s="98"/>
      <c r="AP61" s="98"/>
      <c r="AQ61" s="93" t="s">
        <v>1478</v>
      </c>
      <c r="AR61" s="93" t="s">
        <v>1466</v>
      </c>
    </row>
    <row r="62" spans="1:44" ht="16.5" customHeight="1" x14ac:dyDescent="0.2">
      <c r="A62" s="98">
        <f t="shared" si="3"/>
        <v>0</v>
      </c>
      <c r="B62" s="98" t="s">
        <v>758</v>
      </c>
      <c r="C62" s="98" t="s">
        <v>603</v>
      </c>
      <c r="D62" s="98"/>
      <c r="E62" s="98"/>
      <c r="F62" s="98"/>
      <c r="G62" s="98"/>
      <c r="H62" s="98"/>
      <c r="I62" s="98" t="s">
        <v>1625</v>
      </c>
      <c r="J62" s="98" t="b">
        <f t="shared" si="5"/>
        <v>1</v>
      </c>
      <c r="K62" s="98" t="b">
        <v>1</v>
      </c>
      <c r="L62" s="98"/>
      <c r="M62" s="98"/>
      <c r="N62" s="98"/>
      <c r="O62" s="98"/>
      <c r="P62" s="98"/>
      <c r="Q62" s="98"/>
      <c r="R62" s="98"/>
      <c r="S62" s="98"/>
      <c r="T62" s="98"/>
      <c r="U62" s="98"/>
      <c r="V62" s="98"/>
      <c r="W62" s="98"/>
      <c r="X62" s="98"/>
      <c r="Y62" s="98"/>
      <c r="Z62" s="98"/>
      <c r="AA62" s="98"/>
      <c r="AB62" s="98"/>
      <c r="AC62" s="98"/>
      <c r="AD62" s="98"/>
      <c r="AE62" s="98"/>
      <c r="AF62" s="98"/>
      <c r="AG62" s="98"/>
      <c r="AH62" s="98"/>
      <c r="AI62" s="98"/>
      <c r="AJ62" s="98"/>
      <c r="AK62" s="98"/>
      <c r="AL62" s="98"/>
      <c r="AM62" s="98"/>
      <c r="AN62" s="98"/>
      <c r="AO62" s="98"/>
      <c r="AP62" s="98"/>
    </row>
    <row r="63" spans="1:44" ht="16.5" customHeight="1" x14ac:dyDescent="0.2">
      <c r="A63" s="98">
        <f t="shared" si="3"/>
        <v>0</v>
      </c>
      <c r="B63" s="98" t="s">
        <v>761</v>
      </c>
      <c r="C63" s="98" t="s">
        <v>601</v>
      </c>
      <c r="D63" s="98"/>
      <c r="E63" s="98"/>
      <c r="F63" s="98"/>
      <c r="G63" s="98"/>
      <c r="H63" s="98" t="s">
        <v>830</v>
      </c>
      <c r="I63" s="98" t="s">
        <v>1563</v>
      </c>
      <c r="J63" s="98" t="b">
        <f t="shared" si="5"/>
        <v>1</v>
      </c>
      <c r="K63" s="98" t="b">
        <v>1</v>
      </c>
      <c r="L63" s="98"/>
      <c r="M63" s="98" t="str">
        <f>"'resetCalculationSheets TRUE , "&amp;NOT(L75)&amp;"'"</f>
        <v>'resetCalculationSheets TRUE , FALSK'</v>
      </c>
      <c r="N63" s="98"/>
      <c r="O63" s="98"/>
      <c r="P63" s="98"/>
      <c r="Q63" s="98"/>
      <c r="R63" s="98"/>
      <c r="S63" s="98"/>
      <c r="T63" s="98"/>
      <c r="U63" s="98"/>
      <c r="V63" s="98"/>
      <c r="W63" s="98"/>
      <c r="X63" s="98"/>
      <c r="Y63" s="98"/>
      <c r="Z63" s="98"/>
      <c r="AA63" s="98"/>
      <c r="AB63" s="98"/>
      <c r="AC63" s="98"/>
      <c r="AD63" s="98"/>
      <c r="AE63" s="98"/>
      <c r="AF63" s="98"/>
      <c r="AG63" s="98"/>
      <c r="AH63" s="98"/>
      <c r="AI63" s="98"/>
      <c r="AJ63" s="98"/>
      <c r="AK63" s="98"/>
      <c r="AL63" s="98"/>
      <c r="AM63" s="98"/>
      <c r="AN63" s="98"/>
      <c r="AO63" s="98"/>
      <c r="AP63" s="98"/>
      <c r="AQ63" s="93" t="s">
        <v>1564</v>
      </c>
      <c r="AR63" s="93" t="s">
        <v>1565</v>
      </c>
    </row>
    <row r="64" spans="1:44" ht="16.5" customHeight="1" x14ac:dyDescent="0.2">
      <c r="A64" s="98">
        <f t="shared" si="3"/>
        <v>0</v>
      </c>
      <c r="B64" s="98" t="s">
        <v>760</v>
      </c>
      <c r="C64" s="98" t="s">
        <v>601</v>
      </c>
      <c r="D64" s="98"/>
      <c r="E64" s="98"/>
      <c r="F64" s="98"/>
      <c r="G64" s="98"/>
      <c r="H64" s="98" t="s">
        <v>1629</v>
      </c>
      <c r="I64" s="98" t="s">
        <v>824</v>
      </c>
      <c r="J64" s="98" t="b">
        <f t="shared" si="5"/>
        <v>1</v>
      </c>
      <c r="K64" s="98" t="b">
        <v>1</v>
      </c>
      <c r="L64" s="98"/>
      <c r="M64" s="98" t="str">
        <f>"'checkVersion'"</f>
        <v>'checkVersion'</v>
      </c>
      <c r="N64" s="98"/>
      <c r="O64" s="98"/>
      <c r="P64" s="98"/>
      <c r="Q64" s="98"/>
      <c r="R64" s="98"/>
      <c r="S64" s="98"/>
      <c r="T64" s="98"/>
      <c r="U64" s="98"/>
      <c r="V64" s="98"/>
      <c r="W64" s="98"/>
      <c r="X64" s="98"/>
      <c r="Y64" s="98"/>
      <c r="Z64" s="98"/>
      <c r="AA64" s="98"/>
      <c r="AB64" s="98"/>
      <c r="AC64" s="98"/>
      <c r="AD64" s="98"/>
      <c r="AE64" s="98"/>
      <c r="AF64" s="98"/>
      <c r="AG64" s="98"/>
      <c r="AH64" s="98"/>
      <c r="AI64" s="98"/>
      <c r="AJ64" s="98"/>
      <c r="AK64" s="98"/>
      <c r="AL64" s="98"/>
      <c r="AM64" s="98"/>
      <c r="AN64" s="98"/>
      <c r="AO64" s="98"/>
      <c r="AP64" s="98"/>
      <c r="AQ64" s="93" t="s">
        <v>736</v>
      </c>
      <c r="AR64" s="93" t="s">
        <v>897</v>
      </c>
    </row>
    <row r="65" spans="1:44" ht="16.5" customHeight="1" x14ac:dyDescent="0.2">
      <c r="A65" s="98">
        <f t="shared" si="3"/>
        <v>0</v>
      </c>
      <c r="B65" s="98" t="s">
        <v>759</v>
      </c>
      <c r="C65" s="98" t="s">
        <v>601</v>
      </c>
      <c r="D65" s="98"/>
      <c r="E65" s="98"/>
      <c r="F65" s="98"/>
      <c r="G65" s="98"/>
      <c r="H65" s="98" t="s">
        <v>735</v>
      </c>
      <c r="I65" s="98" t="s">
        <v>734</v>
      </c>
      <c r="J65" s="98" t="b">
        <f t="shared" si="5"/>
        <v>1</v>
      </c>
      <c r="K65" s="98" t="b">
        <v>1</v>
      </c>
      <c r="L65" s="98" t="b">
        <v>0</v>
      </c>
      <c r="M65" s="98" t="str">
        <f>"'lastBackup ""LastBkp""'"</f>
        <v>'lastBackup "LastBkp"'</v>
      </c>
      <c r="N65" s="98"/>
      <c r="O65" s="98"/>
      <c r="P65" s="98"/>
      <c r="Q65" s="98"/>
      <c r="R65" s="98"/>
      <c r="S65" s="98"/>
      <c r="T65" s="98"/>
      <c r="U65" s="98"/>
      <c r="V65" s="98"/>
      <c r="W65" s="98"/>
      <c r="X65" s="98"/>
      <c r="Y65" s="98"/>
      <c r="Z65" s="98"/>
      <c r="AA65" s="98"/>
      <c r="AB65" s="98"/>
      <c r="AC65" s="98"/>
      <c r="AD65" s="98"/>
      <c r="AE65" s="98"/>
      <c r="AF65" s="98"/>
      <c r="AG65" s="98"/>
      <c r="AH65" s="98"/>
      <c r="AI65" s="98"/>
      <c r="AJ65" s="98"/>
      <c r="AK65" s="98"/>
      <c r="AL65" s="98"/>
      <c r="AM65" s="98"/>
      <c r="AN65" s="98"/>
      <c r="AO65" s="98"/>
      <c r="AP65" s="98"/>
      <c r="AQ65" s="93" t="s">
        <v>1591</v>
      </c>
      <c r="AR65" s="93" t="s">
        <v>734</v>
      </c>
    </row>
    <row r="66" spans="1:44" ht="16.5" customHeight="1" x14ac:dyDescent="0.2">
      <c r="A66" s="108">
        <f t="shared" si="3"/>
        <v>0</v>
      </c>
      <c r="B66" s="98" t="s">
        <v>765</v>
      </c>
      <c r="C66" s="98" t="s">
        <v>603</v>
      </c>
      <c r="D66" s="98"/>
      <c r="E66" s="98"/>
      <c r="F66" s="98"/>
      <c r="G66" s="98"/>
      <c r="H66" s="98"/>
      <c r="I66" s="98" t="s">
        <v>1270</v>
      </c>
      <c r="J66" s="98" t="b">
        <v>0</v>
      </c>
      <c r="K66" s="98" t="b">
        <v>1</v>
      </c>
      <c r="L66" s="98" t="b">
        <v>0</v>
      </c>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row>
    <row r="67" spans="1:44" ht="16.5" customHeight="1" x14ac:dyDescent="0.2">
      <c r="A67" s="108">
        <f t="shared" si="3"/>
        <v>0</v>
      </c>
      <c r="B67" s="98" t="s">
        <v>762</v>
      </c>
      <c r="C67" s="98" t="s">
        <v>601</v>
      </c>
      <c r="D67" s="98"/>
      <c r="E67" s="98"/>
      <c r="F67" s="98"/>
      <c r="G67" s="98"/>
      <c r="H67" s="98" t="s">
        <v>743</v>
      </c>
      <c r="I67" s="98" t="s">
        <v>1271</v>
      </c>
      <c r="J67" s="98" t="b">
        <v>0</v>
      </c>
      <c r="K67" s="98" t="b">
        <v>1</v>
      </c>
      <c r="L67" s="98"/>
      <c r="M67" s="98"/>
      <c r="N67" s="98"/>
      <c r="O67" s="98"/>
      <c r="P67" s="98"/>
      <c r="Q67" s="98"/>
      <c r="R67" s="98"/>
      <c r="S67" s="98"/>
      <c r="T67" s="98"/>
      <c r="U67" s="98"/>
      <c r="V67" s="98"/>
      <c r="W67" s="98"/>
      <c r="X67" s="98"/>
      <c r="Y67" s="98"/>
      <c r="Z67" s="98"/>
      <c r="AA67" s="98"/>
      <c r="AB67" s="98"/>
      <c r="AC67" s="98"/>
      <c r="AD67" s="98"/>
      <c r="AE67" s="98"/>
      <c r="AF67" s="98"/>
      <c r="AG67" s="98"/>
      <c r="AH67" s="98"/>
      <c r="AI67" s="98"/>
      <c r="AJ67" s="98"/>
      <c r="AK67" s="98"/>
      <c r="AL67" s="98"/>
      <c r="AM67" s="98"/>
      <c r="AN67" s="98"/>
      <c r="AO67" s="98"/>
      <c r="AP67" s="98"/>
      <c r="AQ67" s="93" t="s">
        <v>742</v>
      </c>
      <c r="AR67" s="93" t="s">
        <v>766</v>
      </c>
    </row>
    <row r="68" spans="1:44" ht="16.5" customHeight="1" x14ac:dyDescent="0.2">
      <c r="A68" s="108">
        <f t="shared" si="3"/>
        <v>0</v>
      </c>
      <c r="B68" s="98" t="s">
        <v>763</v>
      </c>
      <c r="C68" s="98" t="s">
        <v>601</v>
      </c>
      <c r="D68" s="98"/>
      <c r="E68" s="98"/>
      <c r="F68" s="98"/>
      <c r="G68" s="98"/>
      <c r="H68" s="98" t="s">
        <v>739</v>
      </c>
      <c r="I68" s="98" t="s">
        <v>737</v>
      </c>
      <c r="J68" s="98" t="b">
        <v>0</v>
      </c>
      <c r="K68" s="98" t="b">
        <v>1</v>
      </c>
      <c r="L68" s="98"/>
      <c r="M68" s="98"/>
      <c r="N68" s="98"/>
      <c r="O68" s="98"/>
      <c r="P68" s="98"/>
      <c r="Q68" s="98"/>
      <c r="R68" s="98"/>
      <c r="S68" s="98"/>
      <c r="T68" s="98"/>
      <c r="U68" s="98"/>
      <c r="V68" s="98"/>
      <c r="W68" s="98"/>
      <c r="X68" s="98"/>
      <c r="Y68" s="98"/>
      <c r="Z68" s="98"/>
      <c r="AA68" s="98"/>
      <c r="AB68" s="98"/>
      <c r="AC68" s="98"/>
      <c r="AD68" s="98"/>
      <c r="AE68" s="98"/>
      <c r="AF68" s="98"/>
      <c r="AG68" s="98"/>
      <c r="AH68" s="98"/>
      <c r="AI68" s="98"/>
      <c r="AJ68" s="98"/>
      <c r="AK68" s="98"/>
      <c r="AL68" s="98"/>
      <c r="AM68" s="98"/>
      <c r="AN68" s="98"/>
      <c r="AO68" s="98"/>
      <c r="AP68" s="98"/>
      <c r="AQ68" s="93" t="s">
        <v>738</v>
      </c>
      <c r="AR68" s="93" t="s">
        <v>737</v>
      </c>
    </row>
    <row r="69" spans="1:44" ht="16.5" customHeight="1" x14ac:dyDescent="0.2">
      <c r="A69" s="108">
        <f t="shared" si="3"/>
        <v>0</v>
      </c>
      <c r="B69" s="98" t="s">
        <v>764</v>
      </c>
      <c r="C69" s="98" t="s">
        <v>601</v>
      </c>
      <c r="D69" s="98"/>
      <c r="E69" s="98"/>
      <c r="F69" s="98"/>
      <c r="G69" s="98"/>
      <c r="H69" s="98" t="s">
        <v>741</v>
      </c>
      <c r="I69" s="98" t="s">
        <v>1272</v>
      </c>
      <c r="J69" s="98" t="b">
        <v>0</v>
      </c>
      <c r="K69" s="98" t="b">
        <v>1</v>
      </c>
      <c r="L69" s="98"/>
      <c r="M69" s="98"/>
      <c r="N69" s="98"/>
      <c r="O69" s="98"/>
      <c r="P69" s="98"/>
      <c r="Q69" s="98"/>
      <c r="R69" s="98"/>
      <c r="S69" s="98"/>
      <c r="T69" s="98"/>
      <c r="U69" s="98"/>
      <c r="V69" s="98"/>
      <c r="W69" s="98"/>
      <c r="X69" s="98"/>
      <c r="Y69" s="98"/>
      <c r="Z69" s="98"/>
      <c r="AA69" s="98"/>
      <c r="AB69" s="98"/>
      <c r="AC69" s="98"/>
      <c r="AD69" s="98"/>
      <c r="AE69" s="98"/>
      <c r="AF69" s="98"/>
      <c r="AG69" s="98"/>
      <c r="AH69" s="98"/>
      <c r="AI69" s="98"/>
      <c r="AJ69" s="98"/>
      <c r="AK69" s="98"/>
      <c r="AL69" s="98"/>
      <c r="AM69" s="98"/>
      <c r="AN69" s="98"/>
      <c r="AO69" s="98"/>
      <c r="AP69" s="98"/>
      <c r="AQ69" s="93" t="s">
        <v>740</v>
      </c>
      <c r="AR69" s="93" t="s">
        <v>740</v>
      </c>
    </row>
    <row r="70" spans="1:44" ht="16.5" customHeight="1" x14ac:dyDescent="0.2">
      <c r="A70" s="98">
        <f t="shared" si="3"/>
        <v>0</v>
      </c>
      <c r="B70" s="98" t="s">
        <v>767</v>
      </c>
      <c r="C70" s="98" t="s">
        <v>603</v>
      </c>
      <c r="D70" s="98"/>
      <c r="E70" s="98"/>
      <c r="F70" s="98"/>
      <c r="G70" s="98"/>
      <c r="H70" s="98"/>
      <c r="I70" s="98" t="s">
        <v>822</v>
      </c>
      <c r="J70" s="98" t="b">
        <v>1</v>
      </c>
      <c r="K70" s="98" t="b">
        <v>1</v>
      </c>
      <c r="L70" s="98" t="b">
        <v>1</v>
      </c>
      <c r="M70" s="98"/>
      <c r="N70" s="98"/>
      <c r="O70" s="98"/>
      <c r="P70" s="98"/>
      <c r="Q70" s="98"/>
      <c r="R70" s="98"/>
      <c r="S70" s="98"/>
      <c r="T70" s="98"/>
      <c r="U70" s="98"/>
      <c r="V70" s="98"/>
      <c r="W70" s="98"/>
      <c r="X70" s="98"/>
      <c r="Y70" s="98"/>
      <c r="Z70" s="98"/>
      <c r="AA70" s="98"/>
      <c r="AB70" s="98"/>
      <c r="AC70" s="98"/>
      <c r="AD70" s="98"/>
      <c r="AE70" s="98"/>
      <c r="AF70" s="98"/>
      <c r="AG70" s="98"/>
      <c r="AH70" s="98"/>
      <c r="AI70" s="98"/>
      <c r="AJ70" s="98"/>
      <c r="AK70" s="98"/>
      <c r="AL70" s="98"/>
      <c r="AM70" s="98"/>
      <c r="AN70" s="98"/>
      <c r="AO70" s="98"/>
      <c r="AP70" s="98"/>
    </row>
    <row r="71" spans="1:44" ht="16.5" customHeight="1" x14ac:dyDescent="0.2">
      <c r="A71" s="108">
        <f t="shared" si="3"/>
        <v>0</v>
      </c>
      <c r="B71" s="98" t="s">
        <v>769</v>
      </c>
      <c r="C71" s="98" t="s">
        <v>601</v>
      </c>
      <c r="D71" s="98"/>
      <c r="E71" s="98"/>
      <c r="F71" s="98"/>
      <c r="G71" s="98"/>
      <c r="H71" s="98" t="s">
        <v>727</v>
      </c>
      <c r="I71" s="98" t="s">
        <v>725</v>
      </c>
      <c r="J71" s="98" t="b">
        <v>0</v>
      </c>
      <c r="K71" s="98" t="b">
        <v>1</v>
      </c>
      <c r="L71" s="98"/>
      <c r="M71" s="98" t="str">
        <f>"'importModel'"</f>
        <v>'importModel'</v>
      </c>
      <c r="N71" s="98"/>
      <c r="O71" s="98"/>
      <c r="P71" s="98"/>
      <c r="Q71" s="98"/>
      <c r="R71" s="98"/>
      <c r="S71" s="98"/>
      <c r="T71" s="98"/>
      <c r="U71" s="98"/>
      <c r="V71" s="98"/>
      <c r="W71" s="98"/>
      <c r="X71" s="98"/>
      <c r="Y71" s="98"/>
      <c r="Z71" s="98"/>
      <c r="AA71" s="98"/>
      <c r="AB71" s="98"/>
      <c r="AC71" s="98"/>
      <c r="AD71" s="98"/>
      <c r="AE71" s="98"/>
      <c r="AF71" s="98"/>
      <c r="AG71" s="98"/>
      <c r="AH71" s="98"/>
      <c r="AI71" s="98"/>
      <c r="AJ71" s="98"/>
      <c r="AK71" s="98"/>
      <c r="AL71" s="98"/>
      <c r="AM71" s="98"/>
      <c r="AN71" s="98"/>
      <c r="AO71" s="98"/>
      <c r="AP71" s="98"/>
      <c r="AQ71" s="93" t="s">
        <v>726</v>
      </c>
      <c r="AR71" s="93" t="s">
        <v>725</v>
      </c>
    </row>
    <row r="72" spans="1:44" ht="16.5" customHeight="1" x14ac:dyDescent="0.2">
      <c r="A72" s="98">
        <f t="shared" si="3"/>
        <v>0</v>
      </c>
      <c r="B72" s="98" t="s">
        <v>768</v>
      </c>
      <c r="C72" s="98" t="s">
        <v>601</v>
      </c>
      <c r="D72" s="98"/>
      <c r="E72" s="98"/>
      <c r="F72" s="98"/>
      <c r="G72" s="98"/>
      <c r="H72" s="98" t="s">
        <v>730</v>
      </c>
      <c r="I72" s="98" t="s">
        <v>728</v>
      </c>
      <c r="J72" s="98" t="b">
        <v>1</v>
      </c>
      <c r="K72" s="98" t="b">
        <v>1</v>
      </c>
      <c r="L72" s="98"/>
      <c r="M72" s="98" t="str">
        <f>"'exportModel'"</f>
        <v>'exportModel'</v>
      </c>
      <c r="N72" s="98"/>
      <c r="O72" s="98"/>
      <c r="P72" s="98"/>
      <c r="Q72" s="98"/>
      <c r="R72" s="98"/>
      <c r="S72" s="98"/>
      <c r="T72" s="98"/>
      <c r="U72" s="98"/>
      <c r="V72" s="98"/>
      <c r="W72" s="98"/>
      <c r="X72" s="98"/>
      <c r="Y72" s="98"/>
      <c r="Z72" s="98"/>
      <c r="AA72" s="98"/>
      <c r="AB72" s="98"/>
      <c r="AC72" s="98"/>
      <c r="AD72" s="98"/>
      <c r="AE72" s="98"/>
      <c r="AF72" s="98"/>
      <c r="AG72" s="98"/>
      <c r="AH72" s="98"/>
      <c r="AI72" s="98"/>
      <c r="AJ72" s="98"/>
      <c r="AK72" s="98"/>
      <c r="AL72" s="98"/>
      <c r="AM72" s="98"/>
      <c r="AN72" s="98"/>
      <c r="AO72" s="98"/>
      <c r="AP72" s="98"/>
      <c r="AQ72" s="93" t="s">
        <v>729</v>
      </c>
      <c r="AR72" s="93" t="s">
        <v>728</v>
      </c>
    </row>
    <row r="73" spans="1:44" ht="16.5" customHeight="1" x14ac:dyDescent="0.2">
      <c r="A73" s="108">
        <f t="shared" si="3"/>
        <v>0</v>
      </c>
      <c r="B73" s="98" t="s">
        <v>770</v>
      </c>
      <c r="C73" s="98" t="s">
        <v>601</v>
      </c>
      <c r="D73" s="98"/>
      <c r="E73" s="98"/>
      <c r="F73" s="98"/>
      <c r="G73" s="98"/>
      <c r="H73" s="98" t="s">
        <v>733</v>
      </c>
      <c r="I73" s="98" t="s">
        <v>731</v>
      </c>
      <c r="J73" s="98" t="b">
        <v>0</v>
      </c>
      <c r="K73" s="98" t="b">
        <v>1</v>
      </c>
      <c r="L73" s="98"/>
      <c r="M73" s="98"/>
      <c r="N73" s="98"/>
      <c r="O73" s="98"/>
      <c r="P73" s="98"/>
      <c r="Q73" s="98"/>
      <c r="R73" s="98"/>
      <c r="S73" s="98"/>
      <c r="T73" s="98"/>
      <c r="U73" s="98"/>
      <c r="V73" s="98"/>
      <c r="W73" s="98"/>
      <c r="X73" s="98"/>
      <c r="Y73" s="98"/>
      <c r="Z73" s="98"/>
      <c r="AA73" s="98"/>
      <c r="AB73" s="98"/>
      <c r="AC73" s="98"/>
      <c r="AD73" s="98"/>
      <c r="AE73" s="98"/>
      <c r="AF73" s="98"/>
      <c r="AG73" s="98"/>
      <c r="AH73" s="98"/>
      <c r="AI73" s="98"/>
      <c r="AJ73" s="98"/>
      <c r="AK73" s="98"/>
      <c r="AL73" s="98"/>
      <c r="AM73" s="98"/>
      <c r="AN73" s="98"/>
      <c r="AO73" s="98"/>
      <c r="AP73" s="98"/>
      <c r="AQ73" s="93" t="s">
        <v>732</v>
      </c>
      <c r="AR73" s="93" t="s">
        <v>731</v>
      </c>
    </row>
    <row r="74" spans="1:44" ht="16.5" customHeight="1" x14ac:dyDescent="0.2">
      <c r="A74" s="98">
        <f t="shared" si="3"/>
        <v>0</v>
      </c>
      <c r="B74" s="98" t="s">
        <v>771</v>
      </c>
      <c r="C74" s="98" t="s">
        <v>603</v>
      </c>
      <c r="D74" s="98"/>
      <c r="E74" s="98"/>
      <c r="F74" s="98"/>
      <c r="G74" s="98"/>
      <c r="H74" s="98"/>
      <c r="I74" s="98" t="s">
        <v>772</v>
      </c>
      <c r="J74" s="98" t="b">
        <f t="shared" si="5"/>
        <v>1</v>
      </c>
      <c r="K74" s="98" t="b">
        <v>1</v>
      </c>
      <c r="L74" s="98"/>
      <c r="M74" s="98"/>
      <c r="N74" s="98"/>
      <c r="O74" s="98"/>
      <c r="P74" s="98"/>
      <c r="Q74" s="98"/>
      <c r="R74" s="98"/>
      <c r="S74" s="98"/>
      <c r="T74" s="98"/>
      <c r="U74" s="98"/>
      <c r="V74" s="98"/>
      <c r="W74" s="98"/>
      <c r="X74" s="98"/>
      <c r="Y74" s="98"/>
      <c r="Z74" s="98"/>
      <c r="AA74" s="98"/>
      <c r="AB74" s="98"/>
      <c r="AC74" s="98"/>
      <c r="AD74" s="98"/>
      <c r="AE74" s="98"/>
      <c r="AF74" s="98"/>
      <c r="AG74" s="98"/>
      <c r="AH74" s="98"/>
      <c r="AI74" s="98"/>
      <c r="AJ74" s="98"/>
      <c r="AK74" s="98"/>
      <c r="AL74" s="98"/>
      <c r="AM74" s="98"/>
      <c r="AN74" s="98"/>
      <c r="AO74" s="98"/>
      <c r="AP74" s="98"/>
    </row>
    <row r="75" spans="1:44" ht="16.5" customHeight="1" x14ac:dyDescent="0.2">
      <c r="A75" s="98">
        <f t="shared" si="3"/>
        <v>0</v>
      </c>
      <c r="B75" s="98" t="s">
        <v>1257</v>
      </c>
      <c r="C75" s="98" t="s">
        <v>601</v>
      </c>
      <c r="D75" s="98"/>
      <c r="E75" s="98"/>
      <c r="F75" s="98"/>
      <c r="G75" s="98"/>
      <c r="H75" s="98" t="s">
        <v>744</v>
      </c>
      <c r="I75" s="98" t="s">
        <v>1206</v>
      </c>
      <c r="J75" s="98" t="b">
        <f t="shared" si="5"/>
        <v>1</v>
      </c>
      <c r="K75" s="98" t="b">
        <v>1</v>
      </c>
      <c r="L75" s="98" t="b">
        <v>1</v>
      </c>
      <c r="M75" s="98" t="str">
        <f>"'protectXBtn "&amp;L75&amp;", """&amp;B75&amp;"""'"</f>
        <v>'protectXBtn SAND, "BCMTab1G6Btn1"'</v>
      </c>
      <c r="N75" s="98"/>
      <c r="O75" s="98"/>
      <c r="P75" s="98"/>
      <c r="Q75" s="98"/>
      <c r="R75" s="98"/>
      <c r="S75" s="98"/>
      <c r="T75" s="98"/>
      <c r="U75" s="98"/>
      <c r="V75" s="98"/>
      <c r="W75" s="98"/>
      <c r="X75" s="98"/>
      <c r="Y75" s="98"/>
      <c r="Z75" s="98"/>
      <c r="AA75" s="98"/>
      <c r="AB75" s="98"/>
      <c r="AC75" s="98"/>
      <c r="AD75" s="98"/>
      <c r="AE75" s="98"/>
      <c r="AF75" s="98"/>
      <c r="AG75" s="98"/>
      <c r="AH75" s="98"/>
      <c r="AI75" s="98"/>
      <c r="AJ75" s="98"/>
      <c r="AK75" s="98"/>
      <c r="AL75" s="98"/>
      <c r="AM75" s="98"/>
      <c r="AN75" s="98"/>
      <c r="AO75" s="98"/>
      <c r="AP75" s="98"/>
      <c r="AQ75" s="93" t="s">
        <v>945</v>
      </c>
      <c r="AR75" s="93" t="s">
        <v>946</v>
      </c>
    </row>
    <row r="76" spans="1:44" ht="16.5" customHeight="1" x14ac:dyDescent="0.2">
      <c r="A76" s="98">
        <f t="shared" si="3"/>
        <v>0</v>
      </c>
      <c r="B76" s="98" t="s">
        <v>895</v>
      </c>
      <c r="C76" s="98" t="s">
        <v>601</v>
      </c>
      <c r="D76" s="98"/>
      <c r="E76" s="98"/>
      <c r="F76" s="98"/>
      <c r="G76" s="98"/>
      <c r="H76" s="98" t="s">
        <v>856</v>
      </c>
      <c r="I76" s="98" t="s">
        <v>1273</v>
      </c>
      <c r="J76" s="98" t="b">
        <f t="shared" si="5"/>
        <v>1</v>
      </c>
      <c r="K76" s="98" t="b">
        <f>NOT(L75)</f>
        <v>0</v>
      </c>
      <c r="L76" s="98"/>
      <c r="M76" s="98" t="str">
        <f>"'startModel'"</f>
        <v>'startModel'</v>
      </c>
      <c r="N76" s="98"/>
      <c r="O76" s="98"/>
      <c r="P76" s="98"/>
      <c r="Q76" s="98"/>
      <c r="R76" s="98"/>
      <c r="S76" s="98"/>
      <c r="T76" s="98"/>
      <c r="U76" s="98"/>
      <c r="V76" s="98"/>
      <c r="W76" s="98"/>
      <c r="X76" s="98"/>
      <c r="Y76" s="98"/>
      <c r="Z76" s="98"/>
      <c r="AA76" s="98"/>
      <c r="AB76" s="98"/>
      <c r="AC76" s="98"/>
      <c r="AD76" s="98"/>
      <c r="AE76" s="98"/>
      <c r="AF76" s="98"/>
      <c r="AG76" s="98"/>
      <c r="AH76" s="98"/>
      <c r="AI76" s="98"/>
      <c r="AJ76" s="98"/>
      <c r="AK76" s="98"/>
      <c r="AL76" s="98"/>
      <c r="AM76" s="98"/>
      <c r="AN76" s="98"/>
      <c r="AO76" s="98"/>
      <c r="AP76" s="98"/>
      <c r="AQ76" s="93" t="s">
        <v>896</v>
      </c>
      <c r="AR76" s="93" t="s">
        <v>896</v>
      </c>
    </row>
    <row r="77" spans="1:44" ht="16.5" customHeight="1" x14ac:dyDescent="0.2">
      <c r="A77" s="98">
        <f t="shared" si="3"/>
        <v>0</v>
      </c>
      <c r="B77" s="98" t="s">
        <v>944</v>
      </c>
      <c r="C77" s="98" t="s">
        <v>601</v>
      </c>
      <c r="D77" s="98"/>
      <c r="E77" s="98"/>
      <c r="F77" s="98"/>
      <c r="G77" s="98"/>
      <c r="H77" s="98" t="s">
        <v>775</v>
      </c>
      <c r="I77" s="98" t="s">
        <v>1274</v>
      </c>
      <c r="J77" s="98" t="b">
        <f t="shared" si="5"/>
        <v>1</v>
      </c>
      <c r="K77" s="98" t="b">
        <f>NOT(L75)</f>
        <v>0</v>
      </c>
      <c r="L77" s="98"/>
      <c r="M77" s="98" t="str">
        <f>"'createModel'"</f>
        <v>'createModel'</v>
      </c>
      <c r="N77" s="98"/>
      <c r="O77" s="98"/>
      <c r="P77" s="98"/>
      <c r="Q77" s="98"/>
      <c r="R77" s="98"/>
      <c r="S77" s="98"/>
      <c r="T77" s="98"/>
      <c r="U77" s="98"/>
      <c r="V77" s="98"/>
      <c r="W77" s="98"/>
      <c r="X77" s="98"/>
      <c r="Y77" s="98"/>
      <c r="Z77" s="98"/>
      <c r="AA77" s="98"/>
      <c r="AB77" s="98"/>
      <c r="AC77" s="98"/>
      <c r="AD77" s="98"/>
      <c r="AE77" s="98"/>
      <c r="AF77" s="98"/>
      <c r="AG77" s="98"/>
      <c r="AH77" s="98"/>
      <c r="AI77" s="98"/>
      <c r="AJ77" s="98"/>
      <c r="AK77" s="98"/>
      <c r="AL77" s="98"/>
      <c r="AM77" s="98"/>
      <c r="AN77" s="98"/>
      <c r="AO77" s="98"/>
      <c r="AP77" s="98"/>
      <c r="AQ77" s="93" t="s">
        <v>821</v>
      </c>
      <c r="AR77" s="93" t="s">
        <v>773</v>
      </c>
    </row>
    <row r="78" spans="1:44" ht="16.5" customHeight="1" x14ac:dyDescent="0.2">
      <c r="A78" s="98">
        <f t="shared" si="3"/>
        <v>0</v>
      </c>
      <c r="B78" s="98" t="s">
        <v>1201</v>
      </c>
      <c r="C78" s="98" t="s">
        <v>601</v>
      </c>
      <c r="D78" s="98"/>
      <c r="E78" s="98"/>
      <c r="F78" s="98"/>
      <c r="G78" s="98"/>
      <c r="H78" s="98" t="s">
        <v>774</v>
      </c>
      <c r="I78" s="98" t="s">
        <v>1275</v>
      </c>
      <c r="J78" s="98" t="b">
        <f t="shared" si="5"/>
        <v>1</v>
      </c>
      <c r="K78" s="98" t="b">
        <f>NOT(L75)</f>
        <v>0</v>
      </c>
      <c r="L78" s="98"/>
      <c r="M78" s="98" t="str">
        <f>"'clearMe'"</f>
        <v>'clearMe'</v>
      </c>
      <c r="N78" s="98"/>
      <c r="O78" s="98"/>
      <c r="P78" s="98"/>
      <c r="Q78" s="98"/>
      <c r="R78" s="98"/>
      <c r="S78" s="98"/>
      <c r="T78" s="98"/>
      <c r="U78" s="98"/>
      <c r="V78" s="98"/>
      <c r="W78" s="98"/>
      <c r="X78" s="98"/>
      <c r="Y78" s="98"/>
      <c r="Z78" s="98"/>
      <c r="AA78" s="98"/>
      <c r="AB78" s="98"/>
      <c r="AC78" s="98"/>
      <c r="AD78" s="98"/>
      <c r="AE78" s="98"/>
      <c r="AF78" s="98"/>
      <c r="AG78" s="98"/>
      <c r="AH78" s="98"/>
      <c r="AI78" s="98"/>
      <c r="AJ78" s="98"/>
      <c r="AK78" s="98"/>
      <c r="AL78" s="98"/>
      <c r="AM78" s="98"/>
      <c r="AN78" s="98"/>
      <c r="AO78" s="98"/>
      <c r="AP78" s="98"/>
      <c r="AQ78" s="93" t="s">
        <v>821</v>
      </c>
      <c r="AR78" s="93" t="s">
        <v>773</v>
      </c>
    </row>
    <row r="79" spans="1:44" ht="16.5" customHeight="1" x14ac:dyDescent="0.2">
      <c r="A79" s="98">
        <f t="shared" si="3"/>
        <v>0</v>
      </c>
      <c r="B79" s="98" t="s">
        <v>711</v>
      </c>
      <c r="C79" s="98" t="s">
        <v>602</v>
      </c>
      <c r="D79" s="98"/>
      <c r="E79" s="98"/>
      <c r="F79" s="98"/>
      <c r="G79" s="98"/>
      <c r="H79" s="98"/>
      <c r="I79" s="98" t="s">
        <v>1494</v>
      </c>
      <c r="J79" s="98" t="b">
        <f t="shared" si="5"/>
        <v>1</v>
      </c>
      <c r="K79" s="98" t="b">
        <v>1</v>
      </c>
      <c r="L79" s="98"/>
      <c r="M79" s="98"/>
      <c r="N79" s="98"/>
      <c r="O79" s="98"/>
      <c r="P79" s="98"/>
      <c r="Q79" s="98"/>
      <c r="R79" s="98"/>
      <c r="S79" s="98"/>
      <c r="T79" s="98"/>
      <c r="U79" s="98"/>
      <c r="V79" s="98"/>
      <c r="W79" s="98"/>
      <c r="X79" s="98"/>
      <c r="Y79" s="98"/>
      <c r="Z79" s="98"/>
      <c r="AA79" s="98"/>
      <c r="AB79" s="98"/>
      <c r="AC79" s="98"/>
      <c r="AD79" s="98"/>
      <c r="AE79" s="98"/>
      <c r="AF79" s="98"/>
      <c r="AG79" s="98"/>
      <c r="AH79" s="98"/>
      <c r="AI79" s="98"/>
      <c r="AJ79" s="98"/>
      <c r="AK79" s="98"/>
      <c r="AL79" s="98"/>
      <c r="AM79" s="98"/>
      <c r="AN79" s="98"/>
      <c r="AO79" s="98"/>
      <c r="AP79" s="98"/>
      <c r="AR79" s="93" t="s">
        <v>829</v>
      </c>
    </row>
    <row r="80" spans="1:44" ht="16.5" customHeight="1" x14ac:dyDescent="0.2">
      <c r="A80" s="99">
        <f>$A$11+3</f>
        <v>3</v>
      </c>
      <c r="B80" s="99" t="s">
        <v>1149</v>
      </c>
      <c r="C80" s="99" t="s">
        <v>89</v>
      </c>
      <c r="D80" s="99"/>
      <c r="E80" s="99"/>
      <c r="F80" s="99">
        <v>11</v>
      </c>
      <c r="G80" s="99" t="str">
        <f>B80</f>
        <v>Startside</v>
      </c>
      <c r="H80" s="99" t="s">
        <v>1552</v>
      </c>
      <c r="I80" s="99">
        <f>COUNTIF(G:G,B80)</f>
        <v>127</v>
      </c>
      <c r="J80" s="99" t="b">
        <f t="shared" ref="J80:J143" si="6">$E$2</f>
        <v>1</v>
      </c>
      <c r="K80" s="99" t="b">
        <v>1</v>
      </c>
      <c r="L80" s="99"/>
      <c r="M80" s="99"/>
      <c r="N80" s="99"/>
      <c r="O80" s="99"/>
      <c r="P80" s="99"/>
      <c r="Q80" s="99"/>
      <c r="R80" s="99"/>
      <c r="S80" s="99"/>
      <c r="T80" s="99"/>
      <c r="U80" s="99"/>
      <c r="V80" s="99"/>
      <c r="W80" s="99" t="s">
        <v>1355</v>
      </c>
      <c r="X80" s="99"/>
      <c r="Y80" s="99"/>
      <c r="Z80" s="99"/>
      <c r="AA80" s="99"/>
      <c r="AB80" s="99"/>
      <c r="AC80" s="99"/>
      <c r="AD80" s="99" t="s">
        <v>105</v>
      </c>
      <c r="AE80" s="99"/>
      <c r="AF80" s="99"/>
      <c r="AG80" s="99"/>
      <c r="AH80" s="99"/>
      <c r="AI80" s="99"/>
      <c r="AJ80" s="99">
        <v>80</v>
      </c>
      <c r="AK80" s="99" t="s">
        <v>1342</v>
      </c>
      <c r="AL80" s="99"/>
      <c r="AM80" s="99"/>
      <c r="AN80" s="99"/>
      <c r="AO80" s="99"/>
      <c r="AP80" s="99"/>
    </row>
    <row r="81" spans="1:42" ht="16.5" customHeight="1" x14ac:dyDescent="0.2">
      <c r="A81" s="100">
        <f>$A$80+0</f>
        <v>3</v>
      </c>
      <c r="B81" s="100" t="s">
        <v>128</v>
      </c>
      <c r="C81" s="100" t="s">
        <v>649</v>
      </c>
      <c r="D81" s="100"/>
      <c r="E81" s="100"/>
      <c r="F81" s="100"/>
      <c r="G81" s="100" t="s">
        <v>1149</v>
      </c>
      <c r="H81" s="100"/>
      <c r="I81" s="100" t="s">
        <v>1242</v>
      </c>
      <c r="J81" s="100" t="b">
        <f t="shared" si="6"/>
        <v>1</v>
      </c>
      <c r="K81" s="100" t="b">
        <v>1</v>
      </c>
      <c r="L81" s="100"/>
      <c r="M81" s="100"/>
      <c r="N81" s="100" t="s">
        <v>59</v>
      </c>
      <c r="O81" s="100" t="str">
        <f>"$B$"&amp;A81</f>
        <v>$B$3</v>
      </c>
      <c r="P81" s="100" t="str">
        <f>"$N$"&amp;A81</f>
        <v>$N$3</v>
      </c>
      <c r="Q81" s="100">
        <v>20</v>
      </c>
      <c r="R81" s="100"/>
      <c r="S81" s="100"/>
      <c r="T81" s="100">
        <v>40</v>
      </c>
      <c r="U81" s="100" t="b">
        <v>1</v>
      </c>
      <c r="V81" s="100" t="s">
        <v>1342</v>
      </c>
      <c r="W81" s="100" t="s">
        <v>1342</v>
      </c>
      <c r="X81" s="100"/>
      <c r="Y81" s="100"/>
      <c r="Z81" s="100"/>
      <c r="AA81" s="100"/>
      <c r="AB81" s="100">
        <v>3</v>
      </c>
      <c r="AC81" s="100">
        <v>5</v>
      </c>
      <c r="AD81" s="100" t="s">
        <v>105</v>
      </c>
      <c r="AE81" s="100">
        <v>28</v>
      </c>
      <c r="AF81" s="100" t="b">
        <v>1</v>
      </c>
      <c r="AG81" s="100" t="s">
        <v>1355</v>
      </c>
      <c r="AH81" s="100" t="s">
        <v>29</v>
      </c>
      <c r="AI81" s="100" t="s">
        <v>28</v>
      </c>
      <c r="AJ81" s="100"/>
      <c r="AK81" s="100"/>
      <c r="AL81" s="100">
        <v>0</v>
      </c>
      <c r="AM81" s="100"/>
      <c r="AN81" s="100"/>
      <c r="AO81" s="100"/>
      <c r="AP81" s="100"/>
    </row>
    <row r="82" spans="1:42" ht="16.5" customHeight="1" x14ac:dyDescent="0.2">
      <c r="A82" s="101">
        <f>$A$80+2</f>
        <v>5</v>
      </c>
      <c r="B82" s="101" t="s">
        <v>136</v>
      </c>
      <c r="C82" s="101" t="s">
        <v>599</v>
      </c>
      <c r="D82" s="101" t="s">
        <v>136</v>
      </c>
      <c r="E82" s="101"/>
      <c r="F82" s="101"/>
      <c r="G82" s="101" t="s">
        <v>1149</v>
      </c>
      <c r="H82" s="101"/>
      <c r="I82" s="101"/>
      <c r="J82" s="101" t="b">
        <f t="shared" si="6"/>
        <v>1</v>
      </c>
      <c r="K82" s="101"/>
      <c r="L82" s="101"/>
      <c r="M82" s="101" t="str">
        <f>"'checkVersion'"</f>
        <v>'checkVersion'</v>
      </c>
      <c r="N82" s="101" t="s">
        <v>57</v>
      </c>
      <c r="O82" s="101" t="str">
        <f>"$P$"&amp;A82</f>
        <v>$P$5</v>
      </c>
      <c r="P82" s="101" t="str">
        <f>"$Q$"&amp;A82</f>
        <v>$Q$5</v>
      </c>
      <c r="Q82" s="101"/>
      <c r="R82" s="101"/>
      <c r="S82" s="101">
        <v>140</v>
      </c>
      <c r="T82" s="101">
        <v>160</v>
      </c>
      <c r="U82" s="101"/>
      <c r="V82" s="101"/>
      <c r="W82" s="101"/>
      <c r="X82" s="101"/>
      <c r="Y82" s="101"/>
      <c r="Z82" s="101"/>
      <c r="AA82" s="101"/>
      <c r="AB82" s="101"/>
      <c r="AC82" s="101">
        <v>5</v>
      </c>
      <c r="AD82" s="101"/>
      <c r="AE82" s="101">
        <v>12</v>
      </c>
      <c r="AF82" s="101" t="b">
        <v>0</v>
      </c>
      <c r="AG82" s="101" t="s">
        <v>1355</v>
      </c>
      <c r="AH82" s="101" t="s">
        <v>27</v>
      </c>
      <c r="AI82" s="101" t="s">
        <v>28</v>
      </c>
      <c r="AJ82" s="101"/>
      <c r="AK82" s="101"/>
      <c r="AL82" s="101"/>
      <c r="AM82" s="101"/>
      <c r="AN82" s="101"/>
      <c r="AO82" s="101"/>
      <c r="AP82" s="101"/>
    </row>
    <row r="83" spans="1:42" ht="16.5" customHeight="1" x14ac:dyDescent="0.2">
      <c r="A83" s="101">
        <f>$A$80+2</f>
        <v>5</v>
      </c>
      <c r="B83" s="101" t="s">
        <v>138</v>
      </c>
      <c r="C83" s="101" t="s">
        <v>599</v>
      </c>
      <c r="D83" s="101" t="s">
        <v>138</v>
      </c>
      <c r="E83" s="101"/>
      <c r="F83" s="101"/>
      <c r="G83" s="101" t="s">
        <v>1149</v>
      </c>
      <c r="H83" s="101"/>
      <c r="I83" s="101"/>
      <c r="J83" s="101" t="b">
        <f t="shared" si="6"/>
        <v>1</v>
      </c>
      <c r="K83" s="101"/>
      <c r="L83" s="101"/>
      <c r="M83" s="101" t="str">
        <f>"'checkVersion'"</f>
        <v>'checkVersion'</v>
      </c>
      <c r="N83" s="101" t="s">
        <v>57</v>
      </c>
      <c r="O83" s="101" t="str">
        <f>"$P$"&amp;A83</f>
        <v>$P$5</v>
      </c>
      <c r="P83" s="101" t="str">
        <f>"$Q$"&amp;A83</f>
        <v>$Q$5</v>
      </c>
      <c r="Q83" s="101"/>
      <c r="R83" s="101"/>
      <c r="S83" s="101">
        <v>140</v>
      </c>
      <c r="T83" s="101">
        <v>160</v>
      </c>
      <c r="U83" s="101"/>
      <c r="V83" s="101"/>
      <c r="W83" s="101"/>
      <c r="X83" s="101"/>
      <c r="Y83" s="101"/>
      <c r="Z83" s="101"/>
      <c r="AA83" s="101"/>
      <c r="AB83" s="101"/>
      <c r="AC83" s="101">
        <v>5</v>
      </c>
      <c r="AD83" s="101"/>
      <c r="AE83" s="101">
        <v>12</v>
      </c>
      <c r="AF83" s="101" t="b">
        <v>0</v>
      </c>
      <c r="AG83" s="101" t="s">
        <v>1355</v>
      </c>
      <c r="AH83" s="101" t="s">
        <v>27</v>
      </c>
      <c r="AI83" s="101" t="s">
        <v>28</v>
      </c>
      <c r="AJ83" s="101"/>
      <c r="AK83" s="101"/>
      <c r="AL83" s="101"/>
      <c r="AM83" s="101"/>
      <c r="AN83" s="101"/>
      <c r="AO83" s="101"/>
      <c r="AP83" s="101"/>
    </row>
    <row r="84" spans="1:42" ht="16.5" customHeight="1" x14ac:dyDescent="0.2">
      <c r="A84" s="101">
        <f>$A$80+2</f>
        <v>5</v>
      </c>
      <c r="B84" s="101" t="s">
        <v>137</v>
      </c>
      <c r="C84" s="101" t="s">
        <v>599</v>
      </c>
      <c r="D84" s="101" t="s">
        <v>137</v>
      </c>
      <c r="E84" s="101"/>
      <c r="F84" s="101"/>
      <c r="G84" s="101" t="s">
        <v>1149</v>
      </c>
      <c r="H84" s="101"/>
      <c r="I84" s="101"/>
      <c r="J84" s="101" t="b">
        <f t="shared" si="6"/>
        <v>1</v>
      </c>
      <c r="K84" s="101" t="b">
        <v>1</v>
      </c>
      <c r="L84" s="101"/>
      <c r="M84" s="101" t="str">
        <f>"'checkVersion'"</f>
        <v>'checkVersion'</v>
      </c>
      <c r="N84" s="101" t="s">
        <v>57</v>
      </c>
      <c r="O84" s="101" t="str">
        <f>"$P$"&amp;A84</f>
        <v>$P$5</v>
      </c>
      <c r="P84" s="101" t="str">
        <f>"$Q$"&amp;A84</f>
        <v>$Q$5</v>
      </c>
      <c r="Q84" s="101"/>
      <c r="R84" s="101"/>
      <c r="S84" s="101">
        <v>140</v>
      </c>
      <c r="T84" s="101">
        <v>160</v>
      </c>
      <c r="U84" s="101"/>
      <c r="V84" s="101"/>
      <c r="W84" s="101"/>
      <c r="X84" s="101"/>
      <c r="Y84" s="101"/>
      <c r="Z84" s="101"/>
      <c r="AA84" s="101"/>
      <c r="AB84" s="101"/>
      <c r="AC84" s="101">
        <v>5</v>
      </c>
      <c r="AD84" s="101"/>
      <c r="AE84" s="101">
        <v>12</v>
      </c>
      <c r="AF84" s="101" t="b">
        <v>0</v>
      </c>
      <c r="AG84" s="101" t="s">
        <v>1355</v>
      </c>
      <c r="AH84" s="101" t="s">
        <v>27</v>
      </c>
      <c r="AI84" s="101" t="s">
        <v>28</v>
      </c>
      <c r="AJ84" s="101"/>
      <c r="AK84" s="101"/>
      <c r="AL84" s="101"/>
      <c r="AM84" s="101"/>
      <c r="AN84" s="101"/>
      <c r="AO84" s="101"/>
      <c r="AP84" s="101"/>
    </row>
    <row r="85" spans="1:42" ht="16.5" customHeight="1" x14ac:dyDescent="0.2">
      <c r="A85" s="102">
        <f>$A$80+2</f>
        <v>5</v>
      </c>
      <c r="B85" s="102" t="s">
        <v>142</v>
      </c>
      <c r="C85" s="102" t="s">
        <v>600</v>
      </c>
      <c r="D85" s="102" t="s">
        <v>135</v>
      </c>
      <c r="E85" s="102"/>
      <c r="F85" s="102"/>
      <c r="G85" s="102" t="s">
        <v>1149</v>
      </c>
      <c r="H85" s="102"/>
      <c r="I85" s="102" t="str">
        <f>IFERROR(MasterSheet_f_lastSaved," ")</f>
        <v>[27-08-2013 13.01.36]</v>
      </c>
      <c r="J85" s="102" t="b">
        <f t="shared" si="6"/>
        <v>1</v>
      </c>
      <c r="K85" s="102" t="b">
        <v>1</v>
      </c>
      <c r="L85" s="102"/>
      <c r="M85" s="102" t="str">
        <f>"'lastBackup """&amp;D85&amp;"""'"</f>
        <v>'lastBackup "LastBkp"'</v>
      </c>
      <c r="N85" s="102" t="s">
        <v>57</v>
      </c>
      <c r="O85" s="102" t="str">
        <f>"$P$"&amp;A85</f>
        <v>$P$5</v>
      </c>
      <c r="P85" s="102" t="str">
        <f>"$Q$"&amp;A85</f>
        <v>$Q$5</v>
      </c>
      <c r="Q85" s="102"/>
      <c r="R85" s="102">
        <v>180</v>
      </c>
      <c r="S85" s="102">
        <v>140</v>
      </c>
      <c r="T85" s="102">
        <v>160</v>
      </c>
      <c r="U85" s="102" t="b">
        <v>1</v>
      </c>
      <c r="V85" s="102"/>
      <c r="W85" s="102"/>
      <c r="X85" s="102"/>
      <c r="Y85" s="102"/>
      <c r="Z85" s="102"/>
      <c r="AA85" s="102"/>
      <c r="AB85" s="102">
        <v>28</v>
      </c>
      <c r="AC85" s="102"/>
      <c r="AD85" s="102" t="s">
        <v>105</v>
      </c>
      <c r="AE85" s="102">
        <v>10</v>
      </c>
      <c r="AF85" s="102" t="b">
        <v>1</v>
      </c>
      <c r="AG85" s="102" t="s">
        <v>1355</v>
      </c>
      <c r="AH85" s="102" t="s">
        <v>27</v>
      </c>
      <c r="AI85" s="102" t="s">
        <v>29</v>
      </c>
      <c r="AJ85" s="102"/>
      <c r="AK85" s="102"/>
      <c r="AL85" s="102"/>
      <c r="AM85" s="102"/>
      <c r="AN85" s="102"/>
      <c r="AO85" s="102"/>
      <c r="AP85" s="102"/>
    </row>
    <row r="86" spans="1:42" ht="16.5" customHeight="1" x14ac:dyDescent="0.2">
      <c r="A86" s="103">
        <f>$A$80+2</f>
        <v>5</v>
      </c>
      <c r="B86" s="103" t="s">
        <v>33</v>
      </c>
      <c r="C86" s="103" t="s">
        <v>654</v>
      </c>
      <c r="D86" s="103"/>
      <c r="E86" s="103"/>
      <c r="F86" s="103"/>
      <c r="G86" s="103" t="s">
        <v>1149</v>
      </c>
      <c r="H86" s="103" t="s">
        <v>1578</v>
      </c>
      <c r="I86" s="103" t="s">
        <v>143</v>
      </c>
      <c r="J86" s="103" t="b">
        <f t="shared" si="6"/>
        <v>1</v>
      </c>
      <c r="K86" s="103" t="b">
        <v>1</v>
      </c>
      <c r="L86" s="103" t="b">
        <v>1</v>
      </c>
      <c r="M86" s="103" t="str">
        <f>"'expand """&amp;B86&amp;""","""&amp;G86&amp;""",TRUE'"</f>
        <v>'expand "Main1","Startside",TRUE'</v>
      </c>
      <c r="N86" s="103" t="s">
        <v>59</v>
      </c>
      <c r="O86" s="103" t="str">
        <f>"$B$"&amp;A86</f>
        <v>$B$5</v>
      </c>
      <c r="P86" s="103" t="str">
        <f>"$N$"&amp;A128-1</f>
        <v>$N$46</v>
      </c>
      <c r="Q86" s="103"/>
      <c r="R86" s="103">
        <v>1</v>
      </c>
      <c r="S86" s="103"/>
      <c r="T86" s="103">
        <v>60</v>
      </c>
      <c r="U86" s="103" t="b">
        <v>1</v>
      </c>
      <c r="V86" s="103" t="s">
        <v>1343</v>
      </c>
      <c r="W86" s="103" t="s">
        <v>1355</v>
      </c>
      <c r="X86" s="103"/>
      <c r="Y86" s="103"/>
      <c r="Z86" s="103"/>
      <c r="AA86" s="103"/>
      <c r="AB86" s="103"/>
      <c r="AC86" s="103">
        <v>30</v>
      </c>
      <c r="AD86" s="103"/>
      <c r="AE86" s="103">
        <v>20</v>
      </c>
      <c r="AF86" s="103" t="b">
        <v>0</v>
      </c>
      <c r="AG86" s="103" t="s">
        <v>1351</v>
      </c>
      <c r="AH86" s="103" t="s">
        <v>29</v>
      </c>
      <c r="AI86" s="103" t="s">
        <v>28</v>
      </c>
      <c r="AJ86" s="103"/>
      <c r="AK86" s="103"/>
      <c r="AL86" s="103"/>
      <c r="AM86" s="103"/>
      <c r="AN86" s="103">
        <v>10</v>
      </c>
      <c r="AO86" s="103">
        <v>135</v>
      </c>
      <c r="AP86" s="103"/>
    </row>
    <row r="87" spans="1:42" ht="16.5" customHeight="1" x14ac:dyDescent="0.2">
      <c r="A87" s="100">
        <f>$A$86+4</f>
        <v>9</v>
      </c>
      <c r="B87" s="100" t="s">
        <v>115</v>
      </c>
      <c r="C87" s="100" t="s">
        <v>649</v>
      </c>
      <c r="D87" s="100"/>
      <c r="E87" s="100"/>
      <c r="F87" s="100"/>
      <c r="G87" s="100" t="s">
        <v>1149</v>
      </c>
      <c r="H87" s="100"/>
      <c r="I87" s="100" t="s">
        <v>147</v>
      </c>
      <c r="J87" s="100" t="b">
        <f t="shared" si="6"/>
        <v>1</v>
      </c>
      <c r="K87" s="100" t="b">
        <v>1</v>
      </c>
      <c r="L87" s="100" t="b">
        <v>1</v>
      </c>
      <c r="M87" s="100"/>
      <c r="N87" s="100" t="s">
        <v>59</v>
      </c>
      <c r="O87" s="100" t="str">
        <f>"$D$"&amp;A87</f>
        <v>$D$9</v>
      </c>
      <c r="P87" s="100" t="str">
        <f>"$M$"&amp;A87</f>
        <v>$M$9</v>
      </c>
      <c r="Q87" s="100"/>
      <c r="R87" s="100">
        <v>3</v>
      </c>
      <c r="S87" s="100"/>
      <c r="T87" s="100">
        <v>140</v>
      </c>
      <c r="U87" s="100" t="b">
        <v>1</v>
      </c>
      <c r="V87" s="100" t="s">
        <v>1341</v>
      </c>
      <c r="W87" s="100" t="s">
        <v>1341</v>
      </c>
      <c r="X87" s="100"/>
      <c r="Y87" s="100"/>
      <c r="Z87" s="100"/>
      <c r="AA87" s="100"/>
      <c r="AB87" s="100"/>
      <c r="AC87" s="100">
        <v>5</v>
      </c>
      <c r="AD87" s="100" t="s">
        <v>105</v>
      </c>
      <c r="AE87" s="100">
        <v>12</v>
      </c>
      <c r="AF87" s="100" t="b">
        <v>0</v>
      </c>
      <c r="AG87" s="100" t="s">
        <v>1355</v>
      </c>
      <c r="AH87" s="100" t="s">
        <v>27</v>
      </c>
      <c r="AI87" s="100" t="s">
        <v>28</v>
      </c>
      <c r="AJ87" s="100"/>
      <c r="AK87" s="100"/>
      <c r="AL87" s="100">
        <v>0</v>
      </c>
      <c r="AM87" s="100"/>
      <c r="AN87" s="100"/>
      <c r="AO87" s="100"/>
      <c r="AP87" s="100"/>
    </row>
    <row r="88" spans="1:42" ht="16.5" customHeight="1" x14ac:dyDescent="0.2">
      <c r="A88" s="100">
        <f>$A$86+2</f>
        <v>7</v>
      </c>
      <c r="B88" s="100" t="s">
        <v>117</v>
      </c>
      <c r="C88" s="100" t="s">
        <v>649</v>
      </c>
      <c r="D88" s="100"/>
      <c r="E88" s="100"/>
      <c r="F88" s="100"/>
      <c r="G88" s="100" t="s">
        <v>1149</v>
      </c>
      <c r="H88" s="100" t="b">
        <v>1</v>
      </c>
      <c r="I88" s="100" t="s">
        <v>144</v>
      </c>
      <c r="J88" s="100" t="b">
        <f t="shared" si="6"/>
        <v>1</v>
      </c>
      <c r="K88" s="100" t="b">
        <v>1</v>
      </c>
      <c r="L88" s="100"/>
      <c r="M88" s="100"/>
      <c r="N88" s="100" t="s">
        <v>59</v>
      </c>
      <c r="O88" s="100" t="str">
        <f>"$C$"&amp;A88</f>
        <v>$C$7</v>
      </c>
      <c r="P88" s="100" t="str">
        <f>"$I$"&amp;A88</f>
        <v>$I$7</v>
      </c>
      <c r="Q88" s="100">
        <v>-20</v>
      </c>
      <c r="R88" s="100">
        <v>3</v>
      </c>
      <c r="S88" s="100"/>
      <c r="T88" s="100">
        <v>22</v>
      </c>
      <c r="U88" s="100" t="b">
        <v>1</v>
      </c>
      <c r="V88" s="100" t="s">
        <v>1342</v>
      </c>
      <c r="W88" s="100" t="s">
        <v>1342</v>
      </c>
      <c r="X88" s="100"/>
      <c r="Y88" s="100"/>
      <c r="Z88" s="100"/>
      <c r="AA88" s="100"/>
      <c r="AB88" s="100">
        <v>3</v>
      </c>
      <c r="AC88" s="100"/>
      <c r="AD88" s="100" t="s">
        <v>105</v>
      </c>
      <c r="AE88" s="100">
        <v>12</v>
      </c>
      <c r="AF88" s="100" t="b">
        <v>0</v>
      </c>
      <c r="AG88" s="100" t="s">
        <v>1355</v>
      </c>
      <c r="AH88" s="100" t="s">
        <v>29</v>
      </c>
      <c r="AI88" s="100" t="s">
        <v>28</v>
      </c>
      <c r="AJ88" s="100"/>
      <c r="AK88" s="100"/>
      <c r="AL88" s="100">
        <v>0</v>
      </c>
      <c r="AM88" s="100"/>
      <c r="AN88" s="100"/>
      <c r="AO88" s="100"/>
      <c r="AP88" s="100"/>
    </row>
    <row r="89" spans="1:42" ht="16.5" customHeight="1" x14ac:dyDescent="0.2">
      <c r="A89" s="104">
        <f>$A$86+2</f>
        <v>7</v>
      </c>
      <c r="B89" s="104" t="s">
        <v>116</v>
      </c>
      <c r="C89" s="104" t="s">
        <v>657</v>
      </c>
      <c r="D89" s="104" t="s">
        <v>116</v>
      </c>
      <c r="E89" s="104"/>
      <c r="F89" s="104"/>
      <c r="G89" s="104" t="s">
        <v>1149</v>
      </c>
      <c r="H89" s="104"/>
      <c r="I89" s="104" t="str">
        <f>B89</f>
        <v>Main1Group1</v>
      </c>
      <c r="J89" s="104" t="b">
        <f t="shared" si="6"/>
        <v>1</v>
      </c>
      <c r="K89" s="104" t="b">
        <f>$C$3</f>
        <v>0</v>
      </c>
      <c r="L89" s="104"/>
      <c r="M89" s="104"/>
      <c r="N89" s="104" t="s">
        <v>59</v>
      </c>
      <c r="O89" s="104" t="str">
        <f>"$B$"&amp;A89</f>
        <v>$B$7</v>
      </c>
      <c r="P89" s="104" t="str">
        <f>"$M$"&amp;A89</f>
        <v>$M$7</v>
      </c>
      <c r="Q89" s="104"/>
      <c r="R89" s="104"/>
      <c r="S89" s="104"/>
      <c r="T89" s="104">
        <v>22</v>
      </c>
      <c r="U89" s="104" t="b">
        <v>1</v>
      </c>
      <c r="V89" s="104"/>
      <c r="W89" s="104"/>
      <c r="X89" s="104"/>
      <c r="Y89" s="104"/>
      <c r="Z89" s="104"/>
      <c r="AA89" s="104"/>
      <c r="AB89" s="104"/>
      <c r="AC89" s="104">
        <v>16</v>
      </c>
      <c r="AD89" s="104"/>
      <c r="AE89" s="104"/>
      <c r="AF89" s="104"/>
      <c r="AG89" s="104"/>
      <c r="AH89" s="104" t="s">
        <v>29</v>
      </c>
      <c r="AI89" s="104" t="s">
        <v>28</v>
      </c>
      <c r="AJ89" s="104"/>
      <c r="AK89" s="104"/>
      <c r="AL89" s="104"/>
      <c r="AM89" s="104"/>
      <c r="AN89" s="104"/>
      <c r="AO89" s="104"/>
      <c r="AP89" s="104"/>
    </row>
    <row r="90" spans="1:42" ht="16.5" customHeight="1" x14ac:dyDescent="0.2">
      <c r="A90" s="105">
        <f>$A$86+2</f>
        <v>7</v>
      </c>
      <c r="B90" s="105" t="s">
        <v>606</v>
      </c>
      <c r="C90" s="105" t="s">
        <v>659</v>
      </c>
      <c r="D90" s="105" t="s">
        <v>116</v>
      </c>
      <c r="E90" s="105"/>
      <c r="F90" s="105"/>
      <c r="G90" s="105" t="s">
        <v>1149</v>
      </c>
      <c r="H90" s="105" t="b">
        <v>0</v>
      </c>
      <c r="I90" s="105" t="s">
        <v>34</v>
      </c>
      <c r="J90" s="105" t="b">
        <f t="shared" si="6"/>
        <v>1</v>
      </c>
      <c r="K90" s="105" t="b">
        <v>1</v>
      </c>
      <c r="L90" s="105"/>
      <c r="M90" s="105" t="str">
        <f>"'chkTextHide """&amp;B90&amp;""","""&amp;B87&amp;""",TRUE'"</f>
        <v>'chkTextHide "Main1Group1R1","Main1Text1",TRUE'</v>
      </c>
      <c r="N90" s="105" t="s">
        <v>59</v>
      </c>
      <c r="O90" s="105" t="str">
        <f>"$J$"&amp;A90</f>
        <v>$J$7</v>
      </c>
      <c r="P90" s="105" t="str">
        <f>"$K$"&amp;A90</f>
        <v>$K$7</v>
      </c>
      <c r="Q90" s="105">
        <v>5</v>
      </c>
      <c r="R90" s="105">
        <v>1</v>
      </c>
      <c r="S90" s="105"/>
      <c r="T90" s="105">
        <v>22</v>
      </c>
      <c r="U90" s="105" t="b">
        <v>1</v>
      </c>
      <c r="V90" s="105" t="s">
        <v>1343</v>
      </c>
      <c r="W90" s="105" t="s">
        <v>1356</v>
      </c>
      <c r="X90" s="105"/>
      <c r="Y90" s="105"/>
      <c r="Z90" s="105"/>
      <c r="AA90" s="105"/>
      <c r="AB90" s="105"/>
      <c r="AC90" s="105">
        <v>16</v>
      </c>
      <c r="AD90" s="105"/>
      <c r="AE90" s="105">
        <v>12</v>
      </c>
      <c r="AF90" s="105" t="b">
        <v>0</v>
      </c>
      <c r="AG90" s="105" t="s">
        <v>1355</v>
      </c>
      <c r="AH90" s="105" t="s">
        <v>29</v>
      </c>
      <c r="AI90" s="105" t="s">
        <v>29</v>
      </c>
      <c r="AJ90" s="105"/>
      <c r="AK90" s="105"/>
      <c r="AL90" s="105">
        <v>0</v>
      </c>
      <c r="AM90" s="105"/>
      <c r="AN90" s="105"/>
      <c r="AO90" s="105"/>
      <c r="AP90" s="105"/>
    </row>
    <row r="91" spans="1:42" ht="16.5" customHeight="1" x14ac:dyDescent="0.2">
      <c r="A91" s="105">
        <f>$A$86+2</f>
        <v>7</v>
      </c>
      <c r="B91" s="105" t="s">
        <v>607</v>
      </c>
      <c r="C91" s="105" t="s">
        <v>659</v>
      </c>
      <c r="D91" s="105" t="s">
        <v>116</v>
      </c>
      <c r="E91" s="105"/>
      <c r="F91" s="105"/>
      <c r="G91" s="105" t="s">
        <v>1149</v>
      </c>
      <c r="H91" s="105" t="b">
        <v>1</v>
      </c>
      <c r="I91" s="105" t="s">
        <v>35</v>
      </c>
      <c r="J91" s="105" t="b">
        <f t="shared" si="6"/>
        <v>1</v>
      </c>
      <c r="K91" s="105" t="b">
        <v>1</v>
      </c>
      <c r="L91" s="105"/>
      <c r="M91" s="105" t="str">
        <f>"'chkTextHide """&amp;B91&amp;""","""&amp;B87&amp;""",FALSE'"</f>
        <v>'chkTextHide "Main1Group1R2","Main1Text1",FALSE'</v>
      </c>
      <c r="N91" s="105" t="s">
        <v>59</v>
      </c>
      <c r="O91" s="105" t="str">
        <f>"$L$"&amp;A91</f>
        <v>$L$7</v>
      </c>
      <c r="P91" s="105" t="str">
        <f>"$M$"&amp;A91</f>
        <v>$M$7</v>
      </c>
      <c r="Q91" s="105">
        <v>5</v>
      </c>
      <c r="R91" s="105">
        <v>1</v>
      </c>
      <c r="S91" s="105"/>
      <c r="T91" s="105">
        <v>22</v>
      </c>
      <c r="U91" s="105" t="b">
        <v>1</v>
      </c>
      <c r="V91" s="105" t="s">
        <v>1343</v>
      </c>
      <c r="W91" s="105" t="s">
        <v>1356</v>
      </c>
      <c r="X91" s="105"/>
      <c r="Y91" s="105"/>
      <c r="Z91" s="105"/>
      <c r="AA91" s="105"/>
      <c r="AB91" s="105"/>
      <c r="AC91" s="105">
        <v>16</v>
      </c>
      <c r="AD91" s="105"/>
      <c r="AE91" s="105">
        <v>12</v>
      </c>
      <c r="AF91" s="105" t="b">
        <v>0</v>
      </c>
      <c r="AG91" s="105" t="s">
        <v>1355</v>
      </c>
      <c r="AH91" s="105" t="s">
        <v>29</v>
      </c>
      <c r="AI91" s="105" t="s">
        <v>29</v>
      </c>
      <c r="AJ91" s="105"/>
      <c r="AK91" s="105"/>
      <c r="AL91" s="105">
        <v>0</v>
      </c>
      <c r="AM91" s="105"/>
      <c r="AN91" s="105"/>
      <c r="AO91" s="105"/>
      <c r="AP91" s="105"/>
    </row>
    <row r="92" spans="1:42" ht="16.5" customHeight="1" x14ac:dyDescent="0.2">
      <c r="A92" s="106">
        <f>$A$86+6</f>
        <v>11</v>
      </c>
      <c r="B92" s="106" t="s">
        <v>123</v>
      </c>
      <c r="C92" s="106" t="s">
        <v>655</v>
      </c>
      <c r="D92" s="106"/>
      <c r="E92" s="106"/>
      <c r="F92" s="106"/>
      <c r="G92" s="106" t="s">
        <v>1149</v>
      </c>
      <c r="H92" s="106"/>
      <c r="I92" s="106"/>
      <c r="J92" s="106" t="b">
        <f t="shared" si="6"/>
        <v>1</v>
      </c>
      <c r="K92" s="106" t="b">
        <v>1</v>
      </c>
      <c r="L92" s="106"/>
      <c r="M92" s="106"/>
      <c r="N92" s="106" t="s">
        <v>59</v>
      </c>
      <c r="O92" s="106" t="str">
        <f>"$B$"&amp;A92</f>
        <v>$B$11</v>
      </c>
      <c r="P92" s="106" t="str">
        <f>"$M$"&amp;A92</f>
        <v>$M$11</v>
      </c>
      <c r="Q92" s="106"/>
      <c r="R92" s="106">
        <v>2</v>
      </c>
      <c r="S92" s="106"/>
      <c r="T92" s="106">
        <v>2</v>
      </c>
      <c r="U92" s="106" t="b">
        <v>1</v>
      </c>
      <c r="V92" s="106" t="s">
        <v>1344</v>
      </c>
      <c r="W92" s="106" t="s">
        <v>1343</v>
      </c>
      <c r="X92" s="106"/>
      <c r="Y92" s="106"/>
      <c r="Z92" s="106"/>
      <c r="AA92" s="106"/>
      <c r="AB92" s="106"/>
      <c r="AC92" s="106"/>
      <c r="AD92" s="106"/>
      <c r="AE92" s="106"/>
      <c r="AF92" s="106"/>
      <c r="AG92" s="106"/>
      <c r="AH92" s="106"/>
      <c r="AI92" s="106"/>
      <c r="AJ92" s="106"/>
      <c r="AK92" s="106"/>
      <c r="AL92" s="106"/>
      <c r="AM92" s="106"/>
      <c r="AN92" s="106"/>
      <c r="AO92" s="106"/>
      <c r="AP92" s="106"/>
    </row>
    <row r="93" spans="1:42" ht="16.5" customHeight="1" x14ac:dyDescent="0.2">
      <c r="A93" s="100">
        <f>$A$92+4</f>
        <v>15</v>
      </c>
      <c r="B93" s="100" t="s">
        <v>122</v>
      </c>
      <c r="C93" s="100" t="s">
        <v>649</v>
      </c>
      <c r="D93" s="100"/>
      <c r="E93" s="100"/>
      <c r="F93" s="100"/>
      <c r="G93" s="100" t="s">
        <v>1149</v>
      </c>
      <c r="H93" s="100"/>
      <c r="I93" s="100" t="s">
        <v>146</v>
      </c>
      <c r="J93" s="100" t="b">
        <f t="shared" si="6"/>
        <v>1</v>
      </c>
      <c r="K93" s="100" t="b">
        <v>1</v>
      </c>
      <c r="L93" s="100" t="b">
        <v>1</v>
      </c>
      <c r="M93" s="100"/>
      <c r="N93" s="100" t="s">
        <v>59</v>
      </c>
      <c r="O93" s="100" t="str">
        <f>"$D$"&amp;A93</f>
        <v>$D$15</v>
      </c>
      <c r="P93" s="100" t="str">
        <f>"$M$"&amp;A93</f>
        <v>$M$15</v>
      </c>
      <c r="Q93" s="100"/>
      <c r="R93" s="100">
        <v>3</v>
      </c>
      <c r="S93" s="100"/>
      <c r="T93" s="100">
        <v>140</v>
      </c>
      <c r="U93" s="100" t="b">
        <v>1</v>
      </c>
      <c r="V93" s="100" t="s">
        <v>1341</v>
      </c>
      <c r="W93" s="100" t="s">
        <v>1341</v>
      </c>
      <c r="X93" s="100"/>
      <c r="Y93" s="100"/>
      <c r="Z93" s="100"/>
      <c r="AA93" s="100"/>
      <c r="AB93" s="100"/>
      <c r="AC93" s="100">
        <v>5</v>
      </c>
      <c r="AD93" s="100" t="s">
        <v>105</v>
      </c>
      <c r="AE93" s="100">
        <v>12</v>
      </c>
      <c r="AF93" s="100" t="b">
        <v>0</v>
      </c>
      <c r="AG93" s="100" t="s">
        <v>1355</v>
      </c>
      <c r="AH93" s="100" t="s">
        <v>27</v>
      </c>
      <c r="AI93" s="100" t="s">
        <v>28</v>
      </c>
      <c r="AJ93" s="100"/>
      <c r="AK93" s="100"/>
      <c r="AL93" s="100">
        <v>0</v>
      </c>
      <c r="AM93" s="100"/>
      <c r="AN93" s="100"/>
      <c r="AO93" s="100"/>
      <c r="AP93" s="100"/>
    </row>
    <row r="94" spans="1:42" ht="16.5" customHeight="1" x14ac:dyDescent="0.2">
      <c r="A94" s="100">
        <f>$A$92+2</f>
        <v>13</v>
      </c>
      <c r="B94" s="100" t="s">
        <v>120</v>
      </c>
      <c r="C94" s="100" t="s">
        <v>649</v>
      </c>
      <c r="D94" s="100"/>
      <c r="E94" s="100"/>
      <c r="F94" s="100"/>
      <c r="G94" s="100" t="s">
        <v>1149</v>
      </c>
      <c r="H94" s="100" t="b">
        <v>0</v>
      </c>
      <c r="I94" s="100" t="s">
        <v>145</v>
      </c>
      <c r="J94" s="100" t="b">
        <f t="shared" si="6"/>
        <v>1</v>
      </c>
      <c r="K94" s="100" t="b">
        <v>1</v>
      </c>
      <c r="L94" s="100"/>
      <c r="M94" s="100"/>
      <c r="N94" s="100" t="s">
        <v>59</v>
      </c>
      <c r="O94" s="100" t="str">
        <f>"$C$"&amp;A94</f>
        <v>$C$13</v>
      </c>
      <c r="P94" s="100" t="str">
        <f>"$I$"&amp;A94</f>
        <v>$I$13</v>
      </c>
      <c r="Q94" s="100">
        <v>-20</v>
      </c>
      <c r="R94" s="100">
        <v>3</v>
      </c>
      <c r="S94" s="100"/>
      <c r="T94" s="100">
        <v>22</v>
      </c>
      <c r="U94" s="100" t="b">
        <v>1</v>
      </c>
      <c r="V94" s="100" t="s">
        <v>1342</v>
      </c>
      <c r="W94" s="100" t="s">
        <v>1342</v>
      </c>
      <c r="X94" s="100"/>
      <c r="Y94" s="100"/>
      <c r="Z94" s="100"/>
      <c r="AA94" s="100"/>
      <c r="AB94" s="100">
        <v>3</v>
      </c>
      <c r="AC94" s="100"/>
      <c r="AD94" s="100" t="s">
        <v>105</v>
      </c>
      <c r="AE94" s="100">
        <v>12</v>
      </c>
      <c r="AF94" s="100" t="b">
        <v>0</v>
      </c>
      <c r="AG94" s="100" t="s">
        <v>1355</v>
      </c>
      <c r="AH94" s="100" t="s">
        <v>29</v>
      </c>
      <c r="AI94" s="100" t="s">
        <v>28</v>
      </c>
      <c r="AJ94" s="100"/>
      <c r="AK94" s="100"/>
      <c r="AL94" s="100">
        <v>0</v>
      </c>
      <c r="AM94" s="100"/>
      <c r="AN94" s="100"/>
      <c r="AO94" s="100"/>
      <c r="AP94" s="100"/>
    </row>
    <row r="95" spans="1:42" ht="16.5" customHeight="1" x14ac:dyDescent="0.2">
      <c r="A95" s="104">
        <f>$A$92+2</f>
        <v>13</v>
      </c>
      <c r="B95" s="104" t="s">
        <v>118</v>
      </c>
      <c r="C95" s="104" t="s">
        <v>657</v>
      </c>
      <c r="D95" s="104" t="s">
        <v>118</v>
      </c>
      <c r="E95" s="104"/>
      <c r="F95" s="104"/>
      <c r="G95" s="104" t="s">
        <v>1149</v>
      </c>
      <c r="H95" s="104"/>
      <c r="I95" s="104" t="str">
        <f>B95</f>
        <v>Main1Group2</v>
      </c>
      <c r="J95" s="104" t="b">
        <f t="shared" si="6"/>
        <v>1</v>
      </c>
      <c r="K95" s="104" t="b">
        <f>$C$3</f>
        <v>0</v>
      </c>
      <c r="L95" s="104"/>
      <c r="M95" s="104"/>
      <c r="N95" s="104" t="s">
        <v>59</v>
      </c>
      <c r="O95" s="104" t="str">
        <f>"$B$"&amp;A95</f>
        <v>$B$13</v>
      </c>
      <c r="P95" s="104" t="str">
        <f>"$M$"&amp;A95</f>
        <v>$M$13</v>
      </c>
      <c r="Q95" s="104"/>
      <c r="R95" s="104"/>
      <c r="S95" s="104"/>
      <c r="T95" s="104">
        <v>22</v>
      </c>
      <c r="U95" s="104" t="b">
        <v>1</v>
      </c>
      <c r="V95" s="104"/>
      <c r="W95" s="104"/>
      <c r="X95" s="104"/>
      <c r="Y95" s="104"/>
      <c r="Z95" s="104"/>
      <c r="AA95" s="104"/>
      <c r="AB95" s="104"/>
      <c r="AC95" s="104">
        <v>16</v>
      </c>
      <c r="AD95" s="104"/>
      <c r="AE95" s="104"/>
      <c r="AF95" s="104"/>
      <c r="AG95" s="104"/>
      <c r="AH95" s="104" t="s">
        <v>29</v>
      </c>
      <c r="AI95" s="104" t="s">
        <v>28</v>
      </c>
      <c r="AJ95" s="104"/>
      <c r="AK95" s="104"/>
      <c r="AL95" s="104"/>
      <c r="AM95" s="104"/>
      <c r="AN95" s="104"/>
      <c r="AO95" s="104"/>
      <c r="AP95" s="104"/>
    </row>
    <row r="96" spans="1:42" ht="16.5" customHeight="1" x14ac:dyDescent="0.2">
      <c r="A96" s="105">
        <f>$A$92+2</f>
        <v>13</v>
      </c>
      <c r="B96" s="105" t="s">
        <v>608</v>
      </c>
      <c r="C96" s="105" t="s">
        <v>659</v>
      </c>
      <c r="D96" s="105" t="s">
        <v>118</v>
      </c>
      <c r="E96" s="105"/>
      <c r="F96" s="105"/>
      <c r="G96" s="105" t="s">
        <v>1149</v>
      </c>
      <c r="H96" s="105" t="b">
        <v>1</v>
      </c>
      <c r="I96" s="105" t="s">
        <v>34</v>
      </c>
      <c r="J96" s="105" t="b">
        <f t="shared" si="6"/>
        <v>1</v>
      </c>
      <c r="K96" s="105" t="b">
        <v>1</v>
      </c>
      <c r="L96" s="105"/>
      <c r="M96" s="105" t="str">
        <f>"'chkTextHide """&amp;B96&amp;""","""&amp;B93&amp;""",TRUE'"</f>
        <v>'chkTextHide "Main1Group2R1","Main1Text2",TRUE'</v>
      </c>
      <c r="N96" s="105" t="s">
        <v>59</v>
      </c>
      <c r="O96" s="105" t="str">
        <f>"$J$"&amp;A96</f>
        <v>$J$13</v>
      </c>
      <c r="P96" s="105" t="str">
        <f>"$K$"&amp;A96</f>
        <v>$K$13</v>
      </c>
      <c r="Q96" s="105">
        <v>5</v>
      </c>
      <c r="R96" s="105">
        <v>1</v>
      </c>
      <c r="S96" s="105"/>
      <c r="T96" s="105">
        <v>22</v>
      </c>
      <c r="U96" s="105" t="b">
        <v>1</v>
      </c>
      <c r="V96" s="105" t="s">
        <v>1343</v>
      </c>
      <c r="W96" s="105" t="s">
        <v>1356</v>
      </c>
      <c r="X96" s="105"/>
      <c r="Y96" s="105"/>
      <c r="Z96" s="105"/>
      <c r="AA96" s="105"/>
      <c r="AB96" s="105"/>
      <c r="AC96" s="105">
        <v>16</v>
      </c>
      <c r="AD96" s="105"/>
      <c r="AE96" s="105">
        <v>12</v>
      </c>
      <c r="AF96" s="105" t="b">
        <v>0</v>
      </c>
      <c r="AG96" s="105" t="s">
        <v>1355</v>
      </c>
      <c r="AH96" s="105" t="s">
        <v>29</v>
      </c>
      <c r="AI96" s="105" t="s">
        <v>29</v>
      </c>
      <c r="AJ96" s="105"/>
      <c r="AK96" s="105"/>
      <c r="AL96" s="105">
        <v>0</v>
      </c>
      <c r="AM96" s="105"/>
      <c r="AN96" s="105"/>
      <c r="AO96" s="105"/>
      <c r="AP96" s="105"/>
    </row>
    <row r="97" spans="1:42" ht="16.5" customHeight="1" x14ac:dyDescent="0.2">
      <c r="A97" s="105">
        <f>$A$92+2</f>
        <v>13</v>
      </c>
      <c r="B97" s="105" t="s">
        <v>609</v>
      </c>
      <c r="C97" s="105" t="s">
        <v>659</v>
      </c>
      <c r="D97" s="105" t="s">
        <v>118</v>
      </c>
      <c r="E97" s="105"/>
      <c r="F97" s="105"/>
      <c r="G97" s="105" t="s">
        <v>1149</v>
      </c>
      <c r="H97" s="105" t="b">
        <v>0</v>
      </c>
      <c r="I97" s="105" t="s">
        <v>35</v>
      </c>
      <c r="J97" s="105" t="b">
        <f t="shared" si="6"/>
        <v>1</v>
      </c>
      <c r="K97" s="105" t="b">
        <v>1</v>
      </c>
      <c r="L97" s="105"/>
      <c r="M97" s="105" t="str">
        <f>"'chkTextHide """&amp;B97&amp;""","""&amp;B93&amp;""",FALSE'"</f>
        <v>'chkTextHide "Main1Group2R2","Main1Text2",FALSE'</v>
      </c>
      <c r="N97" s="105" t="s">
        <v>59</v>
      </c>
      <c r="O97" s="105" t="str">
        <f>"$L$"&amp;A97</f>
        <v>$L$13</v>
      </c>
      <c r="P97" s="105" t="str">
        <f>"$M$"&amp;A97</f>
        <v>$M$13</v>
      </c>
      <c r="Q97" s="105">
        <v>5</v>
      </c>
      <c r="R97" s="105">
        <v>1</v>
      </c>
      <c r="S97" s="105"/>
      <c r="T97" s="105">
        <v>22</v>
      </c>
      <c r="U97" s="105" t="b">
        <v>1</v>
      </c>
      <c r="V97" s="105" t="s">
        <v>1343</v>
      </c>
      <c r="W97" s="105" t="s">
        <v>1356</v>
      </c>
      <c r="X97" s="105"/>
      <c r="Y97" s="105"/>
      <c r="Z97" s="105"/>
      <c r="AA97" s="105"/>
      <c r="AB97" s="105"/>
      <c r="AC97" s="105">
        <v>16</v>
      </c>
      <c r="AD97" s="105"/>
      <c r="AE97" s="105">
        <v>12</v>
      </c>
      <c r="AF97" s="105" t="b">
        <v>0</v>
      </c>
      <c r="AG97" s="105" t="s">
        <v>1355</v>
      </c>
      <c r="AH97" s="105" t="s">
        <v>29</v>
      </c>
      <c r="AI97" s="105" t="s">
        <v>29</v>
      </c>
      <c r="AJ97" s="105"/>
      <c r="AK97" s="105"/>
      <c r="AL97" s="105">
        <v>0</v>
      </c>
      <c r="AM97" s="105"/>
      <c r="AN97" s="105"/>
      <c r="AO97" s="105"/>
      <c r="AP97" s="105"/>
    </row>
    <row r="98" spans="1:42" ht="16.5" customHeight="1" x14ac:dyDescent="0.2">
      <c r="A98" s="106">
        <f>$A$92+6</f>
        <v>17</v>
      </c>
      <c r="B98" s="106" t="s">
        <v>124</v>
      </c>
      <c r="C98" s="106" t="s">
        <v>655</v>
      </c>
      <c r="D98" s="106"/>
      <c r="E98" s="106"/>
      <c r="F98" s="106"/>
      <c r="G98" s="106" t="s">
        <v>1149</v>
      </c>
      <c r="H98" s="106"/>
      <c r="I98" s="106"/>
      <c r="J98" s="106" t="b">
        <f t="shared" si="6"/>
        <v>1</v>
      </c>
      <c r="K98" s="106" t="b">
        <v>1</v>
      </c>
      <c r="L98" s="106"/>
      <c r="M98" s="106"/>
      <c r="N98" s="106" t="s">
        <v>59</v>
      </c>
      <c r="O98" s="106" t="str">
        <f>"$B$"&amp;A98</f>
        <v>$B$17</v>
      </c>
      <c r="P98" s="106" t="str">
        <f>"$M$"&amp;A98</f>
        <v>$M$17</v>
      </c>
      <c r="Q98" s="106"/>
      <c r="R98" s="106">
        <v>2</v>
      </c>
      <c r="S98" s="106"/>
      <c r="T98" s="106">
        <v>2</v>
      </c>
      <c r="U98" s="106" t="b">
        <v>1</v>
      </c>
      <c r="V98" s="106" t="s">
        <v>1344</v>
      </c>
      <c r="W98" s="106" t="s">
        <v>1343</v>
      </c>
      <c r="X98" s="106"/>
      <c r="Y98" s="106"/>
      <c r="Z98" s="106"/>
      <c r="AA98" s="106"/>
      <c r="AB98" s="106"/>
      <c r="AC98" s="106"/>
      <c r="AD98" s="106"/>
      <c r="AE98" s="106"/>
      <c r="AF98" s="106"/>
      <c r="AG98" s="106"/>
      <c r="AH98" s="106"/>
      <c r="AI98" s="106"/>
      <c r="AJ98" s="106"/>
      <c r="AK98" s="106"/>
      <c r="AL98" s="106"/>
      <c r="AM98" s="106"/>
      <c r="AN98" s="106"/>
      <c r="AO98" s="106"/>
      <c r="AP98" s="106"/>
    </row>
    <row r="99" spans="1:42" ht="16.5" customHeight="1" x14ac:dyDescent="0.2">
      <c r="A99" s="100">
        <f>$A$98+4</f>
        <v>21</v>
      </c>
      <c r="B99" s="100" t="s">
        <v>148</v>
      </c>
      <c r="C99" s="100" t="s">
        <v>649</v>
      </c>
      <c r="D99" s="100"/>
      <c r="E99" s="100"/>
      <c r="F99" s="100"/>
      <c r="G99" s="100" t="s">
        <v>1149</v>
      </c>
      <c r="H99" s="100"/>
      <c r="I99" s="100" t="s">
        <v>150</v>
      </c>
      <c r="J99" s="100" t="b">
        <f t="shared" si="6"/>
        <v>1</v>
      </c>
      <c r="K99" s="100" t="b">
        <v>1</v>
      </c>
      <c r="L99" s="100" t="b">
        <v>1</v>
      </c>
      <c r="M99" s="100"/>
      <c r="N99" s="100" t="s">
        <v>59</v>
      </c>
      <c r="O99" s="100" t="str">
        <f>"$D$"&amp;A99</f>
        <v>$D$21</v>
      </c>
      <c r="P99" s="100" t="str">
        <f>"$M$"&amp;A99</f>
        <v>$M$21</v>
      </c>
      <c r="Q99" s="100"/>
      <c r="R99" s="100">
        <v>3</v>
      </c>
      <c r="S99" s="100"/>
      <c r="T99" s="100">
        <v>140</v>
      </c>
      <c r="U99" s="100" t="b">
        <v>1</v>
      </c>
      <c r="V99" s="100" t="s">
        <v>1341</v>
      </c>
      <c r="W99" s="100" t="s">
        <v>1341</v>
      </c>
      <c r="X99" s="100"/>
      <c r="Y99" s="100"/>
      <c r="Z99" s="100"/>
      <c r="AA99" s="100"/>
      <c r="AB99" s="100"/>
      <c r="AC99" s="100">
        <v>5</v>
      </c>
      <c r="AD99" s="100" t="s">
        <v>105</v>
      </c>
      <c r="AE99" s="100">
        <v>12</v>
      </c>
      <c r="AF99" s="100" t="b">
        <v>0</v>
      </c>
      <c r="AG99" s="100" t="s">
        <v>1355</v>
      </c>
      <c r="AH99" s="100" t="s">
        <v>27</v>
      </c>
      <c r="AI99" s="100" t="s">
        <v>28</v>
      </c>
      <c r="AJ99" s="100"/>
      <c r="AK99" s="100"/>
      <c r="AL99" s="100">
        <v>0</v>
      </c>
      <c r="AM99" s="100"/>
      <c r="AN99" s="100"/>
      <c r="AO99" s="100"/>
      <c r="AP99" s="100"/>
    </row>
    <row r="100" spans="1:42" ht="16.5" customHeight="1" x14ac:dyDescent="0.2">
      <c r="A100" s="100">
        <f>$A$98+2</f>
        <v>19</v>
      </c>
      <c r="B100" s="100" t="s">
        <v>121</v>
      </c>
      <c r="C100" s="100" t="s">
        <v>649</v>
      </c>
      <c r="D100" s="100"/>
      <c r="E100" s="100"/>
      <c r="F100" s="100"/>
      <c r="G100" s="100" t="s">
        <v>1149</v>
      </c>
      <c r="H100" s="100" t="b">
        <v>1</v>
      </c>
      <c r="I100" s="100" t="s">
        <v>149</v>
      </c>
      <c r="J100" s="100" t="b">
        <f t="shared" si="6"/>
        <v>1</v>
      </c>
      <c r="K100" s="100" t="b">
        <v>1</v>
      </c>
      <c r="L100" s="100"/>
      <c r="M100" s="100"/>
      <c r="N100" s="100" t="s">
        <v>59</v>
      </c>
      <c r="O100" s="100" t="str">
        <f>"$C$"&amp;A100</f>
        <v>$C$19</v>
      </c>
      <c r="P100" s="100" t="str">
        <f>"$I$"&amp;A100</f>
        <v>$I$19</v>
      </c>
      <c r="Q100" s="100">
        <v>-20</v>
      </c>
      <c r="R100" s="100">
        <v>3</v>
      </c>
      <c r="S100" s="100"/>
      <c r="T100" s="100">
        <v>22</v>
      </c>
      <c r="U100" s="100" t="b">
        <v>1</v>
      </c>
      <c r="V100" s="100" t="s">
        <v>1342</v>
      </c>
      <c r="W100" s="100" t="s">
        <v>1342</v>
      </c>
      <c r="X100" s="100"/>
      <c r="Y100" s="100"/>
      <c r="Z100" s="100"/>
      <c r="AA100" s="100"/>
      <c r="AB100" s="100">
        <v>3</v>
      </c>
      <c r="AC100" s="100"/>
      <c r="AD100" s="100" t="s">
        <v>105</v>
      </c>
      <c r="AE100" s="100">
        <v>12</v>
      </c>
      <c r="AF100" s="100" t="b">
        <v>0</v>
      </c>
      <c r="AG100" s="100" t="s">
        <v>1355</v>
      </c>
      <c r="AH100" s="100" t="s">
        <v>29</v>
      </c>
      <c r="AI100" s="100" t="s">
        <v>28</v>
      </c>
      <c r="AJ100" s="100"/>
      <c r="AK100" s="100"/>
      <c r="AL100" s="100">
        <v>0</v>
      </c>
      <c r="AM100" s="100"/>
      <c r="AN100" s="100"/>
      <c r="AO100" s="100"/>
      <c r="AP100" s="100"/>
    </row>
    <row r="101" spans="1:42" ht="16.5" customHeight="1" x14ac:dyDescent="0.2">
      <c r="A101" s="104">
        <f>$A$98+2</f>
        <v>19</v>
      </c>
      <c r="B101" s="104" t="s">
        <v>119</v>
      </c>
      <c r="C101" s="104" t="s">
        <v>657</v>
      </c>
      <c r="D101" s="104" t="s">
        <v>119</v>
      </c>
      <c r="E101" s="104"/>
      <c r="F101" s="104"/>
      <c r="G101" s="104" t="s">
        <v>1149</v>
      </c>
      <c r="H101" s="104"/>
      <c r="I101" s="104" t="str">
        <f>B101</f>
        <v>Main1Group3</v>
      </c>
      <c r="J101" s="104" t="b">
        <f t="shared" si="6"/>
        <v>1</v>
      </c>
      <c r="K101" s="104" t="b">
        <f>$C$3</f>
        <v>0</v>
      </c>
      <c r="L101" s="104"/>
      <c r="M101" s="104"/>
      <c r="N101" s="104" t="s">
        <v>59</v>
      </c>
      <c r="O101" s="104" t="str">
        <f>"$B$"&amp;A101</f>
        <v>$B$19</v>
      </c>
      <c r="P101" s="104" t="str">
        <f>"$M$"&amp;A101</f>
        <v>$M$19</v>
      </c>
      <c r="Q101" s="104"/>
      <c r="R101" s="104"/>
      <c r="S101" s="104"/>
      <c r="T101" s="104">
        <v>22</v>
      </c>
      <c r="U101" s="104" t="b">
        <v>1</v>
      </c>
      <c r="V101" s="104"/>
      <c r="W101" s="104"/>
      <c r="X101" s="104"/>
      <c r="Y101" s="104"/>
      <c r="Z101" s="104"/>
      <c r="AA101" s="104"/>
      <c r="AB101" s="104"/>
      <c r="AC101" s="104">
        <v>16</v>
      </c>
      <c r="AD101" s="104"/>
      <c r="AE101" s="104"/>
      <c r="AF101" s="104"/>
      <c r="AG101" s="104"/>
      <c r="AH101" s="104" t="s">
        <v>29</v>
      </c>
      <c r="AI101" s="104" t="s">
        <v>28</v>
      </c>
      <c r="AJ101" s="104"/>
      <c r="AK101" s="104"/>
      <c r="AL101" s="104"/>
      <c r="AM101" s="104"/>
      <c r="AN101" s="104"/>
      <c r="AO101" s="104"/>
      <c r="AP101" s="104"/>
    </row>
    <row r="102" spans="1:42" ht="16.5" customHeight="1" x14ac:dyDescent="0.2">
      <c r="A102" s="105">
        <f>$A$98+2</f>
        <v>19</v>
      </c>
      <c r="B102" s="105" t="s">
        <v>610</v>
      </c>
      <c r="C102" s="105" t="s">
        <v>659</v>
      </c>
      <c r="D102" s="105" t="s">
        <v>119</v>
      </c>
      <c r="E102" s="105"/>
      <c r="F102" s="105"/>
      <c r="G102" s="105" t="s">
        <v>1149</v>
      </c>
      <c r="H102" s="105" t="b">
        <v>1</v>
      </c>
      <c r="I102" s="105" t="s">
        <v>34</v>
      </c>
      <c r="J102" s="105" t="b">
        <f t="shared" si="6"/>
        <v>1</v>
      </c>
      <c r="K102" s="105" t="b">
        <v>1</v>
      </c>
      <c r="L102" s="105"/>
      <c r="M102" s="105" t="str">
        <f>"'chkTextHide """&amp;B102&amp;""","""&amp;B99&amp;""",TRUE'"</f>
        <v>'chkTextHide "Main1Group3R1","Main1Text3",TRUE'</v>
      </c>
      <c r="N102" s="105" t="s">
        <v>59</v>
      </c>
      <c r="O102" s="105" t="str">
        <f>"$J$"&amp;A102</f>
        <v>$J$19</v>
      </c>
      <c r="P102" s="105" t="str">
        <f>"$K$"&amp;A102</f>
        <v>$K$19</v>
      </c>
      <c r="Q102" s="105">
        <v>5</v>
      </c>
      <c r="R102" s="105">
        <v>1</v>
      </c>
      <c r="S102" s="105"/>
      <c r="T102" s="105">
        <v>22</v>
      </c>
      <c r="U102" s="105" t="b">
        <v>1</v>
      </c>
      <c r="V102" s="105" t="s">
        <v>1343</v>
      </c>
      <c r="W102" s="105" t="s">
        <v>1356</v>
      </c>
      <c r="X102" s="105"/>
      <c r="Y102" s="105"/>
      <c r="Z102" s="105"/>
      <c r="AA102" s="105"/>
      <c r="AB102" s="105"/>
      <c r="AC102" s="105">
        <v>16</v>
      </c>
      <c r="AD102" s="105"/>
      <c r="AE102" s="105">
        <v>12</v>
      </c>
      <c r="AF102" s="105" t="b">
        <v>0</v>
      </c>
      <c r="AG102" s="105" t="s">
        <v>1355</v>
      </c>
      <c r="AH102" s="105" t="s">
        <v>29</v>
      </c>
      <c r="AI102" s="105" t="s">
        <v>29</v>
      </c>
      <c r="AJ102" s="105"/>
      <c r="AK102" s="105"/>
      <c r="AL102" s="105">
        <v>0</v>
      </c>
      <c r="AM102" s="105"/>
      <c r="AN102" s="105"/>
      <c r="AO102" s="105"/>
      <c r="AP102" s="105"/>
    </row>
    <row r="103" spans="1:42" ht="16.5" customHeight="1" x14ac:dyDescent="0.2">
      <c r="A103" s="105">
        <f>$A$98+2</f>
        <v>19</v>
      </c>
      <c r="B103" s="105" t="s">
        <v>611</v>
      </c>
      <c r="C103" s="105" t="s">
        <v>659</v>
      </c>
      <c r="D103" s="105" t="s">
        <v>119</v>
      </c>
      <c r="E103" s="105"/>
      <c r="F103" s="105"/>
      <c r="G103" s="105" t="s">
        <v>1149</v>
      </c>
      <c r="H103" s="105" t="b">
        <v>0</v>
      </c>
      <c r="I103" s="105" t="s">
        <v>35</v>
      </c>
      <c r="J103" s="105" t="b">
        <f t="shared" si="6"/>
        <v>1</v>
      </c>
      <c r="K103" s="105" t="b">
        <v>1</v>
      </c>
      <c r="L103" s="105"/>
      <c r="M103" s="105" t="str">
        <f>"'chkTextHide """&amp;B103&amp;""","""&amp;B99&amp;""",FALSE'"</f>
        <v>'chkTextHide "Main1Group3R2","Main1Text3",FALSE'</v>
      </c>
      <c r="N103" s="105" t="s">
        <v>59</v>
      </c>
      <c r="O103" s="105" t="str">
        <f>"$L$"&amp;A103</f>
        <v>$L$19</v>
      </c>
      <c r="P103" s="105" t="str">
        <f>"$M$"&amp;A103</f>
        <v>$M$19</v>
      </c>
      <c r="Q103" s="105">
        <v>5</v>
      </c>
      <c r="R103" s="105">
        <v>1</v>
      </c>
      <c r="S103" s="105"/>
      <c r="T103" s="105">
        <v>22</v>
      </c>
      <c r="U103" s="105" t="b">
        <v>1</v>
      </c>
      <c r="V103" s="105" t="s">
        <v>1343</v>
      </c>
      <c r="W103" s="105" t="s">
        <v>1356</v>
      </c>
      <c r="X103" s="105"/>
      <c r="Y103" s="105"/>
      <c r="Z103" s="105"/>
      <c r="AA103" s="105"/>
      <c r="AB103" s="105"/>
      <c r="AC103" s="105">
        <v>16</v>
      </c>
      <c r="AD103" s="105"/>
      <c r="AE103" s="105">
        <v>12</v>
      </c>
      <c r="AF103" s="105" t="b">
        <v>0</v>
      </c>
      <c r="AG103" s="105" t="s">
        <v>1355</v>
      </c>
      <c r="AH103" s="105" t="s">
        <v>29</v>
      </c>
      <c r="AI103" s="105" t="s">
        <v>29</v>
      </c>
      <c r="AJ103" s="105"/>
      <c r="AK103" s="105"/>
      <c r="AL103" s="105">
        <v>0</v>
      </c>
      <c r="AM103" s="105"/>
      <c r="AN103" s="105"/>
      <c r="AO103" s="105"/>
      <c r="AP103" s="105"/>
    </row>
    <row r="104" spans="1:42" ht="16.5" customHeight="1" x14ac:dyDescent="0.2">
      <c r="A104" s="106">
        <f>$A$98+6</f>
        <v>23</v>
      </c>
      <c r="B104" s="106" t="s">
        <v>125</v>
      </c>
      <c r="C104" s="106" t="s">
        <v>655</v>
      </c>
      <c r="D104" s="106"/>
      <c r="E104" s="106"/>
      <c r="F104" s="106"/>
      <c r="G104" s="106" t="s">
        <v>1149</v>
      </c>
      <c r="H104" s="106"/>
      <c r="I104" s="106"/>
      <c r="J104" s="106" t="b">
        <f t="shared" si="6"/>
        <v>1</v>
      </c>
      <c r="K104" s="106" t="b">
        <v>1</v>
      </c>
      <c r="L104" s="106"/>
      <c r="M104" s="106"/>
      <c r="N104" s="106" t="s">
        <v>59</v>
      </c>
      <c r="O104" s="106" t="str">
        <f>"$B$"&amp;A104</f>
        <v>$B$23</v>
      </c>
      <c r="P104" s="106" t="str">
        <f>"$M$"&amp;A104</f>
        <v>$M$23</v>
      </c>
      <c r="Q104" s="106"/>
      <c r="R104" s="106">
        <v>2</v>
      </c>
      <c r="S104" s="106"/>
      <c r="T104" s="106">
        <v>2</v>
      </c>
      <c r="U104" s="106" t="b">
        <v>1</v>
      </c>
      <c r="V104" s="106" t="s">
        <v>1344</v>
      </c>
      <c r="W104" s="106" t="s">
        <v>1343</v>
      </c>
      <c r="X104" s="106"/>
      <c r="Y104" s="106"/>
      <c r="Z104" s="106"/>
      <c r="AA104" s="106"/>
      <c r="AB104" s="106"/>
      <c r="AC104" s="106"/>
      <c r="AD104" s="106"/>
      <c r="AE104" s="106"/>
      <c r="AF104" s="106"/>
      <c r="AG104" s="106"/>
      <c r="AH104" s="106"/>
      <c r="AI104" s="106"/>
      <c r="AJ104" s="106"/>
      <c r="AK104" s="106"/>
      <c r="AL104" s="106"/>
      <c r="AM104" s="106"/>
      <c r="AN104" s="106"/>
      <c r="AO104" s="106"/>
      <c r="AP104" s="106"/>
    </row>
    <row r="105" spans="1:42" ht="16.5" customHeight="1" x14ac:dyDescent="0.2">
      <c r="A105" s="100">
        <f>$A$104+4</f>
        <v>27</v>
      </c>
      <c r="B105" s="100" t="s">
        <v>154</v>
      </c>
      <c r="C105" s="100" t="s">
        <v>649</v>
      </c>
      <c r="D105" s="100"/>
      <c r="E105" s="100"/>
      <c r="F105" s="100"/>
      <c r="G105" s="100" t="s">
        <v>1149</v>
      </c>
      <c r="H105" s="100"/>
      <c r="I105" s="100" t="s">
        <v>165</v>
      </c>
      <c r="J105" s="100" t="b">
        <f t="shared" si="6"/>
        <v>1</v>
      </c>
      <c r="K105" s="100" t="b">
        <v>1</v>
      </c>
      <c r="L105" s="100" t="b">
        <v>1</v>
      </c>
      <c r="M105" s="100"/>
      <c r="N105" s="100" t="s">
        <v>59</v>
      </c>
      <c r="O105" s="100" t="str">
        <f>"$D$"&amp;A105</f>
        <v>$D$27</v>
      </c>
      <c r="P105" s="100" t="str">
        <f>"$M$"&amp;A105</f>
        <v>$M$27</v>
      </c>
      <c r="Q105" s="100"/>
      <c r="R105" s="100">
        <v>3</v>
      </c>
      <c r="S105" s="100"/>
      <c r="T105" s="100">
        <v>140</v>
      </c>
      <c r="U105" s="100" t="b">
        <v>1</v>
      </c>
      <c r="V105" s="100" t="s">
        <v>1341</v>
      </c>
      <c r="W105" s="100" t="s">
        <v>1341</v>
      </c>
      <c r="X105" s="100"/>
      <c r="Y105" s="100"/>
      <c r="Z105" s="100"/>
      <c r="AA105" s="100"/>
      <c r="AB105" s="100"/>
      <c r="AC105" s="100">
        <v>5</v>
      </c>
      <c r="AD105" s="100" t="s">
        <v>105</v>
      </c>
      <c r="AE105" s="100">
        <v>12</v>
      </c>
      <c r="AF105" s="100" t="b">
        <v>0</v>
      </c>
      <c r="AG105" s="100" t="s">
        <v>1355</v>
      </c>
      <c r="AH105" s="100" t="s">
        <v>27</v>
      </c>
      <c r="AI105" s="100" t="s">
        <v>28</v>
      </c>
      <c r="AJ105" s="100"/>
      <c r="AK105" s="100"/>
      <c r="AL105" s="100">
        <v>0</v>
      </c>
      <c r="AM105" s="100"/>
      <c r="AN105" s="100"/>
      <c r="AO105" s="100"/>
      <c r="AP105" s="100"/>
    </row>
    <row r="106" spans="1:42" ht="16.5" customHeight="1" x14ac:dyDescent="0.2">
      <c r="A106" s="100">
        <f>$A$104+2</f>
        <v>25</v>
      </c>
      <c r="B106" s="100" t="s">
        <v>127</v>
      </c>
      <c r="C106" s="100" t="s">
        <v>649</v>
      </c>
      <c r="D106" s="100"/>
      <c r="E106" s="100"/>
      <c r="F106" s="100"/>
      <c r="G106" s="100" t="s">
        <v>1149</v>
      </c>
      <c r="H106" s="100" t="b">
        <v>1</v>
      </c>
      <c r="I106" s="100" t="s">
        <v>164</v>
      </c>
      <c r="J106" s="100" t="b">
        <f t="shared" si="6"/>
        <v>1</v>
      </c>
      <c r="K106" s="100" t="b">
        <v>1</v>
      </c>
      <c r="L106" s="100"/>
      <c r="M106" s="100"/>
      <c r="N106" s="100" t="s">
        <v>59</v>
      </c>
      <c r="O106" s="100" t="str">
        <f>"$C$"&amp;A106</f>
        <v>$C$25</v>
      </c>
      <c r="P106" s="100" t="str">
        <f>"$I$"&amp;A106</f>
        <v>$I$25</v>
      </c>
      <c r="Q106" s="100">
        <v>-20</v>
      </c>
      <c r="R106" s="100">
        <v>3</v>
      </c>
      <c r="S106" s="100"/>
      <c r="T106" s="100">
        <v>22</v>
      </c>
      <c r="U106" s="100" t="b">
        <v>1</v>
      </c>
      <c r="V106" s="100" t="s">
        <v>1342</v>
      </c>
      <c r="W106" s="100" t="s">
        <v>1342</v>
      </c>
      <c r="X106" s="100"/>
      <c r="Y106" s="100"/>
      <c r="Z106" s="100"/>
      <c r="AA106" s="100"/>
      <c r="AB106" s="100">
        <v>3</v>
      </c>
      <c r="AC106" s="100"/>
      <c r="AD106" s="100" t="s">
        <v>105</v>
      </c>
      <c r="AE106" s="100">
        <v>12</v>
      </c>
      <c r="AF106" s="100" t="b">
        <v>0</v>
      </c>
      <c r="AG106" s="100" t="s">
        <v>1355</v>
      </c>
      <c r="AH106" s="100" t="s">
        <v>29</v>
      </c>
      <c r="AI106" s="100" t="s">
        <v>28</v>
      </c>
      <c r="AJ106" s="100"/>
      <c r="AK106" s="100"/>
      <c r="AL106" s="100">
        <v>0</v>
      </c>
      <c r="AM106" s="100"/>
      <c r="AN106" s="100"/>
      <c r="AO106" s="100"/>
      <c r="AP106" s="100"/>
    </row>
    <row r="107" spans="1:42" ht="16.5" customHeight="1" x14ac:dyDescent="0.2">
      <c r="A107" s="104">
        <f>$A$104+2</f>
        <v>25</v>
      </c>
      <c r="B107" s="104" t="s">
        <v>126</v>
      </c>
      <c r="C107" s="104" t="s">
        <v>657</v>
      </c>
      <c r="D107" s="104" t="s">
        <v>126</v>
      </c>
      <c r="E107" s="104"/>
      <c r="F107" s="104"/>
      <c r="G107" s="104" t="s">
        <v>1149</v>
      </c>
      <c r="H107" s="104"/>
      <c r="I107" s="104" t="str">
        <f>B107</f>
        <v>Main1Group4</v>
      </c>
      <c r="J107" s="104" t="b">
        <f t="shared" si="6"/>
        <v>1</v>
      </c>
      <c r="K107" s="104" t="b">
        <f>$C$3</f>
        <v>0</v>
      </c>
      <c r="L107" s="104"/>
      <c r="M107" s="104"/>
      <c r="N107" s="104" t="s">
        <v>59</v>
      </c>
      <c r="O107" s="104" t="str">
        <f>"$B$"&amp;A107</f>
        <v>$B$25</v>
      </c>
      <c r="P107" s="104" t="str">
        <f>"$M$"&amp;A107</f>
        <v>$M$25</v>
      </c>
      <c r="Q107" s="104"/>
      <c r="R107" s="104"/>
      <c r="S107" s="104"/>
      <c r="T107" s="104">
        <v>22</v>
      </c>
      <c r="U107" s="104" t="b">
        <v>1</v>
      </c>
      <c r="V107" s="104"/>
      <c r="W107" s="104"/>
      <c r="X107" s="104"/>
      <c r="Y107" s="104"/>
      <c r="Z107" s="104"/>
      <c r="AA107" s="104"/>
      <c r="AB107" s="104"/>
      <c r="AC107" s="104">
        <v>16</v>
      </c>
      <c r="AD107" s="104"/>
      <c r="AE107" s="104"/>
      <c r="AF107" s="104"/>
      <c r="AG107" s="104"/>
      <c r="AH107" s="104" t="s">
        <v>29</v>
      </c>
      <c r="AI107" s="104" t="s">
        <v>28</v>
      </c>
      <c r="AJ107" s="104"/>
      <c r="AK107" s="104"/>
      <c r="AL107" s="104"/>
      <c r="AM107" s="104"/>
      <c r="AN107" s="104"/>
      <c r="AO107" s="104"/>
      <c r="AP107" s="104"/>
    </row>
    <row r="108" spans="1:42" ht="16.5" customHeight="1" x14ac:dyDescent="0.2">
      <c r="A108" s="105">
        <f>$A$104+2</f>
        <v>25</v>
      </c>
      <c r="B108" s="105" t="s">
        <v>612</v>
      </c>
      <c r="C108" s="105" t="s">
        <v>659</v>
      </c>
      <c r="D108" s="105" t="s">
        <v>126</v>
      </c>
      <c r="E108" s="105"/>
      <c r="F108" s="105"/>
      <c r="G108" s="105" t="s">
        <v>1149</v>
      </c>
      <c r="H108" s="105" t="b">
        <v>1</v>
      </c>
      <c r="I108" s="105" t="s">
        <v>34</v>
      </c>
      <c r="J108" s="105" t="b">
        <f t="shared" si="6"/>
        <v>1</v>
      </c>
      <c r="K108" s="105" t="b">
        <v>1</v>
      </c>
      <c r="L108" s="105"/>
      <c r="M108" s="105" t="str">
        <f>"'chkTextHide """&amp;B108&amp;""","""&amp;B105&amp;""",TRUE'"</f>
        <v>'chkTextHide "Main1Group4R1","Main1Text4",TRUE'</v>
      </c>
      <c r="N108" s="105" t="s">
        <v>59</v>
      </c>
      <c r="O108" s="105" t="str">
        <f>"$J$"&amp;A108</f>
        <v>$J$25</v>
      </c>
      <c r="P108" s="105" t="str">
        <f>"$K$"&amp;A108</f>
        <v>$K$25</v>
      </c>
      <c r="Q108" s="105">
        <v>5</v>
      </c>
      <c r="R108" s="105">
        <v>1</v>
      </c>
      <c r="S108" s="105"/>
      <c r="T108" s="105">
        <v>22</v>
      </c>
      <c r="U108" s="105" t="b">
        <v>1</v>
      </c>
      <c r="V108" s="105" t="s">
        <v>1343</v>
      </c>
      <c r="W108" s="105" t="s">
        <v>1356</v>
      </c>
      <c r="X108" s="105"/>
      <c r="Y108" s="105"/>
      <c r="Z108" s="105"/>
      <c r="AA108" s="105"/>
      <c r="AB108" s="105"/>
      <c r="AC108" s="105">
        <v>16</v>
      </c>
      <c r="AD108" s="105"/>
      <c r="AE108" s="105">
        <v>12</v>
      </c>
      <c r="AF108" s="105" t="b">
        <v>0</v>
      </c>
      <c r="AG108" s="105" t="s">
        <v>1355</v>
      </c>
      <c r="AH108" s="105" t="s">
        <v>29</v>
      </c>
      <c r="AI108" s="105" t="s">
        <v>29</v>
      </c>
      <c r="AJ108" s="105"/>
      <c r="AK108" s="105"/>
      <c r="AL108" s="105">
        <v>0</v>
      </c>
      <c r="AM108" s="105"/>
      <c r="AN108" s="105"/>
      <c r="AO108" s="105"/>
      <c r="AP108" s="105"/>
    </row>
    <row r="109" spans="1:42" ht="16.5" customHeight="1" x14ac:dyDescent="0.2">
      <c r="A109" s="105">
        <f>$A$104+2</f>
        <v>25</v>
      </c>
      <c r="B109" s="105" t="s">
        <v>613</v>
      </c>
      <c r="C109" s="105" t="s">
        <v>659</v>
      </c>
      <c r="D109" s="105" t="s">
        <v>126</v>
      </c>
      <c r="E109" s="105"/>
      <c r="F109" s="105"/>
      <c r="G109" s="105" t="s">
        <v>1149</v>
      </c>
      <c r="H109" s="105" t="b">
        <v>0</v>
      </c>
      <c r="I109" s="105" t="s">
        <v>35</v>
      </c>
      <c r="J109" s="105" t="b">
        <f t="shared" si="6"/>
        <v>1</v>
      </c>
      <c r="K109" s="105" t="b">
        <v>1</v>
      </c>
      <c r="L109" s="105"/>
      <c r="M109" s="105" t="str">
        <f>"'chkTextHide """&amp;B109&amp;""","""&amp;B105&amp;""",FALSE'"</f>
        <v>'chkTextHide "Main1Group4R2","Main1Text4",FALSE'</v>
      </c>
      <c r="N109" s="105" t="s">
        <v>59</v>
      </c>
      <c r="O109" s="105" t="str">
        <f>"$L$"&amp;A109</f>
        <v>$L$25</v>
      </c>
      <c r="P109" s="105" t="str">
        <f>"$M$"&amp;A109</f>
        <v>$M$25</v>
      </c>
      <c r="Q109" s="105">
        <v>5</v>
      </c>
      <c r="R109" s="105">
        <v>1</v>
      </c>
      <c r="S109" s="105"/>
      <c r="T109" s="105">
        <v>22</v>
      </c>
      <c r="U109" s="105" t="b">
        <v>1</v>
      </c>
      <c r="V109" s="105" t="s">
        <v>1343</v>
      </c>
      <c r="W109" s="105" t="s">
        <v>1356</v>
      </c>
      <c r="X109" s="105"/>
      <c r="Y109" s="105"/>
      <c r="Z109" s="105"/>
      <c r="AA109" s="105"/>
      <c r="AB109" s="105"/>
      <c r="AC109" s="105">
        <v>16</v>
      </c>
      <c r="AD109" s="105"/>
      <c r="AE109" s="105">
        <v>12</v>
      </c>
      <c r="AF109" s="105" t="b">
        <v>0</v>
      </c>
      <c r="AG109" s="105" t="s">
        <v>1355</v>
      </c>
      <c r="AH109" s="105" t="s">
        <v>29</v>
      </c>
      <c r="AI109" s="105" t="s">
        <v>29</v>
      </c>
      <c r="AJ109" s="105"/>
      <c r="AK109" s="105"/>
      <c r="AL109" s="105">
        <v>0</v>
      </c>
      <c r="AM109" s="105"/>
      <c r="AN109" s="105"/>
      <c r="AO109" s="105"/>
      <c r="AP109" s="105"/>
    </row>
    <row r="110" spans="1:42" ht="16.5" customHeight="1" x14ac:dyDescent="0.2">
      <c r="A110" s="106">
        <f>$A$104+6</f>
        <v>29</v>
      </c>
      <c r="B110" s="106" t="s">
        <v>151</v>
      </c>
      <c r="C110" s="106" t="s">
        <v>655</v>
      </c>
      <c r="D110" s="106"/>
      <c r="E110" s="106"/>
      <c r="F110" s="106"/>
      <c r="G110" s="106" t="s">
        <v>1149</v>
      </c>
      <c r="H110" s="106"/>
      <c r="I110" s="106"/>
      <c r="J110" s="106" t="b">
        <f t="shared" si="6"/>
        <v>1</v>
      </c>
      <c r="K110" s="106" t="b">
        <v>1</v>
      </c>
      <c r="L110" s="106"/>
      <c r="M110" s="106"/>
      <c r="N110" s="106" t="s">
        <v>59</v>
      </c>
      <c r="O110" s="106" t="str">
        <f>"$B$"&amp;A110</f>
        <v>$B$29</v>
      </c>
      <c r="P110" s="106" t="str">
        <f>"$M$"&amp;A110</f>
        <v>$M$29</v>
      </c>
      <c r="Q110" s="106"/>
      <c r="R110" s="106">
        <v>2</v>
      </c>
      <c r="S110" s="106"/>
      <c r="T110" s="106">
        <v>2</v>
      </c>
      <c r="U110" s="106" t="b">
        <v>1</v>
      </c>
      <c r="V110" s="106" t="s">
        <v>1344</v>
      </c>
      <c r="W110" s="106" t="s">
        <v>1343</v>
      </c>
      <c r="X110" s="106"/>
      <c r="Y110" s="106"/>
      <c r="Z110" s="106"/>
      <c r="AA110" s="106"/>
      <c r="AB110" s="106"/>
      <c r="AC110" s="106"/>
      <c r="AD110" s="106"/>
      <c r="AE110" s="106"/>
      <c r="AF110" s="106"/>
      <c r="AG110" s="106"/>
      <c r="AH110" s="106"/>
      <c r="AI110" s="106"/>
      <c r="AJ110" s="106"/>
      <c r="AK110" s="106"/>
      <c r="AL110" s="106"/>
      <c r="AM110" s="106"/>
      <c r="AN110" s="106"/>
      <c r="AO110" s="106"/>
      <c r="AP110" s="106"/>
    </row>
    <row r="111" spans="1:42" ht="16.5" customHeight="1" x14ac:dyDescent="0.2">
      <c r="A111" s="100">
        <f>$A$110+4</f>
        <v>33</v>
      </c>
      <c r="B111" s="100" t="s">
        <v>156</v>
      </c>
      <c r="C111" s="100" t="s">
        <v>649</v>
      </c>
      <c r="D111" s="100"/>
      <c r="E111" s="100"/>
      <c r="F111" s="100"/>
      <c r="G111" s="100" t="s">
        <v>1149</v>
      </c>
      <c r="H111" s="100"/>
      <c r="I111" s="100" t="s">
        <v>167</v>
      </c>
      <c r="J111" s="100" t="b">
        <f t="shared" si="6"/>
        <v>1</v>
      </c>
      <c r="K111" s="100" t="b">
        <v>1</v>
      </c>
      <c r="L111" s="100" t="b">
        <v>1</v>
      </c>
      <c r="M111" s="100"/>
      <c r="N111" s="100" t="s">
        <v>59</v>
      </c>
      <c r="O111" s="100" t="str">
        <f>"$D$"&amp;A111</f>
        <v>$D$33</v>
      </c>
      <c r="P111" s="100" t="str">
        <f>"$M$"&amp;A111</f>
        <v>$M$33</v>
      </c>
      <c r="Q111" s="100"/>
      <c r="R111" s="100">
        <v>3</v>
      </c>
      <c r="S111" s="100"/>
      <c r="T111" s="100">
        <v>140</v>
      </c>
      <c r="U111" s="100" t="b">
        <v>1</v>
      </c>
      <c r="V111" s="100" t="s">
        <v>1341</v>
      </c>
      <c r="W111" s="100" t="s">
        <v>1341</v>
      </c>
      <c r="X111" s="100"/>
      <c r="Y111" s="100"/>
      <c r="Z111" s="100"/>
      <c r="AA111" s="100"/>
      <c r="AB111" s="100"/>
      <c r="AC111" s="100">
        <v>5</v>
      </c>
      <c r="AD111" s="100" t="s">
        <v>105</v>
      </c>
      <c r="AE111" s="100">
        <v>12</v>
      </c>
      <c r="AF111" s="100" t="b">
        <v>0</v>
      </c>
      <c r="AG111" s="100" t="s">
        <v>1355</v>
      </c>
      <c r="AH111" s="100" t="s">
        <v>27</v>
      </c>
      <c r="AI111" s="100" t="s">
        <v>28</v>
      </c>
      <c r="AJ111" s="100"/>
      <c r="AK111" s="100"/>
      <c r="AL111" s="100">
        <v>0</v>
      </c>
      <c r="AM111" s="100"/>
      <c r="AN111" s="100"/>
      <c r="AO111" s="100"/>
      <c r="AP111" s="100"/>
    </row>
    <row r="112" spans="1:42" ht="16.5" customHeight="1" x14ac:dyDescent="0.2">
      <c r="A112" s="100">
        <f>$A$110+2</f>
        <v>31</v>
      </c>
      <c r="B112" s="100" t="s">
        <v>157</v>
      </c>
      <c r="C112" s="100" t="s">
        <v>649</v>
      </c>
      <c r="D112" s="100"/>
      <c r="E112" s="100"/>
      <c r="F112" s="100"/>
      <c r="G112" s="100" t="s">
        <v>1149</v>
      </c>
      <c r="H112" s="100" t="b">
        <v>1</v>
      </c>
      <c r="I112" s="100" t="s">
        <v>166</v>
      </c>
      <c r="J112" s="100" t="b">
        <f t="shared" si="6"/>
        <v>1</v>
      </c>
      <c r="K112" s="100" t="b">
        <v>1</v>
      </c>
      <c r="L112" s="100"/>
      <c r="M112" s="100"/>
      <c r="N112" s="100" t="s">
        <v>59</v>
      </c>
      <c r="O112" s="100" t="str">
        <f>"$C$"&amp;A112</f>
        <v>$C$31</v>
      </c>
      <c r="P112" s="100" t="str">
        <f>"$I$"&amp;A112</f>
        <v>$I$31</v>
      </c>
      <c r="Q112" s="100">
        <v>-20</v>
      </c>
      <c r="R112" s="100">
        <v>3</v>
      </c>
      <c r="S112" s="100"/>
      <c r="T112" s="100">
        <v>22</v>
      </c>
      <c r="U112" s="100" t="b">
        <v>1</v>
      </c>
      <c r="V112" s="100" t="s">
        <v>1342</v>
      </c>
      <c r="W112" s="100" t="s">
        <v>1342</v>
      </c>
      <c r="X112" s="100"/>
      <c r="Y112" s="100"/>
      <c r="Z112" s="100"/>
      <c r="AA112" s="100"/>
      <c r="AB112" s="100">
        <v>3</v>
      </c>
      <c r="AC112" s="100"/>
      <c r="AD112" s="100" t="s">
        <v>105</v>
      </c>
      <c r="AE112" s="100">
        <v>12</v>
      </c>
      <c r="AF112" s="100" t="b">
        <v>0</v>
      </c>
      <c r="AG112" s="100" t="s">
        <v>1355</v>
      </c>
      <c r="AH112" s="100" t="s">
        <v>29</v>
      </c>
      <c r="AI112" s="100" t="s">
        <v>28</v>
      </c>
      <c r="AJ112" s="100"/>
      <c r="AK112" s="100"/>
      <c r="AL112" s="100">
        <v>0</v>
      </c>
      <c r="AM112" s="100"/>
      <c r="AN112" s="100"/>
      <c r="AO112" s="100"/>
      <c r="AP112" s="100"/>
    </row>
    <row r="113" spans="1:42" ht="16.5" customHeight="1" x14ac:dyDescent="0.2">
      <c r="A113" s="104">
        <f>$A$110+2</f>
        <v>31</v>
      </c>
      <c r="B113" s="104" t="s">
        <v>155</v>
      </c>
      <c r="C113" s="104" t="s">
        <v>657</v>
      </c>
      <c r="D113" s="104" t="s">
        <v>155</v>
      </c>
      <c r="E113" s="104"/>
      <c r="F113" s="104"/>
      <c r="G113" s="104" t="s">
        <v>1149</v>
      </c>
      <c r="H113" s="104"/>
      <c r="I113" s="104" t="str">
        <f>B113</f>
        <v>Main1Group5</v>
      </c>
      <c r="J113" s="104" t="b">
        <f t="shared" si="6"/>
        <v>1</v>
      </c>
      <c r="K113" s="104" t="b">
        <f>$C$3</f>
        <v>0</v>
      </c>
      <c r="L113" s="104"/>
      <c r="M113" s="104"/>
      <c r="N113" s="104" t="s">
        <v>59</v>
      </c>
      <c r="O113" s="104" t="str">
        <f>"$B$"&amp;A113</f>
        <v>$B$31</v>
      </c>
      <c r="P113" s="104" t="str">
        <f>"$M$"&amp;A113</f>
        <v>$M$31</v>
      </c>
      <c r="Q113" s="104"/>
      <c r="R113" s="104"/>
      <c r="S113" s="104"/>
      <c r="T113" s="104">
        <v>22</v>
      </c>
      <c r="U113" s="104" t="b">
        <v>1</v>
      </c>
      <c r="V113" s="104"/>
      <c r="W113" s="104"/>
      <c r="X113" s="104"/>
      <c r="Y113" s="104"/>
      <c r="Z113" s="104"/>
      <c r="AA113" s="104"/>
      <c r="AB113" s="104"/>
      <c r="AC113" s="104">
        <v>16</v>
      </c>
      <c r="AD113" s="104"/>
      <c r="AE113" s="104"/>
      <c r="AF113" s="104"/>
      <c r="AG113" s="104"/>
      <c r="AH113" s="104" t="s">
        <v>29</v>
      </c>
      <c r="AI113" s="104" t="s">
        <v>28</v>
      </c>
      <c r="AJ113" s="104"/>
      <c r="AK113" s="104"/>
      <c r="AL113" s="104"/>
      <c r="AM113" s="104"/>
      <c r="AN113" s="104"/>
      <c r="AO113" s="104"/>
      <c r="AP113" s="104"/>
    </row>
    <row r="114" spans="1:42" ht="16.5" customHeight="1" x14ac:dyDescent="0.2">
      <c r="A114" s="105">
        <f>$A$110+2</f>
        <v>31</v>
      </c>
      <c r="B114" s="105" t="s">
        <v>614</v>
      </c>
      <c r="C114" s="105" t="s">
        <v>659</v>
      </c>
      <c r="D114" s="105" t="s">
        <v>155</v>
      </c>
      <c r="E114" s="105"/>
      <c r="F114" s="105"/>
      <c r="G114" s="105" t="s">
        <v>1149</v>
      </c>
      <c r="H114" s="105" t="b">
        <v>1</v>
      </c>
      <c r="I114" s="105" t="s">
        <v>34</v>
      </c>
      <c r="J114" s="105" t="b">
        <f t="shared" si="6"/>
        <v>1</v>
      </c>
      <c r="K114" s="105" t="b">
        <v>1</v>
      </c>
      <c r="L114" s="105"/>
      <c r="M114" s="105" t="str">
        <f>"'chkTextHide """&amp;B114&amp;""","""&amp;B111&amp;""",TRUE'"</f>
        <v>'chkTextHide "Main1Group5R1","Main1Text5",TRUE'</v>
      </c>
      <c r="N114" s="105" t="s">
        <v>59</v>
      </c>
      <c r="O114" s="105" t="str">
        <f>"$J$"&amp;A114</f>
        <v>$J$31</v>
      </c>
      <c r="P114" s="105" t="str">
        <f>"$K$"&amp;A114</f>
        <v>$K$31</v>
      </c>
      <c r="Q114" s="105">
        <v>5</v>
      </c>
      <c r="R114" s="105">
        <v>1</v>
      </c>
      <c r="S114" s="105"/>
      <c r="T114" s="105">
        <v>22</v>
      </c>
      <c r="U114" s="105" t="b">
        <v>1</v>
      </c>
      <c r="V114" s="105" t="s">
        <v>1343</v>
      </c>
      <c r="W114" s="105" t="s">
        <v>1356</v>
      </c>
      <c r="X114" s="105"/>
      <c r="Y114" s="105"/>
      <c r="Z114" s="105"/>
      <c r="AA114" s="105"/>
      <c r="AB114" s="105"/>
      <c r="AC114" s="105">
        <v>16</v>
      </c>
      <c r="AD114" s="105"/>
      <c r="AE114" s="105">
        <v>12</v>
      </c>
      <c r="AF114" s="105" t="b">
        <v>0</v>
      </c>
      <c r="AG114" s="105" t="s">
        <v>1355</v>
      </c>
      <c r="AH114" s="105" t="s">
        <v>29</v>
      </c>
      <c r="AI114" s="105" t="s">
        <v>29</v>
      </c>
      <c r="AJ114" s="105"/>
      <c r="AK114" s="105"/>
      <c r="AL114" s="105">
        <v>0</v>
      </c>
      <c r="AM114" s="105"/>
      <c r="AN114" s="105"/>
      <c r="AO114" s="105"/>
      <c r="AP114" s="105"/>
    </row>
    <row r="115" spans="1:42" ht="16.5" customHeight="1" x14ac:dyDescent="0.2">
      <c r="A115" s="105">
        <f>$A$110+2</f>
        <v>31</v>
      </c>
      <c r="B115" s="105" t="s">
        <v>615</v>
      </c>
      <c r="C115" s="105" t="s">
        <v>659</v>
      </c>
      <c r="D115" s="105" t="s">
        <v>155</v>
      </c>
      <c r="E115" s="105"/>
      <c r="F115" s="105"/>
      <c r="G115" s="105" t="s">
        <v>1149</v>
      </c>
      <c r="H115" s="105" t="b">
        <v>0</v>
      </c>
      <c r="I115" s="105" t="s">
        <v>35</v>
      </c>
      <c r="J115" s="105" t="b">
        <f t="shared" si="6"/>
        <v>1</v>
      </c>
      <c r="K115" s="105" t="b">
        <v>1</v>
      </c>
      <c r="L115" s="105"/>
      <c r="M115" s="105" t="str">
        <f>"'chkTextHide """&amp;B115&amp;""","""&amp;B111&amp;""",FALSE'"</f>
        <v>'chkTextHide "Main1Group5R2","Main1Text5",FALSE'</v>
      </c>
      <c r="N115" s="105" t="s">
        <v>59</v>
      </c>
      <c r="O115" s="105" t="str">
        <f>"$L$"&amp;A115</f>
        <v>$L$31</v>
      </c>
      <c r="P115" s="105" t="str">
        <f>"$M$"&amp;A115</f>
        <v>$M$31</v>
      </c>
      <c r="Q115" s="105">
        <v>5</v>
      </c>
      <c r="R115" s="105">
        <v>1</v>
      </c>
      <c r="S115" s="105"/>
      <c r="T115" s="105">
        <v>22</v>
      </c>
      <c r="U115" s="105" t="b">
        <v>1</v>
      </c>
      <c r="V115" s="105" t="s">
        <v>1343</v>
      </c>
      <c r="W115" s="105" t="s">
        <v>1356</v>
      </c>
      <c r="X115" s="105"/>
      <c r="Y115" s="105"/>
      <c r="Z115" s="105"/>
      <c r="AA115" s="105"/>
      <c r="AB115" s="105"/>
      <c r="AC115" s="105">
        <v>16</v>
      </c>
      <c r="AD115" s="105"/>
      <c r="AE115" s="105">
        <v>12</v>
      </c>
      <c r="AF115" s="105" t="b">
        <v>0</v>
      </c>
      <c r="AG115" s="105" t="s">
        <v>1355</v>
      </c>
      <c r="AH115" s="105" t="s">
        <v>29</v>
      </c>
      <c r="AI115" s="105" t="s">
        <v>29</v>
      </c>
      <c r="AJ115" s="105"/>
      <c r="AK115" s="105"/>
      <c r="AL115" s="105">
        <v>0</v>
      </c>
      <c r="AM115" s="105"/>
      <c r="AN115" s="105"/>
      <c r="AO115" s="105"/>
      <c r="AP115" s="105"/>
    </row>
    <row r="116" spans="1:42" ht="16.5" customHeight="1" x14ac:dyDescent="0.2">
      <c r="A116" s="106">
        <f>$A$110+6</f>
        <v>35</v>
      </c>
      <c r="B116" s="106" t="s">
        <v>152</v>
      </c>
      <c r="C116" s="106" t="s">
        <v>655</v>
      </c>
      <c r="D116" s="106"/>
      <c r="E116" s="106"/>
      <c r="F116" s="106"/>
      <c r="G116" s="106" t="s">
        <v>1149</v>
      </c>
      <c r="H116" s="106"/>
      <c r="I116" s="106"/>
      <c r="J116" s="106" t="b">
        <f t="shared" si="6"/>
        <v>1</v>
      </c>
      <c r="K116" s="106" t="b">
        <v>1</v>
      </c>
      <c r="L116" s="106"/>
      <c r="M116" s="106"/>
      <c r="N116" s="106" t="s">
        <v>59</v>
      </c>
      <c r="O116" s="106" t="str">
        <f>"$B$"&amp;A116</f>
        <v>$B$35</v>
      </c>
      <c r="P116" s="106" t="str">
        <f>"$M$"&amp;A116</f>
        <v>$M$35</v>
      </c>
      <c r="Q116" s="106"/>
      <c r="R116" s="106">
        <v>2</v>
      </c>
      <c r="S116" s="106"/>
      <c r="T116" s="106">
        <v>2</v>
      </c>
      <c r="U116" s="106" t="b">
        <v>1</v>
      </c>
      <c r="V116" s="106" t="s">
        <v>1344</v>
      </c>
      <c r="W116" s="106" t="s">
        <v>1343</v>
      </c>
      <c r="X116" s="106"/>
      <c r="Y116" s="106"/>
      <c r="Z116" s="106"/>
      <c r="AA116" s="106"/>
      <c r="AB116" s="106"/>
      <c r="AC116" s="106"/>
      <c r="AD116" s="106"/>
      <c r="AE116" s="106"/>
      <c r="AF116" s="106"/>
      <c r="AG116" s="106"/>
      <c r="AH116" s="106"/>
      <c r="AI116" s="106"/>
      <c r="AJ116" s="106"/>
      <c r="AK116" s="106"/>
      <c r="AL116" s="106"/>
      <c r="AM116" s="106"/>
      <c r="AN116" s="106"/>
      <c r="AO116" s="106"/>
      <c r="AP116" s="106"/>
    </row>
    <row r="117" spans="1:42" ht="16.5" customHeight="1" x14ac:dyDescent="0.2">
      <c r="A117" s="100">
        <f>$A$116+4</f>
        <v>39</v>
      </c>
      <c r="B117" s="100" t="s">
        <v>158</v>
      </c>
      <c r="C117" s="100" t="s">
        <v>649</v>
      </c>
      <c r="D117" s="100"/>
      <c r="E117" s="100"/>
      <c r="F117" s="100"/>
      <c r="G117" s="100" t="s">
        <v>1149</v>
      </c>
      <c r="H117" s="100"/>
      <c r="I117" s="100" t="s">
        <v>170</v>
      </c>
      <c r="J117" s="100" t="b">
        <f t="shared" si="6"/>
        <v>1</v>
      </c>
      <c r="K117" s="100" t="b">
        <v>1</v>
      </c>
      <c r="L117" s="100" t="b">
        <v>1</v>
      </c>
      <c r="M117" s="100"/>
      <c r="N117" s="100" t="s">
        <v>59</v>
      </c>
      <c r="O117" s="100" t="str">
        <f>"$D$"&amp;A117</f>
        <v>$D$39</v>
      </c>
      <c r="P117" s="100" t="str">
        <f>"$M$"&amp;A117</f>
        <v>$M$39</v>
      </c>
      <c r="Q117" s="100"/>
      <c r="R117" s="100">
        <v>3</v>
      </c>
      <c r="S117" s="100"/>
      <c r="T117" s="100">
        <v>140</v>
      </c>
      <c r="U117" s="100" t="b">
        <v>1</v>
      </c>
      <c r="V117" s="100" t="s">
        <v>1341</v>
      </c>
      <c r="W117" s="100" t="s">
        <v>1341</v>
      </c>
      <c r="X117" s="100"/>
      <c r="Y117" s="100"/>
      <c r="Z117" s="100"/>
      <c r="AA117" s="100"/>
      <c r="AB117" s="100"/>
      <c r="AC117" s="100">
        <v>5</v>
      </c>
      <c r="AD117" s="100" t="s">
        <v>105</v>
      </c>
      <c r="AE117" s="100">
        <v>12</v>
      </c>
      <c r="AF117" s="100" t="b">
        <v>0</v>
      </c>
      <c r="AG117" s="100" t="s">
        <v>1355</v>
      </c>
      <c r="AH117" s="100" t="s">
        <v>27</v>
      </c>
      <c r="AI117" s="100" t="s">
        <v>28</v>
      </c>
      <c r="AJ117" s="100"/>
      <c r="AK117" s="100"/>
      <c r="AL117" s="100">
        <v>0</v>
      </c>
      <c r="AM117" s="100"/>
      <c r="AN117" s="100"/>
      <c r="AO117" s="100"/>
      <c r="AP117" s="100"/>
    </row>
    <row r="118" spans="1:42" ht="16.5" customHeight="1" x14ac:dyDescent="0.2">
      <c r="A118" s="100">
        <f>$A$116+2</f>
        <v>37</v>
      </c>
      <c r="B118" s="100" t="s">
        <v>160</v>
      </c>
      <c r="C118" s="100" t="s">
        <v>649</v>
      </c>
      <c r="D118" s="100"/>
      <c r="E118" s="100"/>
      <c r="F118" s="100"/>
      <c r="G118" s="100" t="s">
        <v>1149</v>
      </c>
      <c r="H118" s="100" t="b">
        <v>1</v>
      </c>
      <c r="I118" s="100" t="s">
        <v>168</v>
      </c>
      <c r="J118" s="100" t="b">
        <f t="shared" si="6"/>
        <v>1</v>
      </c>
      <c r="K118" s="100" t="b">
        <v>1</v>
      </c>
      <c r="L118" s="100"/>
      <c r="M118" s="100"/>
      <c r="N118" s="100" t="s">
        <v>59</v>
      </c>
      <c r="O118" s="100" t="str">
        <f>"$C$"&amp;A118</f>
        <v>$C$37</v>
      </c>
      <c r="P118" s="100" t="str">
        <f>"$I$"&amp;A118</f>
        <v>$I$37</v>
      </c>
      <c r="Q118" s="100">
        <v>-20</v>
      </c>
      <c r="R118" s="100">
        <v>3</v>
      </c>
      <c r="S118" s="100"/>
      <c r="T118" s="100">
        <v>22</v>
      </c>
      <c r="U118" s="100" t="b">
        <v>1</v>
      </c>
      <c r="V118" s="100" t="s">
        <v>1342</v>
      </c>
      <c r="W118" s="100" t="s">
        <v>1342</v>
      </c>
      <c r="X118" s="100"/>
      <c r="Y118" s="100"/>
      <c r="Z118" s="100"/>
      <c r="AA118" s="100"/>
      <c r="AB118" s="100">
        <v>3</v>
      </c>
      <c r="AC118" s="100"/>
      <c r="AD118" s="100" t="s">
        <v>105</v>
      </c>
      <c r="AE118" s="100">
        <v>12</v>
      </c>
      <c r="AF118" s="100" t="b">
        <v>0</v>
      </c>
      <c r="AG118" s="100" t="s">
        <v>1355</v>
      </c>
      <c r="AH118" s="100" t="s">
        <v>29</v>
      </c>
      <c r="AI118" s="100" t="s">
        <v>28</v>
      </c>
      <c r="AJ118" s="100"/>
      <c r="AK118" s="100"/>
      <c r="AL118" s="100">
        <v>0</v>
      </c>
      <c r="AM118" s="100"/>
      <c r="AN118" s="100"/>
      <c r="AO118" s="100"/>
      <c r="AP118" s="100"/>
    </row>
    <row r="119" spans="1:42" ht="16.5" customHeight="1" x14ac:dyDescent="0.2">
      <c r="A119" s="104">
        <f>$A$116+2</f>
        <v>37</v>
      </c>
      <c r="B119" s="104" t="s">
        <v>159</v>
      </c>
      <c r="C119" s="104" t="s">
        <v>657</v>
      </c>
      <c r="D119" s="104" t="s">
        <v>159</v>
      </c>
      <c r="E119" s="104"/>
      <c r="F119" s="104"/>
      <c r="G119" s="104" t="s">
        <v>1149</v>
      </c>
      <c r="H119" s="104"/>
      <c r="I119" s="104" t="str">
        <f>B119</f>
        <v>Main1Group6</v>
      </c>
      <c r="J119" s="104" t="b">
        <f t="shared" si="6"/>
        <v>1</v>
      </c>
      <c r="K119" s="104" t="b">
        <f>$C$3</f>
        <v>0</v>
      </c>
      <c r="L119" s="104"/>
      <c r="M119" s="104"/>
      <c r="N119" s="104" t="s">
        <v>59</v>
      </c>
      <c r="O119" s="104" t="str">
        <f>"$B$"&amp;A119</f>
        <v>$B$37</v>
      </c>
      <c r="P119" s="104" t="str">
        <f>"$M$"&amp;A119</f>
        <v>$M$37</v>
      </c>
      <c r="Q119" s="104"/>
      <c r="R119" s="104"/>
      <c r="S119" s="104"/>
      <c r="T119" s="104">
        <v>22</v>
      </c>
      <c r="U119" s="104" t="b">
        <v>1</v>
      </c>
      <c r="V119" s="104"/>
      <c r="W119" s="104"/>
      <c r="X119" s="104"/>
      <c r="Y119" s="104"/>
      <c r="Z119" s="104"/>
      <c r="AA119" s="104"/>
      <c r="AB119" s="104"/>
      <c r="AC119" s="104">
        <v>16</v>
      </c>
      <c r="AD119" s="104"/>
      <c r="AE119" s="104"/>
      <c r="AF119" s="104"/>
      <c r="AG119" s="104"/>
      <c r="AH119" s="104" t="s">
        <v>29</v>
      </c>
      <c r="AI119" s="104" t="s">
        <v>28</v>
      </c>
      <c r="AJ119" s="104"/>
      <c r="AK119" s="104"/>
      <c r="AL119" s="104"/>
      <c r="AM119" s="104"/>
      <c r="AN119" s="104"/>
      <c r="AO119" s="104"/>
      <c r="AP119" s="104"/>
    </row>
    <row r="120" spans="1:42" ht="16.5" customHeight="1" x14ac:dyDescent="0.2">
      <c r="A120" s="105">
        <f>$A$116+2</f>
        <v>37</v>
      </c>
      <c r="B120" s="105" t="s">
        <v>616</v>
      </c>
      <c r="C120" s="105" t="s">
        <v>659</v>
      </c>
      <c r="D120" s="105" t="s">
        <v>159</v>
      </c>
      <c r="E120" s="105"/>
      <c r="F120" s="105"/>
      <c r="G120" s="105" t="s">
        <v>1149</v>
      </c>
      <c r="H120" s="105" t="b">
        <v>1</v>
      </c>
      <c r="I120" s="105" t="s">
        <v>34</v>
      </c>
      <c r="J120" s="105" t="b">
        <f t="shared" si="6"/>
        <v>1</v>
      </c>
      <c r="K120" s="105" t="b">
        <v>1</v>
      </c>
      <c r="L120" s="105"/>
      <c r="M120" s="105" t="str">
        <f>"'chkTextHide """&amp;B120&amp;""","""&amp;B117&amp;""",TRUE'"</f>
        <v>'chkTextHide "Main1Group6R1","Main1Text6",TRUE'</v>
      </c>
      <c r="N120" s="105" t="s">
        <v>59</v>
      </c>
      <c r="O120" s="105" t="str">
        <f>"$J$"&amp;A120</f>
        <v>$J$37</v>
      </c>
      <c r="P120" s="105" t="str">
        <f>"$K$"&amp;A120</f>
        <v>$K$37</v>
      </c>
      <c r="Q120" s="105">
        <v>5</v>
      </c>
      <c r="R120" s="105">
        <v>1</v>
      </c>
      <c r="S120" s="105"/>
      <c r="T120" s="105">
        <v>22</v>
      </c>
      <c r="U120" s="105" t="b">
        <v>1</v>
      </c>
      <c r="V120" s="105" t="s">
        <v>1343</v>
      </c>
      <c r="W120" s="105" t="s">
        <v>1356</v>
      </c>
      <c r="X120" s="105"/>
      <c r="Y120" s="105"/>
      <c r="Z120" s="105"/>
      <c r="AA120" s="105"/>
      <c r="AB120" s="105"/>
      <c r="AC120" s="105">
        <v>16</v>
      </c>
      <c r="AD120" s="105"/>
      <c r="AE120" s="105">
        <v>12</v>
      </c>
      <c r="AF120" s="105" t="b">
        <v>0</v>
      </c>
      <c r="AG120" s="105" t="s">
        <v>1355</v>
      </c>
      <c r="AH120" s="105" t="s">
        <v>29</v>
      </c>
      <c r="AI120" s="105" t="s">
        <v>29</v>
      </c>
      <c r="AJ120" s="105"/>
      <c r="AK120" s="105"/>
      <c r="AL120" s="105">
        <v>0</v>
      </c>
      <c r="AM120" s="105"/>
      <c r="AN120" s="105"/>
      <c r="AO120" s="105"/>
      <c r="AP120" s="105"/>
    </row>
    <row r="121" spans="1:42" ht="16.5" customHeight="1" x14ac:dyDescent="0.2">
      <c r="A121" s="105">
        <f>$A$116+2</f>
        <v>37</v>
      </c>
      <c r="B121" s="105" t="s">
        <v>617</v>
      </c>
      <c r="C121" s="105" t="s">
        <v>659</v>
      </c>
      <c r="D121" s="105" t="s">
        <v>159</v>
      </c>
      <c r="E121" s="105"/>
      <c r="F121" s="105"/>
      <c r="G121" s="105" t="s">
        <v>1149</v>
      </c>
      <c r="H121" s="105" t="b">
        <v>0</v>
      </c>
      <c r="I121" s="105" t="s">
        <v>35</v>
      </c>
      <c r="J121" s="105" t="b">
        <f t="shared" si="6"/>
        <v>1</v>
      </c>
      <c r="K121" s="105" t="b">
        <v>1</v>
      </c>
      <c r="L121" s="105"/>
      <c r="M121" s="105" t="str">
        <f>"'chkTextHide """&amp;B121&amp;""","""&amp;B117&amp;""",FALSE'"</f>
        <v>'chkTextHide "Main1Group6R2","Main1Text6",FALSE'</v>
      </c>
      <c r="N121" s="105" t="s">
        <v>59</v>
      </c>
      <c r="O121" s="105" t="str">
        <f>"$L$"&amp;A121</f>
        <v>$L$37</v>
      </c>
      <c r="P121" s="105" t="str">
        <f>"$M$"&amp;A121</f>
        <v>$M$37</v>
      </c>
      <c r="Q121" s="105">
        <v>5</v>
      </c>
      <c r="R121" s="105">
        <v>1</v>
      </c>
      <c r="S121" s="105"/>
      <c r="T121" s="105">
        <v>22</v>
      </c>
      <c r="U121" s="105" t="b">
        <v>1</v>
      </c>
      <c r="V121" s="105" t="s">
        <v>1343</v>
      </c>
      <c r="W121" s="105" t="s">
        <v>1356</v>
      </c>
      <c r="X121" s="105"/>
      <c r="Y121" s="105"/>
      <c r="Z121" s="105"/>
      <c r="AA121" s="105"/>
      <c r="AB121" s="105"/>
      <c r="AC121" s="105">
        <v>16</v>
      </c>
      <c r="AD121" s="105"/>
      <c r="AE121" s="105">
        <v>12</v>
      </c>
      <c r="AF121" s="105" t="b">
        <v>0</v>
      </c>
      <c r="AG121" s="105" t="s">
        <v>1355</v>
      </c>
      <c r="AH121" s="105" t="s">
        <v>29</v>
      </c>
      <c r="AI121" s="105" t="s">
        <v>29</v>
      </c>
      <c r="AJ121" s="105"/>
      <c r="AK121" s="105"/>
      <c r="AL121" s="105">
        <v>0</v>
      </c>
      <c r="AM121" s="105"/>
      <c r="AN121" s="105"/>
      <c r="AO121" s="105"/>
      <c r="AP121" s="105"/>
    </row>
    <row r="122" spans="1:42" ht="16.5" customHeight="1" x14ac:dyDescent="0.2">
      <c r="A122" s="106">
        <f>$A$116+6</f>
        <v>41</v>
      </c>
      <c r="B122" s="106" t="s">
        <v>153</v>
      </c>
      <c r="C122" s="106" t="s">
        <v>655</v>
      </c>
      <c r="D122" s="106"/>
      <c r="E122" s="106"/>
      <c r="F122" s="106"/>
      <c r="G122" s="106" t="s">
        <v>1149</v>
      </c>
      <c r="H122" s="106"/>
      <c r="I122" s="106"/>
      <c r="J122" s="106" t="b">
        <f t="shared" si="6"/>
        <v>1</v>
      </c>
      <c r="K122" s="106" t="b">
        <v>1</v>
      </c>
      <c r="L122" s="106"/>
      <c r="M122" s="106"/>
      <c r="N122" s="106" t="s">
        <v>59</v>
      </c>
      <c r="O122" s="106" t="str">
        <f>"$B$"&amp;A122</f>
        <v>$B$41</v>
      </c>
      <c r="P122" s="106" t="str">
        <f>"$M$"&amp;A122</f>
        <v>$M$41</v>
      </c>
      <c r="Q122" s="106"/>
      <c r="R122" s="106">
        <v>2</v>
      </c>
      <c r="S122" s="106"/>
      <c r="T122" s="106">
        <v>2</v>
      </c>
      <c r="U122" s="106" t="b">
        <v>1</v>
      </c>
      <c r="V122" s="106" t="s">
        <v>1344</v>
      </c>
      <c r="W122" s="106" t="s">
        <v>1343</v>
      </c>
      <c r="X122" s="106"/>
      <c r="Y122" s="106"/>
      <c r="Z122" s="106"/>
      <c r="AA122" s="106"/>
      <c r="AB122" s="106"/>
      <c r="AC122" s="106"/>
      <c r="AD122" s="106"/>
      <c r="AE122" s="106"/>
      <c r="AF122" s="106"/>
      <c r="AG122" s="106"/>
      <c r="AH122" s="106"/>
      <c r="AI122" s="106"/>
      <c r="AJ122" s="106"/>
      <c r="AK122" s="106"/>
      <c r="AL122" s="106"/>
      <c r="AM122" s="106"/>
      <c r="AN122" s="106"/>
      <c r="AO122" s="106"/>
      <c r="AP122" s="106"/>
    </row>
    <row r="123" spans="1:42" ht="16.5" customHeight="1" x14ac:dyDescent="0.2">
      <c r="A123" s="100">
        <f>$A$122+4</f>
        <v>45</v>
      </c>
      <c r="B123" s="100" t="s">
        <v>161</v>
      </c>
      <c r="C123" s="100" t="s">
        <v>649</v>
      </c>
      <c r="D123" s="100"/>
      <c r="E123" s="100"/>
      <c r="F123" s="100"/>
      <c r="G123" s="100" t="s">
        <v>1149</v>
      </c>
      <c r="H123" s="100"/>
      <c r="I123" s="100" t="s">
        <v>171</v>
      </c>
      <c r="J123" s="100" t="b">
        <f t="shared" si="6"/>
        <v>1</v>
      </c>
      <c r="K123" s="100" t="b">
        <v>1</v>
      </c>
      <c r="L123" s="100" t="b">
        <v>1</v>
      </c>
      <c r="M123" s="100"/>
      <c r="N123" s="100" t="s">
        <v>59</v>
      </c>
      <c r="O123" s="100" t="str">
        <f>"$D$"&amp;A123</f>
        <v>$D$45</v>
      </c>
      <c r="P123" s="100" t="str">
        <f>"$M$"&amp;A123</f>
        <v>$M$45</v>
      </c>
      <c r="Q123" s="100"/>
      <c r="R123" s="100">
        <v>3</v>
      </c>
      <c r="S123" s="100"/>
      <c r="T123" s="100">
        <v>140</v>
      </c>
      <c r="U123" s="100" t="b">
        <v>1</v>
      </c>
      <c r="V123" s="100" t="s">
        <v>1341</v>
      </c>
      <c r="W123" s="100" t="s">
        <v>1341</v>
      </c>
      <c r="X123" s="100"/>
      <c r="Y123" s="100"/>
      <c r="Z123" s="100"/>
      <c r="AA123" s="100"/>
      <c r="AB123" s="100"/>
      <c r="AC123" s="100">
        <v>5</v>
      </c>
      <c r="AD123" s="100" t="s">
        <v>105</v>
      </c>
      <c r="AE123" s="100">
        <v>12</v>
      </c>
      <c r="AF123" s="100" t="b">
        <v>0</v>
      </c>
      <c r="AG123" s="100" t="s">
        <v>1355</v>
      </c>
      <c r="AH123" s="100" t="s">
        <v>27</v>
      </c>
      <c r="AI123" s="100" t="s">
        <v>28</v>
      </c>
      <c r="AJ123" s="100"/>
      <c r="AK123" s="100"/>
      <c r="AL123" s="100">
        <v>0</v>
      </c>
      <c r="AM123" s="100"/>
      <c r="AN123" s="100"/>
      <c r="AO123" s="100"/>
      <c r="AP123" s="100"/>
    </row>
    <row r="124" spans="1:42" ht="16.5" customHeight="1" x14ac:dyDescent="0.2">
      <c r="A124" s="100">
        <f>$A$122+2</f>
        <v>43</v>
      </c>
      <c r="B124" s="100" t="s">
        <v>163</v>
      </c>
      <c r="C124" s="100" t="s">
        <v>649</v>
      </c>
      <c r="D124" s="100"/>
      <c r="E124" s="100"/>
      <c r="F124" s="100"/>
      <c r="G124" s="100" t="s">
        <v>1149</v>
      </c>
      <c r="H124" s="100" t="b">
        <v>1</v>
      </c>
      <c r="I124" s="100" t="s">
        <v>169</v>
      </c>
      <c r="J124" s="100" t="b">
        <f t="shared" si="6"/>
        <v>1</v>
      </c>
      <c r="K124" s="100" t="b">
        <v>1</v>
      </c>
      <c r="L124" s="100"/>
      <c r="M124" s="100"/>
      <c r="N124" s="100" t="s">
        <v>59</v>
      </c>
      <c r="O124" s="100" t="str">
        <f>"$C$"&amp;A124</f>
        <v>$C$43</v>
      </c>
      <c r="P124" s="100" t="str">
        <f>"$I$"&amp;A124</f>
        <v>$I$43</v>
      </c>
      <c r="Q124" s="100">
        <v>-20</v>
      </c>
      <c r="R124" s="100">
        <v>3</v>
      </c>
      <c r="S124" s="100"/>
      <c r="T124" s="100">
        <v>22</v>
      </c>
      <c r="U124" s="100" t="b">
        <v>1</v>
      </c>
      <c r="V124" s="100" t="s">
        <v>1342</v>
      </c>
      <c r="W124" s="100" t="s">
        <v>1342</v>
      </c>
      <c r="X124" s="100"/>
      <c r="Y124" s="100"/>
      <c r="Z124" s="100"/>
      <c r="AA124" s="100"/>
      <c r="AB124" s="100">
        <v>3</v>
      </c>
      <c r="AC124" s="100"/>
      <c r="AD124" s="100" t="s">
        <v>105</v>
      </c>
      <c r="AE124" s="100">
        <v>12</v>
      </c>
      <c r="AF124" s="100" t="b">
        <v>0</v>
      </c>
      <c r="AG124" s="100" t="s">
        <v>1355</v>
      </c>
      <c r="AH124" s="100" t="s">
        <v>29</v>
      </c>
      <c r="AI124" s="100" t="s">
        <v>28</v>
      </c>
      <c r="AJ124" s="100"/>
      <c r="AK124" s="100"/>
      <c r="AL124" s="100">
        <v>0</v>
      </c>
      <c r="AM124" s="100"/>
      <c r="AN124" s="100"/>
      <c r="AO124" s="100"/>
      <c r="AP124" s="100"/>
    </row>
    <row r="125" spans="1:42" ht="16.5" customHeight="1" x14ac:dyDescent="0.2">
      <c r="A125" s="104">
        <f>$A$122+2</f>
        <v>43</v>
      </c>
      <c r="B125" s="104" t="s">
        <v>162</v>
      </c>
      <c r="C125" s="104" t="s">
        <v>657</v>
      </c>
      <c r="D125" s="104" t="s">
        <v>162</v>
      </c>
      <c r="E125" s="104"/>
      <c r="F125" s="104"/>
      <c r="G125" s="104" t="s">
        <v>1149</v>
      </c>
      <c r="H125" s="104"/>
      <c r="I125" s="104" t="str">
        <f>B125</f>
        <v>Main1Group7</v>
      </c>
      <c r="J125" s="104" t="b">
        <f t="shared" si="6"/>
        <v>1</v>
      </c>
      <c r="K125" s="104" t="b">
        <f>$C$3</f>
        <v>0</v>
      </c>
      <c r="L125" s="104"/>
      <c r="M125" s="104"/>
      <c r="N125" s="104" t="s">
        <v>59</v>
      </c>
      <c r="O125" s="104" t="str">
        <f>"$B$"&amp;A125</f>
        <v>$B$43</v>
      </c>
      <c r="P125" s="104" t="str">
        <f>"$M$"&amp;A125</f>
        <v>$M$43</v>
      </c>
      <c r="Q125" s="104"/>
      <c r="R125" s="104"/>
      <c r="S125" s="104"/>
      <c r="T125" s="104">
        <v>22</v>
      </c>
      <c r="U125" s="104" t="b">
        <v>1</v>
      </c>
      <c r="V125" s="104"/>
      <c r="W125" s="104"/>
      <c r="X125" s="104"/>
      <c r="Y125" s="104"/>
      <c r="Z125" s="104"/>
      <c r="AA125" s="104"/>
      <c r="AB125" s="104"/>
      <c r="AC125" s="104">
        <v>16</v>
      </c>
      <c r="AD125" s="104"/>
      <c r="AE125" s="104"/>
      <c r="AF125" s="104"/>
      <c r="AG125" s="104"/>
      <c r="AH125" s="104" t="s">
        <v>29</v>
      </c>
      <c r="AI125" s="104" t="s">
        <v>28</v>
      </c>
      <c r="AJ125" s="104"/>
      <c r="AK125" s="104"/>
      <c r="AL125" s="104"/>
      <c r="AM125" s="104"/>
      <c r="AN125" s="104"/>
      <c r="AO125" s="104"/>
      <c r="AP125" s="104"/>
    </row>
    <row r="126" spans="1:42" ht="16.5" customHeight="1" x14ac:dyDescent="0.2">
      <c r="A126" s="105">
        <f>$A$122+2</f>
        <v>43</v>
      </c>
      <c r="B126" s="105" t="s">
        <v>618</v>
      </c>
      <c r="C126" s="105" t="s">
        <v>659</v>
      </c>
      <c r="D126" s="105" t="s">
        <v>162</v>
      </c>
      <c r="E126" s="105"/>
      <c r="F126" s="105"/>
      <c r="G126" s="105" t="s">
        <v>1149</v>
      </c>
      <c r="H126" s="105" t="b">
        <v>1</v>
      </c>
      <c r="I126" s="105" t="s">
        <v>34</v>
      </c>
      <c r="J126" s="105" t="b">
        <f t="shared" si="6"/>
        <v>1</v>
      </c>
      <c r="K126" s="105" t="b">
        <v>1</v>
      </c>
      <c r="L126" s="105"/>
      <c r="M126" s="105" t="str">
        <f>"'chkTextHide """&amp;B126&amp;""","""&amp;B123&amp;""",TRUE'"</f>
        <v>'chkTextHide "Main1Group7R1","Main1Text7",TRUE'</v>
      </c>
      <c r="N126" s="105" t="s">
        <v>59</v>
      </c>
      <c r="O126" s="105" t="str">
        <f>"$J$"&amp;A126</f>
        <v>$J$43</v>
      </c>
      <c r="P126" s="105" t="str">
        <f>"$K$"&amp;A126</f>
        <v>$K$43</v>
      </c>
      <c r="Q126" s="105">
        <v>5</v>
      </c>
      <c r="R126" s="105">
        <v>1</v>
      </c>
      <c r="S126" s="105"/>
      <c r="T126" s="105">
        <v>22</v>
      </c>
      <c r="U126" s="105" t="b">
        <v>1</v>
      </c>
      <c r="V126" s="105" t="s">
        <v>1343</v>
      </c>
      <c r="W126" s="105" t="s">
        <v>1356</v>
      </c>
      <c r="X126" s="105"/>
      <c r="Y126" s="105"/>
      <c r="Z126" s="105"/>
      <c r="AA126" s="105"/>
      <c r="AB126" s="105"/>
      <c r="AC126" s="105">
        <v>16</v>
      </c>
      <c r="AD126" s="105"/>
      <c r="AE126" s="105">
        <v>12</v>
      </c>
      <c r="AF126" s="105" t="b">
        <v>0</v>
      </c>
      <c r="AG126" s="105" t="s">
        <v>1355</v>
      </c>
      <c r="AH126" s="105" t="s">
        <v>29</v>
      </c>
      <c r="AI126" s="105" t="s">
        <v>29</v>
      </c>
      <c r="AJ126" s="105"/>
      <c r="AK126" s="105"/>
      <c r="AL126" s="105">
        <v>0</v>
      </c>
      <c r="AM126" s="105"/>
      <c r="AN126" s="105"/>
      <c r="AO126" s="105"/>
      <c r="AP126" s="105"/>
    </row>
    <row r="127" spans="1:42" ht="16.5" customHeight="1" x14ac:dyDescent="0.2">
      <c r="A127" s="105">
        <f>$A$122+2</f>
        <v>43</v>
      </c>
      <c r="B127" s="105" t="s">
        <v>619</v>
      </c>
      <c r="C127" s="105" t="s">
        <v>659</v>
      </c>
      <c r="D127" s="105" t="s">
        <v>162</v>
      </c>
      <c r="E127" s="105"/>
      <c r="F127" s="105"/>
      <c r="G127" s="105" t="s">
        <v>1149</v>
      </c>
      <c r="H127" s="105" t="b">
        <v>0</v>
      </c>
      <c r="I127" s="105" t="s">
        <v>35</v>
      </c>
      <c r="J127" s="105" t="b">
        <f t="shared" si="6"/>
        <v>1</v>
      </c>
      <c r="K127" s="105" t="b">
        <v>1</v>
      </c>
      <c r="L127" s="105"/>
      <c r="M127" s="105" t="str">
        <f>"'chkTextHide """&amp;B127&amp;""","""&amp;B123&amp;""",FALSE'"</f>
        <v>'chkTextHide "Main1Group7R2","Main1Text7",FALSE'</v>
      </c>
      <c r="N127" s="105" t="s">
        <v>59</v>
      </c>
      <c r="O127" s="105" t="str">
        <f>"$L$"&amp;A127</f>
        <v>$L$43</v>
      </c>
      <c r="P127" s="105" t="str">
        <f>"$M$"&amp;A127</f>
        <v>$M$43</v>
      </c>
      <c r="Q127" s="105">
        <v>5</v>
      </c>
      <c r="R127" s="105">
        <v>1</v>
      </c>
      <c r="S127" s="105"/>
      <c r="T127" s="105">
        <v>22</v>
      </c>
      <c r="U127" s="105" t="b">
        <v>1</v>
      </c>
      <c r="V127" s="105" t="s">
        <v>1343</v>
      </c>
      <c r="W127" s="105" t="s">
        <v>1356</v>
      </c>
      <c r="X127" s="105"/>
      <c r="Y127" s="105"/>
      <c r="Z127" s="105"/>
      <c r="AA127" s="105"/>
      <c r="AB127" s="105"/>
      <c r="AC127" s="105">
        <v>16</v>
      </c>
      <c r="AD127" s="105"/>
      <c r="AE127" s="105">
        <v>12</v>
      </c>
      <c r="AF127" s="105" t="b">
        <v>0</v>
      </c>
      <c r="AG127" s="105" t="s">
        <v>1355</v>
      </c>
      <c r="AH127" s="105" t="s">
        <v>29</v>
      </c>
      <c r="AI127" s="105" t="s">
        <v>29</v>
      </c>
      <c r="AJ127" s="105"/>
      <c r="AK127" s="105"/>
      <c r="AL127" s="105">
        <v>0</v>
      </c>
      <c r="AM127" s="105"/>
      <c r="AN127" s="105"/>
      <c r="AO127" s="105"/>
      <c r="AP127" s="105"/>
    </row>
    <row r="128" spans="1:42" ht="16.5" customHeight="1" x14ac:dyDescent="0.2">
      <c r="A128" s="103">
        <f>$A$122+6</f>
        <v>47</v>
      </c>
      <c r="B128" s="103" t="s">
        <v>273</v>
      </c>
      <c r="C128" s="103" t="s">
        <v>654</v>
      </c>
      <c r="D128" s="103"/>
      <c r="E128" s="103"/>
      <c r="F128" s="103"/>
      <c r="G128" s="103" t="s">
        <v>1149</v>
      </c>
      <c r="H128" s="103" t="s">
        <v>1452</v>
      </c>
      <c r="I128" s="103" t="s">
        <v>172</v>
      </c>
      <c r="J128" s="103" t="b">
        <f t="shared" si="6"/>
        <v>1</v>
      </c>
      <c r="K128" s="103" t="b">
        <v>1</v>
      </c>
      <c r="L128" s="103" t="b">
        <v>1</v>
      </c>
      <c r="M128" s="103" t="str">
        <f>"'expand """&amp;B128&amp;""","""&amp;G128&amp;""",TRUE'"</f>
        <v>'expand "SP_Main2","Startside",TRUE'</v>
      </c>
      <c r="N128" s="103" t="s">
        <v>59</v>
      </c>
      <c r="O128" s="103" t="str">
        <f>"$B$"&amp;A128</f>
        <v>$B$47</v>
      </c>
      <c r="P128" s="103" t="str">
        <f>"$N$"&amp;A144-1</f>
        <v>$N$98</v>
      </c>
      <c r="Q128" s="103"/>
      <c r="R128" s="103">
        <v>1</v>
      </c>
      <c r="S128" s="103"/>
      <c r="T128" s="103">
        <v>60</v>
      </c>
      <c r="U128" s="103" t="b">
        <v>1</v>
      </c>
      <c r="V128" s="103" t="s">
        <v>1343</v>
      </c>
      <c r="W128" s="103" t="s">
        <v>1355</v>
      </c>
      <c r="X128" s="103"/>
      <c r="Y128" s="103"/>
      <c r="Z128" s="103"/>
      <c r="AA128" s="103"/>
      <c r="AB128" s="103"/>
      <c r="AC128" s="103">
        <v>30</v>
      </c>
      <c r="AD128" s="103"/>
      <c r="AE128" s="103">
        <v>20</v>
      </c>
      <c r="AF128" s="103" t="b">
        <v>0</v>
      </c>
      <c r="AG128" s="103" t="s">
        <v>1351</v>
      </c>
      <c r="AH128" s="103" t="s">
        <v>29</v>
      </c>
      <c r="AI128" s="103" t="s">
        <v>28</v>
      </c>
      <c r="AJ128" s="103"/>
      <c r="AK128" s="103"/>
      <c r="AL128" s="103"/>
      <c r="AM128" s="103"/>
      <c r="AN128" s="103">
        <v>10</v>
      </c>
      <c r="AO128" s="103">
        <v>135</v>
      </c>
      <c r="AP128" s="103"/>
    </row>
    <row r="129" spans="1:42" ht="16.5" customHeight="1" x14ac:dyDescent="0.2">
      <c r="A129" s="100">
        <f>$A$128+2</f>
        <v>49</v>
      </c>
      <c r="B129" s="100" t="s">
        <v>274</v>
      </c>
      <c r="C129" s="100" t="s">
        <v>649</v>
      </c>
      <c r="D129" s="100"/>
      <c r="E129" s="100"/>
      <c r="F129" s="100"/>
      <c r="G129" s="100" t="s">
        <v>1149</v>
      </c>
      <c r="H129" s="100"/>
      <c r="I129" s="100" t="s">
        <v>1243</v>
      </c>
      <c r="J129" s="100" t="b">
        <f t="shared" si="6"/>
        <v>1</v>
      </c>
      <c r="K129" s="100" t="b">
        <v>1</v>
      </c>
      <c r="L129" s="100"/>
      <c r="M129" s="100"/>
      <c r="N129" s="100" t="s">
        <v>59</v>
      </c>
      <c r="O129" s="100" t="str">
        <f>"$D$"&amp;A129</f>
        <v>$D$49</v>
      </c>
      <c r="P129" s="100" t="str">
        <f>"$M$"&amp;A129</f>
        <v>$M$49</v>
      </c>
      <c r="Q129" s="100"/>
      <c r="R129" s="100"/>
      <c r="S129" s="100"/>
      <c r="T129" s="100">
        <v>156</v>
      </c>
      <c r="U129" s="100" t="b">
        <v>1</v>
      </c>
      <c r="V129" s="100" t="s">
        <v>1341</v>
      </c>
      <c r="W129" s="100" t="s">
        <v>1341</v>
      </c>
      <c r="X129" s="100"/>
      <c r="Y129" s="100"/>
      <c r="Z129" s="100"/>
      <c r="AA129" s="100"/>
      <c r="AB129" s="100"/>
      <c r="AC129" s="100">
        <v>5</v>
      </c>
      <c r="AD129" s="100" t="s">
        <v>105</v>
      </c>
      <c r="AE129" s="100">
        <v>12</v>
      </c>
      <c r="AF129" s="100" t="b">
        <v>0</v>
      </c>
      <c r="AG129" s="100" t="s">
        <v>1355</v>
      </c>
      <c r="AH129" s="100" t="s">
        <v>27</v>
      </c>
      <c r="AI129" s="100" t="s">
        <v>28</v>
      </c>
      <c r="AJ129" s="100"/>
      <c r="AK129" s="100"/>
      <c r="AL129" s="100">
        <v>0</v>
      </c>
      <c r="AM129" s="100"/>
      <c r="AN129" s="100"/>
      <c r="AO129" s="100"/>
      <c r="AP129" s="100"/>
    </row>
    <row r="130" spans="1:42" ht="16.5" customHeight="1" x14ac:dyDescent="0.2">
      <c r="A130" s="103">
        <f>$A$128+4</f>
        <v>51</v>
      </c>
      <c r="B130" s="103" t="s">
        <v>275</v>
      </c>
      <c r="C130" s="103" t="s">
        <v>654</v>
      </c>
      <c r="D130" s="103"/>
      <c r="E130" s="103"/>
      <c r="F130" s="103"/>
      <c r="G130" s="103" t="s">
        <v>1149</v>
      </c>
      <c r="H130" s="103"/>
      <c r="I130" s="103" t="s">
        <v>173</v>
      </c>
      <c r="J130" s="103" t="b">
        <f t="shared" si="6"/>
        <v>1</v>
      </c>
      <c r="K130" s="103" t="b">
        <v>1</v>
      </c>
      <c r="L130" s="103" t="b">
        <v>0</v>
      </c>
      <c r="M130" s="103" t="str">
        <f>"'expand """&amp;B130&amp;""","""&amp;G130&amp;""",TRUE'"</f>
        <v>'expand "SP_Main2Sub1","Startside",TRUE'</v>
      </c>
      <c r="N130" s="103" t="s">
        <v>59</v>
      </c>
      <c r="O130" s="103" t="str">
        <f>"$B$"&amp;A130</f>
        <v>$B$51</v>
      </c>
      <c r="P130" s="103" t="str">
        <f>"$M$" &amp;A134-1</f>
        <v>$M$78</v>
      </c>
      <c r="Q130" s="103"/>
      <c r="R130" s="103">
        <v>1</v>
      </c>
      <c r="S130" s="103"/>
      <c r="T130" s="103">
        <v>40</v>
      </c>
      <c r="U130" s="103" t="b">
        <v>1</v>
      </c>
      <c r="V130" s="103" t="s">
        <v>1344</v>
      </c>
      <c r="W130" s="103" t="s">
        <v>1343</v>
      </c>
      <c r="X130" s="103"/>
      <c r="Y130" s="103"/>
      <c r="Z130" s="103"/>
      <c r="AA130" s="103"/>
      <c r="AB130" s="103"/>
      <c r="AC130" s="103">
        <v>30</v>
      </c>
      <c r="AD130" s="103"/>
      <c r="AE130" s="103">
        <v>18</v>
      </c>
      <c r="AF130" s="103" t="b">
        <v>0</v>
      </c>
      <c r="AG130" s="103" t="s">
        <v>1351</v>
      </c>
      <c r="AH130" s="103" t="s">
        <v>29</v>
      </c>
      <c r="AI130" s="103" t="s">
        <v>28</v>
      </c>
      <c r="AJ130" s="103"/>
      <c r="AK130" s="103"/>
      <c r="AL130" s="103"/>
      <c r="AM130" s="103"/>
      <c r="AN130" s="103">
        <v>8</v>
      </c>
      <c r="AO130" s="103">
        <v>225</v>
      </c>
      <c r="AP130" s="103"/>
    </row>
    <row r="131" spans="1:42" ht="16.5" customHeight="1" x14ac:dyDescent="0.2">
      <c r="A131" s="100">
        <f>$A$130+2</f>
        <v>53</v>
      </c>
      <c r="B131" s="100" t="s">
        <v>276</v>
      </c>
      <c r="C131" s="100" t="s">
        <v>649</v>
      </c>
      <c r="D131" s="100"/>
      <c r="E131" s="100"/>
      <c r="F131" s="100"/>
      <c r="G131" s="100" t="s">
        <v>1149</v>
      </c>
      <c r="H131" s="100"/>
      <c r="I131" s="100" t="s">
        <v>1256</v>
      </c>
      <c r="J131" s="100" t="b">
        <f t="shared" si="6"/>
        <v>1</v>
      </c>
      <c r="K131" s="100" t="b">
        <v>1</v>
      </c>
      <c r="L131" s="100"/>
      <c r="M131" s="100"/>
      <c r="N131" s="100" t="s">
        <v>59</v>
      </c>
      <c r="O131" s="100" t="str">
        <f>"$D$"&amp;A131</f>
        <v>$D$53</v>
      </c>
      <c r="P131" s="100" t="str">
        <f>"$M$"&amp;A131</f>
        <v>$M$53</v>
      </c>
      <c r="Q131" s="100"/>
      <c r="R131" s="100"/>
      <c r="S131" s="100"/>
      <c r="T131" s="100">
        <v>56</v>
      </c>
      <c r="U131" s="100" t="b">
        <v>1</v>
      </c>
      <c r="V131" s="100" t="s">
        <v>1341</v>
      </c>
      <c r="W131" s="100" t="s">
        <v>1341</v>
      </c>
      <c r="X131" s="100"/>
      <c r="Y131" s="100"/>
      <c r="Z131" s="100"/>
      <c r="AA131" s="100"/>
      <c r="AB131" s="100"/>
      <c r="AC131" s="100">
        <v>5</v>
      </c>
      <c r="AD131" s="100" t="s">
        <v>105</v>
      </c>
      <c r="AE131" s="100">
        <v>12</v>
      </c>
      <c r="AF131" s="100" t="b">
        <v>0</v>
      </c>
      <c r="AG131" s="100" t="s">
        <v>1355</v>
      </c>
      <c r="AH131" s="100" t="s">
        <v>27</v>
      </c>
      <c r="AI131" s="100" t="s">
        <v>28</v>
      </c>
      <c r="AJ131" s="100"/>
      <c r="AK131" s="100"/>
      <c r="AL131" s="100">
        <v>0</v>
      </c>
      <c r="AM131" s="100"/>
      <c r="AN131" s="100"/>
      <c r="AO131" s="100"/>
      <c r="AP131" s="100"/>
    </row>
    <row r="132" spans="1:42" ht="16.5" customHeight="1" x14ac:dyDescent="0.2">
      <c r="A132" s="101">
        <f>$A$130+4</f>
        <v>55</v>
      </c>
      <c r="B132" s="101" t="s">
        <v>278</v>
      </c>
      <c r="C132" s="101" t="s">
        <v>599</v>
      </c>
      <c r="D132" s="101" t="s">
        <v>130</v>
      </c>
      <c r="E132" s="101"/>
      <c r="F132" s="101"/>
      <c r="G132" s="101" t="s">
        <v>1149</v>
      </c>
      <c r="H132" s="101"/>
      <c r="I132" s="101"/>
      <c r="J132" s="101" t="b">
        <f t="shared" si="6"/>
        <v>1</v>
      </c>
      <c r="K132" s="101" t="b">
        <v>1</v>
      </c>
      <c r="L132" s="101"/>
      <c r="M132" s="101"/>
      <c r="N132" s="101" t="s">
        <v>59</v>
      </c>
      <c r="O132" s="101" t="str">
        <f>"$D$"&amp;A132</f>
        <v>$D$55</v>
      </c>
      <c r="P132" s="101" t="str">
        <f>"$M$"&amp;A133-2</f>
        <v>$M$75</v>
      </c>
      <c r="Q132" s="101"/>
      <c r="R132" s="101"/>
      <c r="S132" s="101"/>
      <c r="T132" s="101"/>
      <c r="U132" s="101"/>
      <c r="V132" s="101"/>
      <c r="W132" s="101"/>
      <c r="X132" s="101"/>
      <c r="Y132" s="101"/>
      <c r="Z132" s="101"/>
      <c r="AA132" s="101"/>
      <c r="AB132" s="101"/>
      <c r="AC132" s="101">
        <v>5</v>
      </c>
      <c r="AD132" s="101"/>
      <c r="AE132" s="101">
        <v>12</v>
      </c>
      <c r="AF132" s="101" t="b">
        <v>0</v>
      </c>
      <c r="AG132" s="101" t="s">
        <v>1355</v>
      </c>
      <c r="AH132" s="101" t="s">
        <v>27</v>
      </c>
      <c r="AI132" s="101" t="s">
        <v>28</v>
      </c>
      <c r="AJ132" s="101"/>
      <c r="AK132" s="101"/>
      <c r="AL132" s="101"/>
      <c r="AM132" s="101"/>
      <c r="AN132" s="101"/>
      <c r="AO132" s="101"/>
      <c r="AP132" s="101"/>
    </row>
    <row r="133" spans="1:42" ht="16.5" customHeight="1" x14ac:dyDescent="0.2">
      <c r="A133" s="100">
        <f>$A$130+26</f>
        <v>77</v>
      </c>
      <c r="B133" s="100" t="s">
        <v>277</v>
      </c>
      <c r="C133" s="100" t="s">
        <v>649</v>
      </c>
      <c r="D133" s="100"/>
      <c r="E133" s="100"/>
      <c r="F133" s="100"/>
      <c r="G133" s="100" t="s">
        <v>1149</v>
      </c>
      <c r="H133" s="100"/>
      <c r="I133" s="100" t="s">
        <v>1597</v>
      </c>
      <c r="J133" s="100" t="b">
        <f t="shared" si="6"/>
        <v>1</v>
      </c>
      <c r="K133" s="100" t="b">
        <v>1</v>
      </c>
      <c r="L133" s="100"/>
      <c r="M133" s="100"/>
      <c r="N133" s="100" t="s">
        <v>59</v>
      </c>
      <c r="O133" s="100" t="str">
        <f>"$D$"&amp;A133</f>
        <v>$D$77</v>
      </c>
      <c r="P133" s="100" t="str">
        <f>"$M$"&amp;A133</f>
        <v>$M$77</v>
      </c>
      <c r="Q133" s="100"/>
      <c r="R133" s="100"/>
      <c r="S133" s="100"/>
      <c r="T133" s="100">
        <v>56</v>
      </c>
      <c r="U133" s="100" t="b">
        <v>1</v>
      </c>
      <c r="V133" s="100" t="s">
        <v>1341</v>
      </c>
      <c r="W133" s="100" t="s">
        <v>1341</v>
      </c>
      <c r="X133" s="100"/>
      <c r="Y133" s="100"/>
      <c r="Z133" s="100"/>
      <c r="AA133" s="100"/>
      <c r="AB133" s="100"/>
      <c r="AC133" s="100">
        <v>5</v>
      </c>
      <c r="AD133" s="100" t="s">
        <v>105</v>
      </c>
      <c r="AE133" s="100">
        <v>12</v>
      </c>
      <c r="AF133" s="100" t="b">
        <v>0</v>
      </c>
      <c r="AG133" s="100" t="s">
        <v>1355</v>
      </c>
      <c r="AH133" s="100" t="s">
        <v>27</v>
      </c>
      <c r="AI133" s="100" t="s">
        <v>28</v>
      </c>
      <c r="AJ133" s="100"/>
      <c r="AK133" s="100"/>
      <c r="AL133" s="100">
        <v>0</v>
      </c>
      <c r="AM133" s="100"/>
      <c r="AN133" s="100"/>
      <c r="AO133" s="100"/>
      <c r="AP133" s="100"/>
    </row>
    <row r="134" spans="1:42" ht="16.5" customHeight="1" x14ac:dyDescent="0.2">
      <c r="A134" s="103">
        <f>$A$130+28</f>
        <v>79</v>
      </c>
      <c r="B134" s="103" t="s">
        <v>279</v>
      </c>
      <c r="C134" s="103" t="s">
        <v>654</v>
      </c>
      <c r="D134" s="103"/>
      <c r="E134" s="103"/>
      <c r="F134" s="103"/>
      <c r="G134" s="103" t="s">
        <v>1149</v>
      </c>
      <c r="H134" s="103"/>
      <c r="I134" s="103" t="s">
        <v>129</v>
      </c>
      <c r="J134" s="103" t="b">
        <f t="shared" si="6"/>
        <v>1</v>
      </c>
      <c r="K134" s="103" t="b">
        <v>1</v>
      </c>
      <c r="L134" s="103" t="b">
        <v>0</v>
      </c>
      <c r="M134" s="103" t="str">
        <f>"'expand """&amp;B134&amp;""","""&amp;G134&amp;""",TRUE'"</f>
        <v>'expand "SP_Main2Sub2","Startside",TRUE'</v>
      </c>
      <c r="N134" s="103" t="s">
        <v>59</v>
      </c>
      <c r="O134" s="103" t="str">
        <f>"$B$"&amp;A134</f>
        <v>$B$79</v>
      </c>
      <c r="P134" s="103" t="str">
        <f>"$M$" &amp; A136-1</f>
        <v>$M$82</v>
      </c>
      <c r="Q134" s="103"/>
      <c r="R134" s="103">
        <v>1</v>
      </c>
      <c r="S134" s="103"/>
      <c r="T134" s="103">
        <v>40</v>
      </c>
      <c r="U134" s="103" t="b">
        <v>1</v>
      </c>
      <c r="V134" s="103" t="s">
        <v>1344</v>
      </c>
      <c r="W134" s="103" t="s">
        <v>1343</v>
      </c>
      <c r="X134" s="103"/>
      <c r="Y134" s="103"/>
      <c r="Z134" s="103"/>
      <c r="AA134" s="103"/>
      <c r="AB134" s="103"/>
      <c r="AC134" s="103">
        <v>30</v>
      </c>
      <c r="AD134" s="103"/>
      <c r="AE134" s="103">
        <v>18</v>
      </c>
      <c r="AF134" s="103" t="b">
        <v>0</v>
      </c>
      <c r="AG134" s="103" t="s">
        <v>1351</v>
      </c>
      <c r="AH134" s="103" t="s">
        <v>29</v>
      </c>
      <c r="AI134" s="103" t="s">
        <v>28</v>
      </c>
      <c r="AJ134" s="103"/>
      <c r="AK134" s="103"/>
      <c r="AL134" s="103"/>
      <c r="AM134" s="103"/>
      <c r="AN134" s="103">
        <v>8</v>
      </c>
      <c r="AO134" s="103">
        <v>225</v>
      </c>
      <c r="AP134" s="103"/>
    </row>
    <row r="135" spans="1:42" ht="16.5" customHeight="1" x14ac:dyDescent="0.2">
      <c r="A135" s="100">
        <f>$A$134+2</f>
        <v>81</v>
      </c>
      <c r="B135" s="100" t="s">
        <v>280</v>
      </c>
      <c r="C135" s="100" t="s">
        <v>649</v>
      </c>
      <c r="D135" s="100"/>
      <c r="E135" s="100"/>
      <c r="F135" s="100"/>
      <c r="G135" s="100" t="s">
        <v>1149</v>
      </c>
      <c r="H135" s="100"/>
      <c r="I135" s="100" t="s">
        <v>1244</v>
      </c>
      <c r="J135" s="100" t="b">
        <f t="shared" si="6"/>
        <v>1</v>
      </c>
      <c r="K135" s="100" t="b">
        <v>1</v>
      </c>
      <c r="L135" s="100"/>
      <c r="M135" s="100"/>
      <c r="N135" s="100" t="s">
        <v>59</v>
      </c>
      <c r="O135" s="100" t="str">
        <f>"$D$"&amp;A135</f>
        <v>$D$81</v>
      </c>
      <c r="P135" s="100" t="str">
        <f>"$M$"&amp;A135</f>
        <v>$M$81</v>
      </c>
      <c r="Q135" s="100"/>
      <c r="R135" s="100"/>
      <c r="S135" s="100"/>
      <c r="T135" s="100">
        <v>220</v>
      </c>
      <c r="U135" s="100" t="b">
        <v>1</v>
      </c>
      <c r="V135" s="100" t="s">
        <v>1341</v>
      </c>
      <c r="W135" s="100" t="s">
        <v>1341</v>
      </c>
      <c r="X135" s="100"/>
      <c r="Y135" s="100"/>
      <c r="Z135" s="100"/>
      <c r="AA135" s="100"/>
      <c r="AB135" s="100"/>
      <c r="AC135" s="100">
        <v>5</v>
      </c>
      <c r="AD135" s="100" t="s">
        <v>105</v>
      </c>
      <c r="AE135" s="100">
        <v>12</v>
      </c>
      <c r="AF135" s="100" t="b">
        <v>0</v>
      </c>
      <c r="AG135" s="100" t="s">
        <v>1355</v>
      </c>
      <c r="AH135" s="100" t="s">
        <v>27</v>
      </c>
      <c r="AI135" s="100" t="s">
        <v>28</v>
      </c>
      <c r="AJ135" s="100"/>
      <c r="AK135" s="100"/>
      <c r="AL135" s="100">
        <v>0</v>
      </c>
      <c r="AM135" s="100"/>
      <c r="AN135" s="100"/>
      <c r="AO135" s="100"/>
      <c r="AP135" s="100"/>
    </row>
    <row r="136" spans="1:42" ht="16.5" customHeight="1" x14ac:dyDescent="0.2">
      <c r="A136" s="103">
        <f>$A$134+4</f>
        <v>83</v>
      </c>
      <c r="B136" s="103" t="s">
        <v>281</v>
      </c>
      <c r="C136" s="103" t="s">
        <v>654</v>
      </c>
      <c r="D136" s="103"/>
      <c r="E136" s="103"/>
      <c r="F136" s="103"/>
      <c r="G136" s="103" t="s">
        <v>1149</v>
      </c>
      <c r="H136" s="103"/>
      <c r="I136" s="103" t="s">
        <v>132</v>
      </c>
      <c r="J136" s="103" t="b">
        <f t="shared" si="6"/>
        <v>1</v>
      </c>
      <c r="K136" s="103" t="b">
        <v>1</v>
      </c>
      <c r="L136" s="103" t="b">
        <v>0</v>
      </c>
      <c r="M136" s="103" t="str">
        <f>"'expand """&amp;B136&amp;""","""&amp;G136&amp;""",TRUE'"</f>
        <v>'expand "SP_Main2Sub3","Startside",TRUE'</v>
      </c>
      <c r="N136" s="103" t="s">
        <v>59</v>
      </c>
      <c r="O136" s="103" t="str">
        <f>"$B$"&amp;A136</f>
        <v>$B$83</v>
      </c>
      <c r="P136" s="103" t="str">
        <f>"$M$" &amp; A138-1</f>
        <v>$M$86</v>
      </c>
      <c r="Q136" s="103"/>
      <c r="R136" s="103">
        <v>1</v>
      </c>
      <c r="S136" s="103"/>
      <c r="T136" s="103">
        <v>40</v>
      </c>
      <c r="U136" s="103" t="b">
        <v>1</v>
      </c>
      <c r="V136" s="103" t="s">
        <v>1344</v>
      </c>
      <c r="W136" s="103" t="s">
        <v>1343</v>
      </c>
      <c r="X136" s="103"/>
      <c r="Y136" s="103"/>
      <c r="Z136" s="103"/>
      <c r="AA136" s="103"/>
      <c r="AB136" s="103"/>
      <c r="AC136" s="103">
        <v>30</v>
      </c>
      <c r="AD136" s="103"/>
      <c r="AE136" s="103">
        <v>18</v>
      </c>
      <c r="AF136" s="103" t="b">
        <v>0</v>
      </c>
      <c r="AG136" s="103" t="s">
        <v>1351</v>
      </c>
      <c r="AH136" s="103" t="s">
        <v>29</v>
      </c>
      <c r="AI136" s="103" t="s">
        <v>28</v>
      </c>
      <c r="AJ136" s="103"/>
      <c r="AK136" s="103"/>
      <c r="AL136" s="103"/>
      <c r="AM136" s="103"/>
      <c r="AN136" s="103">
        <v>8</v>
      </c>
      <c r="AO136" s="103">
        <v>225</v>
      </c>
      <c r="AP136" s="103"/>
    </row>
    <row r="137" spans="1:42" ht="16.5" customHeight="1" x14ac:dyDescent="0.2">
      <c r="A137" s="100">
        <f>$A$136+2</f>
        <v>85</v>
      </c>
      <c r="B137" s="100" t="s">
        <v>282</v>
      </c>
      <c r="C137" s="100" t="s">
        <v>649</v>
      </c>
      <c r="D137" s="100"/>
      <c r="E137" s="100"/>
      <c r="F137" s="100"/>
      <c r="G137" s="100" t="s">
        <v>1149</v>
      </c>
      <c r="H137" s="100"/>
      <c r="I137" s="100" t="s">
        <v>640</v>
      </c>
      <c r="J137" s="100" t="b">
        <f t="shared" si="6"/>
        <v>1</v>
      </c>
      <c r="K137" s="100" t="b">
        <v>1</v>
      </c>
      <c r="L137" s="100"/>
      <c r="M137" s="100"/>
      <c r="N137" s="100" t="s">
        <v>59</v>
      </c>
      <c r="O137" s="100" t="str">
        <f>"$D$"&amp;A137</f>
        <v>$D$85</v>
      </c>
      <c r="P137" s="100" t="str">
        <f>"$M$"&amp;A137</f>
        <v>$M$85</v>
      </c>
      <c r="Q137" s="100"/>
      <c r="R137" s="100"/>
      <c r="S137" s="100"/>
      <c r="T137" s="100">
        <v>156</v>
      </c>
      <c r="U137" s="100" t="b">
        <v>1</v>
      </c>
      <c r="V137" s="100" t="s">
        <v>1341</v>
      </c>
      <c r="W137" s="100" t="s">
        <v>1341</v>
      </c>
      <c r="X137" s="100"/>
      <c r="Y137" s="100"/>
      <c r="Z137" s="100"/>
      <c r="AA137" s="100"/>
      <c r="AB137" s="100"/>
      <c r="AC137" s="100">
        <v>5</v>
      </c>
      <c r="AD137" s="100" t="s">
        <v>105</v>
      </c>
      <c r="AE137" s="100">
        <v>12</v>
      </c>
      <c r="AF137" s="100" t="b">
        <v>0</v>
      </c>
      <c r="AG137" s="100" t="s">
        <v>1355</v>
      </c>
      <c r="AH137" s="100" t="s">
        <v>27</v>
      </c>
      <c r="AI137" s="100" t="s">
        <v>28</v>
      </c>
      <c r="AJ137" s="100"/>
      <c r="AK137" s="100"/>
      <c r="AL137" s="100">
        <v>0</v>
      </c>
      <c r="AM137" s="100"/>
      <c r="AN137" s="100"/>
      <c r="AO137" s="100"/>
      <c r="AP137" s="100"/>
    </row>
    <row r="138" spans="1:42" ht="16.5" customHeight="1" x14ac:dyDescent="0.2">
      <c r="A138" s="103">
        <f>$A$136+4</f>
        <v>87</v>
      </c>
      <c r="B138" s="103" t="s">
        <v>283</v>
      </c>
      <c r="C138" s="103" t="s">
        <v>654</v>
      </c>
      <c r="D138" s="103"/>
      <c r="E138" s="103"/>
      <c r="F138" s="103"/>
      <c r="G138" s="103" t="s">
        <v>1149</v>
      </c>
      <c r="H138" s="103"/>
      <c r="I138" s="103" t="s">
        <v>131</v>
      </c>
      <c r="J138" s="103" t="b">
        <f t="shared" si="6"/>
        <v>1</v>
      </c>
      <c r="K138" s="103" t="b">
        <v>1</v>
      </c>
      <c r="L138" s="103" t="b">
        <v>0</v>
      </c>
      <c r="M138" s="103" t="str">
        <f>"'expand """&amp;B138&amp;""","""&amp;G138&amp;""",TRUE'"</f>
        <v>'expand "SP_Main2Sub4","Startside",TRUE'</v>
      </c>
      <c r="N138" s="103" t="s">
        <v>59</v>
      </c>
      <c r="O138" s="103" t="str">
        <f>"$B$"&amp;A138</f>
        <v>$B$87</v>
      </c>
      <c r="P138" s="103" t="str">
        <f>"$M$" &amp; A140-1</f>
        <v>$M$90</v>
      </c>
      <c r="Q138" s="103"/>
      <c r="R138" s="103">
        <v>1</v>
      </c>
      <c r="S138" s="103"/>
      <c r="T138" s="103">
        <v>40</v>
      </c>
      <c r="U138" s="103" t="b">
        <v>1</v>
      </c>
      <c r="V138" s="103" t="s">
        <v>1344</v>
      </c>
      <c r="W138" s="103" t="s">
        <v>1343</v>
      </c>
      <c r="X138" s="103"/>
      <c r="Y138" s="103"/>
      <c r="Z138" s="103"/>
      <c r="AA138" s="103"/>
      <c r="AB138" s="103"/>
      <c r="AC138" s="103">
        <v>30</v>
      </c>
      <c r="AD138" s="103"/>
      <c r="AE138" s="103">
        <v>18</v>
      </c>
      <c r="AF138" s="103" t="b">
        <v>0</v>
      </c>
      <c r="AG138" s="103" t="s">
        <v>1351</v>
      </c>
      <c r="AH138" s="103" t="s">
        <v>29</v>
      </c>
      <c r="AI138" s="103" t="s">
        <v>28</v>
      </c>
      <c r="AJ138" s="103"/>
      <c r="AK138" s="103"/>
      <c r="AL138" s="103"/>
      <c r="AM138" s="103"/>
      <c r="AN138" s="103">
        <v>8</v>
      </c>
      <c r="AO138" s="103">
        <v>225</v>
      </c>
      <c r="AP138" s="103"/>
    </row>
    <row r="139" spans="1:42" ht="16.5" customHeight="1" x14ac:dyDescent="0.2">
      <c r="A139" s="100">
        <f>$A$138+2</f>
        <v>89</v>
      </c>
      <c r="B139" s="100" t="s">
        <v>284</v>
      </c>
      <c r="C139" s="100" t="s">
        <v>649</v>
      </c>
      <c r="D139" s="100"/>
      <c r="E139" s="100"/>
      <c r="F139" s="100"/>
      <c r="G139" s="100" t="s">
        <v>1149</v>
      </c>
      <c r="H139" s="100"/>
      <c r="I139" s="100" t="s">
        <v>174</v>
      </c>
      <c r="J139" s="100" t="b">
        <f t="shared" si="6"/>
        <v>1</v>
      </c>
      <c r="K139" s="100" t="b">
        <v>1</v>
      </c>
      <c r="L139" s="100"/>
      <c r="M139" s="100"/>
      <c r="N139" s="100" t="s">
        <v>59</v>
      </c>
      <c r="O139" s="100" t="str">
        <f>"$D$"&amp;A139</f>
        <v>$D$89</v>
      </c>
      <c r="P139" s="100" t="str">
        <f>"$M$"&amp;A139</f>
        <v>$M$89</v>
      </c>
      <c r="Q139" s="100"/>
      <c r="R139" s="100"/>
      <c r="S139" s="100"/>
      <c r="T139" s="100">
        <v>100</v>
      </c>
      <c r="U139" s="100" t="b">
        <v>1</v>
      </c>
      <c r="V139" s="100" t="s">
        <v>1341</v>
      </c>
      <c r="W139" s="100" t="s">
        <v>1341</v>
      </c>
      <c r="X139" s="100"/>
      <c r="Y139" s="100"/>
      <c r="Z139" s="100"/>
      <c r="AA139" s="100"/>
      <c r="AB139" s="100"/>
      <c r="AC139" s="100">
        <v>5</v>
      </c>
      <c r="AD139" s="100" t="s">
        <v>105</v>
      </c>
      <c r="AE139" s="100">
        <v>12</v>
      </c>
      <c r="AF139" s="100" t="b">
        <v>0</v>
      </c>
      <c r="AG139" s="100" t="s">
        <v>1355</v>
      </c>
      <c r="AH139" s="100" t="s">
        <v>27</v>
      </c>
      <c r="AI139" s="100" t="s">
        <v>28</v>
      </c>
      <c r="AJ139" s="100"/>
      <c r="AK139" s="100"/>
      <c r="AL139" s="100">
        <v>0</v>
      </c>
      <c r="AM139" s="100"/>
      <c r="AN139" s="100"/>
      <c r="AO139" s="100"/>
      <c r="AP139" s="100"/>
    </row>
    <row r="140" spans="1:42" ht="16.5" customHeight="1" x14ac:dyDescent="0.2">
      <c r="A140" s="103">
        <f>$A$138+4</f>
        <v>91</v>
      </c>
      <c r="B140" s="103" t="s">
        <v>285</v>
      </c>
      <c r="C140" s="103" t="s">
        <v>654</v>
      </c>
      <c r="D140" s="103"/>
      <c r="E140" s="103"/>
      <c r="F140" s="103"/>
      <c r="G140" s="103" t="s">
        <v>1149</v>
      </c>
      <c r="H140" s="103"/>
      <c r="I140" s="103" t="s">
        <v>1245</v>
      </c>
      <c r="J140" s="103" t="b">
        <f t="shared" si="6"/>
        <v>1</v>
      </c>
      <c r="K140" s="103" t="b">
        <v>1</v>
      </c>
      <c r="L140" s="103" t="b">
        <v>0</v>
      </c>
      <c r="M140" s="103" t="str">
        <f>"'expand """&amp;B140&amp;""","""&amp;G140&amp;""",TRUE'"</f>
        <v>'expand "SP_Main2Sub5","Startside",TRUE'</v>
      </c>
      <c r="N140" s="103" t="s">
        <v>59</v>
      </c>
      <c r="O140" s="103" t="str">
        <f>"$B$"&amp;A140</f>
        <v>$B$91</v>
      </c>
      <c r="P140" s="103" t="str">
        <f>"$M$" &amp; A142-1</f>
        <v>$M$94</v>
      </c>
      <c r="Q140" s="103"/>
      <c r="R140" s="103">
        <v>1</v>
      </c>
      <c r="S140" s="103"/>
      <c r="T140" s="103">
        <v>40</v>
      </c>
      <c r="U140" s="103" t="b">
        <v>1</v>
      </c>
      <c r="V140" s="103" t="s">
        <v>1344</v>
      </c>
      <c r="W140" s="103" t="s">
        <v>1343</v>
      </c>
      <c r="X140" s="103"/>
      <c r="Y140" s="103"/>
      <c r="Z140" s="103"/>
      <c r="AA140" s="103"/>
      <c r="AB140" s="103"/>
      <c r="AC140" s="103">
        <v>30</v>
      </c>
      <c r="AD140" s="103"/>
      <c r="AE140" s="103">
        <v>18</v>
      </c>
      <c r="AF140" s="103" t="b">
        <v>0</v>
      </c>
      <c r="AG140" s="103" t="s">
        <v>1351</v>
      </c>
      <c r="AH140" s="103" t="s">
        <v>29</v>
      </c>
      <c r="AI140" s="103" t="s">
        <v>28</v>
      </c>
      <c r="AJ140" s="103"/>
      <c r="AK140" s="103"/>
      <c r="AL140" s="103"/>
      <c r="AM140" s="103"/>
      <c r="AN140" s="103">
        <v>8</v>
      </c>
      <c r="AO140" s="103">
        <v>225</v>
      </c>
      <c r="AP140" s="103"/>
    </row>
    <row r="141" spans="1:42" ht="16.5" customHeight="1" x14ac:dyDescent="0.2">
      <c r="A141" s="100">
        <f>$A$140+2</f>
        <v>93</v>
      </c>
      <c r="B141" s="100" t="s">
        <v>783</v>
      </c>
      <c r="C141" s="100" t="s">
        <v>649</v>
      </c>
      <c r="D141" s="100"/>
      <c r="E141" s="100"/>
      <c r="F141" s="100"/>
      <c r="G141" s="100" t="s">
        <v>1149</v>
      </c>
      <c r="H141" s="100"/>
      <c r="I141" s="100" t="s">
        <v>175</v>
      </c>
      <c r="J141" s="100" t="b">
        <f t="shared" si="6"/>
        <v>1</v>
      </c>
      <c r="K141" s="100" t="b">
        <v>1</v>
      </c>
      <c r="L141" s="100"/>
      <c r="M141" s="100"/>
      <c r="N141" s="100" t="s">
        <v>59</v>
      </c>
      <c r="O141" s="100" t="str">
        <f>"$D$"&amp;A141</f>
        <v>$D$93</v>
      </c>
      <c r="P141" s="100" t="str">
        <f>"$M$"&amp;A141</f>
        <v>$M$93</v>
      </c>
      <c r="Q141" s="100"/>
      <c r="R141" s="100"/>
      <c r="S141" s="100"/>
      <c r="T141" s="100">
        <v>100</v>
      </c>
      <c r="U141" s="100" t="b">
        <v>1</v>
      </c>
      <c r="V141" s="100" t="s">
        <v>1341</v>
      </c>
      <c r="W141" s="100" t="s">
        <v>1341</v>
      </c>
      <c r="X141" s="100"/>
      <c r="Y141" s="100"/>
      <c r="Z141" s="100"/>
      <c r="AA141" s="100"/>
      <c r="AB141" s="100"/>
      <c r="AC141" s="100">
        <v>5</v>
      </c>
      <c r="AD141" s="100" t="s">
        <v>105</v>
      </c>
      <c r="AE141" s="100">
        <v>12</v>
      </c>
      <c r="AF141" s="100" t="b">
        <v>0</v>
      </c>
      <c r="AG141" s="100" t="s">
        <v>1355</v>
      </c>
      <c r="AH141" s="100" t="s">
        <v>27</v>
      </c>
      <c r="AI141" s="100" t="s">
        <v>28</v>
      </c>
      <c r="AJ141" s="100"/>
      <c r="AK141" s="100"/>
      <c r="AL141" s="100">
        <v>0</v>
      </c>
      <c r="AM141" s="100"/>
      <c r="AN141" s="100"/>
      <c r="AO141" s="100"/>
      <c r="AP141" s="100"/>
    </row>
    <row r="142" spans="1:42" ht="16.5" customHeight="1" x14ac:dyDescent="0.2">
      <c r="A142" s="103">
        <f>$A$140+4</f>
        <v>95</v>
      </c>
      <c r="B142" s="103" t="s">
        <v>286</v>
      </c>
      <c r="C142" s="103" t="s">
        <v>654</v>
      </c>
      <c r="D142" s="103"/>
      <c r="E142" s="103"/>
      <c r="F142" s="103"/>
      <c r="G142" s="103" t="s">
        <v>1149</v>
      </c>
      <c r="H142" s="103"/>
      <c r="I142" s="103" t="s">
        <v>133</v>
      </c>
      <c r="J142" s="103" t="b">
        <f t="shared" si="6"/>
        <v>1</v>
      </c>
      <c r="K142" s="103" t="b">
        <v>1</v>
      </c>
      <c r="L142" s="103" t="b">
        <v>0</v>
      </c>
      <c r="M142" s="103" t="str">
        <f>"'expand """&amp;B142&amp;""","""&amp;G142&amp;""",TRUE'"</f>
        <v>'expand "SP_Main2Sub6","Startside",TRUE'</v>
      </c>
      <c r="N142" s="103" t="s">
        <v>59</v>
      </c>
      <c r="O142" s="103" t="str">
        <f>"$B$"&amp;A142</f>
        <v>$B$95</v>
      </c>
      <c r="P142" s="103" t="str">
        <f>"$M$" &amp; A143+1</f>
        <v>$M$98</v>
      </c>
      <c r="Q142" s="103"/>
      <c r="R142" s="103">
        <v>1</v>
      </c>
      <c r="S142" s="103"/>
      <c r="T142" s="103">
        <v>40</v>
      </c>
      <c r="U142" s="103" t="b">
        <v>1</v>
      </c>
      <c r="V142" s="103" t="s">
        <v>1344</v>
      </c>
      <c r="W142" s="103" t="s">
        <v>1343</v>
      </c>
      <c r="X142" s="103"/>
      <c r="Y142" s="103"/>
      <c r="Z142" s="103"/>
      <c r="AA142" s="103"/>
      <c r="AB142" s="103"/>
      <c r="AC142" s="103">
        <v>30</v>
      </c>
      <c r="AD142" s="103"/>
      <c r="AE142" s="103">
        <v>18</v>
      </c>
      <c r="AF142" s="103" t="b">
        <v>0</v>
      </c>
      <c r="AG142" s="103" t="s">
        <v>1351</v>
      </c>
      <c r="AH142" s="103" t="s">
        <v>29</v>
      </c>
      <c r="AI142" s="103" t="s">
        <v>28</v>
      </c>
      <c r="AJ142" s="103"/>
      <c r="AK142" s="103"/>
      <c r="AL142" s="103"/>
      <c r="AM142" s="103"/>
      <c r="AN142" s="103">
        <v>8</v>
      </c>
      <c r="AO142" s="103">
        <v>225</v>
      </c>
      <c r="AP142" s="103"/>
    </row>
    <row r="143" spans="1:42" ht="16.5" customHeight="1" x14ac:dyDescent="0.2">
      <c r="A143" s="100">
        <f>$A$142+2</f>
        <v>97</v>
      </c>
      <c r="B143" s="100" t="s">
        <v>784</v>
      </c>
      <c r="C143" s="100" t="s">
        <v>649</v>
      </c>
      <c r="D143" s="100"/>
      <c r="E143" s="100"/>
      <c r="F143" s="100"/>
      <c r="G143" s="100" t="s">
        <v>1149</v>
      </c>
      <c r="H143" s="100"/>
      <c r="I143" s="100" t="s">
        <v>176</v>
      </c>
      <c r="J143" s="100" t="b">
        <f t="shared" si="6"/>
        <v>1</v>
      </c>
      <c r="K143" s="100" t="b">
        <v>1</v>
      </c>
      <c r="L143" s="100"/>
      <c r="M143" s="100"/>
      <c r="N143" s="100" t="s">
        <v>59</v>
      </c>
      <c r="O143" s="100" t="str">
        <f>"$D$"&amp;A143</f>
        <v>$D$97</v>
      </c>
      <c r="P143" s="100" t="str">
        <f>"$M$"&amp;A143</f>
        <v>$M$97</v>
      </c>
      <c r="Q143" s="100"/>
      <c r="R143" s="100"/>
      <c r="S143" s="100"/>
      <c r="T143" s="100">
        <v>180</v>
      </c>
      <c r="U143" s="100" t="b">
        <v>1</v>
      </c>
      <c r="V143" s="100" t="s">
        <v>1341</v>
      </c>
      <c r="W143" s="100" t="s">
        <v>1341</v>
      </c>
      <c r="X143" s="100"/>
      <c r="Y143" s="100"/>
      <c r="Z143" s="100"/>
      <c r="AA143" s="100"/>
      <c r="AB143" s="100"/>
      <c r="AC143" s="100">
        <v>5</v>
      </c>
      <c r="AD143" s="100" t="s">
        <v>105</v>
      </c>
      <c r="AE143" s="100">
        <v>12</v>
      </c>
      <c r="AF143" s="100" t="b">
        <v>0</v>
      </c>
      <c r="AG143" s="100" t="s">
        <v>1355</v>
      </c>
      <c r="AH143" s="100" t="s">
        <v>27</v>
      </c>
      <c r="AI143" s="100" t="s">
        <v>28</v>
      </c>
      <c r="AJ143" s="100"/>
      <c r="AK143" s="100"/>
      <c r="AL143" s="100">
        <v>0</v>
      </c>
      <c r="AM143" s="100"/>
      <c r="AN143" s="100"/>
      <c r="AO143" s="100"/>
      <c r="AP143" s="100"/>
    </row>
    <row r="144" spans="1:42" ht="16.5" customHeight="1" x14ac:dyDescent="0.2">
      <c r="A144" s="103">
        <f>$A$142+4</f>
        <v>99</v>
      </c>
      <c r="B144" s="103" t="s">
        <v>287</v>
      </c>
      <c r="C144" s="103" t="s">
        <v>654</v>
      </c>
      <c r="D144" s="103"/>
      <c r="E144" s="103"/>
      <c r="F144" s="103"/>
      <c r="G144" s="103" t="s">
        <v>1149</v>
      </c>
      <c r="H144" s="103" t="s">
        <v>1593</v>
      </c>
      <c r="I144" s="103" t="s">
        <v>1246</v>
      </c>
      <c r="J144" s="103" t="b">
        <f t="shared" ref="J144:J146" si="7">$E$2</f>
        <v>1</v>
      </c>
      <c r="K144" s="103" t="b">
        <v>1</v>
      </c>
      <c r="L144" s="103" t="b">
        <v>0</v>
      </c>
      <c r="M144" s="103" t="str">
        <f>"'expand """&amp;B144&amp;""","""&amp;G144&amp;""",TRUE'"</f>
        <v>'expand "SP_Main1","Startside",TRUE'</v>
      </c>
      <c r="N144" s="103" t="s">
        <v>59</v>
      </c>
      <c r="O144" s="103" t="str">
        <f>"$B$"&amp;A144</f>
        <v>$B$99</v>
      </c>
      <c r="P144" s="103" t="str">
        <f>"$N$" &amp; A206+1</f>
        <v>$N$131</v>
      </c>
      <c r="Q144" s="103"/>
      <c r="R144" s="103">
        <v>1</v>
      </c>
      <c r="S144" s="103"/>
      <c r="T144" s="103">
        <v>60</v>
      </c>
      <c r="U144" s="103" t="b">
        <v>1</v>
      </c>
      <c r="V144" s="103" t="s">
        <v>1343</v>
      </c>
      <c r="W144" s="103" t="s">
        <v>1355</v>
      </c>
      <c r="X144" s="103"/>
      <c r="Y144" s="103"/>
      <c r="Z144" s="103"/>
      <c r="AA144" s="103"/>
      <c r="AB144" s="103"/>
      <c r="AC144" s="103">
        <v>30</v>
      </c>
      <c r="AD144" s="103"/>
      <c r="AE144" s="103">
        <v>20</v>
      </c>
      <c r="AF144" s="103" t="b">
        <v>0</v>
      </c>
      <c r="AG144" s="103" t="s">
        <v>1351</v>
      </c>
      <c r="AH144" s="103" t="s">
        <v>29</v>
      </c>
      <c r="AI144" s="103" t="s">
        <v>28</v>
      </c>
      <c r="AJ144" s="103"/>
      <c r="AK144" s="103"/>
      <c r="AL144" s="103"/>
      <c r="AM144" s="103"/>
      <c r="AN144" s="103">
        <v>10</v>
      </c>
      <c r="AO144" s="103">
        <v>225</v>
      </c>
      <c r="AP144" s="103"/>
    </row>
    <row r="145" spans="1:48" ht="16.5" customHeight="1" x14ac:dyDescent="0.2">
      <c r="A145" s="103">
        <f>$A$144+2</f>
        <v>101</v>
      </c>
      <c r="B145" s="103" t="s">
        <v>861</v>
      </c>
      <c r="C145" s="103" t="s">
        <v>654</v>
      </c>
      <c r="D145" s="103"/>
      <c r="E145" s="103"/>
      <c r="F145" s="103"/>
      <c r="G145" s="103" t="s">
        <v>1149</v>
      </c>
      <c r="H145" s="103" t="s">
        <v>1443</v>
      </c>
      <c r="I145" s="103" t="s">
        <v>110</v>
      </c>
      <c r="J145" s="103" t="b">
        <f t="shared" si="7"/>
        <v>1</v>
      </c>
      <c r="K145" s="103" t="b">
        <v>1</v>
      </c>
      <c r="L145" s="103" t="b">
        <v>0</v>
      </c>
      <c r="M145" s="103" t="str">
        <f>"'expand """&amp;B145&amp;""","""&amp;G145&amp;""",TRUE'"</f>
        <v>'expand "SP_StamdataMain1","Startside",TRUE'</v>
      </c>
      <c r="N145" s="103" t="s">
        <v>59</v>
      </c>
      <c r="O145" s="103" t="str">
        <f>"$B$"&amp;A145</f>
        <v>$B$101</v>
      </c>
      <c r="P145" s="103" t="str">
        <f>"$M$" &amp; A206-1</f>
        <v>$M$129</v>
      </c>
      <c r="Q145" s="103"/>
      <c r="R145" s="103">
        <v>1</v>
      </c>
      <c r="S145" s="103"/>
      <c r="T145" s="103">
        <v>40</v>
      </c>
      <c r="U145" s="103" t="b">
        <v>1</v>
      </c>
      <c r="V145" s="103" t="s">
        <v>1344</v>
      </c>
      <c r="W145" s="103" t="s">
        <v>1343</v>
      </c>
      <c r="X145" s="103"/>
      <c r="Y145" s="103"/>
      <c r="Z145" s="103"/>
      <c r="AA145" s="103"/>
      <c r="AB145" s="103"/>
      <c r="AC145" s="103">
        <v>30</v>
      </c>
      <c r="AD145" s="103"/>
      <c r="AE145" s="103">
        <v>18</v>
      </c>
      <c r="AF145" s="103" t="b">
        <v>0</v>
      </c>
      <c r="AG145" s="103" t="s">
        <v>1351</v>
      </c>
      <c r="AH145" s="103" t="s">
        <v>29</v>
      </c>
      <c r="AI145" s="103" t="s">
        <v>28</v>
      </c>
      <c r="AJ145" s="103"/>
      <c r="AK145" s="103"/>
      <c r="AL145" s="103"/>
      <c r="AM145" s="103"/>
      <c r="AN145" s="103">
        <v>8</v>
      </c>
      <c r="AO145" s="103">
        <v>225</v>
      </c>
      <c r="AP145" s="103"/>
    </row>
    <row r="146" spans="1:48" ht="16.5" customHeight="1" x14ac:dyDescent="0.2">
      <c r="A146" s="107">
        <f>$A$145+2</f>
        <v>103</v>
      </c>
      <c r="B146" s="107" t="s">
        <v>805</v>
      </c>
      <c r="C146" s="107" t="s">
        <v>663</v>
      </c>
      <c r="D146" s="107"/>
      <c r="E146" s="107"/>
      <c r="F146" s="107"/>
      <c r="G146" s="107" t="s">
        <v>1149</v>
      </c>
      <c r="H146" s="107">
        <v>2</v>
      </c>
      <c r="I146" s="107">
        <v>6</v>
      </c>
      <c r="J146" s="107" t="b">
        <f t="shared" si="7"/>
        <v>1</v>
      </c>
      <c r="K146" s="107"/>
      <c r="L146" s="107"/>
      <c r="M146" s="107"/>
      <c r="N146" s="107"/>
      <c r="O146" s="107">
        <f>A146</f>
        <v>103</v>
      </c>
      <c r="P146" s="107">
        <f>O146</f>
        <v>103</v>
      </c>
      <c r="Q146" s="107"/>
      <c r="R146" s="107"/>
      <c r="S146" s="107"/>
      <c r="T146" s="107"/>
      <c r="U146" s="107"/>
      <c r="V146" s="107"/>
      <c r="W146" s="107"/>
      <c r="X146" s="107"/>
      <c r="Y146" s="107"/>
      <c r="Z146" s="107"/>
      <c r="AA146" s="107"/>
      <c r="AB146" s="107"/>
      <c r="AC146" s="107"/>
      <c r="AD146" s="107"/>
      <c r="AE146" s="107"/>
      <c r="AF146" s="107"/>
      <c r="AG146" s="107"/>
      <c r="AH146" s="107"/>
      <c r="AI146" s="107"/>
      <c r="AJ146" s="107"/>
      <c r="AK146" s="107"/>
      <c r="AL146" s="107"/>
      <c r="AM146" s="107"/>
      <c r="AN146" s="107"/>
      <c r="AO146" s="107"/>
      <c r="AP146" s="107"/>
      <c r="AQ146" s="93" t="str">
        <f>AQ153</f>
        <v>[Projektnavn / programnavn]</v>
      </c>
    </row>
    <row r="147" spans="1:48" ht="16.5" customHeight="1" x14ac:dyDescent="0.2">
      <c r="A147" s="108">
        <f t="shared" ref="A147:A158" si="8">$A$146+0</f>
        <v>103</v>
      </c>
      <c r="B147" s="109" t="s">
        <v>785</v>
      </c>
      <c r="C147" s="109" t="s">
        <v>96</v>
      </c>
      <c r="D147" s="109"/>
      <c r="E147" s="109" t="s">
        <v>805</v>
      </c>
      <c r="F147" s="109"/>
      <c r="G147" s="109" t="s">
        <v>1149</v>
      </c>
      <c r="H147" s="109"/>
      <c r="I147" s="109"/>
      <c r="J147" s="109"/>
      <c r="K147" s="109" t="b">
        <v>1</v>
      </c>
      <c r="L147" s="109"/>
      <c r="M147" s="109"/>
      <c r="N147" s="109"/>
      <c r="O147" s="109" t="str">
        <f>"$D$"&amp;A147</f>
        <v>$D$103</v>
      </c>
      <c r="P147" s="109" t="str">
        <f>"$I$"&amp;A147</f>
        <v>$I$103</v>
      </c>
      <c r="Q147" s="109"/>
      <c r="R147" s="109"/>
      <c r="S147" s="109"/>
      <c r="T147" s="109">
        <v>25</v>
      </c>
      <c r="U147" s="109" t="b">
        <v>1</v>
      </c>
      <c r="V147" s="109" t="s">
        <v>1342</v>
      </c>
      <c r="W147" s="109" t="s">
        <v>1342</v>
      </c>
      <c r="X147" s="109"/>
      <c r="Y147" s="109"/>
      <c r="Z147" s="109"/>
      <c r="AA147" s="109"/>
      <c r="AB147" s="109"/>
      <c r="AC147" s="109">
        <v>5</v>
      </c>
      <c r="AD147" s="109" t="s">
        <v>105</v>
      </c>
      <c r="AE147" s="109">
        <v>14</v>
      </c>
      <c r="AF147" s="109"/>
      <c r="AG147" s="109" t="s">
        <v>1360</v>
      </c>
      <c r="AH147" s="109" t="s">
        <v>29</v>
      </c>
      <c r="AI147" s="109" t="s">
        <v>28</v>
      </c>
      <c r="AJ147" s="109"/>
      <c r="AK147" s="109" t="s">
        <v>1342</v>
      </c>
      <c r="AL147" s="109">
        <v>5</v>
      </c>
      <c r="AM147" s="109"/>
      <c r="AN147" s="109"/>
      <c r="AO147" s="109"/>
      <c r="AP147" s="109" t="b">
        <v>1</v>
      </c>
      <c r="AQ147" s="296" t="s">
        <v>178</v>
      </c>
      <c r="AR147" s="296"/>
      <c r="AS147" s="296"/>
      <c r="AT147" s="296"/>
      <c r="AU147" s="296"/>
      <c r="AV147" s="296"/>
    </row>
    <row r="148" spans="1:48" ht="16.5" customHeight="1" x14ac:dyDescent="0.2">
      <c r="A148" s="108">
        <f t="shared" si="8"/>
        <v>103</v>
      </c>
      <c r="B148" s="110" t="str">
        <f>D148&amp;"Red"</f>
        <v>SP_StamdataT1Red</v>
      </c>
      <c r="C148" s="110" t="s">
        <v>656</v>
      </c>
      <c r="D148" s="110" t="s">
        <v>785</v>
      </c>
      <c r="E148" s="110" t="s">
        <v>805</v>
      </c>
      <c r="F148" s="110"/>
      <c r="G148" s="110" t="s">
        <v>1149</v>
      </c>
      <c r="H148" s="110"/>
      <c r="I148" s="110" t="s">
        <v>1247</v>
      </c>
      <c r="J148" s="110"/>
      <c r="K148" s="110" t="b">
        <v>1</v>
      </c>
      <c r="L148" s="110"/>
      <c r="M148" s="110" t="str">
        <f>"'editNorm """&amp;D148&amp;""","""&amp;B148&amp;""","""&amp;E148&amp;"""'"</f>
        <v>'editNorm "SP_StamdataT1","SP_StamdataT1Red","SP_StamdataT1Rep"'</v>
      </c>
      <c r="N148" s="110" t="s">
        <v>59</v>
      </c>
      <c r="O148" s="110" t="str">
        <f>"$L$"&amp;A148</f>
        <v>$L$103</v>
      </c>
      <c r="P148" s="110" t="str">
        <f>"$M$"&amp;A148</f>
        <v>$M$103</v>
      </c>
      <c r="Q148" s="110">
        <v>5</v>
      </c>
      <c r="R148" s="110">
        <v>1</v>
      </c>
      <c r="S148" s="110"/>
      <c r="T148" s="110">
        <v>22</v>
      </c>
      <c r="U148" s="110" t="b">
        <v>1</v>
      </c>
      <c r="V148" s="110" t="s">
        <v>1344</v>
      </c>
      <c r="W148" s="110" t="s">
        <v>1343</v>
      </c>
      <c r="X148" s="110"/>
      <c r="Y148" s="110"/>
      <c r="Z148" s="110"/>
      <c r="AA148" s="110"/>
      <c r="AB148" s="110">
        <v>3</v>
      </c>
      <c r="AC148" s="110">
        <v>5</v>
      </c>
      <c r="AD148" s="110" t="s">
        <v>105</v>
      </c>
      <c r="AE148" s="110">
        <v>12</v>
      </c>
      <c r="AF148" s="110"/>
      <c r="AG148" s="110" t="s">
        <v>1351</v>
      </c>
      <c r="AH148" s="110" t="s">
        <v>29</v>
      </c>
      <c r="AI148" s="110" t="s">
        <v>29</v>
      </c>
      <c r="AJ148" s="110"/>
      <c r="AK148" s="110"/>
      <c r="AL148" s="110"/>
      <c r="AM148" s="110"/>
      <c r="AN148" s="110">
        <v>2</v>
      </c>
      <c r="AO148" s="110"/>
      <c r="AP148" s="110"/>
    </row>
    <row r="149" spans="1:48" ht="16.5" customHeight="1" x14ac:dyDescent="0.2">
      <c r="A149" s="108">
        <f t="shared" si="8"/>
        <v>103</v>
      </c>
      <c r="B149" s="110" t="str">
        <f>D149&amp;"Gem"</f>
        <v>SP_StamdataT1Gem</v>
      </c>
      <c r="C149" s="110" t="s">
        <v>656</v>
      </c>
      <c r="D149" s="110" t="s">
        <v>785</v>
      </c>
      <c r="E149" s="110" t="s">
        <v>805</v>
      </c>
      <c r="F149" s="110"/>
      <c r="G149" s="110" t="s">
        <v>1149</v>
      </c>
      <c r="H149" s="110"/>
      <c r="I149" s="110" t="s">
        <v>238</v>
      </c>
      <c r="J149" s="110"/>
      <c r="K149" s="110"/>
      <c r="L149" s="110"/>
      <c r="M149" s="110" t="str">
        <f>"'editNorm """&amp;D149&amp;""","""&amp;B149&amp;""","""&amp;E149&amp;"""'"</f>
        <v>'editNorm "SP_StamdataT1","SP_StamdataT1Gem","SP_StamdataT1Rep"'</v>
      </c>
      <c r="N149" s="110" t="s">
        <v>59</v>
      </c>
      <c r="O149" s="110" t="str">
        <f>"$L$"&amp;A149</f>
        <v>$L$103</v>
      </c>
      <c r="P149" s="110" t="str">
        <f>"$L$"&amp;A149</f>
        <v>$L$103</v>
      </c>
      <c r="Q149" s="110">
        <v>5</v>
      </c>
      <c r="R149" s="110">
        <v>1</v>
      </c>
      <c r="S149" s="110"/>
      <c r="T149" s="110">
        <v>22</v>
      </c>
      <c r="U149" s="110" t="b">
        <v>1</v>
      </c>
      <c r="V149" s="110" t="s">
        <v>1345</v>
      </c>
      <c r="W149" s="110" t="s">
        <v>1343</v>
      </c>
      <c r="X149" s="110"/>
      <c r="Y149" s="110"/>
      <c r="Z149" s="110"/>
      <c r="AA149" s="110"/>
      <c r="AB149" s="110">
        <v>3</v>
      </c>
      <c r="AC149" s="110">
        <v>5</v>
      </c>
      <c r="AD149" s="110" t="s">
        <v>105</v>
      </c>
      <c r="AE149" s="110">
        <v>12</v>
      </c>
      <c r="AF149" s="110"/>
      <c r="AG149" s="110" t="s">
        <v>1351</v>
      </c>
      <c r="AH149" s="110" t="s">
        <v>29</v>
      </c>
      <c r="AI149" s="110" t="s">
        <v>29</v>
      </c>
      <c r="AJ149" s="110"/>
      <c r="AK149" s="110"/>
      <c r="AL149" s="110"/>
      <c r="AM149" s="110"/>
      <c r="AN149" s="110">
        <v>2</v>
      </c>
      <c r="AO149" s="110"/>
      <c r="AP149" s="110"/>
    </row>
    <row r="150" spans="1:48" ht="16.5" customHeight="1" x14ac:dyDescent="0.2">
      <c r="A150" s="108">
        <f t="shared" si="8"/>
        <v>103</v>
      </c>
      <c r="B150" s="110" t="str">
        <f>D150&amp;"Cancel"</f>
        <v>SP_StamdataT1Cancel</v>
      </c>
      <c r="C150" s="110" t="s">
        <v>656</v>
      </c>
      <c r="D150" s="110" t="s">
        <v>785</v>
      </c>
      <c r="E150" s="110" t="s">
        <v>805</v>
      </c>
      <c r="F150" s="110"/>
      <c r="G150" s="110" t="s">
        <v>1149</v>
      </c>
      <c r="H150" s="110"/>
      <c r="I150" s="110" t="s">
        <v>838</v>
      </c>
      <c r="J150" s="110"/>
      <c r="K150" s="110"/>
      <c r="L150" s="110"/>
      <c r="M150" s="110" t="str">
        <f>"'editNorm """&amp;D150&amp;""","""&amp;B150&amp;""","""&amp;E150&amp;"""'"</f>
        <v>'editNorm "SP_StamdataT1","SP_StamdataT1Cancel","SP_StamdataT1Rep"'</v>
      </c>
      <c r="N150" s="110" t="s">
        <v>59</v>
      </c>
      <c r="O150" s="110" t="str">
        <f>"$M$"&amp;A150</f>
        <v>$M$103</v>
      </c>
      <c r="P150" s="110" t="str">
        <f>"$M$"&amp;A150</f>
        <v>$M$103</v>
      </c>
      <c r="Q150" s="110">
        <v>7</v>
      </c>
      <c r="R150" s="110">
        <v>1</v>
      </c>
      <c r="S150" s="110"/>
      <c r="T150" s="110">
        <v>22</v>
      </c>
      <c r="U150" s="110" t="b">
        <v>1</v>
      </c>
      <c r="V150" s="110" t="s">
        <v>1344</v>
      </c>
      <c r="W150" s="110" t="s">
        <v>1343</v>
      </c>
      <c r="X150" s="110"/>
      <c r="Y150" s="110"/>
      <c r="Z150" s="110"/>
      <c r="AA150" s="110"/>
      <c r="AB150" s="110">
        <v>3</v>
      </c>
      <c r="AC150" s="110">
        <v>5</v>
      </c>
      <c r="AD150" s="110" t="s">
        <v>105</v>
      </c>
      <c r="AE150" s="110">
        <v>12</v>
      </c>
      <c r="AF150" s="110"/>
      <c r="AG150" s="110" t="s">
        <v>1351</v>
      </c>
      <c r="AH150" s="110" t="s">
        <v>29</v>
      </c>
      <c r="AI150" s="110" t="s">
        <v>29</v>
      </c>
      <c r="AJ150" s="110"/>
      <c r="AK150" s="110"/>
      <c r="AL150" s="110"/>
      <c r="AM150" s="110"/>
      <c r="AN150" s="110">
        <v>2</v>
      </c>
      <c r="AO150" s="110"/>
      <c r="AP150" s="110"/>
    </row>
    <row r="151" spans="1:48" ht="16.5" customHeight="1" x14ac:dyDescent="0.2">
      <c r="A151" s="108">
        <f t="shared" si="8"/>
        <v>103</v>
      </c>
      <c r="B151" s="110" t="str">
        <f>D151&amp;"Delete"</f>
        <v>SP_StamdataT1Delete</v>
      </c>
      <c r="C151" s="110" t="s">
        <v>656</v>
      </c>
      <c r="D151" s="110" t="s">
        <v>785</v>
      </c>
      <c r="E151" s="110" t="s">
        <v>805</v>
      </c>
      <c r="F151" s="110"/>
      <c r="G151" s="110" t="s">
        <v>1149</v>
      </c>
      <c r="H151" s="110"/>
      <c r="I151" s="110" t="s">
        <v>1266</v>
      </c>
      <c r="J151" s="110"/>
      <c r="K151" s="110"/>
      <c r="L151" s="110"/>
      <c r="M151" s="110" t="str">
        <f>"'editNorm """&amp;D151&amp;""","""&amp;B151&amp;""","""&amp;E151&amp;"""'"</f>
        <v>'editNorm "SP_StamdataT1","SP_StamdataT1Delete","SP_StamdataT1Rep"'</v>
      </c>
      <c r="N151" s="110" t="s">
        <v>59</v>
      </c>
      <c r="O151" s="110" t="str">
        <f>"$N$"&amp;A151</f>
        <v>$N$103</v>
      </c>
      <c r="P151" s="110" t="str">
        <f>"$N$"&amp;A151</f>
        <v>$N$103</v>
      </c>
      <c r="Q151" s="110">
        <v>7</v>
      </c>
      <c r="R151" s="110">
        <v>1</v>
      </c>
      <c r="S151" s="110"/>
      <c r="T151" s="110">
        <v>22</v>
      </c>
      <c r="U151" s="110" t="b">
        <v>1</v>
      </c>
      <c r="V151" s="110" t="s">
        <v>1346</v>
      </c>
      <c r="W151" s="110" t="s">
        <v>1343</v>
      </c>
      <c r="X151" s="110"/>
      <c r="Y151" s="110"/>
      <c r="Z151" s="110"/>
      <c r="AA151" s="110"/>
      <c r="AB151" s="110">
        <v>3</v>
      </c>
      <c r="AC151" s="110">
        <v>5</v>
      </c>
      <c r="AD151" s="110" t="s">
        <v>105</v>
      </c>
      <c r="AE151" s="110">
        <v>12</v>
      </c>
      <c r="AF151" s="110"/>
      <c r="AG151" s="110" t="s">
        <v>1351</v>
      </c>
      <c r="AH151" s="110" t="s">
        <v>29</v>
      </c>
      <c r="AI151" s="110" t="s">
        <v>29</v>
      </c>
      <c r="AJ151" s="110"/>
      <c r="AK151" s="110"/>
      <c r="AL151" s="110"/>
      <c r="AM151" s="110"/>
      <c r="AN151" s="110">
        <v>2</v>
      </c>
      <c r="AO151" s="110"/>
      <c r="AP151" s="110"/>
    </row>
    <row r="152" spans="1:48" ht="16.5" customHeight="1" x14ac:dyDescent="0.2">
      <c r="A152" s="108">
        <f t="shared" si="8"/>
        <v>103</v>
      </c>
      <c r="B152" s="100" t="s">
        <v>1276</v>
      </c>
      <c r="C152" s="100" t="s">
        <v>649</v>
      </c>
      <c r="D152" s="100"/>
      <c r="E152" s="100" t="s">
        <v>805</v>
      </c>
      <c r="F152" s="100"/>
      <c r="G152" s="100" t="s">
        <v>1149</v>
      </c>
      <c r="H152" s="100"/>
      <c r="I152" s="100" t="s">
        <v>114</v>
      </c>
      <c r="J152" s="100"/>
      <c r="K152" s="100" t="b">
        <v>1</v>
      </c>
      <c r="L152" s="100"/>
      <c r="M152" s="100"/>
      <c r="N152" s="100" t="s">
        <v>59</v>
      </c>
      <c r="O152" s="100" t="str">
        <f>"$J$"&amp;A152</f>
        <v>$J$103</v>
      </c>
      <c r="P152" s="100" t="str">
        <f>"$K$"&amp;A152</f>
        <v>$K$103</v>
      </c>
      <c r="Q152" s="100">
        <v>2</v>
      </c>
      <c r="R152" s="100"/>
      <c r="S152" s="100"/>
      <c r="T152" s="100">
        <v>22</v>
      </c>
      <c r="U152" s="100" t="b">
        <v>1</v>
      </c>
      <c r="V152" s="100" t="s">
        <v>1342</v>
      </c>
      <c r="W152" s="100" t="s">
        <v>1342</v>
      </c>
      <c r="X152" s="100"/>
      <c r="Y152" s="100"/>
      <c r="Z152" s="100"/>
      <c r="AA152" s="100"/>
      <c r="AB152" s="100"/>
      <c r="AC152" s="100"/>
      <c r="AD152" s="100" t="s">
        <v>105</v>
      </c>
      <c r="AE152" s="100">
        <v>10</v>
      </c>
      <c r="AF152" s="100"/>
      <c r="AG152" s="100" t="s">
        <v>1360</v>
      </c>
      <c r="AH152" s="100" t="s">
        <v>29</v>
      </c>
      <c r="AI152" s="100" t="s">
        <v>28</v>
      </c>
      <c r="AJ152" s="100"/>
      <c r="AK152" s="100"/>
      <c r="AL152" s="100">
        <v>0</v>
      </c>
      <c r="AM152" s="100"/>
      <c r="AN152" s="100"/>
      <c r="AO152" s="100"/>
      <c r="AP152" s="100"/>
    </row>
    <row r="153" spans="1:48" ht="16.5" customHeight="1" x14ac:dyDescent="0.2">
      <c r="A153" s="109">
        <f t="shared" si="8"/>
        <v>103</v>
      </c>
      <c r="B153" s="109" t="s">
        <v>852</v>
      </c>
      <c r="C153" s="109" t="s">
        <v>96</v>
      </c>
      <c r="D153" s="109"/>
      <c r="E153" s="109" t="s">
        <v>805</v>
      </c>
      <c r="F153" s="109"/>
      <c r="G153" s="109" t="s">
        <v>1149</v>
      </c>
      <c r="H153" s="109">
        <v>1</v>
      </c>
      <c r="I153" s="109"/>
      <c r="J153" s="109" t="b">
        <f t="shared" ref="J153:J161" si="9">$E$2</f>
        <v>1</v>
      </c>
      <c r="K153" s="109" t="b">
        <v>1</v>
      </c>
      <c r="L153" s="109"/>
      <c r="M153" s="109"/>
      <c r="N153" s="109"/>
      <c r="O153" s="109" t="str">
        <f>"$D$"&amp;A153</f>
        <v>$D$103</v>
      </c>
      <c r="P153" s="109" t="str">
        <f>"$I$"&amp;A153</f>
        <v>$I$103</v>
      </c>
      <c r="Q153" s="109"/>
      <c r="R153" s="109"/>
      <c r="S153" s="109"/>
      <c r="T153" s="109">
        <v>25</v>
      </c>
      <c r="U153" s="109" t="b">
        <v>1</v>
      </c>
      <c r="V153" s="109" t="s">
        <v>1342</v>
      </c>
      <c r="W153" s="109" t="s">
        <v>1342</v>
      </c>
      <c r="X153" s="109"/>
      <c r="Y153" s="109"/>
      <c r="Z153" s="109"/>
      <c r="AA153" s="109"/>
      <c r="AB153" s="109"/>
      <c r="AC153" s="109">
        <v>5</v>
      </c>
      <c r="AD153" s="109" t="s">
        <v>105</v>
      </c>
      <c r="AE153" s="109">
        <v>14</v>
      </c>
      <c r="AF153" s="109"/>
      <c r="AG153" s="109" t="s">
        <v>1360</v>
      </c>
      <c r="AH153" s="109" t="s">
        <v>29</v>
      </c>
      <c r="AI153" s="109" t="s">
        <v>28</v>
      </c>
      <c r="AJ153" s="109"/>
      <c r="AK153" s="109" t="s">
        <v>1342</v>
      </c>
      <c r="AL153" s="109">
        <v>5</v>
      </c>
      <c r="AM153" s="109"/>
      <c r="AN153" s="109"/>
      <c r="AO153" s="109"/>
      <c r="AP153" s="109" t="b">
        <v>1</v>
      </c>
      <c r="AQ153" s="296" t="s">
        <v>178</v>
      </c>
      <c r="AR153" s="296"/>
      <c r="AS153" s="296"/>
      <c r="AT153" s="296"/>
      <c r="AU153" s="296"/>
      <c r="AV153" s="296"/>
    </row>
    <row r="154" spans="1:48" ht="16.5" customHeight="1" x14ac:dyDescent="0.2">
      <c r="A154" s="110">
        <f t="shared" si="8"/>
        <v>103</v>
      </c>
      <c r="B154" s="110" t="str">
        <f>D154&amp;"Red"</f>
        <v>SP_StamdataT1_1Red</v>
      </c>
      <c r="C154" s="110" t="s">
        <v>656</v>
      </c>
      <c r="D154" s="110" t="s">
        <v>852</v>
      </c>
      <c r="E154" s="110" t="s">
        <v>805</v>
      </c>
      <c r="F154" s="110"/>
      <c r="G154" s="110" t="s">
        <v>1149</v>
      </c>
      <c r="H154" s="110">
        <v>1</v>
      </c>
      <c r="I154" s="110" t="s">
        <v>1247</v>
      </c>
      <c r="J154" s="110" t="b">
        <f t="shared" si="9"/>
        <v>1</v>
      </c>
      <c r="K154" s="110" t="b">
        <v>1</v>
      </c>
      <c r="L154" s="110"/>
      <c r="M154" s="110" t="str">
        <f>"'editNorm """&amp;D154&amp;""","""&amp;B154&amp;""","""&amp;E154&amp;"""'"</f>
        <v>'editNorm "SP_StamdataT1_1","SP_StamdataT1_1Red","SP_StamdataT1Rep"'</v>
      </c>
      <c r="N154" s="110" t="s">
        <v>59</v>
      </c>
      <c r="O154" s="110" t="str">
        <f>"$L$"&amp;A154</f>
        <v>$L$103</v>
      </c>
      <c r="P154" s="110" t="str">
        <f>"$M$"&amp;A154</f>
        <v>$M$103</v>
      </c>
      <c r="Q154" s="110">
        <v>5</v>
      </c>
      <c r="R154" s="110">
        <v>1</v>
      </c>
      <c r="S154" s="110"/>
      <c r="T154" s="110">
        <v>22</v>
      </c>
      <c r="U154" s="110" t="b">
        <v>1</v>
      </c>
      <c r="V154" s="110" t="s">
        <v>1344</v>
      </c>
      <c r="W154" s="110" t="s">
        <v>1343</v>
      </c>
      <c r="X154" s="110"/>
      <c r="Y154" s="110"/>
      <c r="Z154" s="110"/>
      <c r="AA154" s="110"/>
      <c r="AB154" s="110">
        <v>3</v>
      </c>
      <c r="AC154" s="110">
        <v>5</v>
      </c>
      <c r="AD154" s="110" t="s">
        <v>105</v>
      </c>
      <c r="AE154" s="110">
        <v>12</v>
      </c>
      <c r="AF154" s="110"/>
      <c r="AG154" s="110" t="s">
        <v>1351</v>
      </c>
      <c r="AH154" s="110" t="s">
        <v>29</v>
      </c>
      <c r="AI154" s="110" t="s">
        <v>29</v>
      </c>
      <c r="AJ154" s="110"/>
      <c r="AK154" s="110"/>
      <c r="AL154" s="110"/>
      <c r="AM154" s="110"/>
      <c r="AN154" s="110">
        <v>2</v>
      </c>
      <c r="AO154" s="110"/>
      <c r="AP154" s="110"/>
    </row>
    <row r="155" spans="1:48" ht="16.5" customHeight="1" x14ac:dyDescent="0.2">
      <c r="A155" s="110">
        <f t="shared" si="8"/>
        <v>103</v>
      </c>
      <c r="B155" s="110" t="str">
        <f>D155&amp;"Gem"</f>
        <v>SP_StamdataT1_1Gem</v>
      </c>
      <c r="C155" s="110" t="s">
        <v>656</v>
      </c>
      <c r="D155" s="110" t="s">
        <v>852</v>
      </c>
      <c r="E155" s="110" t="s">
        <v>805</v>
      </c>
      <c r="F155" s="110"/>
      <c r="G155" s="110" t="s">
        <v>1149</v>
      </c>
      <c r="H155" s="110">
        <v>1</v>
      </c>
      <c r="I155" s="110" t="s">
        <v>238</v>
      </c>
      <c r="J155" s="110" t="b">
        <f t="shared" si="9"/>
        <v>1</v>
      </c>
      <c r="K155" s="110"/>
      <c r="L155" s="110"/>
      <c r="M155" s="110" t="str">
        <f>"'editNorm """&amp;D155&amp;""","""&amp;B155&amp;""","""&amp;E155&amp;"""'"</f>
        <v>'editNorm "SP_StamdataT1_1","SP_StamdataT1_1Gem","SP_StamdataT1Rep"'</v>
      </c>
      <c r="N155" s="110" t="s">
        <v>59</v>
      </c>
      <c r="O155" s="110" t="str">
        <f>"$L$"&amp;A155</f>
        <v>$L$103</v>
      </c>
      <c r="P155" s="110" t="str">
        <f>"$L$"&amp;A155</f>
        <v>$L$103</v>
      </c>
      <c r="Q155" s="110">
        <v>5</v>
      </c>
      <c r="R155" s="110">
        <v>1</v>
      </c>
      <c r="S155" s="110"/>
      <c r="T155" s="110">
        <v>22</v>
      </c>
      <c r="U155" s="110" t="b">
        <v>1</v>
      </c>
      <c r="V155" s="110" t="s">
        <v>1345</v>
      </c>
      <c r="W155" s="110" t="s">
        <v>1343</v>
      </c>
      <c r="X155" s="110"/>
      <c r="Y155" s="110"/>
      <c r="Z155" s="110"/>
      <c r="AA155" s="110"/>
      <c r="AB155" s="110">
        <v>3</v>
      </c>
      <c r="AC155" s="110">
        <v>5</v>
      </c>
      <c r="AD155" s="110" t="s">
        <v>105</v>
      </c>
      <c r="AE155" s="110">
        <v>12</v>
      </c>
      <c r="AF155" s="110"/>
      <c r="AG155" s="110" t="s">
        <v>1351</v>
      </c>
      <c r="AH155" s="110" t="s">
        <v>29</v>
      </c>
      <c r="AI155" s="110" t="s">
        <v>29</v>
      </c>
      <c r="AJ155" s="110"/>
      <c r="AK155" s="110"/>
      <c r="AL155" s="110"/>
      <c r="AM155" s="110"/>
      <c r="AN155" s="110">
        <v>2</v>
      </c>
      <c r="AO155" s="110"/>
      <c r="AP155" s="110"/>
    </row>
    <row r="156" spans="1:48" ht="16.5" customHeight="1" x14ac:dyDescent="0.2">
      <c r="A156" s="110">
        <f t="shared" si="8"/>
        <v>103</v>
      </c>
      <c r="B156" s="110" t="str">
        <f>D156&amp;"Cancel"</f>
        <v>SP_StamdataT1_1Cancel</v>
      </c>
      <c r="C156" s="110" t="s">
        <v>656</v>
      </c>
      <c r="D156" s="110" t="s">
        <v>852</v>
      </c>
      <c r="E156" s="110" t="s">
        <v>805</v>
      </c>
      <c r="F156" s="110"/>
      <c r="G156" s="110" t="s">
        <v>1149</v>
      </c>
      <c r="H156" s="110">
        <v>1</v>
      </c>
      <c r="I156" s="110" t="s">
        <v>838</v>
      </c>
      <c r="J156" s="110" t="b">
        <f t="shared" si="9"/>
        <v>1</v>
      </c>
      <c r="K156" s="110"/>
      <c r="L156" s="110"/>
      <c r="M156" s="110" t="str">
        <f>"'editNorm """&amp;D156&amp;""","""&amp;B156&amp;""","""&amp;E156&amp;"""'"</f>
        <v>'editNorm "SP_StamdataT1_1","SP_StamdataT1_1Cancel","SP_StamdataT1Rep"'</v>
      </c>
      <c r="N156" s="110" t="s">
        <v>59</v>
      </c>
      <c r="O156" s="110" t="str">
        <f>"$M$"&amp;A156</f>
        <v>$M$103</v>
      </c>
      <c r="P156" s="110" t="str">
        <f>"$M$"&amp;A156</f>
        <v>$M$103</v>
      </c>
      <c r="Q156" s="110">
        <v>7</v>
      </c>
      <c r="R156" s="110">
        <v>1</v>
      </c>
      <c r="S156" s="110"/>
      <c r="T156" s="110">
        <v>22</v>
      </c>
      <c r="U156" s="110" t="b">
        <v>1</v>
      </c>
      <c r="V156" s="110" t="s">
        <v>1344</v>
      </c>
      <c r="W156" s="110" t="s">
        <v>1343</v>
      </c>
      <c r="X156" s="110"/>
      <c r="Y156" s="110"/>
      <c r="Z156" s="110"/>
      <c r="AA156" s="110"/>
      <c r="AB156" s="110">
        <v>3</v>
      </c>
      <c r="AC156" s="110">
        <v>5</v>
      </c>
      <c r="AD156" s="110" t="s">
        <v>105</v>
      </c>
      <c r="AE156" s="110">
        <v>12</v>
      </c>
      <c r="AF156" s="110"/>
      <c r="AG156" s="110" t="s">
        <v>1351</v>
      </c>
      <c r="AH156" s="110" t="s">
        <v>29</v>
      </c>
      <c r="AI156" s="110" t="s">
        <v>29</v>
      </c>
      <c r="AJ156" s="110"/>
      <c r="AK156" s="110"/>
      <c r="AL156" s="110"/>
      <c r="AM156" s="110"/>
      <c r="AN156" s="110">
        <v>2</v>
      </c>
      <c r="AO156" s="110"/>
      <c r="AP156" s="110"/>
    </row>
    <row r="157" spans="1:48" ht="16.5" customHeight="1" x14ac:dyDescent="0.2">
      <c r="A157" s="110">
        <f t="shared" si="8"/>
        <v>103</v>
      </c>
      <c r="B157" s="110" t="str">
        <f>D157&amp;"Delete"</f>
        <v>SP_StamdataT1_1Delete</v>
      </c>
      <c r="C157" s="110" t="s">
        <v>656</v>
      </c>
      <c r="D157" s="110" t="s">
        <v>852</v>
      </c>
      <c r="E157" s="110" t="s">
        <v>805</v>
      </c>
      <c r="F157" s="110"/>
      <c r="G157" s="110" t="s">
        <v>1149</v>
      </c>
      <c r="H157" s="110">
        <v>1</v>
      </c>
      <c r="I157" s="110" t="s">
        <v>1266</v>
      </c>
      <c r="J157" s="110" t="b">
        <f t="shared" si="9"/>
        <v>1</v>
      </c>
      <c r="K157" s="110"/>
      <c r="L157" s="110"/>
      <c r="M157" s="110" t="str">
        <f>"'editNorm """&amp;D157&amp;""","""&amp;B157&amp;""","""&amp;E157&amp;"""'"</f>
        <v>'editNorm "SP_StamdataT1_1","SP_StamdataT1_1Delete","SP_StamdataT1Rep"'</v>
      </c>
      <c r="N157" s="110" t="s">
        <v>59</v>
      </c>
      <c r="O157" s="110" t="str">
        <f>"$N$"&amp;A157</f>
        <v>$N$103</v>
      </c>
      <c r="P157" s="110" t="str">
        <f>"$N$"&amp;A157</f>
        <v>$N$103</v>
      </c>
      <c r="Q157" s="110">
        <v>7</v>
      </c>
      <c r="R157" s="110">
        <v>1</v>
      </c>
      <c r="S157" s="110"/>
      <c r="T157" s="110">
        <v>22</v>
      </c>
      <c r="U157" s="110" t="b">
        <v>1</v>
      </c>
      <c r="V157" s="110" t="s">
        <v>1346</v>
      </c>
      <c r="W157" s="110" t="s">
        <v>1343</v>
      </c>
      <c r="X157" s="110"/>
      <c r="Y157" s="110"/>
      <c r="Z157" s="110"/>
      <c r="AA157" s="110"/>
      <c r="AB157" s="110">
        <v>3</v>
      </c>
      <c r="AC157" s="110">
        <v>5</v>
      </c>
      <c r="AD157" s="110" t="s">
        <v>105</v>
      </c>
      <c r="AE157" s="110">
        <v>12</v>
      </c>
      <c r="AF157" s="110"/>
      <c r="AG157" s="110" t="s">
        <v>1351</v>
      </c>
      <c r="AH157" s="110" t="s">
        <v>29</v>
      </c>
      <c r="AI157" s="110" t="s">
        <v>29</v>
      </c>
      <c r="AJ157" s="110"/>
      <c r="AK157" s="110"/>
      <c r="AL157" s="110"/>
      <c r="AM157" s="110"/>
      <c r="AN157" s="110">
        <v>2</v>
      </c>
      <c r="AO157" s="110"/>
      <c r="AP157" s="110"/>
    </row>
    <row r="158" spans="1:48" ht="16.5" customHeight="1" x14ac:dyDescent="0.2">
      <c r="A158" s="100">
        <f t="shared" si="8"/>
        <v>103</v>
      </c>
      <c r="B158" s="100" t="s">
        <v>1277</v>
      </c>
      <c r="C158" s="100" t="s">
        <v>649</v>
      </c>
      <c r="D158" s="100"/>
      <c r="E158" s="100" t="s">
        <v>805</v>
      </c>
      <c r="F158" s="100"/>
      <c r="G158" s="100" t="s">
        <v>1149</v>
      </c>
      <c r="H158" s="100">
        <v>1</v>
      </c>
      <c r="I158" s="100" t="s">
        <v>114</v>
      </c>
      <c r="J158" s="100" t="b">
        <f t="shared" si="9"/>
        <v>1</v>
      </c>
      <c r="K158" s="100" t="b">
        <v>1</v>
      </c>
      <c r="L158" s="100"/>
      <c r="M158" s="100"/>
      <c r="N158" s="100" t="s">
        <v>59</v>
      </c>
      <c r="O158" s="100" t="str">
        <f>"$J$"&amp;A158</f>
        <v>$J$103</v>
      </c>
      <c r="P158" s="100" t="str">
        <f>"$K$"&amp;A158</f>
        <v>$K$103</v>
      </c>
      <c r="Q158" s="100">
        <v>2</v>
      </c>
      <c r="R158" s="100"/>
      <c r="S158" s="100"/>
      <c r="T158" s="100">
        <v>22</v>
      </c>
      <c r="U158" s="100" t="b">
        <v>1</v>
      </c>
      <c r="V158" s="100" t="s">
        <v>1342</v>
      </c>
      <c r="W158" s="100" t="s">
        <v>1342</v>
      </c>
      <c r="X158" s="100"/>
      <c r="Y158" s="100"/>
      <c r="Z158" s="100"/>
      <c r="AA158" s="100"/>
      <c r="AB158" s="100"/>
      <c r="AC158" s="100"/>
      <c r="AD158" s="100" t="s">
        <v>105</v>
      </c>
      <c r="AE158" s="100">
        <v>10</v>
      </c>
      <c r="AF158" s="100"/>
      <c r="AG158" s="100" t="s">
        <v>1360</v>
      </c>
      <c r="AH158" s="100" t="s">
        <v>29</v>
      </c>
      <c r="AI158" s="100" t="s">
        <v>28</v>
      </c>
      <c r="AJ158" s="100"/>
      <c r="AK158" s="100"/>
      <c r="AL158" s="100">
        <v>0</v>
      </c>
      <c r="AM158" s="100"/>
      <c r="AN158" s="100"/>
      <c r="AO158" s="100"/>
      <c r="AP158" s="100"/>
    </row>
    <row r="159" spans="1:48" ht="16.5" customHeight="1" x14ac:dyDescent="0.2">
      <c r="A159" s="107">
        <f>$O$146+(P146-O146+1)*(H146-1)-1</f>
        <v>103</v>
      </c>
      <c r="B159" s="107" t="s">
        <v>805</v>
      </c>
      <c r="C159" s="107" t="s">
        <v>663</v>
      </c>
      <c r="D159" s="107"/>
      <c r="E159" s="107"/>
      <c r="F159" s="107"/>
      <c r="G159" s="107" t="s">
        <v>1149</v>
      </c>
      <c r="H159" s="107"/>
      <c r="I159" s="107"/>
      <c r="J159" s="107" t="b">
        <f t="shared" si="9"/>
        <v>1</v>
      </c>
      <c r="K159" s="107"/>
      <c r="L159" s="107"/>
      <c r="M159" s="107"/>
      <c r="N159" s="107"/>
      <c r="O159" s="107"/>
      <c r="P159" s="107"/>
      <c r="Q159" s="107"/>
      <c r="R159" s="107"/>
      <c r="S159" s="107"/>
      <c r="T159" s="107"/>
      <c r="U159" s="107"/>
      <c r="V159" s="107"/>
      <c r="W159" s="107"/>
      <c r="X159" s="107"/>
      <c r="Y159" s="107"/>
      <c r="Z159" s="107"/>
      <c r="AA159" s="107"/>
      <c r="AB159" s="107"/>
      <c r="AC159" s="107"/>
      <c r="AD159" s="107"/>
      <c r="AE159" s="107"/>
      <c r="AF159" s="107"/>
      <c r="AG159" s="107"/>
      <c r="AH159" s="107"/>
      <c r="AI159" s="107"/>
      <c r="AJ159" s="107"/>
      <c r="AK159" s="107"/>
      <c r="AL159" s="107"/>
      <c r="AM159" s="107"/>
      <c r="AN159" s="107"/>
      <c r="AO159" s="107"/>
      <c r="AP159" s="107"/>
    </row>
    <row r="160" spans="1:48" ht="16.5" customHeight="1" x14ac:dyDescent="0.2">
      <c r="A160" s="106">
        <f>$A$159+1</f>
        <v>104</v>
      </c>
      <c r="B160" s="106" t="s">
        <v>786</v>
      </c>
      <c r="C160" s="106" t="s">
        <v>655</v>
      </c>
      <c r="D160" s="106"/>
      <c r="E160" s="106"/>
      <c r="F160" s="106"/>
      <c r="G160" s="106" t="s">
        <v>1149</v>
      </c>
      <c r="H160" s="106"/>
      <c r="I160" s="106"/>
      <c r="J160" s="106" t="b">
        <f t="shared" si="9"/>
        <v>1</v>
      </c>
      <c r="K160" s="106" t="b">
        <v>1</v>
      </c>
      <c r="L160" s="106"/>
      <c r="M160" s="106"/>
      <c r="N160" s="106" t="s">
        <v>59</v>
      </c>
      <c r="O160" s="106" t="str">
        <f>"$D$"&amp;A160</f>
        <v>$D$104</v>
      </c>
      <c r="P160" s="106" t="str">
        <f>"$M$"&amp;A160</f>
        <v>$M$104</v>
      </c>
      <c r="Q160" s="106"/>
      <c r="R160" s="106">
        <v>2</v>
      </c>
      <c r="S160" s="106"/>
      <c r="T160" s="106">
        <v>2</v>
      </c>
      <c r="U160" s="106" t="b">
        <v>1</v>
      </c>
      <c r="V160" s="106" t="s">
        <v>1344</v>
      </c>
      <c r="W160" s="106" t="s">
        <v>1343</v>
      </c>
      <c r="X160" s="106"/>
      <c r="Y160" s="106"/>
      <c r="Z160" s="106"/>
      <c r="AA160" s="106"/>
      <c r="AB160" s="106"/>
      <c r="AC160" s="106"/>
      <c r="AD160" s="106"/>
      <c r="AE160" s="106"/>
      <c r="AF160" s="106"/>
      <c r="AG160" s="106"/>
      <c r="AH160" s="106"/>
      <c r="AI160" s="106"/>
      <c r="AJ160" s="106"/>
      <c r="AK160" s="106"/>
      <c r="AL160" s="106"/>
      <c r="AM160" s="106"/>
      <c r="AN160" s="106"/>
      <c r="AO160" s="106"/>
      <c r="AP160" s="106"/>
    </row>
    <row r="161" spans="1:48" ht="16.5" customHeight="1" x14ac:dyDescent="0.2">
      <c r="A161" s="107">
        <f>$A$160+2</f>
        <v>106</v>
      </c>
      <c r="B161" s="107" t="s">
        <v>806</v>
      </c>
      <c r="C161" s="107" t="s">
        <v>663</v>
      </c>
      <c r="D161" s="107"/>
      <c r="E161" s="107"/>
      <c r="F161" s="107"/>
      <c r="G161" s="107" t="s">
        <v>1149</v>
      </c>
      <c r="H161" s="107">
        <v>2</v>
      </c>
      <c r="I161" s="107">
        <v>6</v>
      </c>
      <c r="J161" s="107" t="b">
        <f t="shared" si="9"/>
        <v>1</v>
      </c>
      <c r="K161" s="107"/>
      <c r="L161" s="107"/>
      <c r="M161" s="107"/>
      <c r="N161" s="107"/>
      <c r="O161" s="107">
        <f>A161</f>
        <v>106</v>
      </c>
      <c r="P161" s="107">
        <f>O161</f>
        <v>106</v>
      </c>
      <c r="Q161" s="107"/>
      <c r="R161" s="107"/>
      <c r="S161" s="107"/>
      <c r="T161" s="107"/>
      <c r="U161" s="107"/>
      <c r="V161" s="107"/>
      <c r="W161" s="107"/>
      <c r="X161" s="107"/>
      <c r="Y161" s="107"/>
      <c r="Z161" s="107"/>
      <c r="AA161" s="107"/>
      <c r="AB161" s="107"/>
      <c r="AC161" s="107"/>
      <c r="AD161" s="107"/>
      <c r="AE161" s="107"/>
      <c r="AF161" s="107"/>
      <c r="AG161" s="107"/>
      <c r="AH161" s="107"/>
      <c r="AI161" s="107"/>
      <c r="AJ161" s="107"/>
      <c r="AK161" s="107"/>
      <c r="AL161" s="107"/>
      <c r="AM161" s="107"/>
      <c r="AN161" s="107"/>
      <c r="AO161" s="107"/>
      <c r="AP161" s="107"/>
      <c r="AQ161" s="93" t="str">
        <f>AQ168</f>
        <v>[Journaliseringsnummer]</v>
      </c>
    </row>
    <row r="162" spans="1:48" ht="16.5" customHeight="1" x14ac:dyDescent="0.2">
      <c r="A162" s="108">
        <f t="shared" ref="A162:A173" si="10">$A$161+0</f>
        <v>106</v>
      </c>
      <c r="B162" s="109" t="s">
        <v>788</v>
      </c>
      <c r="C162" s="109" t="s">
        <v>96</v>
      </c>
      <c r="D162" s="109"/>
      <c r="E162" s="109" t="s">
        <v>806</v>
      </c>
      <c r="F162" s="109"/>
      <c r="G162" s="109" t="s">
        <v>1149</v>
      </c>
      <c r="H162" s="109"/>
      <c r="I162" s="109"/>
      <c r="J162" s="109"/>
      <c r="K162" s="109" t="b">
        <v>1</v>
      </c>
      <c r="L162" s="109"/>
      <c r="M162" s="109"/>
      <c r="N162" s="109"/>
      <c r="O162" s="109" t="str">
        <f>"$D$"&amp;A162</f>
        <v>$D$106</v>
      </c>
      <c r="P162" s="109" t="str">
        <f>"$I$"&amp;A162</f>
        <v>$I$106</v>
      </c>
      <c r="Q162" s="109"/>
      <c r="R162" s="109"/>
      <c r="S162" s="109"/>
      <c r="T162" s="109">
        <v>25</v>
      </c>
      <c r="U162" s="109" t="b">
        <v>1</v>
      </c>
      <c r="V162" s="109" t="s">
        <v>1342</v>
      </c>
      <c r="W162" s="109" t="s">
        <v>1342</v>
      </c>
      <c r="X162" s="109"/>
      <c r="Y162" s="109"/>
      <c r="Z162" s="109"/>
      <c r="AA162" s="109"/>
      <c r="AB162" s="109"/>
      <c r="AC162" s="109">
        <v>5</v>
      </c>
      <c r="AD162" s="109" t="s">
        <v>105</v>
      </c>
      <c r="AE162" s="109">
        <v>14</v>
      </c>
      <c r="AF162" s="109"/>
      <c r="AG162" s="109" t="s">
        <v>1360</v>
      </c>
      <c r="AH162" s="109" t="s">
        <v>29</v>
      </c>
      <c r="AI162" s="109" t="s">
        <v>28</v>
      </c>
      <c r="AJ162" s="109"/>
      <c r="AK162" s="109" t="s">
        <v>1342</v>
      </c>
      <c r="AL162" s="109">
        <v>5</v>
      </c>
      <c r="AM162" s="109"/>
      <c r="AN162" s="109"/>
      <c r="AO162" s="109"/>
      <c r="AP162" s="109" t="b">
        <v>1</v>
      </c>
      <c r="AQ162" s="296" t="s">
        <v>112</v>
      </c>
      <c r="AR162" s="296"/>
      <c r="AS162" s="296"/>
      <c r="AT162" s="296"/>
      <c r="AU162" s="296"/>
      <c r="AV162" s="296"/>
    </row>
    <row r="163" spans="1:48" ht="16.5" customHeight="1" x14ac:dyDescent="0.2">
      <c r="A163" s="108">
        <f t="shared" si="10"/>
        <v>106</v>
      </c>
      <c r="B163" s="110" t="str">
        <f>D163&amp;"Red"</f>
        <v>SP_StamdataT2Red</v>
      </c>
      <c r="C163" s="110" t="s">
        <v>656</v>
      </c>
      <c r="D163" s="110" t="s">
        <v>788</v>
      </c>
      <c r="E163" s="110" t="s">
        <v>806</v>
      </c>
      <c r="F163" s="110"/>
      <c r="G163" s="110" t="s">
        <v>1149</v>
      </c>
      <c r="H163" s="110"/>
      <c r="I163" s="110" t="s">
        <v>1247</v>
      </c>
      <c r="J163" s="110"/>
      <c r="K163" s="110" t="b">
        <v>1</v>
      </c>
      <c r="L163" s="110"/>
      <c r="M163" s="110" t="str">
        <f>"'editNorm """&amp;D163&amp;""","""&amp;B163&amp;""","""&amp;E163&amp;"""'"</f>
        <v>'editNorm "SP_StamdataT2","SP_StamdataT2Red","SP_StamdataT2Rep"'</v>
      </c>
      <c r="N163" s="110" t="s">
        <v>59</v>
      </c>
      <c r="O163" s="110" t="str">
        <f>"$L$"&amp;A163</f>
        <v>$L$106</v>
      </c>
      <c r="P163" s="110" t="str">
        <f>"$M$"&amp;A163</f>
        <v>$M$106</v>
      </c>
      <c r="Q163" s="110">
        <v>5</v>
      </c>
      <c r="R163" s="110">
        <v>1</v>
      </c>
      <c r="S163" s="110"/>
      <c r="T163" s="110">
        <v>22</v>
      </c>
      <c r="U163" s="110" t="b">
        <v>1</v>
      </c>
      <c r="V163" s="110" t="s">
        <v>1344</v>
      </c>
      <c r="W163" s="110" t="s">
        <v>1343</v>
      </c>
      <c r="X163" s="110"/>
      <c r="Y163" s="110"/>
      <c r="Z163" s="110"/>
      <c r="AA163" s="110"/>
      <c r="AB163" s="110">
        <v>3</v>
      </c>
      <c r="AC163" s="110">
        <v>5</v>
      </c>
      <c r="AD163" s="110" t="s">
        <v>105</v>
      </c>
      <c r="AE163" s="110">
        <v>12</v>
      </c>
      <c r="AF163" s="110"/>
      <c r="AG163" s="110" t="s">
        <v>1351</v>
      </c>
      <c r="AH163" s="110" t="s">
        <v>29</v>
      </c>
      <c r="AI163" s="110" t="s">
        <v>29</v>
      </c>
      <c r="AJ163" s="110"/>
      <c r="AK163" s="110"/>
      <c r="AL163" s="110"/>
      <c r="AM163" s="110"/>
      <c r="AN163" s="110">
        <v>2</v>
      </c>
      <c r="AO163" s="110"/>
      <c r="AP163" s="110"/>
    </row>
    <row r="164" spans="1:48" ht="16.5" customHeight="1" x14ac:dyDescent="0.2">
      <c r="A164" s="108">
        <f t="shared" si="10"/>
        <v>106</v>
      </c>
      <c r="B164" s="110" t="str">
        <f>D164&amp;"Gem"</f>
        <v>SP_StamdataT2Gem</v>
      </c>
      <c r="C164" s="110" t="s">
        <v>656</v>
      </c>
      <c r="D164" s="110" t="s">
        <v>788</v>
      </c>
      <c r="E164" s="110" t="s">
        <v>806</v>
      </c>
      <c r="F164" s="110"/>
      <c r="G164" s="110" t="s">
        <v>1149</v>
      </c>
      <c r="H164" s="110"/>
      <c r="I164" s="110" t="s">
        <v>238</v>
      </c>
      <c r="J164" s="110"/>
      <c r="K164" s="110"/>
      <c r="L164" s="110"/>
      <c r="M164" s="110" t="str">
        <f>"'editNorm """&amp;D164&amp;""","""&amp;B164&amp;""","""&amp;E164&amp;"""'"</f>
        <v>'editNorm "SP_StamdataT2","SP_StamdataT2Gem","SP_StamdataT2Rep"'</v>
      </c>
      <c r="N164" s="110" t="s">
        <v>59</v>
      </c>
      <c r="O164" s="110" t="str">
        <f>"$L$"&amp;A164</f>
        <v>$L$106</v>
      </c>
      <c r="P164" s="110" t="str">
        <f>"$L$"&amp;A164</f>
        <v>$L$106</v>
      </c>
      <c r="Q164" s="110">
        <v>5</v>
      </c>
      <c r="R164" s="110">
        <v>1</v>
      </c>
      <c r="S164" s="110"/>
      <c r="T164" s="110">
        <v>22</v>
      </c>
      <c r="U164" s="110" t="b">
        <v>1</v>
      </c>
      <c r="V164" s="110" t="s">
        <v>1345</v>
      </c>
      <c r="W164" s="110" t="s">
        <v>1343</v>
      </c>
      <c r="X164" s="110"/>
      <c r="Y164" s="110"/>
      <c r="Z164" s="110"/>
      <c r="AA164" s="110"/>
      <c r="AB164" s="110">
        <v>3</v>
      </c>
      <c r="AC164" s="110">
        <v>5</v>
      </c>
      <c r="AD164" s="110" t="s">
        <v>105</v>
      </c>
      <c r="AE164" s="110">
        <v>12</v>
      </c>
      <c r="AF164" s="110"/>
      <c r="AG164" s="110" t="s">
        <v>1351</v>
      </c>
      <c r="AH164" s="110" t="s">
        <v>29</v>
      </c>
      <c r="AI164" s="110" t="s">
        <v>29</v>
      </c>
      <c r="AJ164" s="110"/>
      <c r="AK164" s="110"/>
      <c r="AL164" s="110"/>
      <c r="AM164" s="110"/>
      <c r="AN164" s="110">
        <v>2</v>
      </c>
      <c r="AO164" s="110"/>
      <c r="AP164" s="110"/>
    </row>
    <row r="165" spans="1:48" ht="16.5" customHeight="1" x14ac:dyDescent="0.2">
      <c r="A165" s="108">
        <f t="shared" si="10"/>
        <v>106</v>
      </c>
      <c r="B165" s="110" t="str">
        <f>D165&amp;"Cancel"</f>
        <v>SP_StamdataT2Cancel</v>
      </c>
      <c r="C165" s="110" t="s">
        <v>656</v>
      </c>
      <c r="D165" s="110" t="s">
        <v>788</v>
      </c>
      <c r="E165" s="110" t="s">
        <v>806</v>
      </c>
      <c r="F165" s="110"/>
      <c r="G165" s="110" t="s">
        <v>1149</v>
      </c>
      <c r="H165" s="110"/>
      <c r="I165" s="110" t="s">
        <v>838</v>
      </c>
      <c r="J165" s="110"/>
      <c r="K165" s="110"/>
      <c r="L165" s="110"/>
      <c r="M165" s="110" t="str">
        <f>"'editNorm """&amp;D165&amp;""","""&amp;B165&amp;""","""&amp;E165&amp;"""'"</f>
        <v>'editNorm "SP_StamdataT2","SP_StamdataT2Cancel","SP_StamdataT2Rep"'</v>
      </c>
      <c r="N165" s="110" t="s">
        <v>59</v>
      </c>
      <c r="O165" s="110" t="str">
        <f>"$M$"&amp;A165</f>
        <v>$M$106</v>
      </c>
      <c r="P165" s="110" t="str">
        <f>"$M$"&amp;A165</f>
        <v>$M$106</v>
      </c>
      <c r="Q165" s="110">
        <v>7</v>
      </c>
      <c r="R165" s="110">
        <v>1</v>
      </c>
      <c r="S165" s="110"/>
      <c r="T165" s="110">
        <v>22</v>
      </c>
      <c r="U165" s="110" t="b">
        <v>1</v>
      </c>
      <c r="V165" s="110" t="s">
        <v>1344</v>
      </c>
      <c r="W165" s="110" t="s">
        <v>1343</v>
      </c>
      <c r="X165" s="110"/>
      <c r="Y165" s="110"/>
      <c r="Z165" s="110"/>
      <c r="AA165" s="110"/>
      <c r="AB165" s="110">
        <v>3</v>
      </c>
      <c r="AC165" s="110">
        <v>5</v>
      </c>
      <c r="AD165" s="110" t="s">
        <v>105</v>
      </c>
      <c r="AE165" s="110">
        <v>12</v>
      </c>
      <c r="AF165" s="110"/>
      <c r="AG165" s="110" t="s">
        <v>1351</v>
      </c>
      <c r="AH165" s="110" t="s">
        <v>29</v>
      </c>
      <c r="AI165" s="110" t="s">
        <v>29</v>
      </c>
      <c r="AJ165" s="110"/>
      <c r="AK165" s="110"/>
      <c r="AL165" s="110"/>
      <c r="AM165" s="110"/>
      <c r="AN165" s="110">
        <v>2</v>
      </c>
      <c r="AO165" s="110"/>
      <c r="AP165" s="110"/>
    </row>
    <row r="166" spans="1:48" ht="16.5" customHeight="1" x14ac:dyDescent="0.2">
      <c r="A166" s="108">
        <f t="shared" si="10"/>
        <v>106</v>
      </c>
      <c r="B166" s="110" t="str">
        <f>D166&amp;"Delete"</f>
        <v>SP_StamdataT2Delete</v>
      </c>
      <c r="C166" s="110" t="s">
        <v>656</v>
      </c>
      <c r="D166" s="110" t="s">
        <v>788</v>
      </c>
      <c r="E166" s="110" t="s">
        <v>806</v>
      </c>
      <c r="F166" s="110"/>
      <c r="G166" s="110" t="s">
        <v>1149</v>
      </c>
      <c r="H166" s="110"/>
      <c r="I166" s="110" t="s">
        <v>1266</v>
      </c>
      <c r="J166" s="110"/>
      <c r="K166" s="110"/>
      <c r="L166" s="110"/>
      <c r="M166" s="110" t="str">
        <f>"'editNorm """&amp;D166&amp;""","""&amp;B166&amp;""","""&amp;E166&amp;"""'"</f>
        <v>'editNorm "SP_StamdataT2","SP_StamdataT2Delete","SP_StamdataT2Rep"'</v>
      </c>
      <c r="N166" s="110" t="s">
        <v>59</v>
      </c>
      <c r="O166" s="110" t="str">
        <f>"$N$"&amp;A166</f>
        <v>$N$106</v>
      </c>
      <c r="P166" s="110" t="str">
        <f>"$N$"&amp;A166</f>
        <v>$N$106</v>
      </c>
      <c r="Q166" s="110">
        <v>7</v>
      </c>
      <c r="R166" s="110">
        <v>1</v>
      </c>
      <c r="S166" s="110"/>
      <c r="T166" s="110">
        <v>22</v>
      </c>
      <c r="U166" s="110" t="b">
        <v>1</v>
      </c>
      <c r="V166" s="110" t="s">
        <v>1346</v>
      </c>
      <c r="W166" s="110" t="s">
        <v>1343</v>
      </c>
      <c r="X166" s="110"/>
      <c r="Y166" s="110"/>
      <c r="Z166" s="110"/>
      <c r="AA166" s="110"/>
      <c r="AB166" s="110">
        <v>3</v>
      </c>
      <c r="AC166" s="110">
        <v>5</v>
      </c>
      <c r="AD166" s="110" t="s">
        <v>105</v>
      </c>
      <c r="AE166" s="110">
        <v>12</v>
      </c>
      <c r="AF166" s="110"/>
      <c r="AG166" s="110" t="s">
        <v>1351</v>
      </c>
      <c r="AH166" s="110" t="s">
        <v>29</v>
      </c>
      <c r="AI166" s="110" t="s">
        <v>29</v>
      </c>
      <c r="AJ166" s="110"/>
      <c r="AK166" s="110"/>
      <c r="AL166" s="110"/>
      <c r="AM166" s="110"/>
      <c r="AN166" s="110">
        <v>2</v>
      </c>
      <c r="AO166" s="110"/>
      <c r="AP166" s="110"/>
    </row>
    <row r="167" spans="1:48" ht="16.5" customHeight="1" x14ac:dyDescent="0.2">
      <c r="A167" s="108">
        <f t="shared" si="10"/>
        <v>106</v>
      </c>
      <c r="B167" s="100" t="s">
        <v>787</v>
      </c>
      <c r="C167" s="100" t="s">
        <v>649</v>
      </c>
      <c r="D167" s="100"/>
      <c r="E167" s="100" t="s">
        <v>806</v>
      </c>
      <c r="F167" s="100"/>
      <c r="G167" s="100" t="s">
        <v>1149</v>
      </c>
      <c r="H167" s="100"/>
      <c r="I167" s="100" t="s">
        <v>114</v>
      </c>
      <c r="J167" s="100"/>
      <c r="K167" s="100" t="b">
        <v>1</v>
      </c>
      <c r="L167" s="100"/>
      <c r="M167" s="100"/>
      <c r="N167" s="100" t="s">
        <v>59</v>
      </c>
      <c r="O167" s="100" t="str">
        <f>"$J$"&amp;A167</f>
        <v>$J$106</v>
      </c>
      <c r="P167" s="100" t="str">
        <f>"$K$"&amp;A167</f>
        <v>$K$106</v>
      </c>
      <c r="Q167" s="100">
        <v>2</v>
      </c>
      <c r="R167" s="100"/>
      <c r="S167" s="100"/>
      <c r="T167" s="100">
        <v>22</v>
      </c>
      <c r="U167" s="100" t="b">
        <v>1</v>
      </c>
      <c r="V167" s="100" t="s">
        <v>1342</v>
      </c>
      <c r="W167" s="100" t="s">
        <v>1342</v>
      </c>
      <c r="X167" s="100"/>
      <c r="Y167" s="100"/>
      <c r="Z167" s="100"/>
      <c r="AA167" s="100"/>
      <c r="AB167" s="100"/>
      <c r="AC167" s="100"/>
      <c r="AD167" s="100" t="s">
        <v>105</v>
      </c>
      <c r="AE167" s="100">
        <v>10</v>
      </c>
      <c r="AF167" s="100"/>
      <c r="AG167" s="100" t="s">
        <v>1360</v>
      </c>
      <c r="AH167" s="100" t="s">
        <v>29</v>
      </c>
      <c r="AI167" s="100" t="s">
        <v>28</v>
      </c>
      <c r="AJ167" s="100"/>
      <c r="AK167" s="100"/>
      <c r="AL167" s="100">
        <v>0</v>
      </c>
      <c r="AM167" s="100"/>
      <c r="AN167" s="100"/>
      <c r="AO167" s="100"/>
      <c r="AP167" s="100"/>
    </row>
    <row r="168" spans="1:48" ht="16.5" customHeight="1" x14ac:dyDescent="0.2">
      <c r="A168" s="109">
        <f t="shared" si="10"/>
        <v>106</v>
      </c>
      <c r="B168" s="109" t="s">
        <v>853</v>
      </c>
      <c r="C168" s="109" t="s">
        <v>96</v>
      </c>
      <c r="D168" s="109"/>
      <c r="E168" s="109" t="s">
        <v>806</v>
      </c>
      <c r="F168" s="109"/>
      <c r="G168" s="109" t="s">
        <v>1149</v>
      </c>
      <c r="H168" s="109">
        <v>1</v>
      </c>
      <c r="I168" s="109"/>
      <c r="J168" s="109" t="b">
        <f t="shared" ref="J168:J176" si="11">$E$2</f>
        <v>1</v>
      </c>
      <c r="K168" s="109" t="b">
        <v>1</v>
      </c>
      <c r="L168" s="109"/>
      <c r="M168" s="109"/>
      <c r="N168" s="109"/>
      <c r="O168" s="109" t="str">
        <f>"$D$"&amp;A168</f>
        <v>$D$106</v>
      </c>
      <c r="P168" s="109" t="str">
        <f>"$I$"&amp;A168</f>
        <v>$I$106</v>
      </c>
      <c r="Q168" s="109"/>
      <c r="R168" s="109"/>
      <c r="S168" s="109"/>
      <c r="T168" s="109">
        <v>25</v>
      </c>
      <c r="U168" s="109" t="b">
        <v>1</v>
      </c>
      <c r="V168" s="109" t="s">
        <v>1342</v>
      </c>
      <c r="W168" s="109" t="s">
        <v>1342</v>
      </c>
      <c r="X168" s="109"/>
      <c r="Y168" s="109"/>
      <c r="Z168" s="109"/>
      <c r="AA168" s="109"/>
      <c r="AB168" s="109"/>
      <c r="AC168" s="109">
        <v>5</v>
      </c>
      <c r="AD168" s="109" t="s">
        <v>105</v>
      </c>
      <c r="AE168" s="109">
        <v>14</v>
      </c>
      <c r="AF168" s="109"/>
      <c r="AG168" s="109" t="s">
        <v>1360</v>
      </c>
      <c r="AH168" s="109" t="s">
        <v>29</v>
      </c>
      <c r="AI168" s="109" t="s">
        <v>28</v>
      </c>
      <c r="AJ168" s="109"/>
      <c r="AK168" s="109" t="s">
        <v>1342</v>
      </c>
      <c r="AL168" s="109">
        <v>5</v>
      </c>
      <c r="AM168" s="109"/>
      <c r="AN168" s="109"/>
      <c r="AO168" s="109"/>
      <c r="AP168" s="109" t="b">
        <v>1</v>
      </c>
      <c r="AQ168" s="296" t="s">
        <v>112</v>
      </c>
      <c r="AR168" s="296"/>
      <c r="AS168" s="296"/>
      <c r="AT168" s="296"/>
      <c r="AU168" s="296"/>
      <c r="AV168" s="296"/>
    </row>
    <row r="169" spans="1:48" ht="16.5" customHeight="1" x14ac:dyDescent="0.2">
      <c r="A169" s="110">
        <f t="shared" si="10"/>
        <v>106</v>
      </c>
      <c r="B169" s="110" t="str">
        <f>D169&amp;"Red"</f>
        <v>SP_StamdataT2_1Red</v>
      </c>
      <c r="C169" s="110" t="s">
        <v>656</v>
      </c>
      <c r="D169" s="110" t="s">
        <v>853</v>
      </c>
      <c r="E169" s="110" t="s">
        <v>806</v>
      </c>
      <c r="F169" s="110"/>
      <c r="G169" s="110" t="s">
        <v>1149</v>
      </c>
      <c r="H169" s="110">
        <v>1</v>
      </c>
      <c r="I169" s="110" t="s">
        <v>1247</v>
      </c>
      <c r="J169" s="110" t="b">
        <f t="shared" si="11"/>
        <v>1</v>
      </c>
      <c r="K169" s="110" t="b">
        <v>1</v>
      </c>
      <c r="L169" s="110"/>
      <c r="M169" s="110" t="str">
        <f>"'editNorm """&amp;D169&amp;""","""&amp;B169&amp;""","""&amp;E169&amp;"""'"</f>
        <v>'editNorm "SP_StamdataT2_1","SP_StamdataT2_1Red","SP_StamdataT2Rep"'</v>
      </c>
      <c r="N169" s="110" t="s">
        <v>59</v>
      </c>
      <c r="O169" s="110" t="str">
        <f>"$L$"&amp;A169</f>
        <v>$L$106</v>
      </c>
      <c r="P169" s="110" t="str">
        <f>"$M$"&amp;A169</f>
        <v>$M$106</v>
      </c>
      <c r="Q169" s="110">
        <v>5</v>
      </c>
      <c r="R169" s="110">
        <v>1</v>
      </c>
      <c r="S169" s="110"/>
      <c r="T169" s="110">
        <v>22</v>
      </c>
      <c r="U169" s="110" t="b">
        <v>1</v>
      </c>
      <c r="V169" s="110" t="s">
        <v>1344</v>
      </c>
      <c r="W169" s="110" t="s">
        <v>1343</v>
      </c>
      <c r="X169" s="110"/>
      <c r="Y169" s="110"/>
      <c r="Z169" s="110"/>
      <c r="AA169" s="110"/>
      <c r="AB169" s="110">
        <v>3</v>
      </c>
      <c r="AC169" s="110">
        <v>5</v>
      </c>
      <c r="AD169" s="110" t="s">
        <v>105</v>
      </c>
      <c r="AE169" s="110">
        <v>12</v>
      </c>
      <c r="AF169" s="110"/>
      <c r="AG169" s="110" t="s">
        <v>1351</v>
      </c>
      <c r="AH169" s="110" t="s">
        <v>29</v>
      </c>
      <c r="AI169" s="110" t="s">
        <v>29</v>
      </c>
      <c r="AJ169" s="110"/>
      <c r="AK169" s="110"/>
      <c r="AL169" s="110"/>
      <c r="AM169" s="110"/>
      <c r="AN169" s="110">
        <v>2</v>
      </c>
      <c r="AO169" s="110"/>
      <c r="AP169" s="110"/>
    </row>
    <row r="170" spans="1:48" ht="16.5" customHeight="1" x14ac:dyDescent="0.2">
      <c r="A170" s="110">
        <f t="shared" si="10"/>
        <v>106</v>
      </c>
      <c r="B170" s="110" t="str">
        <f>D170&amp;"Gem"</f>
        <v>SP_StamdataT2_1Gem</v>
      </c>
      <c r="C170" s="110" t="s">
        <v>656</v>
      </c>
      <c r="D170" s="110" t="s">
        <v>853</v>
      </c>
      <c r="E170" s="110" t="s">
        <v>806</v>
      </c>
      <c r="F170" s="110"/>
      <c r="G170" s="110" t="s">
        <v>1149</v>
      </c>
      <c r="H170" s="110">
        <v>1</v>
      </c>
      <c r="I170" s="110" t="s">
        <v>238</v>
      </c>
      <c r="J170" s="110" t="b">
        <f t="shared" si="11"/>
        <v>1</v>
      </c>
      <c r="K170" s="110"/>
      <c r="L170" s="110"/>
      <c r="M170" s="110" t="str">
        <f>"'editNorm """&amp;D170&amp;""","""&amp;B170&amp;""","""&amp;E170&amp;"""'"</f>
        <v>'editNorm "SP_StamdataT2_1","SP_StamdataT2_1Gem","SP_StamdataT2Rep"'</v>
      </c>
      <c r="N170" s="110" t="s">
        <v>59</v>
      </c>
      <c r="O170" s="110" t="str">
        <f>"$L$"&amp;A170</f>
        <v>$L$106</v>
      </c>
      <c r="P170" s="110" t="str">
        <f>"$L$"&amp;A170</f>
        <v>$L$106</v>
      </c>
      <c r="Q170" s="110">
        <v>5</v>
      </c>
      <c r="R170" s="110">
        <v>1</v>
      </c>
      <c r="S170" s="110"/>
      <c r="T170" s="110">
        <v>22</v>
      </c>
      <c r="U170" s="110" t="b">
        <v>1</v>
      </c>
      <c r="V170" s="110" t="s">
        <v>1345</v>
      </c>
      <c r="W170" s="110" t="s">
        <v>1343</v>
      </c>
      <c r="X170" s="110"/>
      <c r="Y170" s="110"/>
      <c r="Z170" s="110"/>
      <c r="AA170" s="110"/>
      <c r="AB170" s="110">
        <v>3</v>
      </c>
      <c r="AC170" s="110">
        <v>5</v>
      </c>
      <c r="AD170" s="110" t="s">
        <v>105</v>
      </c>
      <c r="AE170" s="110">
        <v>12</v>
      </c>
      <c r="AF170" s="110"/>
      <c r="AG170" s="110" t="s">
        <v>1351</v>
      </c>
      <c r="AH170" s="110" t="s">
        <v>29</v>
      </c>
      <c r="AI170" s="110" t="s">
        <v>29</v>
      </c>
      <c r="AJ170" s="110"/>
      <c r="AK170" s="110"/>
      <c r="AL170" s="110"/>
      <c r="AM170" s="110"/>
      <c r="AN170" s="110">
        <v>2</v>
      </c>
      <c r="AO170" s="110"/>
      <c r="AP170" s="110"/>
    </row>
    <row r="171" spans="1:48" ht="16.5" customHeight="1" x14ac:dyDescent="0.2">
      <c r="A171" s="110">
        <f t="shared" si="10"/>
        <v>106</v>
      </c>
      <c r="B171" s="110" t="str">
        <f>D171&amp;"Cancel"</f>
        <v>SP_StamdataT2_1Cancel</v>
      </c>
      <c r="C171" s="110" t="s">
        <v>656</v>
      </c>
      <c r="D171" s="110" t="s">
        <v>853</v>
      </c>
      <c r="E171" s="110" t="s">
        <v>806</v>
      </c>
      <c r="F171" s="110"/>
      <c r="G171" s="110" t="s">
        <v>1149</v>
      </c>
      <c r="H171" s="110">
        <v>1</v>
      </c>
      <c r="I171" s="110" t="s">
        <v>838</v>
      </c>
      <c r="J171" s="110" t="b">
        <f t="shared" si="11"/>
        <v>1</v>
      </c>
      <c r="K171" s="110"/>
      <c r="L171" s="110"/>
      <c r="M171" s="110" t="str">
        <f>"'editNorm """&amp;D171&amp;""","""&amp;B171&amp;""","""&amp;E171&amp;"""'"</f>
        <v>'editNorm "SP_StamdataT2_1","SP_StamdataT2_1Cancel","SP_StamdataT2Rep"'</v>
      </c>
      <c r="N171" s="110" t="s">
        <v>59</v>
      </c>
      <c r="O171" s="110" t="str">
        <f>"$M$"&amp;A171</f>
        <v>$M$106</v>
      </c>
      <c r="P171" s="110" t="str">
        <f>"$M$"&amp;A171</f>
        <v>$M$106</v>
      </c>
      <c r="Q171" s="110">
        <v>7</v>
      </c>
      <c r="R171" s="110">
        <v>1</v>
      </c>
      <c r="S171" s="110"/>
      <c r="T171" s="110">
        <v>22</v>
      </c>
      <c r="U171" s="110" t="b">
        <v>1</v>
      </c>
      <c r="V171" s="110" t="s">
        <v>1344</v>
      </c>
      <c r="W171" s="110" t="s">
        <v>1343</v>
      </c>
      <c r="X171" s="110"/>
      <c r="Y171" s="110"/>
      <c r="Z171" s="110"/>
      <c r="AA171" s="110"/>
      <c r="AB171" s="110">
        <v>3</v>
      </c>
      <c r="AC171" s="110">
        <v>5</v>
      </c>
      <c r="AD171" s="110" t="s">
        <v>105</v>
      </c>
      <c r="AE171" s="110">
        <v>12</v>
      </c>
      <c r="AF171" s="110"/>
      <c r="AG171" s="110" t="s">
        <v>1351</v>
      </c>
      <c r="AH171" s="110" t="s">
        <v>29</v>
      </c>
      <c r="AI171" s="110" t="s">
        <v>29</v>
      </c>
      <c r="AJ171" s="110"/>
      <c r="AK171" s="110"/>
      <c r="AL171" s="110"/>
      <c r="AM171" s="110"/>
      <c r="AN171" s="110">
        <v>2</v>
      </c>
      <c r="AO171" s="110"/>
      <c r="AP171" s="110"/>
    </row>
    <row r="172" spans="1:48" ht="16.5" customHeight="1" x14ac:dyDescent="0.2">
      <c r="A172" s="110">
        <f t="shared" si="10"/>
        <v>106</v>
      </c>
      <c r="B172" s="110" t="str">
        <f>D172&amp;"Delete"</f>
        <v>SP_StamdataT2_1Delete</v>
      </c>
      <c r="C172" s="110" t="s">
        <v>656</v>
      </c>
      <c r="D172" s="110" t="s">
        <v>853</v>
      </c>
      <c r="E172" s="110" t="s">
        <v>806</v>
      </c>
      <c r="F172" s="110"/>
      <c r="G172" s="110" t="s">
        <v>1149</v>
      </c>
      <c r="H172" s="110">
        <v>1</v>
      </c>
      <c r="I172" s="110" t="s">
        <v>1266</v>
      </c>
      <c r="J172" s="110" t="b">
        <f t="shared" si="11"/>
        <v>1</v>
      </c>
      <c r="K172" s="110"/>
      <c r="L172" s="110"/>
      <c r="M172" s="110" t="str">
        <f>"'editNorm """&amp;D172&amp;""","""&amp;B172&amp;""","""&amp;E172&amp;"""'"</f>
        <v>'editNorm "SP_StamdataT2_1","SP_StamdataT2_1Delete","SP_StamdataT2Rep"'</v>
      </c>
      <c r="N172" s="110" t="s">
        <v>59</v>
      </c>
      <c r="O172" s="110" t="str">
        <f>"$N$"&amp;A172</f>
        <v>$N$106</v>
      </c>
      <c r="P172" s="110" t="str">
        <f>"$N$"&amp;A172</f>
        <v>$N$106</v>
      </c>
      <c r="Q172" s="110">
        <v>7</v>
      </c>
      <c r="R172" s="110">
        <v>1</v>
      </c>
      <c r="S172" s="110"/>
      <c r="T172" s="110">
        <v>22</v>
      </c>
      <c r="U172" s="110" t="b">
        <v>1</v>
      </c>
      <c r="V172" s="110" t="s">
        <v>1346</v>
      </c>
      <c r="W172" s="110" t="s">
        <v>1343</v>
      </c>
      <c r="X172" s="110"/>
      <c r="Y172" s="110"/>
      <c r="Z172" s="110"/>
      <c r="AA172" s="110"/>
      <c r="AB172" s="110">
        <v>3</v>
      </c>
      <c r="AC172" s="110">
        <v>5</v>
      </c>
      <c r="AD172" s="110" t="s">
        <v>105</v>
      </c>
      <c r="AE172" s="110">
        <v>12</v>
      </c>
      <c r="AF172" s="110"/>
      <c r="AG172" s="110" t="s">
        <v>1351</v>
      </c>
      <c r="AH172" s="110" t="s">
        <v>29</v>
      </c>
      <c r="AI172" s="110" t="s">
        <v>29</v>
      </c>
      <c r="AJ172" s="110"/>
      <c r="AK172" s="110"/>
      <c r="AL172" s="110"/>
      <c r="AM172" s="110"/>
      <c r="AN172" s="110">
        <v>2</v>
      </c>
      <c r="AO172" s="110"/>
      <c r="AP172" s="110"/>
    </row>
    <row r="173" spans="1:48" ht="16.5" customHeight="1" x14ac:dyDescent="0.2">
      <c r="A173" s="100">
        <f t="shared" si="10"/>
        <v>106</v>
      </c>
      <c r="B173" s="100" t="s">
        <v>854</v>
      </c>
      <c r="C173" s="100" t="s">
        <v>649</v>
      </c>
      <c r="D173" s="100"/>
      <c r="E173" s="100" t="s">
        <v>806</v>
      </c>
      <c r="F173" s="100"/>
      <c r="G173" s="100" t="s">
        <v>1149</v>
      </c>
      <c r="H173" s="100">
        <v>1</v>
      </c>
      <c r="I173" s="100" t="s">
        <v>114</v>
      </c>
      <c r="J173" s="100" t="b">
        <f t="shared" si="11"/>
        <v>1</v>
      </c>
      <c r="K173" s="100" t="b">
        <v>1</v>
      </c>
      <c r="L173" s="100"/>
      <c r="M173" s="100"/>
      <c r="N173" s="100" t="s">
        <v>59</v>
      </c>
      <c r="O173" s="100" t="str">
        <f>"$J$"&amp;A173</f>
        <v>$J$106</v>
      </c>
      <c r="P173" s="100" t="str">
        <f>"$K$"&amp;A173</f>
        <v>$K$106</v>
      </c>
      <c r="Q173" s="100">
        <v>2</v>
      </c>
      <c r="R173" s="100"/>
      <c r="S173" s="100"/>
      <c r="T173" s="100">
        <v>22</v>
      </c>
      <c r="U173" s="100" t="b">
        <v>1</v>
      </c>
      <c r="V173" s="100" t="s">
        <v>1342</v>
      </c>
      <c r="W173" s="100" t="s">
        <v>1342</v>
      </c>
      <c r="X173" s="100"/>
      <c r="Y173" s="100"/>
      <c r="Z173" s="100"/>
      <c r="AA173" s="100"/>
      <c r="AB173" s="100"/>
      <c r="AC173" s="100"/>
      <c r="AD173" s="100" t="s">
        <v>105</v>
      </c>
      <c r="AE173" s="100">
        <v>10</v>
      </c>
      <c r="AF173" s="100"/>
      <c r="AG173" s="100" t="s">
        <v>1360</v>
      </c>
      <c r="AH173" s="100" t="s">
        <v>29</v>
      </c>
      <c r="AI173" s="100" t="s">
        <v>28</v>
      </c>
      <c r="AJ173" s="100"/>
      <c r="AK173" s="100"/>
      <c r="AL173" s="100">
        <v>0</v>
      </c>
      <c r="AM173" s="100"/>
      <c r="AN173" s="100"/>
      <c r="AO173" s="100"/>
      <c r="AP173" s="100"/>
    </row>
    <row r="174" spans="1:48" ht="16.5" customHeight="1" x14ac:dyDescent="0.2">
      <c r="A174" s="107">
        <f>$O$161+(P161-O161+1)*(H161-1)-1</f>
        <v>106</v>
      </c>
      <c r="B174" s="107" t="s">
        <v>806</v>
      </c>
      <c r="C174" s="107" t="s">
        <v>663</v>
      </c>
      <c r="D174" s="107"/>
      <c r="E174" s="107"/>
      <c r="F174" s="107"/>
      <c r="G174" s="107" t="s">
        <v>1149</v>
      </c>
      <c r="H174" s="107"/>
      <c r="I174" s="107"/>
      <c r="J174" s="107" t="b">
        <f t="shared" si="11"/>
        <v>1</v>
      </c>
      <c r="K174" s="107"/>
      <c r="L174" s="107"/>
      <c r="M174" s="107"/>
      <c r="N174" s="107"/>
      <c r="O174" s="107"/>
      <c r="P174" s="107"/>
      <c r="Q174" s="107"/>
      <c r="R174" s="107"/>
      <c r="S174" s="107"/>
      <c r="T174" s="107"/>
      <c r="U174" s="107"/>
      <c r="V174" s="107"/>
      <c r="W174" s="107"/>
      <c r="X174" s="107"/>
      <c r="Y174" s="107"/>
      <c r="Z174" s="107"/>
      <c r="AA174" s="107"/>
      <c r="AB174" s="107"/>
      <c r="AC174" s="107"/>
      <c r="AD174" s="107"/>
      <c r="AE174" s="107"/>
      <c r="AF174" s="107"/>
      <c r="AG174" s="107"/>
      <c r="AH174" s="107"/>
      <c r="AI174" s="107"/>
      <c r="AJ174" s="107"/>
      <c r="AK174" s="107"/>
      <c r="AL174" s="107"/>
      <c r="AM174" s="107"/>
      <c r="AN174" s="107"/>
      <c r="AO174" s="107"/>
      <c r="AP174" s="107"/>
    </row>
    <row r="175" spans="1:48" ht="16.5" customHeight="1" x14ac:dyDescent="0.2">
      <c r="A175" s="106">
        <f>$A$174+1</f>
        <v>107</v>
      </c>
      <c r="B175" s="106" t="s">
        <v>789</v>
      </c>
      <c r="C175" s="106" t="s">
        <v>655</v>
      </c>
      <c r="D175" s="106"/>
      <c r="E175" s="106"/>
      <c r="F175" s="106"/>
      <c r="G175" s="106" t="s">
        <v>1149</v>
      </c>
      <c r="H175" s="106"/>
      <c r="I175" s="106"/>
      <c r="J175" s="106" t="b">
        <f t="shared" si="11"/>
        <v>1</v>
      </c>
      <c r="K175" s="106" t="b">
        <v>1</v>
      </c>
      <c r="L175" s="106"/>
      <c r="M175" s="106"/>
      <c r="N175" s="106" t="s">
        <v>59</v>
      </c>
      <c r="O175" s="106" t="str">
        <f>"$D$"&amp;A175</f>
        <v>$D$107</v>
      </c>
      <c r="P175" s="106" t="str">
        <f>"$M$"&amp;A175</f>
        <v>$M$107</v>
      </c>
      <c r="Q175" s="106"/>
      <c r="R175" s="106">
        <v>2</v>
      </c>
      <c r="S175" s="106"/>
      <c r="T175" s="106">
        <v>2</v>
      </c>
      <c r="U175" s="106" t="b">
        <v>1</v>
      </c>
      <c r="V175" s="106" t="s">
        <v>1344</v>
      </c>
      <c r="W175" s="106" t="s">
        <v>1343</v>
      </c>
      <c r="X175" s="106"/>
      <c r="Y175" s="106"/>
      <c r="Z175" s="106"/>
      <c r="AA175" s="106"/>
      <c r="AB175" s="106"/>
      <c r="AC175" s="106"/>
      <c r="AD175" s="106"/>
      <c r="AE175" s="106"/>
      <c r="AF175" s="106"/>
      <c r="AG175" s="106"/>
      <c r="AH175" s="106"/>
      <c r="AI175" s="106"/>
      <c r="AJ175" s="106"/>
      <c r="AK175" s="106"/>
      <c r="AL175" s="106"/>
      <c r="AM175" s="106"/>
      <c r="AN175" s="106"/>
      <c r="AO175" s="106"/>
      <c r="AP175" s="106"/>
    </row>
    <row r="176" spans="1:48" ht="16.5" customHeight="1" x14ac:dyDescent="0.2">
      <c r="A176" s="107">
        <f>$A$175+2</f>
        <v>109</v>
      </c>
      <c r="B176" s="107" t="s">
        <v>807</v>
      </c>
      <c r="C176" s="107" t="s">
        <v>663</v>
      </c>
      <c r="D176" s="107"/>
      <c r="E176" s="107"/>
      <c r="F176" s="107"/>
      <c r="G176" s="107" t="s">
        <v>1149</v>
      </c>
      <c r="H176" s="107">
        <v>2</v>
      </c>
      <c r="I176" s="107">
        <v>6</v>
      </c>
      <c r="J176" s="107" t="b">
        <f t="shared" si="11"/>
        <v>1</v>
      </c>
      <c r="K176" s="107"/>
      <c r="L176" s="107"/>
      <c r="M176" s="107"/>
      <c r="N176" s="107"/>
      <c r="O176" s="107">
        <f>A176</f>
        <v>109</v>
      </c>
      <c r="P176" s="107">
        <f>O176</f>
        <v>109</v>
      </c>
      <c r="Q176" s="107"/>
      <c r="R176" s="107"/>
      <c r="S176" s="107"/>
      <c r="T176" s="107"/>
      <c r="U176" s="107"/>
      <c r="V176" s="107"/>
      <c r="W176" s="107"/>
      <c r="X176" s="107"/>
      <c r="Y176" s="107"/>
      <c r="Z176" s="107"/>
      <c r="AA176" s="107"/>
      <c r="AB176" s="107"/>
      <c r="AC176" s="107"/>
      <c r="AD176" s="107"/>
      <c r="AE176" s="107"/>
      <c r="AF176" s="107"/>
      <c r="AG176" s="107"/>
      <c r="AH176" s="107"/>
      <c r="AI176" s="107"/>
      <c r="AJ176" s="107"/>
      <c r="AK176" s="107" t="s">
        <v>1342</v>
      </c>
      <c r="AL176" s="107"/>
      <c r="AM176" s="107"/>
      <c r="AN176" s="107"/>
      <c r="AO176" s="107"/>
      <c r="AP176" s="107"/>
      <c r="AQ176" s="93" t="str">
        <f>AQ183</f>
        <v>[Projektleder / programleder]</v>
      </c>
    </row>
    <row r="177" spans="1:48" ht="16.5" customHeight="1" x14ac:dyDescent="0.2">
      <c r="A177" s="108">
        <f t="shared" ref="A177:A188" si="12">$A$176+0</f>
        <v>109</v>
      </c>
      <c r="B177" s="109" t="s">
        <v>790</v>
      </c>
      <c r="C177" s="109" t="s">
        <v>96</v>
      </c>
      <c r="D177" s="109"/>
      <c r="E177" s="109" t="s">
        <v>807</v>
      </c>
      <c r="F177" s="109"/>
      <c r="G177" s="109" t="s">
        <v>1149</v>
      </c>
      <c r="H177" s="109"/>
      <c r="I177" s="109"/>
      <c r="J177" s="109"/>
      <c r="K177" s="109" t="b">
        <v>1</v>
      </c>
      <c r="L177" s="109"/>
      <c r="M177" s="109"/>
      <c r="N177" s="109"/>
      <c r="O177" s="109" t="str">
        <f>"$D$"&amp;A177</f>
        <v>$D$109</v>
      </c>
      <c r="P177" s="109" t="str">
        <f>"$I$"&amp;A177</f>
        <v>$I$109</v>
      </c>
      <c r="Q177" s="109"/>
      <c r="R177" s="109"/>
      <c r="S177" s="109"/>
      <c r="T177" s="109">
        <v>25</v>
      </c>
      <c r="U177" s="109" t="b">
        <v>1</v>
      </c>
      <c r="V177" s="109" t="s">
        <v>1342</v>
      </c>
      <c r="W177" s="109" t="s">
        <v>1342</v>
      </c>
      <c r="X177" s="109"/>
      <c r="Y177" s="109"/>
      <c r="Z177" s="109"/>
      <c r="AA177" s="109"/>
      <c r="AB177" s="109"/>
      <c r="AC177" s="109">
        <v>5</v>
      </c>
      <c r="AD177" s="109" t="s">
        <v>105</v>
      </c>
      <c r="AE177" s="109">
        <v>14</v>
      </c>
      <c r="AF177" s="109"/>
      <c r="AG177" s="109" t="s">
        <v>1360</v>
      </c>
      <c r="AH177" s="109" t="s">
        <v>29</v>
      </c>
      <c r="AI177" s="109" t="s">
        <v>28</v>
      </c>
      <c r="AJ177" s="109"/>
      <c r="AK177" s="109"/>
      <c r="AL177" s="109">
        <v>5</v>
      </c>
      <c r="AM177" s="109"/>
      <c r="AN177" s="109"/>
      <c r="AO177" s="109"/>
      <c r="AP177" s="109" t="b">
        <v>1</v>
      </c>
      <c r="AQ177" s="296" t="s">
        <v>179</v>
      </c>
      <c r="AR177" s="296"/>
      <c r="AS177" s="296"/>
      <c r="AT177" s="296"/>
      <c r="AU177" s="296"/>
      <c r="AV177" s="296"/>
    </row>
    <row r="178" spans="1:48" ht="16.5" customHeight="1" x14ac:dyDescent="0.2">
      <c r="A178" s="108">
        <f t="shared" si="12"/>
        <v>109</v>
      </c>
      <c r="B178" s="110" t="str">
        <f>D178&amp;"Red"</f>
        <v>SP_StamdataT3Red</v>
      </c>
      <c r="C178" s="110" t="s">
        <v>656</v>
      </c>
      <c r="D178" s="110" t="s">
        <v>790</v>
      </c>
      <c r="E178" s="110" t="s">
        <v>807</v>
      </c>
      <c r="F178" s="110"/>
      <c r="G178" s="110" t="s">
        <v>1149</v>
      </c>
      <c r="H178" s="110"/>
      <c r="I178" s="110" t="s">
        <v>1247</v>
      </c>
      <c r="J178" s="110"/>
      <c r="K178" s="110" t="b">
        <v>1</v>
      </c>
      <c r="L178" s="110"/>
      <c r="M178" s="110" t="str">
        <f>"'editNorm """&amp;D178&amp;""","""&amp;B178&amp;""","""&amp;E178&amp;"""'"</f>
        <v>'editNorm "SP_StamdataT3","SP_StamdataT3Red","SP_StamdataT3Rep"'</v>
      </c>
      <c r="N178" s="110" t="s">
        <v>59</v>
      </c>
      <c r="O178" s="110" t="str">
        <f>"$L$"&amp;A178</f>
        <v>$L$109</v>
      </c>
      <c r="P178" s="110" t="str">
        <f>"$M$"&amp;A178</f>
        <v>$M$109</v>
      </c>
      <c r="Q178" s="110">
        <v>5</v>
      </c>
      <c r="R178" s="110">
        <v>1</v>
      </c>
      <c r="S178" s="110"/>
      <c r="T178" s="110">
        <v>22</v>
      </c>
      <c r="U178" s="110" t="b">
        <v>1</v>
      </c>
      <c r="V178" s="110" t="s">
        <v>1344</v>
      </c>
      <c r="W178" s="110" t="s">
        <v>1343</v>
      </c>
      <c r="X178" s="110"/>
      <c r="Y178" s="110"/>
      <c r="Z178" s="110"/>
      <c r="AA178" s="110"/>
      <c r="AB178" s="110">
        <v>3</v>
      </c>
      <c r="AC178" s="110">
        <v>5</v>
      </c>
      <c r="AD178" s="110" t="s">
        <v>105</v>
      </c>
      <c r="AE178" s="110">
        <v>12</v>
      </c>
      <c r="AF178" s="110"/>
      <c r="AG178" s="110" t="s">
        <v>1351</v>
      </c>
      <c r="AH178" s="110" t="s">
        <v>29</v>
      </c>
      <c r="AI178" s="110" t="s">
        <v>29</v>
      </c>
      <c r="AJ178" s="110"/>
      <c r="AK178" s="110"/>
      <c r="AL178" s="110"/>
      <c r="AM178" s="110"/>
      <c r="AN178" s="110">
        <v>2</v>
      </c>
      <c r="AO178" s="110"/>
      <c r="AP178" s="110"/>
    </row>
    <row r="179" spans="1:48" ht="16.5" customHeight="1" x14ac:dyDescent="0.2">
      <c r="A179" s="108">
        <f t="shared" si="12"/>
        <v>109</v>
      </c>
      <c r="B179" s="110" t="str">
        <f>D179&amp;"Gem"</f>
        <v>SP_StamdataT3Gem</v>
      </c>
      <c r="C179" s="110" t="s">
        <v>656</v>
      </c>
      <c r="D179" s="110" t="s">
        <v>790</v>
      </c>
      <c r="E179" s="110" t="s">
        <v>807</v>
      </c>
      <c r="F179" s="110"/>
      <c r="G179" s="110" t="s">
        <v>1149</v>
      </c>
      <c r="H179" s="110"/>
      <c r="I179" s="110" t="s">
        <v>238</v>
      </c>
      <c r="J179" s="110"/>
      <c r="K179" s="110"/>
      <c r="L179" s="110"/>
      <c r="M179" s="110" t="str">
        <f>"'editNorm """&amp;D179&amp;""","""&amp;B179&amp;""","""&amp;E179&amp;"""'"</f>
        <v>'editNorm "SP_StamdataT3","SP_StamdataT3Gem","SP_StamdataT3Rep"'</v>
      </c>
      <c r="N179" s="110" t="s">
        <v>59</v>
      </c>
      <c r="O179" s="110" t="str">
        <f>"$L$"&amp;A179</f>
        <v>$L$109</v>
      </c>
      <c r="P179" s="110" t="str">
        <f>"$L$"&amp;A179</f>
        <v>$L$109</v>
      </c>
      <c r="Q179" s="110">
        <v>5</v>
      </c>
      <c r="R179" s="110">
        <v>1</v>
      </c>
      <c r="S179" s="110"/>
      <c r="T179" s="110">
        <v>22</v>
      </c>
      <c r="U179" s="110" t="b">
        <v>1</v>
      </c>
      <c r="V179" s="110" t="s">
        <v>1345</v>
      </c>
      <c r="W179" s="110" t="s">
        <v>1343</v>
      </c>
      <c r="X179" s="110"/>
      <c r="Y179" s="110"/>
      <c r="Z179" s="110"/>
      <c r="AA179" s="110"/>
      <c r="AB179" s="110">
        <v>3</v>
      </c>
      <c r="AC179" s="110">
        <v>5</v>
      </c>
      <c r="AD179" s="110" t="s">
        <v>105</v>
      </c>
      <c r="AE179" s="110">
        <v>12</v>
      </c>
      <c r="AF179" s="110"/>
      <c r="AG179" s="110" t="s">
        <v>1351</v>
      </c>
      <c r="AH179" s="110" t="s">
        <v>29</v>
      </c>
      <c r="AI179" s="110" t="s">
        <v>29</v>
      </c>
      <c r="AJ179" s="110"/>
      <c r="AK179" s="110"/>
      <c r="AL179" s="110"/>
      <c r="AM179" s="110"/>
      <c r="AN179" s="110">
        <v>2</v>
      </c>
      <c r="AO179" s="110"/>
      <c r="AP179" s="110"/>
    </row>
    <row r="180" spans="1:48" ht="16.5" customHeight="1" x14ac:dyDescent="0.2">
      <c r="A180" s="108">
        <f t="shared" si="12"/>
        <v>109</v>
      </c>
      <c r="B180" s="110" t="str">
        <f>D180&amp;"Cancel"</f>
        <v>SP_StamdataT3Cancel</v>
      </c>
      <c r="C180" s="110" t="s">
        <v>656</v>
      </c>
      <c r="D180" s="110" t="s">
        <v>790</v>
      </c>
      <c r="E180" s="110" t="s">
        <v>807</v>
      </c>
      <c r="F180" s="110"/>
      <c r="G180" s="110" t="s">
        <v>1149</v>
      </c>
      <c r="H180" s="110"/>
      <c r="I180" s="110" t="s">
        <v>838</v>
      </c>
      <c r="J180" s="110"/>
      <c r="K180" s="110"/>
      <c r="L180" s="110"/>
      <c r="M180" s="110" t="str">
        <f>"'editNorm """&amp;D180&amp;""","""&amp;B180&amp;""","""&amp;E180&amp;"""'"</f>
        <v>'editNorm "SP_StamdataT3","SP_StamdataT3Cancel","SP_StamdataT3Rep"'</v>
      </c>
      <c r="N180" s="110" t="s">
        <v>59</v>
      </c>
      <c r="O180" s="110" t="str">
        <f>"$M$"&amp;A180</f>
        <v>$M$109</v>
      </c>
      <c r="P180" s="110" t="str">
        <f>"$M$"&amp;A180</f>
        <v>$M$109</v>
      </c>
      <c r="Q180" s="110">
        <v>7</v>
      </c>
      <c r="R180" s="110">
        <v>1</v>
      </c>
      <c r="S180" s="110"/>
      <c r="T180" s="110">
        <v>22</v>
      </c>
      <c r="U180" s="110" t="b">
        <v>1</v>
      </c>
      <c r="V180" s="110" t="s">
        <v>1344</v>
      </c>
      <c r="W180" s="110" t="s">
        <v>1343</v>
      </c>
      <c r="X180" s="110"/>
      <c r="Y180" s="110"/>
      <c r="Z180" s="110"/>
      <c r="AA180" s="110"/>
      <c r="AB180" s="110">
        <v>3</v>
      </c>
      <c r="AC180" s="110">
        <v>5</v>
      </c>
      <c r="AD180" s="110" t="s">
        <v>105</v>
      </c>
      <c r="AE180" s="110">
        <v>12</v>
      </c>
      <c r="AF180" s="110"/>
      <c r="AG180" s="110" t="s">
        <v>1351</v>
      </c>
      <c r="AH180" s="110" t="s">
        <v>29</v>
      </c>
      <c r="AI180" s="110" t="s">
        <v>29</v>
      </c>
      <c r="AJ180" s="110"/>
      <c r="AK180" s="110"/>
      <c r="AL180" s="110"/>
      <c r="AM180" s="110"/>
      <c r="AN180" s="110">
        <v>2</v>
      </c>
      <c r="AO180" s="110"/>
      <c r="AP180" s="110"/>
    </row>
    <row r="181" spans="1:48" ht="16.5" customHeight="1" x14ac:dyDescent="0.2">
      <c r="A181" s="108">
        <f t="shared" si="12"/>
        <v>109</v>
      </c>
      <c r="B181" s="110" t="str">
        <f>D181&amp;"Delete"</f>
        <v>SP_StamdataT3Delete</v>
      </c>
      <c r="C181" s="110" t="s">
        <v>656</v>
      </c>
      <c r="D181" s="110" t="s">
        <v>790</v>
      </c>
      <c r="E181" s="110" t="s">
        <v>807</v>
      </c>
      <c r="F181" s="110"/>
      <c r="G181" s="110" t="s">
        <v>1149</v>
      </c>
      <c r="H181" s="110"/>
      <c r="I181" s="110" t="s">
        <v>1266</v>
      </c>
      <c r="J181" s="110"/>
      <c r="K181" s="110"/>
      <c r="L181" s="110"/>
      <c r="M181" s="110" t="str">
        <f>"'editNorm """&amp;D181&amp;""","""&amp;B181&amp;""","""&amp;E181&amp;"""'"</f>
        <v>'editNorm "SP_StamdataT3","SP_StamdataT3Delete","SP_StamdataT3Rep"'</v>
      </c>
      <c r="N181" s="110" t="s">
        <v>59</v>
      </c>
      <c r="O181" s="110" t="str">
        <f>"$N$"&amp;A181</f>
        <v>$N$109</v>
      </c>
      <c r="P181" s="110" t="str">
        <f>"$N$"&amp;A181</f>
        <v>$N$109</v>
      </c>
      <c r="Q181" s="110">
        <v>7</v>
      </c>
      <c r="R181" s="110">
        <v>1</v>
      </c>
      <c r="S181" s="110"/>
      <c r="T181" s="110">
        <v>22</v>
      </c>
      <c r="U181" s="110" t="b">
        <v>1</v>
      </c>
      <c r="V181" s="110" t="s">
        <v>1346</v>
      </c>
      <c r="W181" s="110" t="s">
        <v>1343</v>
      </c>
      <c r="X181" s="110"/>
      <c r="Y181" s="110"/>
      <c r="Z181" s="110"/>
      <c r="AA181" s="110"/>
      <c r="AB181" s="110">
        <v>3</v>
      </c>
      <c r="AC181" s="110">
        <v>5</v>
      </c>
      <c r="AD181" s="110" t="s">
        <v>105</v>
      </c>
      <c r="AE181" s="110">
        <v>12</v>
      </c>
      <c r="AF181" s="110"/>
      <c r="AG181" s="110" t="s">
        <v>1351</v>
      </c>
      <c r="AH181" s="110" t="s">
        <v>29</v>
      </c>
      <c r="AI181" s="110" t="s">
        <v>29</v>
      </c>
      <c r="AJ181" s="110"/>
      <c r="AK181" s="110"/>
      <c r="AL181" s="110"/>
      <c r="AM181" s="110"/>
      <c r="AN181" s="110">
        <v>2</v>
      </c>
      <c r="AO181" s="110"/>
      <c r="AP181" s="110"/>
    </row>
    <row r="182" spans="1:48" ht="16.5" customHeight="1" x14ac:dyDescent="0.2">
      <c r="A182" s="108">
        <f t="shared" si="12"/>
        <v>109</v>
      </c>
      <c r="B182" s="100" t="s">
        <v>1278</v>
      </c>
      <c r="C182" s="100" t="s">
        <v>649</v>
      </c>
      <c r="D182" s="100"/>
      <c r="E182" s="100" t="s">
        <v>807</v>
      </c>
      <c r="F182" s="100"/>
      <c r="G182" s="100" t="s">
        <v>1149</v>
      </c>
      <c r="H182" s="100"/>
      <c r="I182" s="100" t="s">
        <v>114</v>
      </c>
      <c r="J182" s="100"/>
      <c r="K182" s="100" t="b">
        <v>1</v>
      </c>
      <c r="L182" s="100"/>
      <c r="M182" s="100"/>
      <c r="N182" s="100" t="s">
        <v>59</v>
      </c>
      <c r="O182" s="100" t="str">
        <f>"$J$"&amp;A182</f>
        <v>$J$109</v>
      </c>
      <c r="P182" s="100" t="str">
        <f>"$K$"&amp;A182</f>
        <v>$K$109</v>
      </c>
      <c r="Q182" s="100">
        <v>2</v>
      </c>
      <c r="R182" s="100"/>
      <c r="S182" s="100"/>
      <c r="T182" s="100">
        <v>22</v>
      </c>
      <c r="U182" s="100" t="b">
        <v>1</v>
      </c>
      <c r="V182" s="100" t="s">
        <v>1342</v>
      </c>
      <c r="W182" s="100" t="s">
        <v>1342</v>
      </c>
      <c r="X182" s="100"/>
      <c r="Y182" s="100"/>
      <c r="Z182" s="100"/>
      <c r="AA182" s="100"/>
      <c r="AB182" s="100"/>
      <c r="AC182" s="100"/>
      <c r="AD182" s="100" t="s">
        <v>105</v>
      </c>
      <c r="AE182" s="100">
        <v>10</v>
      </c>
      <c r="AF182" s="100"/>
      <c r="AG182" s="100" t="s">
        <v>1360</v>
      </c>
      <c r="AH182" s="100" t="s">
        <v>29</v>
      </c>
      <c r="AI182" s="100" t="s">
        <v>28</v>
      </c>
      <c r="AJ182" s="100"/>
      <c r="AK182" s="100"/>
      <c r="AL182" s="100">
        <v>0</v>
      </c>
      <c r="AM182" s="100"/>
      <c r="AN182" s="100"/>
      <c r="AO182" s="100"/>
      <c r="AP182" s="100"/>
    </row>
    <row r="183" spans="1:48" ht="16.5" customHeight="1" x14ac:dyDescent="0.2">
      <c r="A183" s="109">
        <f t="shared" si="12"/>
        <v>109</v>
      </c>
      <c r="B183" s="109" t="s">
        <v>855</v>
      </c>
      <c r="C183" s="109" t="s">
        <v>96</v>
      </c>
      <c r="D183" s="109"/>
      <c r="E183" s="109" t="s">
        <v>807</v>
      </c>
      <c r="F183" s="109"/>
      <c r="G183" s="109" t="s">
        <v>1149</v>
      </c>
      <c r="H183" s="109">
        <v>1</v>
      </c>
      <c r="I183" s="109"/>
      <c r="J183" s="109" t="b">
        <f t="shared" ref="J183:J197" si="13">$E$2</f>
        <v>1</v>
      </c>
      <c r="K183" s="109" t="b">
        <v>1</v>
      </c>
      <c r="L183" s="109"/>
      <c r="M183" s="109"/>
      <c r="N183" s="109"/>
      <c r="O183" s="109" t="str">
        <f>"$D$"&amp;A183</f>
        <v>$D$109</v>
      </c>
      <c r="P183" s="109" t="str">
        <f>"$I$"&amp;A183</f>
        <v>$I$109</v>
      </c>
      <c r="Q183" s="109"/>
      <c r="R183" s="109"/>
      <c r="S183" s="109"/>
      <c r="T183" s="109">
        <v>25</v>
      </c>
      <c r="U183" s="109" t="b">
        <v>1</v>
      </c>
      <c r="V183" s="109" t="s">
        <v>1342</v>
      </c>
      <c r="W183" s="109" t="s">
        <v>1342</v>
      </c>
      <c r="X183" s="109"/>
      <c r="Y183" s="109"/>
      <c r="Z183" s="109"/>
      <c r="AA183" s="109"/>
      <c r="AB183" s="109"/>
      <c r="AC183" s="109">
        <v>5</v>
      </c>
      <c r="AD183" s="109" t="s">
        <v>105</v>
      </c>
      <c r="AE183" s="109">
        <v>14</v>
      </c>
      <c r="AF183" s="109"/>
      <c r="AG183" s="109" t="s">
        <v>1360</v>
      </c>
      <c r="AH183" s="109" t="s">
        <v>29</v>
      </c>
      <c r="AI183" s="109" t="s">
        <v>28</v>
      </c>
      <c r="AJ183" s="109"/>
      <c r="AK183" s="109"/>
      <c r="AL183" s="109">
        <v>5</v>
      </c>
      <c r="AM183" s="109"/>
      <c r="AN183" s="109"/>
      <c r="AO183" s="109"/>
      <c r="AP183" s="109" t="b">
        <v>1</v>
      </c>
      <c r="AQ183" s="296" t="s">
        <v>179</v>
      </c>
      <c r="AR183" s="296"/>
      <c r="AS183" s="296"/>
      <c r="AT183" s="296"/>
      <c r="AU183" s="296"/>
      <c r="AV183" s="296"/>
    </row>
    <row r="184" spans="1:48" ht="16.5" customHeight="1" x14ac:dyDescent="0.2">
      <c r="A184" s="110">
        <f t="shared" si="12"/>
        <v>109</v>
      </c>
      <c r="B184" s="110" t="str">
        <f>D184&amp;"Red"</f>
        <v>SP_StamdataT3_1Red</v>
      </c>
      <c r="C184" s="110" t="s">
        <v>656</v>
      </c>
      <c r="D184" s="110" t="s">
        <v>855</v>
      </c>
      <c r="E184" s="110" t="s">
        <v>807</v>
      </c>
      <c r="F184" s="110"/>
      <c r="G184" s="110" t="s">
        <v>1149</v>
      </c>
      <c r="H184" s="110">
        <v>1</v>
      </c>
      <c r="I184" s="110" t="s">
        <v>1247</v>
      </c>
      <c r="J184" s="110" t="b">
        <f t="shared" si="13"/>
        <v>1</v>
      </c>
      <c r="K184" s="110" t="b">
        <v>1</v>
      </c>
      <c r="L184" s="110"/>
      <c r="M184" s="110" t="str">
        <f>"'editNorm """&amp;D184&amp;""","""&amp;B184&amp;""","""&amp;E184&amp;"""'"</f>
        <v>'editNorm "SP_StamdataT3_1","SP_StamdataT3_1Red","SP_StamdataT3Rep"'</v>
      </c>
      <c r="N184" s="110" t="s">
        <v>59</v>
      </c>
      <c r="O184" s="110" t="str">
        <f>"$L$"&amp;A184</f>
        <v>$L$109</v>
      </c>
      <c r="P184" s="110" t="str">
        <f>"$M$"&amp;A184</f>
        <v>$M$109</v>
      </c>
      <c r="Q184" s="110">
        <v>5</v>
      </c>
      <c r="R184" s="110">
        <v>1</v>
      </c>
      <c r="S184" s="110"/>
      <c r="T184" s="110">
        <v>22</v>
      </c>
      <c r="U184" s="110" t="b">
        <v>1</v>
      </c>
      <c r="V184" s="110" t="s">
        <v>1344</v>
      </c>
      <c r="W184" s="110" t="s">
        <v>1343</v>
      </c>
      <c r="X184" s="110"/>
      <c r="Y184" s="110"/>
      <c r="Z184" s="110"/>
      <c r="AA184" s="110"/>
      <c r="AB184" s="110">
        <v>3</v>
      </c>
      <c r="AC184" s="110">
        <v>5</v>
      </c>
      <c r="AD184" s="110" t="s">
        <v>105</v>
      </c>
      <c r="AE184" s="110">
        <v>12</v>
      </c>
      <c r="AF184" s="110"/>
      <c r="AG184" s="110" t="s">
        <v>1351</v>
      </c>
      <c r="AH184" s="110" t="s">
        <v>29</v>
      </c>
      <c r="AI184" s="110" t="s">
        <v>29</v>
      </c>
      <c r="AJ184" s="110"/>
      <c r="AK184" s="110"/>
      <c r="AL184" s="110"/>
      <c r="AM184" s="110"/>
      <c r="AN184" s="110">
        <v>2</v>
      </c>
      <c r="AO184" s="110"/>
      <c r="AP184" s="110"/>
    </row>
    <row r="185" spans="1:48" ht="16.5" customHeight="1" x14ac:dyDescent="0.2">
      <c r="A185" s="110">
        <f t="shared" si="12"/>
        <v>109</v>
      </c>
      <c r="B185" s="110" t="str">
        <f>D185&amp;"Gem"</f>
        <v>SP_StamdataT3_1Gem</v>
      </c>
      <c r="C185" s="110" t="s">
        <v>656</v>
      </c>
      <c r="D185" s="110" t="s">
        <v>855</v>
      </c>
      <c r="E185" s="110" t="s">
        <v>807</v>
      </c>
      <c r="F185" s="110"/>
      <c r="G185" s="110" t="s">
        <v>1149</v>
      </c>
      <c r="H185" s="110">
        <v>1</v>
      </c>
      <c r="I185" s="110" t="s">
        <v>238</v>
      </c>
      <c r="J185" s="110" t="b">
        <f t="shared" si="13"/>
        <v>1</v>
      </c>
      <c r="K185" s="110"/>
      <c r="L185" s="110"/>
      <c r="M185" s="110" t="str">
        <f>"'editNorm """&amp;D185&amp;""","""&amp;B185&amp;""","""&amp;E185&amp;"""'"</f>
        <v>'editNorm "SP_StamdataT3_1","SP_StamdataT3_1Gem","SP_StamdataT3Rep"'</v>
      </c>
      <c r="N185" s="110" t="s">
        <v>59</v>
      </c>
      <c r="O185" s="110" t="str">
        <f>"$L$"&amp;A185</f>
        <v>$L$109</v>
      </c>
      <c r="P185" s="110" t="str">
        <f>"$L$"&amp;A185</f>
        <v>$L$109</v>
      </c>
      <c r="Q185" s="110">
        <v>5</v>
      </c>
      <c r="R185" s="110">
        <v>1</v>
      </c>
      <c r="S185" s="110"/>
      <c r="T185" s="110">
        <v>22</v>
      </c>
      <c r="U185" s="110" t="b">
        <v>1</v>
      </c>
      <c r="V185" s="110" t="s">
        <v>1345</v>
      </c>
      <c r="W185" s="110" t="s">
        <v>1343</v>
      </c>
      <c r="X185" s="110"/>
      <c r="Y185" s="110"/>
      <c r="Z185" s="110"/>
      <c r="AA185" s="110"/>
      <c r="AB185" s="110">
        <v>3</v>
      </c>
      <c r="AC185" s="110">
        <v>5</v>
      </c>
      <c r="AD185" s="110" t="s">
        <v>105</v>
      </c>
      <c r="AE185" s="110">
        <v>12</v>
      </c>
      <c r="AF185" s="110"/>
      <c r="AG185" s="110" t="s">
        <v>1351</v>
      </c>
      <c r="AH185" s="110" t="s">
        <v>29</v>
      </c>
      <c r="AI185" s="110" t="s">
        <v>29</v>
      </c>
      <c r="AJ185" s="110"/>
      <c r="AK185" s="110"/>
      <c r="AL185" s="110"/>
      <c r="AM185" s="110"/>
      <c r="AN185" s="110">
        <v>2</v>
      </c>
      <c r="AO185" s="110"/>
      <c r="AP185" s="110"/>
    </row>
    <row r="186" spans="1:48" ht="16.5" customHeight="1" x14ac:dyDescent="0.2">
      <c r="A186" s="110">
        <f t="shared" si="12"/>
        <v>109</v>
      </c>
      <c r="B186" s="110" t="str">
        <f>D186&amp;"Cancel"</f>
        <v>SP_StamdataT3_1Cancel</v>
      </c>
      <c r="C186" s="110" t="s">
        <v>656</v>
      </c>
      <c r="D186" s="110" t="s">
        <v>855</v>
      </c>
      <c r="E186" s="110" t="s">
        <v>807</v>
      </c>
      <c r="F186" s="110"/>
      <c r="G186" s="110" t="s">
        <v>1149</v>
      </c>
      <c r="H186" s="110">
        <v>1</v>
      </c>
      <c r="I186" s="110" t="s">
        <v>838</v>
      </c>
      <c r="J186" s="110" t="b">
        <f t="shared" si="13"/>
        <v>1</v>
      </c>
      <c r="K186" s="110"/>
      <c r="L186" s="110"/>
      <c r="M186" s="110" t="str">
        <f>"'editNorm """&amp;D186&amp;""","""&amp;B186&amp;""","""&amp;E186&amp;"""'"</f>
        <v>'editNorm "SP_StamdataT3_1","SP_StamdataT3_1Cancel","SP_StamdataT3Rep"'</v>
      </c>
      <c r="N186" s="110" t="s">
        <v>59</v>
      </c>
      <c r="O186" s="110" t="str">
        <f>"$M$"&amp;A186</f>
        <v>$M$109</v>
      </c>
      <c r="P186" s="110" t="str">
        <f>"$M$"&amp;A186</f>
        <v>$M$109</v>
      </c>
      <c r="Q186" s="110">
        <v>7</v>
      </c>
      <c r="R186" s="110">
        <v>1</v>
      </c>
      <c r="S186" s="110"/>
      <c r="T186" s="110">
        <v>22</v>
      </c>
      <c r="U186" s="110" t="b">
        <v>1</v>
      </c>
      <c r="V186" s="110" t="s">
        <v>1344</v>
      </c>
      <c r="W186" s="110" t="s">
        <v>1343</v>
      </c>
      <c r="X186" s="110"/>
      <c r="Y186" s="110"/>
      <c r="Z186" s="110"/>
      <c r="AA186" s="110"/>
      <c r="AB186" s="110">
        <v>3</v>
      </c>
      <c r="AC186" s="110">
        <v>5</v>
      </c>
      <c r="AD186" s="110" t="s">
        <v>105</v>
      </c>
      <c r="AE186" s="110">
        <v>12</v>
      </c>
      <c r="AF186" s="110"/>
      <c r="AG186" s="110" t="s">
        <v>1351</v>
      </c>
      <c r="AH186" s="110" t="s">
        <v>29</v>
      </c>
      <c r="AI186" s="110" t="s">
        <v>29</v>
      </c>
      <c r="AJ186" s="110"/>
      <c r="AK186" s="110"/>
      <c r="AL186" s="110"/>
      <c r="AM186" s="110"/>
      <c r="AN186" s="110">
        <v>2</v>
      </c>
      <c r="AO186" s="110"/>
      <c r="AP186" s="110"/>
    </row>
    <row r="187" spans="1:48" ht="16.5" customHeight="1" x14ac:dyDescent="0.2">
      <c r="A187" s="110">
        <f t="shared" si="12"/>
        <v>109</v>
      </c>
      <c r="B187" s="110" t="str">
        <f>D187&amp;"Delete"</f>
        <v>SP_StamdataT3_1Delete</v>
      </c>
      <c r="C187" s="110" t="s">
        <v>656</v>
      </c>
      <c r="D187" s="110" t="s">
        <v>855</v>
      </c>
      <c r="E187" s="110" t="s">
        <v>807</v>
      </c>
      <c r="F187" s="110"/>
      <c r="G187" s="110" t="s">
        <v>1149</v>
      </c>
      <c r="H187" s="110">
        <v>1</v>
      </c>
      <c r="I187" s="110" t="s">
        <v>1266</v>
      </c>
      <c r="J187" s="110" t="b">
        <f t="shared" si="13"/>
        <v>1</v>
      </c>
      <c r="K187" s="110"/>
      <c r="L187" s="110"/>
      <c r="M187" s="110" t="str">
        <f>"'editNorm """&amp;D187&amp;""","""&amp;B187&amp;""","""&amp;E187&amp;"""'"</f>
        <v>'editNorm "SP_StamdataT3_1","SP_StamdataT3_1Delete","SP_StamdataT3Rep"'</v>
      </c>
      <c r="N187" s="110" t="s">
        <v>59</v>
      </c>
      <c r="O187" s="110" t="str">
        <f>"$N$"&amp;A187</f>
        <v>$N$109</v>
      </c>
      <c r="P187" s="110" t="str">
        <f>"$N$"&amp;A187</f>
        <v>$N$109</v>
      </c>
      <c r="Q187" s="110">
        <v>7</v>
      </c>
      <c r="R187" s="110">
        <v>1</v>
      </c>
      <c r="S187" s="110"/>
      <c r="T187" s="110">
        <v>22</v>
      </c>
      <c r="U187" s="110" t="b">
        <v>1</v>
      </c>
      <c r="V187" s="110" t="s">
        <v>1346</v>
      </c>
      <c r="W187" s="110" t="s">
        <v>1343</v>
      </c>
      <c r="X187" s="110"/>
      <c r="Y187" s="110"/>
      <c r="Z187" s="110"/>
      <c r="AA187" s="110"/>
      <c r="AB187" s="110">
        <v>3</v>
      </c>
      <c r="AC187" s="110">
        <v>5</v>
      </c>
      <c r="AD187" s="110" t="s">
        <v>105</v>
      </c>
      <c r="AE187" s="110">
        <v>12</v>
      </c>
      <c r="AF187" s="110"/>
      <c r="AG187" s="110" t="s">
        <v>1351</v>
      </c>
      <c r="AH187" s="110" t="s">
        <v>29</v>
      </c>
      <c r="AI187" s="110" t="s">
        <v>29</v>
      </c>
      <c r="AJ187" s="110"/>
      <c r="AK187" s="110"/>
      <c r="AL187" s="110"/>
      <c r="AM187" s="110"/>
      <c r="AN187" s="110">
        <v>2</v>
      </c>
      <c r="AO187" s="110"/>
      <c r="AP187" s="110"/>
    </row>
    <row r="188" spans="1:48" ht="16.5" customHeight="1" x14ac:dyDescent="0.2">
      <c r="A188" s="100">
        <f t="shared" si="12"/>
        <v>109</v>
      </c>
      <c r="B188" s="100" t="s">
        <v>1279</v>
      </c>
      <c r="C188" s="100" t="s">
        <v>649</v>
      </c>
      <c r="D188" s="100"/>
      <c r="E188" s="100" t="s">
        <v>807</v>
      </c>
      <c r="F188" s="100"/>
      <c r="G188" s="100" t="s">
        <v>1149</v>
      </c>
      <c r="H188" s="100">
        <v>1</v>
      </c>
      <c r="I188" s="100" t="s">
        <v>114</v>
      </c>
      <c r="J188" s="100" t="b">
        <f t="shared" si="13"/>
        <v>1</v>
      </c>
      <c r="K188" s="100" t="b">
        <v>1</v>
      </c>
      <c r="L188" s="100"/>
      <c r="M188" s="100"/>
      <c r="N188" s="100" t="s">
        <v>59</v>
      </c>
      <c r="O188" s="100" t="str">
        <f>"$J$"&amp;A188</f>
        <v>$J$109</v>
      </c>
      <c r="P188" s="100" t="str">
        <f>"$K$"&amp;A188</f>
        <v>$K$109</v>
      </c>
      <c r="Q188" s="100">
        <v>2</v>
      </c>
      <c r="R188" s="100"/>
      <c r="S188" s="100"/>
      <c r="T188" s="100">
        <v>22</v>
      </c>
      <c r="U188" s="100" t="b">
        <v>1</v>
      </c>
      <c r="V188" s="100" t="s">
        <v>1342</v>
      </c>
      <c r="W188" s="100" t="s">
        <v>1342</v>
      </c>
      <c r="X188" s="100"/>
      <c r="Y188" s="100"/>
      <c r="Z188" s="100"/>
      <c r="AA188" s="100"/>
      <c r="AB188" s="100"/>
      <c r="AC188" s="100"/>
      <c r="AD188" s="100" t="s">
        <v>105</v>
      </c>
      <c r="AE188" s="100">
        <v>10</v>
      </c>
      <c r="AF188" s="100"/>
      <c r="AG188" s="100" t="s">
        <v>1360</v>
      </c>
      <c r="AH188" s="100" t="s">
        <v>29</v>
      </c>
      <c r="AI188" s="100" t="s">
        <v>28</v>
      </c>
      <c r="AJ188" s="100"/>
      <c r="AK188" s="100"/>
      <c r="AL188" s="100">
        <v>0</v>
      </c>
      <c r="AM188" s="100"/>
      <c r="AN188" s="100"/>
      <c r="AO188" s="100"/>
      <c r="AP188" s="100"/>
    </row>
    <row r="189" spans="1:48" ht="16.5" customHeight="1" x14ac:dyDescent="0.2">
      <c r="A189" s="107">
        <f>$O$176+(P176-O176+1)*(H176-1)-1</f>
        <v>109</v>
      </c>
      <c r="B189" s="107" t="s">
        <v>807</v>
      </c>
      <c r="C189" s="107" t="s">
        <v>663</v>
      </c>
      <c r="D189" s="107"/>
      <c r="E189" s="107"/>
      <c r="F189" s="107"/>
      <c r="G189" s="107" t="s">
        <v>1149</v>
      </c>
      <c r="H189" s="107"/>
      <c r="I189" s="107"/>
      <c r="J189" s="107" t="b">
        <f t="shared" si="13"/>
        <v>1</v>
      </c>
      <c r="K189" s="107"/>
      <c r="L189" s="107"/>
      <c r="M189" s="107"/>
      <c r="N189" s="107"/>
      <c r="O189" s="107"/>
      <c r="P189" s="107"/>
      <c r="Q189" s="107"/>
      <c r="R189" s="107"/>
      <c r="S189" s="107"/>
      <c r="T189" s="107"/>
      <c r="U189" s="107"/>
      <c r="V189" s="107"/>
      <c r="W189" s="107"/>
      <c r="X189" s="107"/>
      <c r="Y189" s="107"/>
      <c r="Z189" s="107"/>
      <c r="AA189" s="107"/>
      <c r="AB189" s="107"/>
      <c r="AC189" s="107"/>
      <c r="AD189" s="107"/>
      <c r="AE189" s="107"/>
      <c r="AF189" s="107"/>
      <c r="AG189" s="107"/>
      <c r="AH189" s="107"/>
      <c r="AI189" s="107"/>
      <c r="AJ189" s="107"/>
      <c r="AK189" s="107"/>
      <c r="AL189" s="107"/>
      <c r="AM189" s="107"/>
      <c r="AN189" s="107"/>
      <c r="AO189" s="107"/>
      <c r="AP189" s="107"/>
    </row>
    <row r="190" spans="1:48" ht="16.5" customHeight="1" x14ac:dyDescent="0.2">
      <c r="A190" s="106">
        <f>$A$189+1</f>
        <v>110</v>
      </c>
      <c r="B190" s="106" t="s">
        <v>792</v>
      </c>
      <c r="C190" s="106" t="s">
        <v>655</v>
      </c>
      <c r="D190" s="106"/>
      <c r="E190" s="106"/>
      <c r="F190" s="106"/>
      <c r="G190" s="106" t="s">
        <v>1149</v>
      </c>
      <c r="H190" s="106"/>
      <c r="I190" s="106"/>
      <c r="J190" s="106" t="b">
        <f t="shared" si="13"/>
        <v>1</v>
      </c>
      <c r="K190" s="106" t="b">
        <v>1</v>
      </c>
      <c r="L190" s="106"/>
      <c r="M190" s="106"/>
      <c r="N190" s="106" t="s">
        <v>59</v>
      </c>
      <c r="O190" s="106" t="str">
        <f>"$D$"&amp;A190</f>
        <v>$D$110</v>
      </c>
      <c r="P190" s="106" t="str">
        <f>"$M$"&amp;A190</f>
        <v>$M$110</v>
      </c>
      <c r="Q190" s="106"/>
      <c r="R190" s="106">
        <v>2</v>
      </c>
      <c r="S190" s="106"/>
      <c r="T190" s="106">
        <v>2</v>
      </c>
      <c r="U190" s="106" t="b">
        <v>1</v>
      </c>
      <c r="V190" s="106" t="s">
        <v>1344</v>
      </c>
      <c r="W190" s="106" t="s">
        <v>1343</v>
      </c>
      <c r="X190" s="106"/>
      <c r="Y190" s="106"/>
      <c r="Z190" s="106"/>
      <c r="AA190" s="106"/>
      <c r="AB190" s="106"/>
      <c r="AC190" s="106"/>
      <c r="AD190" s="106"/>
      <c r="AE190" s="106"/>
      <c r="AF190" s="106"/>
      <c r="AG190" s="106"/>
      <c r="AH190" s="106"/>
      <c r="AI190" s="106"/>
      <c r="AJ190" s="106"/>
      <c r="AK190" s="106"/>
      <c r="AL190" s="106"/>
      <c r="AM190" s="106"/>
      <c r="AN190" s="106"/>
      <c r="AO190" s="106"/>
      <c r="AP190" s="106"/>
    </row>
    <row r="191" spans="1:48" ht="16.5" customHeight="1" x14ac:dyDescent="0.2">
      <c r="A191" s="100">
        <f>$A$190+2</f>
        <v>112</v>
      </c>
      <c r="B191" s="100" t="s">
        <v>791</v>
      </c>
      <c r="C191" s="100" t="s">
        <v>649</v>
      </c>
      <c r="D191" s="100"/>
      <c r="E191" s="100"/>
      <c r="F191" s="100"/>
      <c r="G191" s="100" t="s">
        <v>1149</v>
      </c>
      <c r="H191" s="100"/>
      <c r="I191" s="100" t="s">
        <v>177</v>
      </c>
      <c r="J191" s="100" t="b">
        <f t="shared" si="13"/>
        <v>1</v>
      </c>
      <c r="K191" s="100" t="b">
        <v>1</v>
      </c>
      <c r="L191" s="100"/>
      <c r="M191" s="100"/>
      <c r="N191" s="100" t="s">
        <v>59</v>
      </c>
      <c r="O191" s="100" t="str">
        <f>"$B$"&amp;A191</f>
        <v>$B$112</v>
      </c>
      <c r="P191" s="100" t="str">
        <f>"$G$"&amp;A191</f>
        <v>$G$112</v>
      </c>
      <c r="Q191" s="100"/>
      <c r="R191" s="100"/>
      <c r="S191" s="100"/>
      <c r="T191" s="100">
        <v>30</v>
      </c>
      <c r="U191" s="100" t="b">
        <v>1</v>
      </c>
      <c r="V191" s="100" t="s">
        <v>1342</v>
      </c>
      <c r="W191" s="100" t="s">
        <v>1342</v>
      </c>
      <c r="X191" s="100"/>
      <c r="Y191" s="100"/>
      <c r="Z191" s="100"/>
      <c r="AA191" s="100"/>
      <c r="AB191" s="100">
        <v>3</v>
      </c>
      <c r="AC191" s="100">
        <v>5</v>
      </c>
      <c r="AD191" s="100" t="s">
        <v>105</v>
      </c>
      <c r="AE191" s="100">
        <v>14</v>
      </c>
      <c r="AF191" s="100" t="b">
        <v>1</v>
      </c>
      <c r="AG191" s="100" t="s">
        <v>1355</v>
      </c>
      <c r="AH191" s="100" t="s">
        <v>29</v>
      </c>
      <c r="AI191" s="100" t="s">
        <v>28</v>
      </c>
      <c r="AJ191" s="100"/>
      <c r="AK191" s="100"/>
      <c r="AL191" s="100">
        <v>0</v>
      </c>
      <c r="AM191" s="100"/>
      <c r="AN191" s="100"/>
      <c r="AO191" s="100"/>
      <c r="AP191" s="100"/>
      <c r="AQ191" s="93" t="s">
        <v>177</v>
      </c>
    </row>
    <row r="192" spans="1:48" ht="16.5" customHeight="1" x14ac:dyDescent="0.2">
      <c r="A192" s="104">
        <f>$A$190+4</f>
        <v>114</v>
      </c>
      <c r="B192" s="104" t="s">
        <v>793</v>
      </c>
      <c r="C192" s="104" t="s">
        <v>657</v>
      </c>
      <c r="D192" s="104" t="s">
        <v>793</v>
      </c>
      <c r="E192" s="104"/>
      <c r="F192" s="104"/>
      <c r="G192" s="104" t="s">
        <v>1149</v>
      </c>
      <c r="H192" s="104" t="str">
        <f>VLOOKUP(TRUE,H193:I195,2,FALSE)</f>
        <v>Effektivisering</v>
      </c>
      <c r="I192" s="104" t="s">
        <v>209</v>
      </c>
      <c r="J192" s="104" t="b">
        <f t="shared" si="13"/>
        <v>1</v>
      </c>
      <c r="K192" s="104" t="b">
        <f>$C$3</f>
        <v>0</v>
      </c>
      <c r="L192" s="104"/>
      <c r="M192" s="104"/>
      <c r="N192" s="104" t="s">
        <v>59</v>
      </c>
      <c r="O192" s="104" t="str">
        <f>"$D$"&amp;A192</f>
        <v>$D$114</v>
      </c>
      <c r="P192" s="104" t="str">
        <f>"$H$"&amp;A192+2</f>
        <v>$H$116</v>
      </c>
      <c r="Q192" s="104">
        <v>-5</v>
      </c>
      <c r="R192" s="104">
        <v>3</v>
      </c>
      <c r="S192" s="104"/>
      <c r="T192" s="104"/>
      <c r="U192" s="104"/>
      <c r="V192" s="104"/>
      <c r="W192" s="104"/>
      <c r="X192" s="104"/>
      <c r="Y192" s="104"/>
      <c r="Z192" s="104"/>
      <c r="AA192" s="104"/>
      <c r="AB192" s="104"/>
      <c r="AC192" s="104">
        <v>16</v>
      </c>
      <c r="AD192" s="104"/>
      <c r="AE192" s="104"/>
      <c r="AF192" s="104"/>
      <c r="AG192" s="104"/>
      <c r="AH192" s="104" t="s">
        <v>29</v>
      </c>
      <c r="AI192" s="104" t="s">
        <v>28</v>
      </c>
      <c r="AJ192" s="104"/>
      <c r="AK192" s="104"/>
      <c r="AL192" s="104"/>
      <c r="AM192" s="104"/>
      <c r="AN192" s="104"/>
      <c r="AO192" s="104"/>
      <c r="AP192" s="104"/>
    </row>
    <row r="193" spans="1:43" ht="16.5" customHeight="1" x14ac:dyDescent="0.2">
      <c r="A193" s="105">
        <f>$A$190+4</f>
        <v>114</v>
      </c>
      <c r="B193" s="105" t="s">
        <v>794</v>
      </c>
      <c r="C193" s="105" t="s">
        <v>659</v>
      </c>
      <c r="D193" s="105" t="s">
        <v>793</v>
      </c>
      <c r="E193" s="105"/>
      <c r="F193" s="105"/>
      <c r="G193" s="105" t="s">
        <v>1149</v>
      </c>
      <c r="H193" s="105" t="b">
        <v>1</v>
      </c>
      <c r="I193" s="105" t="s">
        <v>180</v>
      </c>
      <c r="J193" s="105" t="b">
        <f t="shared" si="13"/>
        <v>1</v>
      </c>
      <c r="K193" s="105" t="b">
        <v>1</v>
      </c>
      <c r="L193" s="105"/>
      <c r="M193" s="105" t="str">
        <f>"'setType """&amp;B193&amp;"""'"</f>
        <v>'setType "SP_StamdataT4Chk1"'</v>
      </c>
      <c r="N193" s="105" t="s">
        <v>59</v>
      </c>
      <c r="O193" s="105" t="str">
        <f>"$D$"&amp;A193</f>
        <v>$D$114</v>
      </c>
      <c r="P193" s="105" t="str">
        <f>"$H$"&amp;A193</f>
        <v>$H$114</v>
      </c>
      <c r="Q193" s="105"/>
      <c r="R193" s="105">
        <v>3</v>
      </c>
      <c r="S193" s="105"/>
      <c r="T193" s="105">
        <v>22</v>
      </c>
      <c r="U193" s="105" t="b">
        <v>1</v>
      </c>
      <c r="V193" s="105" t="s">
        <v>1343</v>
      </c>
      <c r="W193" s="105" t="s">
        <v>1356</v>
      </c>
      <c r="X193" s="105"/>
      <c r="Y193" s="105"/>
      <c r="Z193" s="105"/>
      <c r="AA193" s="105"/>
      <c r="AB193" s="105"/>
      <c r="AC193" s="105">
        <v>16</v>
      </c>
      <c r="AD193" s="105" t="s">
        <v>105</v>
      </c>
      <c r="AE193" s="105">
        <v>12</v>
      </c>
      <c r="AF193" s="105"/>
      <c r="AG193" s="105" t="s">
        <v>1355</v>
      </c>
      <c r="AH193" s="105" t="s">
        <v>27</v>
      </c>
      <c r="AI193" s="105" t="s">
        <v>28</v>
      </c>
      <c r="AJ193" s="105"/>
      <c r="AK193" s="105"/>
      <c r="AL193" s="105">
        <v>0</v>
      </c>
      <c r="AM193" s="105"/>
      <c r="AN193" s="105"/>
      <c r="AO193" s="105"/>
      <c r="AP193" s="105"/>
    </row>
    <row r="194" spans="1:43" ht="16.5" customHeight="1" x14ac:dyDescent="0.2">
      <c r="A194" s="105">
        <f>$A$190+5</f>
        <v>115</v>
      </c>
      <c r="B194" s="105" t="s">
        <v>795</v>
      </c>
      <c r="C194" s="105" t="s">
        <v>659</v>
      </c>
      <c r="D194" s="105" t="s">
        <v>793</v>
      </c>
      <c r="E194" s="105"/>
      <c r="F194" s="105"/>
      <c r="G194" s="105" t="s">
        <v>1149</v>
      </c>
      <c r="H194" s="105" t="b">
        <v>0</v>
      </c>
      <c r="I194" s="105" t="s">
        <v>181</v>
      </c>
      <c r="J194" s="105" t="b">
        <f t="shared" si="13"/>
        <v>1</v>
      </c>
      <c r="K194" s="105" t="b">
        <v>1</v>
      </c>
      <c r="L194" s="105"/>
      <c r="M194" s="105" t="str">
        <f>"'setType """&amp;B194&amp;"""'"</f>
        <v>'setType "SP_StamdataT4Chk2"'</v>
      </c>
      <c r="N194" s="105" t="s">
        <v>59</v>
      </c>
      <c r="O194" s="105" t="str">
        <f>"$D$"&amp;A194</f>
        <v>$D$115</v>
      </c>
      <c r="P194" s="105" t="str">
        <f>"$H$"&amp;A194</f>
        <v>$H$115</v>
      </c>
      <c r="Q194" s="105"/>
      <c r="R194" s="105">
        <v>3</v>
      </c>
      <c r="S194" s="105"/>
      <c r="T194" s="105">
        <v>22</v>
      </c>
      <c r="U194" s="105" t="b">
        <v>1</v>
      </c>
      <c r="V194" s="105" t="s">
        <v>1343</v>
      </c>
      <c r="W194" s="105" t="s">
        <v>1356</v>
      </c>
      <c r="X194" s="105"/>
      <c r="Y194" s="105"/>
      <c r="Z194" s="105"/>
      <c r="AA194" s="105"/>
      <c r="AB194" s="105"/>
      <c r="AC194" s="105">
        <v>16</v>
      </c>
      <c r="AD194" s="105" t="s">
        <v>105</v>
      </c>
      <c r="AE194" s="105">
        <v>12</v>
      </c>
      <c r="AF194" s="105"/>
      <c r="AG194" s="105" t="s">
        <v>1355</v>
      </c>
      <c r="AH194" s="105" t="s">
        <v>27</v>
      </c>
      <c r="AI194" s="105" t="s">
        <v>28</v>
      </c>
      <c r="AJ194" s="105"/>
      <c r="AK194" s="105"/>
      <c r="AL194" s="105">
        <v>0</v>
      </c>
      <c r="AM194" s="105"/>
      <c r="AN194" s="105"/>
      <c r="AO194" s="105"/>
      <c r="AP194" s="105"/>
    </row>
    <row r="195" spans="1:43" ht="16.5" customHeight="1" x14ac:dyDescent="0.2">
      <c r="A195" s="105">
        <f>$A$190+6</f>
        <v>116</v>
      </c>
      <c r="B195" s="105" t="s">
        <v>796</v>
      </c>
      <c r="C195" s="105" t="s">
        <v>659</v>
      </c>
      <c r="D195" s="105" t="s">
        <v>793</v>
      </c>
      <c r="E195" s="105"/>
      <c r="F195" s="105"/>
      <c r="G195" s="105" t="s">
        <v>1149</v>
      </c>
      <c r="H195" s="105" t="b">
        <v>0</v>
      </c>
      <c r="I195" s="105" t="s">
        <v>182</v>
      </c>
      <c r="J195" s="105" t="b">
        <f t="shared" si="13"/>
        <v>1</v>
      </c>
      <c r="K195" s="105" t="b">
        <v>1</v>
      </c>
      <c r="L195" s="105"/>
      <c r="M195" s="105" t="str">
        <f>"'setType """&amp;B195&amp;"""'"</f>
        <v>'setType "SP_StamdataT4Chk3"'</v>
      </c>
      <c r="N195" s="105" t="s">
        <v>59</v>
      </c>
      <c r="O195" s="105" t="str">
        <f>"$D$"&amp;A195</f>
        <v>$D$116</v>
      </c>
      <c r="P195" s="105" t="str">
        <f>"$H$"&amp;A195</f>
        <v>$H$116</v>
      </c>
      <c r="Q195" s="105"/>
      <c r="R195" s="105">
        <v>3</v>
      </c>
      <c r="S195" s="105"/>
      <c r="T195" s="105">
        <v>22</v>
      </c>
      <c r="U195" s="105" t="b">
        <v>1</v>
      </c>
      <c r="V195" s="105" t="s">
        <v>1343</v>
      </c>
      <c r="W195" s="105" t="s">
        <v>1356</v>
      </c>
      <c r="X195" s="105"/>
      <c r="Y195" s="105"/>
      <c r="Z195" s="105"/>
      <c r="AA195" s="105"/>
      <c r="AB195" s="105"/>
      <c r="AC195" s="105">
        <v>16</v>
      </c>
      <c r="AD195" s="105" t="s">
        <v>105</v>
      </c>
      <c r="AE195" s="105">
        <v>12</v>
      </c>
      <c r="AF195" s="105"/>
      <c r="AG195" s="105" t="s">
        <v>1355</v>
      </c>
      <c r="AH195" s="105" t="s">
        <v>27</v>
      </c>
      <c r="AI195" s="105" t="s">
        <v>28</v>
      </c>
      <c r="AJ195" s="105"/>
      <c r="AK195" s="105"/>
      <c r="AL195" s="105">
        <v>0</v>
      </c>
      <c r="AM195" s="105"/>
      <c r="AN195" s="105"/>
      <c r="AO195" s="105"/>
      <c r="AP195" s="105"/>
    </row>
    <row r="196" spans="1:43" ht="16.5" customHeight="1" x14ac:dyDescent="0.2">
      <c r="A196" s="106">
        <f>$A$190+8</f>
        <v>118</v>
      </c>
      <c r="B196" s="106" t="s">
        <v>797</v>
      </c>
      <c r="C196" s="106" t="s">
        <v>655</v>
      </c>
      <c r="D196" s="106"/>
      <c r="E196" s="106"/>
      <c r="F196" s="106"/>
      <c r="G196" s="106" t="s">
        <v>1149</v>
      </c>
      <c r="H196" s="106"/>
      <c r="I196" s="106"/>
      <c r="J196" s="106" t="b">
        <f t="shared" si="13"/>
        <v>1</v>
      </c>
      <c r="K196" s="106" t="b">
        <v>1</v>
      </c>
      <c r="L196" s="106"/>
      <c r="M196" s="106"/>
      <c r="N196" s="106" t="s">
        <v>59</v>
      </c>
      <c r="O196" s="106" t="str">
        <f>"$B$"&amp;A196</f>
        <v>$B$118</v>
      </c>
      <c r="P196" s="106" t="str">
        <f>"$M$"&amp;A196</f>
        <v>$M$118</v>
      </c>
      <c r="Q196" s="106"/>
      <c r="R196" s="106">
        <v>2</v>
      </c>
      <c r="S196" s="106"/>
      <c r="T196" s="106">
        <v>2</v>
      </c>
      <c r="U196" s="106" t="b">
        <v>1</v>
      </c>
      <c r="V196" s="106" t="s">
        <v>1344</v>
      </c>
      <c r="W196" s="106" t="s">
        <v>1343</v>
      </c>
      <c r="X196" s="106"/>
      <c r="Y196" s="106"/>
      <c r="Z196" s="106"/>
      <c r="AA196" s="106"/>
      <c r="AB196" s="106"/>
      <c r="AC196" s="106"/>
      <c r="AD196" s="106"/>
      <c r="AE196" s="106"/>
      <c r="AF196" s="106"/>
      <c r="AG196" s="106"/>
      <c r="AH196" s="106"/>
      <c r="AI196" s="106"/>
      <c r="AJ196" s="106"/>
      <c r="AK196" s="106"/>
      <c r="AL196" s="106"/>
      <c r="AM196" s="106"/>
      <c r="AN196" s="106"/>
      <c r="AO196" s="106"/>
      <c r="AP196" s="106"/>
    </row>
    <row r="197" spans="1:43" ht="16.5" customHeight="1" x14ac:dyDescent="0.2">
      <c r="A197" s="100">
        <f>$A$196+2</f>
        <v>120</v>
      </c>
      <c r="B197" s="100" t="s">
        <v>798</v>
      </c>
      <c r="C197" s="100" t="s">
        <v>649</v>
      </c>
      <c r="D197" s="100"/>
      <c r="E197" s="100"/>
      <c r="F197" s="100"/>
      <c r="G197" s="100" t="s">
        <v>1149</v>
      </c>
      <c r="H197" s="100"/>
      <c r="I197" s="100" t="s">
        <v>71</v>
      </c>
      <c r="J197" s="100" t="b">
        <f t="shared" si="13"/>
        <v>1</v>
      </c>
      <c r="K197" s="100" t="b">
        <v>1</v>
      </c>
      <c r="L197" s="100"/>
      <c r="M197" s="100"/>
      <c r="N197" s="100" t="s">
        <v>59</v>
      </c>
      <c r="O197" s="100" t="str">
        <f>"$B$"&amp;A197</f>
        <v>$B$120</v>
      </c>
      <c r="P197" s="100" t="str">
        <f>"$G$"&amp;A197</f>
        <v>$G$120</v>
      </c>
      <c r="Q197" s="100"/>
      <c r="R197" s="100"/>
      <c r="S197" s="100"/>
      <c r="T197" s="100">
        <v>30</v>
      </c>
      <c r="U197" s="100" t="b">
        <v>1</v>
      </c>
      <c r="V197" s="100" t="s">
        <v>1342</v>
      </c>
      <c r="W197" s="100" t="s">
        <v>1342</v>
      </c>
      <c r="X197" s="100"/>
      <c r="Y197" s="100"/>
      <c r="Z197" s="100"/>
      <c r="AA197" s="100"/>
      <c r="AB197" s="100">
        <v>3</v>
      </c>
      <c r="AC197" s="100">
        <v>5</v>
      </c>
      <c r="AD197" s="100" t="s">
        <v>105</v>
      </c>
      <c r="AE197" s="100">
        <v>14</v>
      </c>
      <c r="AF197" s="100" t="b">
        <v>1</v>
      </c>
      <c r="AG197" s="100" t="s">
        <v>1355</v>
      </c>
      <c r="AH197" s="100" t="s">
        <v>29</v>
      </c>
      <c r="AI197" s="100" t="s">
        <v>28</v>
      </c>
      <c r="AJ197" s="100"/>
      <c r="AK197" s="100"/>
      <c r="AL197" s="100">
        <v>0</v>
      </c>
      <c r="AM197" s="100"/>
      <c r="AN197" s="100"/>
      <c r="AO197" s="100"/>
      <c r="AP197" s="100"/>
      <c r="AQ197" s="93" t="s">
        <v>71</v>
      </c>
    </row>
    <row r="198" spans="1:43" ht="16.5" customHeight="1" x14ac:dyDescent="0.2">
      <c r="A198" s="100">
        <f>$A$196+2</f>
        <v>120</v>
      </c>
      <c r="B198" s="100" t="s">
        <v>1283</v>
      </c>
      <c r="C198" s="100" t="s">
        <v>649</v>
      </c>
      <c r="D198" s="100"/>
      <c r="E198" s="100"/>
      <c r="F198" s="100"/>
      <c r="G198" s="100" t="s">
        <v>1149</v>
      </c>
      <c r="H198" s="100"/>
      <c r="I198" s="100" t="s">
        <v>1282</v>
      </c>
      <c r="J198" s="100" t="b">
        <f>$E$4</f>
        <v>1</v>
      </c>
      <c r="K198" s="100" t="b">
        <v>1</v>
      </c>
      <c r="L198" s="100"/>
      <c r="M198" s="100"/>
      <c r="N198" s="100" t="s">
        <v>59</v>
      </c>
      <c r="O198" s="100" t="str">
        <f>"$J$"&amp;A198</f>
        <v>$J$120</v>
      </c>
      <c r="P198" s="100" t="str">
        <f>"$M$"&amp;A198</f>
        <v>$M$120</v>
      </c>
      <c r="Q198" s="100">
        <v>2</v>
      </c>
      <c r="R198" s="100"/>
      <c r="S198" s="100"/>
      <c r="T198" s="100">
        <v>30</v>
      </c>
      <c r="U198" s="100" t="b">
        <v>1</v>
      </c>
      <c r="V198" s="100" t="s">
        <v>1342</v>
      </c>
      <c r="W198" s="100" t="s">
        <v>1342</v>
      </c>
      <c r="X198" s="100"/>
      <c r="Y198" s="100"/>
      <c r="Z198" s="100"/>
      <c r="AA198" s="100"/>
      <c r="AB198" s="100"/>
      <c r="AC198" s="100"/>
      <c r="AD198" s="100" t="s">
        <v>105</v>
      </c>
      <c r="AE198" s="100">
        <v>10</v>
      </c>
      <c r="AF198" s="100"/>
      <c r="AG198" s="100" t="s">
        <v>1360</v>
      </c>
      <c r="AH198" s="100" t="s">
        <v>29</v>
      </c>
      <c r="AI198" s="100" t="s">
        <v>28</v>
      </c>
      <c r="AJ198" s="100"/>
      <c r="AK198" s="100"/>
      <c r="AL198" s="100">
        <v>0</v>
      </c>
      <c r="AM198" s="100"/>
      <c r="AN198" s="100"/>
      <c r="AO198" s="100"/>
      <c r="AP198" s="100"/>
    </row>
    <row r="199" spans="1:43" ht="16.5" customHeight="1" x14ac:dyDescent="0.2">
      <c r="A199" s="104">
        <f>$A$196+4</f>
        <v>122</v>
      </c>
      <c r="B199" s="104" t="s">
        <v>799</v>
      </c>
      <c r="C199" s="104" t="s">
        <v>657</v>
      </c>
      <c r="D199" s="104" t="s">
        <v>799</v>
      </c>
      <c r="E199" s="104"/>
      <c r="F199" s="104"/>
      <c r="G199" s="104" t="s">
        <v>1149</v>
      </c>
      <c r="H199" s="104" t="str">
        <f>VLOOKUP(TRUE,H200:I204,2,FALSE)</f>
        <v>Analyse</v>
      </c>
      <c r="I199" s="104" t="str">
        <f>B199</f>
        <v>SP_Main3Group3</v>
      </c>
      <c r="J199" s="104" t="b">
        <f t="shared" ref="J199:J206" si="14">$E$2</f>
        <v>1</v>
      </c>
      <c r="K199" s="104" t="b">
        <f>$C$3</f>
        <v>0</v>
      </c>
      <c r="L199" s="104"/>
      <c r="M199" s="104"/>
      <c r="N199" s="104" t="s">
        <v>59</v>
      </c>
      <c r="O199" s="104" t="str">
        <f t="shared" ref="O199:O204" si="15">"$D$"&amp;A199</f>
        <v>$D$122</v>
      </c>
      <c r="P199" s="104" t="str">
        <f>"$H$"&amp;A199+5</f>
        <v>$H$127</v>
      </c>
      <c r="Q199" s="104">
        <v>-5</v>
      </c>
      <c r="R199" s="104">
        <v>3</v>
      </c>
      <c r="S199" s="104"/>
      <c r="T199" s="104"/>
      <c r="U199" s="104"/>
      <c r="V199" s="104"/>
      <c r="W199" s="104"/>
      <c r="X199" s="104"/>
      <c r="Y199" s="104"/>
      <c r="Z199" s="104"/>
      <c r="AA199" s="104"/>
      <c r="AB199" s="104"/>
      <c r="AC199" s="104">
        <v>16</v>
      </c>
      <c r="AD199" s="104"/>
      <c r="AE199" s="104"/>
      <c r="AF199" s="104"/>
      <c r="AG199" s="104"/>
      <c r="AH199" s="104" t="s">
        <v>29</v>
      </c>
      <c r="AI199" s="104" t="s">
        <v>28</v>
      </c>
      <c r="AJ199" s="104"/>
      <c r="AK199" s="104"/>
      <c r="AL199" s="104"/>
      <c r="AM199" s="104"/>
      <c r="AN199" s="104"/>
      <c r="AO199" s="104"/>
      <c r="AP199" s="104"/>
    </row>
    <row r="200" spans="1:43" ht="16.5" customHeight="1" x14ac:dyDescent="0.2">
      <c r="A200" s="105">
        <f>$A$196+4</f>
        <v>122</v>
      </c>
      <c r="B200" s="105" t="s">
        <v>800</v>
      </c>
      <c r="C200" s="105" t="s">
        <v>659</v>
      </c>
      <c r="D200" s="105" t="s">
        <v>799</v>
      </c>
      <c r="E200" s="105"/>
      <c r="F200" s="105"/>
      <c r="G200" s="105" t="s">
        <v>1149</v>
      </c>
      <c r="H200" s="105" t="b">
        <v>0</v>
      </c>
      <c r="I200" s="105" t="s">
        <v>183</v>
      </c>
      <c r="J200" s="105" t="b">
        <f t="shared" si="14"/>
        <v>1</v>
      </c>
      <c r="K200" s="105" t="b">
        <v>1</v>
      </c>
      <c r="L200" s="105"/>
      <c r="M200" s="105" t="str">
        <f>"'setType """&amp;B200&amp;"""'"</f>
        <v>'setType "SP_StamdataT5Chk1"'</v>
      </c>
      <c r="N200" s="105" t="s">
        <v>59</v>
      </c>
      <c r="O200" s="105" t="str">
        <f t="shared" si="15"/>
        <v>$D$122</v>
      </c>
      <c r="P200" s="105" t="str">
        <f>"$H$"&amp;A200</f>
        <v>$H$122</v>
      </c>
      <c r="Q200" s="105"/>
      <c r="R200" s="105">
        <v>3</v>
      </c>
      <c r="S200" s="105"/>
      <c r="T200" s="105">
        <v>22</v>
      </c>
      <c r="U200" s="105" t="b">
        <v>1</v>
      </c>
      <c r="V200" s="105" t="s">
        <v>1343</v>
      </c>
      <c r="W200" s="105" t="s">
        <v>1356</v>
      </c>
      <c r="X200" s="105"/>
      <c r="Y200" s="105"/>
      <c r="Z200" s="105"/>
      <c r="AA200" s="105"/>
      <c r="AB200" s="105"/>
      <c r="AC200" s="105">
        <v>16</v>
      </c>
      <c r="AD200" s="105" t="s">
        <v>105</v>
      </c>
      <c r="AE200" s="105">
        <v>12</v>
      </c>
      <c r="AF200" s="105"/>
      <c r="AG200" s="105" t="s">
        <v>1355</v>
      </c>
      <c r="AH200" s="105" t="s">
        <v>27</v>
      </c>
      <c r="AI200" s="105" t="s">
        <v>28</v>
      </c>
      <c r="AJ200" s="105"/>
      <c r="AK200" s="105"/>
      <c r="AL200" s="105">
        <v>0</v>
      </c>
      <c r="AM200" s="105"/>
      <c r="AN200" s="105"/>
      <c r="AO200" s="105"/>
      <c r="AP200" s="105"/>
    </row>
    <row r="201" spans="1:43" ht="16.5" customHeight="1" x14ac:dyDescent="0.2">
      <c r="A201" s="105">
        <f>$A$196+5</f>
        <v>123</v>
      </c>
      <c r="B201" s="105" t="s">
        <v>801</v>
      </c>
      <c r="C201" s="105" t="s">
        <v>659</v>
      </c>
      <c r="D201" s="105" t="s">
        <v>799</v>
      </c>
      <c r="E201" s="105"/>
      <c r="F201" s="105"/>
      <c r="G201" s="105" t="s">
        <v>1149</v>
      </c>
      <c r="H201" s="105" t="b">
        <v>1</v>
      </c>
      <c r="I201" s="105" t="s">
        <v>184</v>
      </c>
      <c r="J201" s="105" t="b">
        <f t="shared" si="14"/>
        <v>1</v>
      </c>
      <c r="K201" s="105" t="b">
        <v>1</v>
      </c>
      <c r="L201" s="105"/>
      <c r="M201" s="105" t="str">
        <f>"'setType """&amp;B201&amp;"""'"</f>
        <v>'setType "SP_StamdataT5Chk2"'</v>
      </c>
      <c r="N201" s="105" t="s">
        <v>59</v>
      </c>
      <c r="O201" s="105" t="str">
        <f t="shared" si="15"/>
        <v>$D$123</v>
      </c>
      <c r="P201" s="105" t="str">
        <f>"$H$"&amp;A201</f>
        <v>$H$123</v>
      </c>
      <c r="Q201" s="105"/>
      <c r="R201" s="105">
        <v>3</v>
      </c>
      <c r="S201" s="105"/>
      <c r="T201" s="105">
        <v>22</v>
      </c>
      <c r="U201" s="105" t="b">
        <v>1</v>
      </c>
      <c r="V201" s="105" t="s">
        <v>1343</v>
      </c>
      <c r="W201" s="105" t="s">
        <v>1356</v>
      </c>
      <c r="X201" s="105"/>
      <c r="Y201" s="105"/>
      <c r="Z201" s="105"/>
      <c r="AA201" s="105"/>
      <c r="AB201" s="105"/>
      <c r="AC201" s="105">
        <v>16</v>
      </c>
      <c r="AD201" s="105" t="s">
        <v>105</v>
      </c>
      <c r="AE201" s="105">
        <v>12</v>
      </c>
      <c r="AF201" s="105"/>
      <c r="AG201" s="105" t="s">
        <v>1355</v>
      </c>
      <c r="AH201" s="105" t="s">
        <v>27</v>
      </c>
      <c r="AI201" s="105" t="s">
        <v>28</v>
      </c>
      <c r="AJ201" s="105"/>
      <c r="AK201" s="105"/>
      <c r="AL201" s="105">
        <v>0</v>
      </c>
      <c r="AM201" s="105"/>
      <c r="AN201" s="105"/>
      <c r="AO201" s="105"/>
      <c r="AP201" s="105"/>
    </row>
    <row r="202" spans="1:43" ht="16.5" customHeight="1" x14ac:dyDescent="0.2">
      <c r="A202" s="105">
        <f>$A$196+6</f>
        <v>124</v>
      </c>
      <c r="B202" s="105" t="s">
        <v>802</v>
      </c>
      <c r="C202" s="105" t="s">
        <v>659</v>
      </c>
      <c r="D202" s="105" t="s">
        <v>799</v>
      </c>
      <c r="E202" s="105"/>
      <c r="F202" s="105"/>
      <c r="G202" s="105" t="s">
        <v>1149</v>
      </c>
      <c r="H202" s="105" t="b">
        <v>0</v>
      </c>
      <c r="I202" s="105" t="s">
        <v>185</v>
      </c>
      <c r="J202" s="105" t="b">
        <f t="shared" si="14"/>
        <v>1</v>
      </c>
      <c r="K202" s="105" t="b">
        <v>1</v>
      </c>
      <c r="L202" s="105"/>
      <c r="M202" s="105" t="str">
        <f>"'setType """&amp;B202&amp;"""'"</f>
        <v>'setType "SP_StamdataT5Chk3"'</v>
      </c>
      <c r="N202" s="105" t="s">
        <v>59</v>
      </c>
      <c r="O202" s="105" t="str">
        <f t="shared" si="15"/>
        <v>$D$124</v>
      </c>
      <c r="P202" s="105" t="str">
        <f>"$H$"&amp;A202</f>
        <v>$H$124</v>
      </c>
      <c r="Q202" s="105"/>
      <c r="R202" s="105">
        <v>3</v>
      </c>
      <c r="S202" s="105"/>
      <c r="T202" s="105">
        <v>22</v>
      </c>
      <c r="U202" s="105" t="b">
        <v>1</v>
      </c>
      <c r="V202" s="105" t="s">
        <v>1343</v>
      </c>
      <c r="W202" s="105" t="s">
        <v>1356</v>
      </c>
      <c r="X202" s="105"/>
      <c r="Y202" s="105"/>
      <c r="Z202" s="105"/>
      <c r="AA202" s="105"/>
      <c r="AB202" s="105"/>
      <c r="AC202" s="105">
        <v>16</v>
      </c>
      <c r="AD202" s="105" t="s">
        <v>105</v>
      </c>
      <c r="AE202" s="105">
        <v>12</v>
      </c>
      <c r="AF202" s="105"/>
      <c r="AG202" s="105" t="s">
        <v>1355</v>
      </c>
      <c r="AH202" s="105" t="s">
        <v>27</v>
      </c>
      <c r="AI202" s="105" t="s">
        <v>28</v>
      </c>
      <c r="AJ202" s="105"/>
      <c r="AK202" s="105"/>
      <c r="AL202" s="105">
        <v>0</v>
      </c>
      <c r="AM202" s="105"/>
      <c r="AN202" s="105"/>
      <c r="AO202" s="105"/>
      <c r="AP202" s="105"/>
    </row>
    <row r="203" spans="1:43" ht="16.5" customHeight="1" x14ac:dyDescent="0.2">
      <c r="A203" s="105">
        <f>$A$196+7</f>
        <v>125</v>
      </c>
      <c r="B203" s="105" t="s">
        <v>803</v>
      </c>
      <c r="C203" s="105" t="s">
        <v>659</v>
      </c>
      <c r="D203" s="105" t="s">
        <v>799</v>
      </c>
      <c r="E203" s="105"/>
      <c r="F203" s="105"/>
      <c r="G203" s="105" t="s">
        <v>1149</v>
      </c>
      <c r="H203" s="105" t="b">
        <v>0</v>
      </c>
      <c r="I203" s="105" t="s">
        <v>229</v>
      </c>
      <c r="J203" s="105" t="b">
        <f t="shared" si="14"/>
        <v>1</v>
      </c>
      <c r="K203" s="105" t="b">
        <v>1</v>
      </c>
      <c r="L203" s="105"/>
      <c r="M203" s="105" t="str">
        <f>"'setType """&amp;B203&amp;"""'"</f>
        <v>'setType "SP_StamdataT5Chk4"'</v>
      </c>
      <c r="N203" s="105" t="s">
        <v>59</v>
      </c>
      <c r="O203" s="105" t="str">
        <f t="shared" si="15"/>
        <v>$D$125</v>
      </c>
      <c r="P203" s="105" t="str">
        <f>"$H$"&amp;A203</f>
        <v>$H$125</v>
      </c>
      <c r="Q203" s="105"/>
      <c r="R203" s="105">
        <v>3</v>
      </c>
      <c r="S203" s="105"/>
      <c r="T203" s="105">
        <v>22</v>
      </c>
      <c r="U203" s="105" t="b">
        <v>1</v>
      </c>
      <c r="V203" s="105" t="s">
        <v>1343</v>
      </c>
      <c r="W203" s="105" t="s">
        <v>1356</v>
      </c>
      <c r="X203" s="105"/>
      <c r="Y203" s="105"/>
      <c r="Z203" s="105"/>
      <c r="AA203" s="105"/>
      <c r="AB203" s="105"/>
      <c r="AC203" s="105">
        <v>16</v>
      </c>
      <c r="AD203" s="105" t="s">
        <v>105</v>
      </c>
      <c r="AE203" s="105">
        <v>12</v>
      </c>
      <c r="AF203" s="105"/>
      <c r="AG203" s="105" t="s">
        <v>1355</v>
      </c>
      <c r="AH203" s="105" t="s">
        <v>27</v>
      </c>
      <c r="AI203" s="105" t="s">
        <v>28</v>
      </c>
      <c r="AJ203" s="105"/>
      <c r="AK203" s="105"/>
      <c r="AL203" s="105">
        <v>0</v>
      </c>
      <c r="AM203" s="105"/>
      <c r="AN203" s="105"/>
      <c r="AO203" s="105"/>
      <c r="AP203" s="105"/>
    </row>
    <row r="204" spans="1:43" ht="16.5" customHeight="1" x14ac:dyDescent="0.2">
      <c r="A204" s="105">
        <f>$A$196+8</f>
        <v>126</v>
      </c>
      <c r="B204" s="105" t="s">
        <v>804</v>
      </c>
      <c r="C204" s="105" t="s">
        <v>659</v>
      </c>
      <c r="D204" s="105" t="s">
        <v>799</v>
      </c>
      <c r="E204" s="105"/>
      <c r="F204" s="105"/>
      <c r="G204" s="105" t="s">
        <v>1149</v>
      </c>
      <c r="H204" s="105" t="b">
        <v>0</v>
      </c>
      <c r="I204" s="105" t="s">
        <v>186</v>
      </c>
      <c r="J204" s="105" t="b">
        <f t="shared" si="14"/>
        <v>1</v>
      </c>
      <c r="K204" s="105" t="b">
        <v>1</v>
      </c>
      <c r="L204" s="105"/>
      <c r="M204" s="105" t="str">
        <f>"'setType """&amp;B204&amp;"""'"</f>
        <v>'setType "SP_StamdataT5Chk5"'</v>
      </c>
      <c r="N204" s="105" t="s">
        <v>59</v>
      </c>
      <c r="O204" s="105" t="str">
        <f t="shared" si="15"/>
        <v>$D$126</v>
      </c>
      <c r="P204" s="105" t="str">
        <f>"$H$"&amp;A204</f>
        <v>$H$126</v>
      </c>
      <c r="Q204" s="105"/>
      <c r="R204" s="105">
        <v>3</v>
      </c>
      <c r="S204" s="105"/>
      <c r="T204" s="105">
        <v>22</v>
      </c>
      <c r="U204" s="105" t="b">
        <v>1</v>
      </c>
      <c r="V204" s="105" t="s">
        <v>1343</v>
      </c>
      <c r="W204" s="105" t="s">
        <v>1356</v>
      </c>
      <c r="X204" s="105"/>
      <c r="Y204" s="105"/>
      <c r="Z204" s="105"/>
      <c r="AA204" s="105"/>
      <c r="AB204" s="105"/>
      <c r="AC204" s="105">
        <v>16</v>
      </c>
      <c r="AD204" s="105" t="s">
        <v>105</v>
      </c>
      <c r="AE204" s="105">
        <v>12</v>
      </c>
      <c r="AF204" s="105"/>
      <c r="AG204" s="105" t="s">
        <v>1355</v>
      </c>
      <c r="AH204" s="105" t="s">
        <v>27</v>
      </c>
      <c r="AI204" s="105" t="s">
        <v>28</v>
      </c>
      <c r="AJ204" s="105"/>
      <c r="AK204" s="105"/>
      <c r="AL204" s="105">
        <v>0</v>
      </c>
      <c r="AM204" s="105"/>
      <c r="AN204" s="105"/>
      <c r="AO204" s="105"/>
      <c r="AP204" s="105"/>
    </row>
    <row r="205" spans="1:43" ht="16.5" customHeight="1" x14ac:dyDescent="0.2">
      <c r="A205" s="106">
        <f>$A$196+10</f>
        <v>128</v>
      </c>
      <c r="B205" s="106" t="s">
        <v>863</v>
      </c>
      <c r="C205" s="106" t="s">
        <v>655</v>
      </c>
      <c r="D205" s="106"/>
      <c r="E205" s="106"/>
      <c r="F205" s="106"/>
      <c r="G205" s="106" t="s">
        <v>1149</v>
      </c>
      <c r="H205" s="106"/>
      <c r="I205" s="106"/>
      <c r="J205" s="106" t="b">
        <f t="shared" si="14"/>
        <v>1</v>
      </c>
      <c r="K205" s="106" t="b">
        <v>1</v>
      </c>
      <c r="L205" s="106"/>
      <c r="M205" s="106"/>
      <c r="N205" s="106" t="s">
        <v>59</v>
      </c>
      <c r="O205" s="106" t="str">
        <f>"$B$"&amp;A205</f>
        <v>$B$128</v>
      </c>
      <c r="P205" s="106" t="str">
        <f>"$M$"&amp;A205</f>
        <v>$M$128</v>
      </c>
      <c r="Q205" s="106"/>
      <c r="R205" s="106">
        <v>2</v>
      </c>
      <c r="S205" s="106"/>
      <c r="T205" s="106">
        <v>2</v>
      </c>
      <c r="U205" s="106" t="b">
        <v>1</v>
      </c>
      <c r="V205" s="106" t="s">
        <v>1344</v>
      </c>
      <c r="W205" s="106" t="s">
        <v>1343</v>
      </c>
      <c r="X205" s="106"/>
      <c r="Y205" s="106"/>
      <c r="Z205" s="106"/>
      <c r="AA205" s="106"/>
      <c r="AB205" s="106"/>
      <c r="AC205" s="106"/>
      <c r="AD205" s="106"/>
      <c r="AE205" s="106"/>
      <c r="AF205" s="106"/>
      <c r="AG205" s="106"/>
      <c r="AH205" s="106"/>
      <c r="AI205" s="106"/>
      <c r="AJ205" s="106"/>
      <c r="AK205" s="106"/>
      <c r="AL205" s="106"/>
      <c r="AM205" s="106"/>
      <c r="AN205" s="106"/>
      <c r="AO205" s="106"/>
      <c r="AP205" s="106"/>
    </row>
    <row r="206" spans="1:43" ht="16.5" customHeight="1" x14ac:dyDescent="0.2">
      <c r="A206" s="103">
        <f>$A$205+2</f>
        <v>130</v>
      </c>
      <c r="B206" s="103" t="s">
        <v>862</v>
      </c>
      <c r="C206" s="103" t="s">
        <v>654</v>
      </c>
      <c r="D206" s="103"/>
      <c r="E206" s="103"/>
      <c r="F206" s="103"/>
      <c r="G206" s="103" t="s">
        <v>1149</v>
      </c>
      <c r="H206" s="103"/>
      <c r="I206" s="103" t="s">
        <v>113</v>
      </c>
      <c r="J206" s="103" t="b">
        <f t="shared" si="14"/>
        <v>1</v>
      </c>
      <c r="K206" s="103" t="b">
        <v>1</v>
      </c>
      <c r="L206" s="103" t="b">
        <v>0</v>
      </c>
      <c r="M206" s="103" t="str">
        <f>"'startRun """&amp;G206&amp;"""'"</f>
        <v>'startRun "Startside"'</v>
      </c>
      <c r="N206" s="103" t="s">
        <v>59</v>
      </c>
      <c r="O206" s="103" t="str">
        <f>"$K$"&amp;A206</f>
        <v>$K$130</v>
      </c>
      <c r="P206" s="103" t="str">
        <f>"$M$"&amp;A206</f>
        <v>$M$130</v>
      </c>
      <c r="Q206" s="103">
        <v>20</v>
      </c>
      <c r="R206" s="103">
        <v>3</v>
      </c>
      <c r="S206" s="103"/>
      <c r="T206" s="103">
        <v>22</v>
      </c>
      <c r="U206" s="103" t="b">
        <v>1</v>
      </c>
      <c r="V206" s="103" t="s">
        <v>1347</v>
      </c>
      <c r="W206" s="103" t="s">
        <v>1357</v>
      </c>
      <c r="X206" s="103"/>
      <c r="Y206" s="103"/>
      <c r="Z206" s="103"/>
      <c r="AA206" s="103"/>
      <c r="AB206" s="103">
        <v>3</v>
      </c>
      <c r="AC206" s="103">
        <v>5</v>
      </c>
      <c r="AD206" s="103" t="s">
        <v>105</v>
      </c>
      <c r="AE206" s="103">
        <v>14</v>
      </c>
      <c r="AF206" s="103"/>
      <c r="AG206" s="103" t="s">
        <v>1351</v>
      </c>
      <c r="AH206" s="103" t="s">
        <v>29</v>
      </c>
      <c r="AI206" s="103" t="s">
        <v>29</v>
      </c>
      <c r="AJ206" s="103"/>
      <c r="AK206" s="103"/>
      <c r="AL206" s="103"/>
      <c r="AM206" s="103"/>
      <c r="AN206" s="103"/>
      <c r="AO206" s="103">
        <v>135</v>
      </c>
      <c r="AP206" s="103"/>
    </row>
    <row r="207" spans="1:43" ht="16.5" customHeight="1" x14ac:dyDescent="0.2">
      <c r="A207" s="99">
        <f>$A$206+-127</f>
        <v>3</v>
      </c>
      <c r="B207" s="99" t="s">
        <v>1152</v>
      </c>
      <c r="C207" s="99" t="s">
        <v>89</v>
      </c>
      <c r="D207" s="99"/>
      <c r="E207" s="99"/>
      <c r="F207" s="99">
        <v>11</v>
      </c>
      <c r="G207" s="99" t="s">
        <v>1152</v>
      </c>
      <c r="H207" s="99" t="s">
        <v>1553</v>
      </c>
      <c r="I207" s="99">
        <f>COUNTIF(G:G,B207)</f>
        <v>96</v>
      </c>
      <c r="J207" s="99" t="b">
        <f t="shared" ref="J207:J239" si="16">$E$3</f>
        <v>1</v>
      </c>
      <c r="K207" s="99" t="b">
        <v>1</v>
      </c>
      <c r="L207" s="99"/>
      <c r="M207" s="99"/>
      <c r="N207" s="99"/>
      <c r="O207" s="99"/>
      <c r="P207" s="99"/>
      <c r="Q207" s="99"/>
      <c r="R207" s="99"/>
      <c r="S207" s="99"/>
      <c r="T207" s="99"/>
      <c r="U207" s="99"/>
      <c r="V207" s="99"/>
      <c r="W207" s="99" t="s">
        <v>1355</v>
      </c>
      <c r="X207" s="99"/>
      <c r="Y207" s="99"/>
      <c r="Z207" s="99"/>
      <c r="AA207" s="99"/>
      <c r="AB207" s="99"/>
      <c r="AC207" s="99"/>
      <c r="AD207" s="99" t="s">
        <v>105</v>
      </c>
      <c r="AE207" s="99"/>
      <c r="AF207" s="99"/>
      <c r="AG207" s="99"/>
      <c r="AH207" s="99"/>
      <c r="AI207" s="99"/>
      <c r="AJ207" s="99">
        <v>80</v>
      </c>
      <c r="AK207" s="99" t="s">
        <v>1342</v>
      </c>
      <c r="AL207" s="99"/>
      <c r="AM207" s="99"/>
      <c r="AN207" s="99"/>
      <c r="AO207" s="99"/>
      <c r="AP207" s="99"/>
    </row>
    <row r="208" spans="1:43" ht="16.5" customHeight="1" x14ac:dyDescent="0.2">
      <c r="A208" s="100">
        <f>$A$207+0</f>
        <v>3</v>
      </c>
      <c r="B208" s="100" t="s">
        <v>818</v>
      </c>
      <c r="C208" s="100" t="s">
        <v>649</v>
      </c>
      <c r="D208" s="100"/>
      <c r="E208" s="100"/>
      <c r="F208" s="100"/>
      <c r="G208" s="100" t="s">
        <v>1152</v>
      </c>
      <c r="H208" s="100"/>
      <c r="I208" s="100" t="s">
        <v>1242</v>
      </c>
      <c r="J208" s="100" t="b">
        <f t="shared" si="16"/>
        <v>1</v>
      </c>
      <c r="K208" s="100" t="b">
        <v>1</v>
      </c>
      <c r="L208" s="100"/>
      <c r="M208" s="100"/>
      <c r="N208" s="100" t="s">
        <v>59</v>
      </c>
      <c r="O208" s="100" t="str">
        <f>"$B$"&amp;A208</f>
        <v>$B$3</v>
      </c>
      <c r="P208" s="100" t="str">
        <f>"$N$"&amp;A208</f>
        <v>$N$3</v>
      </c>
      <c r="Q208" s="100">
        <v>20</v>
      </c>
      <c r="R208" s="100"/>
      <c r="S208" s="100"/>
      <c r="T208" s="100">
        <v>40</v>
      </c>
      <c r="U208" s="100" t="b">
        <v>1</v>
      </c>
      <c r="V208" s="100" t="s">
        <v>1342</v>
      </c>
      <c r="W208" s="100" t="s">
        <v>1342</v>
      </c>
      <c r="X208" s="100"/>
      <c r="Y208" s="100"/>
      <c r="Z208" s="100"/>
      <c r="AA208" s="100"/>
      <c r="AB208" s="100">
        <v>3</v>
      </c>
      <c r="AC208" s="100">
        <v>5</v>
      </c>
      <c r="AD208" s="100" t="s">
        <v>105</v>
      </c>
      <c r="AE208" s="100">
        <v>28</v>
      </c>
      <c r="AF208" s="100" t="b">
        <v>1</v>
      </c>
      <c r="AG208" s="100" t="s">
        <v>1355</v>
      </c>
      <c r="AH208" s="100" t="s">
        <v>29</v>
      </c>
      <c r="AI208" s="100" t="s">
        <v>28</v>
      </c>
      <c r="AJ208" s="100"/>
      <c r="AK208" s="100"/>
      <c r="AL208" s="100">
        <v>0</v>
      </c>
      <c r="AM208" s="100"/>
      <c r="AN208" s="100"/>
      <c r="AO208" s="100"/>
      <c r="AP208" s="100"/>
    </row>
    <row r="209" spans="1:42" ht="16.5" customHeight="1" x14ac:dyDescent="0.2">
      <c r="A209" s="101">
        <f>$A$207+2</f>
        <v>5</v>
      </c>
      <c r="B209" s="101" t="s">
        <v>136</v>
      </c>
      <c r="C209" s="101" t="s">
        <v>599</v>
      </c>
      <c r="D209" s="101" t="s">
        <v>136</v>
      </c>
      <c r="E209" s="101"/>
      <c r="F209" s="101"/>
      <c r="G209" s="101" t="s">
        <v>1152</v>
      </c>
      <c r="H209" s="101"/>
      <c r="I209" s="101"/>
      <c r="J209" s="101" t="b">
        <f t="shared" si="16"/>
        <v>1</v>
      </c>
      <c r="K209" s="101"/>
      <c r="L209" s="101"/>
      <c r="M209" s="101" t="str">
        <f>"'checkVersion'"</f>
        <v>'checkVersion'</v>
      </c>
      <c r="N209" s="101" t="s">
        <v>57</v>
      </c>
      <c r="O209" s="101" t="str">
        <f>"$P$"&amp;A209</f>
        <v>$P$5</v>
      </c>
      <c r="P209" s="101" t="str">
        <f>"$Q$"&amp;A209</f>
        <v>$Q$5</v>
      </c>
      <c r="Q209" s="101"/>
      <c r="R209" s="101"/>
      <c r="S209" s="101">
        <v>140</v>
      </c>
      <c r="T209" s="101">
        <v>160</v>
      </c>
      <c r="U209" s="101"/>
      <c r="V209" s="101"/>
      <c r="W209" s="101"/>
      <c r="X209" s="101"/>
      <c r="Y209" s="101"/>
      <c r="Z209" s="101"/>
      <c r="AA209" s="101"/>
      <c r="AB209" s="101"/>
      <c r="AC209" s="101">
        <v>5</v>
      </c>
      <c r="AD209" s="101"/>
      <c r="AE209" s="101">
        <v>12</v>
      </c>
      <c r="AF209" s="101" t="b">
        <v>0</v>
      </c>
      <c r="AG209" s="101" t="s">
        <v>1355</v>
      </c>
      <c r="AH209" s="101" t="s">
        <v>27</v>
      </c>
      <c r="AI209" s="101" t="s">
        <v>28</v>
      </c>
      <c r="AJ209" s="101"/>
      <c r="AK209" s="101"/>
      <c r="AL209" s="101"/>
      <c r="AM209" s="101"/>
      <c r="AN209" s="101"/>
      <c r="AO209" s="101"/>
      <c r="AP209" s="101"/>
    </row>
    <row r="210" spans="1:42" ht="16.5" customHeight="1" x14ac:dyDescent="0.2">
      <c r="A210" s="101">
        <f>$A$207+2</f>
        <v>5</v>
      </c>
      <c r="B210" s="101" t="s">
        <v>138</v>
      </c>
      <c r="C210" s="101" t="s">
        <v>599</v>
      </c>
      <c r="D210" s="101" t="s">
        <v>138</v>
      </c>
      <c r="E210" s="101"/>
      <c r="F210" s="101"/>
      <c r="G210" s="101" t="s">
        <v>1152</v>
      </c>
      <c r="H210" s="101"/>
      <c r="I210" s="101"/>
      <c r="J210" s="101" t="b">
        <f t="shared" si="16"/>
        <v>1</v>
      </c>
      <c r="K210" s="101"/>
      <c r="L210" s="101"/>
      <c r="M210" s="101" t="str">
        <f>"'checkVersion'"</f>
        <v>'checkVersion'</v>
      </c>
      <c r="N210" s="101" t="s">
        <v>57</v>
      </c>
      <c r="O210" s="101" t="str">
        <f>"$P$"&amp;A210</f>
        <v>$P$5</v>
      </c>
      <c r="P210" s="101" t="str">
        <f>"$Q$"&amp;A210</f>
        <v>$Q$5</v>
      </c>
      <c r="Q210" s="101"/>
      <c r="R210" s="101"/>
      <c r="S210" s="101">
        <v>140</v>
      </c>
      <c r="T210" s="101">
        <v>160</v>
      </c>
      <c r="U210" s="101"/>
      <c r="V210" s="101"/>
      <c r="W210" s="101"/>
      <c r="X210" s="101"/>
      <c r="Y210" s="101"/>
      <c r="Z210" s="101"/>
      <c r="AA210" s="101"/>
      <c r="AB210" s="101"/>
      <c r="AC210" s="101">
        <v>5</v>
      </c>
      <c r="AD210" s="101"/>
      <c r="AE210" s="101">
        <v>12</v>
      </c>
      <c r="AF210" s="101" t="b">
        <v>0</v>
      </c>
      <c r="AG210" s="101" t="s">
        <v>1355</v>
      </c>
      <c r="AH210" s="101" t="s">
        <v>27</v>
      </c>
      <c r="AI210" s="101" t="s">
        <v>28</v>
      </c>
      <c r="AJ210" s="101"/>
      <c r="AK210" s="101"/>
      <c r="AL210" s="101"/>
      <c r="AM210" s="101"/>
      <c r="AN210" s="101"/>
      <c r="AO210" s="101"/>
      <c r="AP210" s="101"/>
    </row>
    <row r="211" spans="1:42" ht="16.5" customHeight="1" x14ac:dyDescent="0.2">
      <c r="A211" s="101">
        <f>$A$207+2</f>
        <v>5</v>
      </c>
      <c r="B211" s="101" t="s">
        <v>137</v>
      </c>
      <c r="C211" s="101" t="s">
        <v>599</v>
      </c>
      <c r="D211" s="101" t="s">
        <v>137</v>
      </c>
      <c r="E211" s="101"/>
      <c r="F211" s="101"/>
      <c r="G211" s="101" t="s">
        <v>1152</v>
      </c>
      <c r="H211" s="101"/>
      <c r="I211" s="101"/>
      <c r="J211" s="101" t="b">
        <f t="shared" si="16"/>
        <v>1</v>
      </c>
      <c r="K211" s="101" t="b">
        <v>1</v>
      </c>
      <c r="L211" s="101"/>
      <c r="M211" s="101" t="str">
        <f>"'checkVersion'"</f>
        <v>'checkVersion'</v>
      </c>
      <c r="N211" s="101" t="s">
        <v>57</v>
      </c>
      <c r="O211" s="101" t="str">
        <f>"$P$"&amp;A211</f>
        <v>$P$5</v>
      </c>
      <c r="P211" s="101" t="str">
        <f>"$Q$"&amp;A211</f>
        <v>$Q$5</v>
      </c>
      <c r="Q211" s="101"/>
      <c r="R211" s="101"/>
      <c r="S211" s="101">
        <v>140</v>
      </c>
      <c r="T211" s="101">
        <v>160</v>
      </c>
      <c r="U211" s="101"/>
      <c r="V211" s="101"/>
      <c r="W211" s="101"/>
      <c r="X211" s="101"/>
      <c r="Y211" s="101"/>
      <c r="Z211" s="101"/>
      <c r="AA211" s="101"/>
      <c r="AB211" s="101"/>
      <c r="AC211" s="101">
        <v>5</v>
      </c>
      <c r="AD211" s="101"/>
      <c r="AE211" s="101">
        <v>12</v>
      </c>
      <c r="AF211" s="101" t="b">
        <v>0</v>
      </c>
      <c r="AG211" s="101" t="s">
        <v>1355</v>
      </c>
      <c r="AH211" s="101" t="s">
        <v>27</v>
      </c>
      <c r="AI211" s="101" t="s">
        <v>28</v>
      </c>
      <c r="AJ211" s="101"/>
      <c r="AK211" s="101"/>
      <c r="AL211" s="101"/>
      <c r="AM211" s="101"/>
      <c r="AN211" s="101"/>
      <c r="AO211" s="101"/>
      <c r="AP211" s="101"/>
    </row>
    <row r="212" spans="1:42" ht="16.5" customHeight="1" x14ac:dyDescent="0.2">
      <c r="A212" s="102">
        <f>$A$207+2</f>
        <v>5</v>
      </c>
      <c r="B212" s="102" t="s">
        <v>819</v>
      </c>
      <c r="C212" s="102" t="s">
        <v>600</v>
      </c>
      <c r="D212" s="102" t="s">
        <v>135</v>
      </c>
      <c r="E212" s="102"/>
      <c r="F212" s="102"/>
      <c r="G212" s="102" t="s">
        <v>1152</v>
      </c>
      <c r="H212" s="102"/>
      <c r="I212" s="102" t="str">
        <f>IFERROR(MasterSheet_f_lastSaved," ")</f>
        <v>[27-08-2013 13.01.36]</v>
      </c>
      <c r="J212" s="102" t="b">
        <f t="shared" si="16"/>
        <v>1</v>
      </c>
      <c r="K212" s="102" t="b">
        <v>1</v>
      </c>
      <c r="L212" s="102"/>
      <c r="M212" s="102" t="str">
        <f>"'lastBackup """&amp;D212&amp;"""'"</f>
        <v>'lastBackup "LastBkp"'</v>
      </c>
      <c r="N212" s="102" t="s">
        <v>57</v>
      </c>
      <c r="O212" s="102" t="str">
        <f>"$P$"&amp;A212</f>
        <v>$P$5</v>
      </c>
      <c r="P212" s="102" t="str">
        <f>"$Q$"&amp;A212</f>
        <v>$Q$5</v>
      </c>
      <c r="Q212" s="102"/>
      <c r="R212" s="102">
        <v>180</v>
      </c>
      <c r="S212" s="102">
        <v>140</v>
      </c>
      <c r="T212" s="102">
        <v>160</v>
      </c>
      <c r="U212" s="102" t="b">
        <v>1</v>
      </c>
      <c r="V212" s="102"/>
      <c r="W212" s="102"/>
      <c r="X212" s="102"/>
      <c r="Y212" s="102"/>
      <c r="Z212" s="102"/>
      <c r="AA212" s="102"/>
      <c r="AB212" s="102">
        <v>28</v>
      </c>
      <c r="AC212" s="102"/>
      <c r="AD212" s="102" t="s">
        <v>105</v>
      </c>
      <c r="AE212" s="102">
        <v>10</v>
      </c>
      <c r="AF212" s="102" t="b">
        <v>1</v>
      </c>
      <c r="AG212" s="102" t="s">
        <v>1355</v>
      </c>
      <c r="AH212" s="102" t="s">
        <v>27</v>
      </c>
      <c r="AI212" s="102" t="s">
        <v>29</v>
      </c>
      <c r="AJ212" s="102"/>
      <c r="AK212" s="102"/>
      <c r="AL212" s="102"/>
      <c r="AM212" s="102"/>
      <c r="AN212" s="102"/>
      <c r="AO212" s="102"/>
      <c r="AP212" s="102"/>
    </row>
    <row r="213" spans="1:42" ht="16.5" customHeight="1" x14ac:dyDescent="0.2">
      <c r="A213" s="103">
        <f>$A$207+2</f>
        <v>5</v>
      </c>
      <c r="B213" s="103" t="s">
        <v>820</v>
      </c>
      <c r="C213" s="103" t="s">
        <v>654</v>
      </c>
      <c r="D213" s="103"/>
      <c r="E213" s="103"/>
      <c r="F213" s="103"/>
      <c r="G213" s="103" t="s">
        <v>1152</v>
      </c>
      <c r="H213" s="103" t="s">
        <v>1453</v>
      </c>
      <c r="I213" s="103" t="s">
        <v>1595</v>
      </c>
      <c r="J213" s="103" t="b">
        <f t="shared" si="16"/>
        <v>1</v>
      </c>
      <c r="K213" s="103" t="b">
        <v>1</v>
      </c>
      <c r="L213" s="103" t="b">
        <v>0</v>
      </c>
      <c r="M213" s="103" t="str">
        <f>"'expand """&amp;B213&amp;""","""&amp;G213&amp;""",TRUE'"</f>
        <v>'expand "Cfg_Main1","Konfiguration",TRUE'</v>
      </c>
      <c r="N213" s="103" t="s">
        <v>59</v>
      </c>
      <c r="O213" s="103" t="str">
        <f>"$B$"&amp;A213</f>
        <v>$B$5</v>
      </c>
      <c r="P213" s="103" t="str">
        <f>"$N$" &amp;A302-1</f>
        <v>$N$70</v>
      </c>
      <c r="Q213" s="103"/>
      <c r="R213" s="103">
        <v>1</v>
      </c>
      <c r="S213" s="103"/>
      <c r="T213" s="103">
        <v>60</v>
      </c>
      <c r="U213" s="103" t="b">
        <v>1</v>
      </c>
      <c r="V213" s="103" t="s">
        <v>1343</v>
      </c>
      <c r="W213" s="103" t="s">
        <v>1355</v>
      </c>
      <c r="X213" s="103"/>
      <c r="Y213" s="103"/>
      <c r="Z213" s="103"/>
      <c r="AA213" s="103"/>
      <c r="AB213" s="103"/>
      <c r="AC213" s="103">
        <v>30</v>
      </c>
      <c r="AD213" s="103"/>
      <c r="AE213" s="103">
        <v>20</v>
      </c>
      <c r="AF213" s="103" t="b">
        <v>0</v>
      </c>
      <c r="AG213" s="103" t="s">
        <v>1351</v>
      </c>
      <c r="AH213" s="103" t="s">
        <v>29</v>
      </c>
      <c r="AI213" s="103" t="s">
        <v>28</v>
      </c>
      <c r="AJ213" s="103"/>
      <c r="AK213" s="103"/>
      <c r="AL213" s="103"/>
      <c r="AM213" s="103"/>
      <c r="AN213" s="103">
        <v>10</v>
      </c>
      <c r="AO213" s="103">
        <v>225</v>
      </c>
      <c r="AP213" s="103"/>
    </row>
    <row r="214" spans="1:42" ht="16.5" customHeight="1" x14ac:dyDescent="0.2">
      <c r="A214" s="100">
        <f>$A$213+2</f>
        <v>7</v>
      </c>
      <c r="B214" s="100" t="s">
        <v>664</v>
      </c>
      <c r="C214" s="100" t="s">
        <v>649</v>
      </c>
      <c r="D214" s="100"/>
      <c r="E214" s="100"/>
      <c r="F214" s="100"/>
      <c r="G214" s="100" t="s">
        <v>1152</v>
      </c>
      <c r="H214" s="100"/>
      <c r="I214" s="100" t="s">
        <v>1248</v>
      </c>
      <c r="J214" s="100" t="b">
        <f t="shared" si="16"/>
        <v>1</v>
      </c>
      <c r="K214" s="100" t="b">
        <v>1</v>
      </c>
      <c r="L214" s="100"/>
      <c r="M214" s="100"/>
      <c r="N214" s="100" t="s">
        <v>59</v>
      </c>
      <c r="O214" s="100" t="str">
        <f>"$B$"&amp;A214</f>
        <v>$B$7</v>
      </c>
      <c r="P214" s="100" t="str">
        <f>"$E$"&amp;A214</f>
        <v>$E$7</v>
      </c>
      <c r="Q214" s="100"/>
      <c r="R214" s="100"/>
      <c r="S214" s="100"/>
      <c r="T214" s="100">
        <v>30</v>
      </c>
      <c r="U214" s="100" t="b">
        <v>1</v>
      </c>
      <c r="V214" s="100" t="s">
        <v>1342</v>
      </c>
      <c r="W214" s="100" t="s">
        <v>1342</v>
      </c>
      <c r="X214" s="100"/>
      <c r="Y214" s="100"/>
      <c r="Z214" s="100"/>
      <c r="AA214" s="100"/>
      <c r="AB214" s="100">
        <v>3</v>
      </c>
      <c r="AC214" s="100">
        <v>5</v>
      </c>
      <c r="AD214" s="100" t="s">
        <v>105</v>
      </c>
      <c r="AE214" s="100">
        <v>14</v>
      </c>
      <c r="AF214" s="100" t="b">
        <v>1</v>
      </c>
      <c r="AG214" s="100" t="s">
        <v>1355</v>
      </c>
      <c r="AH214" s="100" t="s">
        <v>29</v>
      </c>
      <c r="AI214" s="100" t="s">
        <v>28</v>
      </c>
      <c r="AJ214" s="100"/>
      <c r="AK214" s="100"/>
      <c r="AL214" s="100">
        <v>0</v>
      </c>
      <c r="AM214" s="100"/>
      <c r="AN214" s="100"/>
      <c r="AO214" s="100"/>
      <c r="AP214" s="100"/>
    </row>
    <row r="215" spans="1:42" ht="16.5" customHeight="1" x14ac:dyDescent="0.2">
      <c r="A215" s="110">
        <f>$A$213+2</f>
        <v>7</v>
      </c>
      <c r="B215" s="110" t="s">
        <v>665</v>
      </c>
      <c r="C215" s="110" t="s">
        <v>656</v>
      </c>
      <c r="D215" s="110"/>
      <c r="E215" s="110"/>
      <c r="F215" s="110"/>
      <c r="G215" s="110" t="s">
        <v>1152</v>
      </c>
      <c r="H215" s="110"/>
      <c r="I215" s="110" t="str">
        <f>IF(L215,"Luk","Hjælp")</f>
        <v>Hjælp</v>
      </c>
      <c r="J215" s="110" t="b">
        <f t="shared" si="16"/>
        <v>1</v>
      </c>
      <c r="K215" s="110" t="b">
        <v>1</v>
      </c>
      <c r="L215" s="110" t="b">
        <v>0</v>
      </c>
      <c r="M215" s="110" t="str">
        <f>"'readMore """&amp;B215&amp;""","""&amp;G215&amp;""","""&amp;B216&amp;""",TRUE'"</f>
        <v>'readMore "Cfg1Group1Btn1","Konfiguration","Cfg1Text1b",TRUE'</v>
      </c>
      <c r="N215" s="110" t="s">
        <v>59</v>
      </c>
      <c r="O215" s="110" t="str">
        <f>"$L$"&amp;A215</f>
        <v>$L$7</v>
      </c>
      <c r="P215" s="110" t="str">
        <f>"$M$"&amp;A215</f>
        <v>$M$7</v>
      </c>
      <c r="Q215" s="110">
        <v>5</v>
      </c>
      <c r="R215" s="110">
        <v>1</v>
      </c>
      <c r="S215" s="110"/>
      <c r="T215" s="110">
        <v>22</v>
      </c>
      <c r="U215" s="110" t="b">
        <v>1</v>
      </c>
      <c r="V215" s="110" t="s">
        <v>1344</v>
      </c>
      <c r="W215" s="110" t="s">
        <v>1343</v>
      </c>
      <c r="X215" s="110"/>
      <c r="Y215" s="110"/>
      <c r="Z215" s="110"/>
      <c r="AA215" s="110"/>
      <c r="AB215" s="110"/>
      <c r="AC215" s="110">
        <v>5</v>
      </c>
      <c r="AD215" s="110" t="s">
        <v>105</v>
      </c>
      <c r="AE215" s="110">
        <v>12</v>
      </c>
      <c r="AF215" s="110"/>
      <c r="AG215" s="110" t="s">
        <v>1351</v>
      </c>
      <c r="AH215" s="110" t="s">
        <v>29</v>
      </c>
      <c r="AI215" s="110" t="s">
        <v>29</v>
      </c>
      <c r="AJ215" s="110"/>
      <c r="AK215" s="110"/>
      <c r="AL215" s="110"/>
      <c r="AM215" s="110"/>
      <c r="AN215" s="110">
        <v>2</v>
      </c>
      <c r="AO215" s="110"/>
      <c r="AP215" s="110"/>
    </row>
    <row r="216" spans="1:42" ht="16.5" customHeight="1" x14ac:dyDescent="0.2">
      <c r="A216" s="100">
        <f>$A$213+4</f>
        <v>9</v>
      </c>
      <c r="B216" s="100" t="s">
        <v>666</v>
      </c>
      <c r="C216" s="100" t="s">
        <v>649</v>
      </c>
      <c r="D216" s="100"/>
      <c r="E216" s="100"/>
      <c r="F216" s="100"/>
      <c r="G216" s="100" t="s">
        <v>1152</v>
      </c>
      <c r="H216" s="100"/>
      <c r="I216" s="100" t="s">
        <v>196</v>
      </c>
      <c r="J216" s="100" t="b">
        <f t="shared" si="16"/>
        <v>1</v>
      </c>
      <c r="K216" s="100" t="b">
        <v>1</v>
      </c>
      <c r="L216" s="100" t="b">
        <v>1</v>
      </c>
      <c r="M216" s="100"/>
      <c r="N216" s="100" t="s">
        <v>59</v>
      </c>
      <c r="O216" s="100" t="str">
        <f>"$D$"&amp;A216</f>
        <v>$D$9</v>
      </c>
      <c r="P216" s="100" t="str">
        <f>"$M$"&amp;A216</f>
        <v>$M$9</v>
      </c>
      <c r="Q216" s="100"/>
      <c r="R216" s="100"/>
      <c r="S216" s="100"/>
      <c r="T216" s="100">
        <v>172</v>
      </c>
      <c r="U216" s="100" t="b">
        <v>1</v>
      </c>
      <c r="V216" s="100" t="s">
        <v>1341</v>
      </c>
      <c r="W216" s="100" t="s">
        <v>1341</v>
      </c>
      <c r="X216" s="100"/>
      <c r="Y216" s="100"/>
      <c r="Z216" s="100"/>
      <c r="AA216" s="100"/>
      <c r="AB216" s="100">
        <v>3</v>
      </c>
      <c r="AC216" s="100">
        <v>5</v>
      </c>
      <c r="AD216" s="100" t="s">
        <v>105</v>
      </c>
      <c r="AE216" s="100">
        <v>12</v>
      </c>
      <c r="AF216" s="100" t="b">
        <v>0</v>
      </c>
      <c r="AG216" s="100" t="s">
        <v>1355</v>
      </c>
      <c r="AH216" s="100" t="s">
        <v>27</v>
      </c>
      <c r="AI216" s="100" t="s">
        <v>28</v>
      </c>
      <c r="AJ216" s="100"/>
      <c r="AK216" s="100"/>
      <c r="AL216" s="100">
        <v>0</v>
      </c>
      <c r="AM216" s="100"/>
      <c r="AN216" s="100"/>
      <c r="AO216" s="100"/>
      <c r="AP216" s="100"/>
    </row>
    <row r="217" spans="1:42" ht="16.5" customHeight="1" x14ac:dyDescent="0.2">
      <c r="A217" s="104">
        <f>$A$213+6</f>
        <v>11</v>
      </c>
      <c r="B217" s="104" t="s">
        <v>644</v>
      </c>
      <c r="C217" s="104" t="s">
        <v>657</v>
      </c>
      <c r="D217" s="104" t="s">
        <v>644</v>
      </c>
      <c r="E217" s="104"/>
      <c r="F217" s="104"/>
      <c r="G217" s="104" t="s">
        <v>1152</v>
      </c>
      <c r="H217" s="104"/>
      <c r="I217" s="104" t="str">
        <f>B217</f>
        <v>Cfg1Group1</v>
      </c>
      <c r="J217" s="104" t="b">
        <f t="shared" si="16"/>
        <v>1</v>
      </c>
      <c r="K217" s="104" t="b">
        <f>$C$3</f>
        <v>0</v>
      </c>
      <c r="L217" s="104"/>
      <c r="M217" s="104"/>
      <c r="N217" s="104" t="s">
        <v>59</v>
      </c>
      <c r="O217" s="104" t="str">
        <f>"$D$"&amp;A217</f>
        <v>$D$11</v>
      </c>
      <c r="P217" s="104" t="str">
        <f>"$H$"&amp;A217+2</f>
        <v>$H$13</v>
      </c>
      <c r="Q217" s="104">
        <v>-5</v>
      </c>
      <c r="R217" s="104">
        <v>3</v>
      </c>
      <c r="S217" s="104"/>
      <c r="T217" s="104"/>
      <c r="U217" s="104"/>
      <c r="V217" s="104"/>
      <c r="W217" s="104"/>
      <c r="X217" s="104"/>
      <c r="Y217" s="104"/>
      <c r="Z217" s="104"/>
      <c r="AA217" s="104"/>
      <c r="AB217" s="104"/>
      <c r="AC217" s="104">
        <v>16</v>
      </c>
      <c r="AD217" s="104"/>
      <c r="AE217" s="104"/>
      <c r="AF217" s="104"/>
      <c r="AG217" s="104"/>
      <c r="AH217" s="104" t="s">
        <v>27</v>
      </c>
      <c r="AI217" s="104" t="s">
        <v>28</v>
      </c>
      <c r="AJ217" s="104"/>
      <c r="AK217" s="104"/>
      <c r="AL217" s="104"/>
      <c r="AM217" s="104"/>
      <c r="AN217" s="104"/>
      <c r="AO217" s="104"/>
      <c r="AP217" s="104"/>
    </row>
    <row r="218" spans="1:42" ht="16.5" customHeight="1" x14ac:dyDescent="0.2">
      <c r="A218" s="105">
        <f>$A$213+6</f>
        <v>11</v>
      </c>
      <c r="B218" s="105" t="s">
        <v>885</v>
      </c>
      <c r="C218" s="105" t="s">
        <v>659</v>
      </c>
      <c r="D218" s="105" t="s">
        <v>644</v>
      </c>
      <c r="E218" s="105"/>
      <c r="F218" s="105"/>
      <c r="G218" s="105" t="s">
        <v>1152</v>
      </c>
      <c r="H218" s="105" t="b">
        <v>1</v>
      </c>
      <c r="I218" s="105" t="s">
        <v>139</v>
      </c>
      <c r="J218" s="105" t="b">
        <f t="shared" si="16"/>
        <v>1</v>
      </c>
      <c r="K218" s="105" t="b">
        <v>1</v>
      </c>
      <c r="L218" s="105"/>
      <c r="M218" s="105" t="str">
        <f>"'setType """&amp;B218&amp;"""'"</f>
        <v>'setType "CfgGroup1R1"'</v>
      </c>
      <c r="N218" s="105" t="s">
        <v>59</v>
      </c>
      <c r="O218" s="105" t="str">
        <f>"$D$"&amp;A218</f>
        <v>$D$11</v>
      </c>
      <c r="P218" s="105" t="str">
        <f>"$H$"&amp;A218</f>
        <v>$H$11</v>
      </c>
      <c r="Q218" s="105"/>
      <c r="R218" s="105">
        <v>3</v>
      </c>
      <c r="S218" s="105"/>
      <c r="T218" s="105">
        <v>22</v>
      </c>
      <c r="U218" s="105" t="b">
        <v>1</v>
      </c>
      <c r="V218" s="105" t="s">
        <v>1343</v>
      </c>
      <c r="W218" s="105" t="s">
        <v>1356</v>
      </c>
      <c r="X218" s="105"/>
      <c r="Y218" s="105"/>
      <c r="Z218" s="105"/>
      <c r="AA218" s="105"/>
      <c r="AB218" s="105"/>
      <c r="AC218" s="105">
        <v>16</v>
      </c>
      <c r="AD218" s="105"/>
      <c r="AE218" s="105">
        <v>12</v>
      </c>
      <c r="AF218" s="105" t="b">
        <v>0</v>
      </c>
      <c r="AG218" s="105" t="s">
        <v>1355</v>
      </c>
      <c r="AH218" s="105" t="s">
        <v>27</v>
      </c>
      <c r="AI218" s="105" t="s">
        <v>28</v>
      </c>
      <c r="AJ218" s="105"/>
      <c r="AK218" s="105"/>
      <c r="AL218" s="105">
        <v>0</v>
      </c>
      <c r="AM218" s="105"/>
      <c r="AN218" s="105"/>
      <c r="AO218" s="105"/>
      <c r="AP218" s="105"/>
    </row>
    <row r="219" spans="1:42" ht="16.5" customHeight="1" x14ac:dyDescent="0.2">
      <c r="A219" s="105">
        <f>$A$213+7</f>
        <v>12</v>
      </c>
      <c r="B219" s="105" t="s">
        <v>886</v>
      </c>
      <c r="C219" s="105" t="s">
        <v>659</v>
      </c>
      <c r="D219" s="105" t="s">
        <v>644</v>
      </c>
      <c r="E219" s="105"/>
      <c r="F219" s="105"/>
      <c r="G219" s="105" t="s">
        <v>1152</v>
      </c>
      <c r="H219" s="105" t="b">
        <v>0</v>
      </c>
      <c r="I219" s="105" t="s">
        <v>187</v>
      </c>
      <c r="J219" s="105" t="b">
        <f t="shared" si="16"/>
        <v>1</v>
      </c>
      <c r="K219" s="105" t="b">
        <v>1</v>
      </c>
      <c r="L219" s="105"/>
      <c r="M219" s="105" t="str">
        <f>"'setType """&amp;B219&amp;"""'"</f>
        <v>'setType "CfgGroup1R2"'</v>
      </c>
      <c r="N219" s="105" t="s">
        <v>59</v>
      </c>
      <c r="O219" s="105" t="str">
        <f>"$D$"&amp;A219</f>
        <v>$D$12</v>
      </c>
      <c r="P219" s="105" t="str">
        <f>"$H$"&amp;A219</f>
        <v>$H$12</v>
      </c>
      <c r="Q219" s="105"/>
      <c r="R219" s="105">
        <v>3</v>
      </c>
      <c r="S219" s="105"/>
      <c r="T219" s="105">
        <v>22</v>
      </c>
      <c r="U219" s="105" t="b">
        <v>1</v>
      </c>
      <c r="V219" s="105" t="s">
        <v>1343</v>
      </c>
      <c r="W219" s="105" t="s">
        <v>1356</v>
      </c>
      <c r="X219" s="105"/>
      <c r="Y219" s="105"/>
      <c r="Z219" s="105"/>
      <c r="AA219" s="105"/>
      <c r="AB219" s="105"/>
      <c r="AC219" s="105">
        <v>16</v>
      </c>
      <c r="AD219" s="105"/>
      <c r="AE219" s="105">
        <v>12</v>
      </c>
      <c r="AF219" s="105" t="b">
        <v>0</v>
      </c>
      <c r="AG219" s="105" t="s">
        <v>1355</v>
      </c>
      <c r="AH219" s="105" t="s">
        <v>27</v>
      </c>
      <c r="AI219" s="105" t="s">
        <v>28</v>
      </c>
      <c r="AJ219" s="105"/>
      <c r="AK219" s="105"/>
      <c r="AL219" s="105">
        <v>0</v>
      </c>
      <c r="AM219" s="105"/>
      <c r="AN219" s="105"/>
      <c r="AO219" s="105"/>
      <c r="AP219" s="105"/>
    </row>
    <row r="220" spans="1:42" ht="16.5" customHeight="1" x14ac:dyDescent="0.2">
      <c r="A220" s="105">
        <f>$A$213+8</f>
        <v>13</v>
      </c>
      <c r="B220" s="105" t="s">
        <v>887</v>
      </c>
      <c r="C220" s="105" t="s">
        <v>659</v>
      </c>
      <c r="D220" s="105" t="s">
        <v>644</v>
      </c>
      <c r="E220" s="105"/>
      <c r="F220" s="105"/>
      <c r="G220" s="105" t="s">
        <v>1152</v>
      </c>
      <c r="H220" s="105" t="b">
        <v>0</v>
      </c>
      <c r="I220" s="105" t="s">
        <v>140</v>
      </c>
      <c r="J220" s="105" t="b">
        <f t="shared" si="16"/>
        <v>1</v>
      </c>
      <c r="K220" s="105" t="b">
        <v>1</v>
      </c>
      <c r="L220" s="105"/>
      <c r="M220" s="105" t="str">
        <f>"'setType """&amp;B220&amp;"""'"</f>
        <v>'setType "CfgGroup1R3"'</v>
      </c>
      <c r="N220" s="105" t="s">
        <v>59</v>
      </c>
      <c r="O220" s="105" t="str">
        <f>"$D$"&amp;A220</f>
        <v>$D$13</v>
      </c>
      <c r="P220" s="105" t="str">
        <f>"$H$"&amp;A220</f>
        <v>$H$13</v>
      </c>
      <c r="Q220" s="105"/>
      <c r="R220" s="105">
        <v>3</v>
      </c>
      <c r="S220" s="105"/>
      <c r="T220" s="105">
        <v>22</v>
      </c>
      <c r="U220" s="105" t="b">
        <v>1</v>
      </c>
      <c r="V220" s="105" t="s">
        <v>1343</v>
      </c>
      <c r="W220" s="105" t="s">
        <v>1356</v>
      </c>
      <c r="X220" s="105"/>
      <c r="Y220" s="105"/>
      <c r="Z220" s="105"/>
      <c r="AA220" s="105"/>
      <c r="AB220" s="105"/>
      <c r="AC220" s="105">
        <v>16</v>
      </c>
      <c r="AD220" s="105"/>
      <c r="AE220" s="105">
        <v>12</v>
      </c>
      <c r="AF220" s="105" t="b">
        <v>0</v>
      </c>
      <c r="AG220" s="105" t="s">
        <v>1355</v>
      </c>
      <c r="AH220" s="105" t="s">
        <v>27</v>
      </c>
      <c r="AI220" s="105" t="s">
        <v>28</v>
      </c>
      <c r="AJ220" s="105"/>
      <c r="AK220" s="105"/>
      <c r="AL220" s="105">
        <v>0</v>
      </c>
      <c r="AM220" s="105"/>
      <c r="AN220" s="105"/>
      <c r="AO220" s="105"/>
      <c r="AP220" s="105"/>
    </row>
    <row r="221" spans="1:42" ht="16.5" customHeight="1" x14ac:dyDescent="0.2">
      <c r="A221" s="106">
        <f>$A$213+11</f>
        <v>16</v>
      </c>
      <c r="B221" s="106" t="s">
        <v>667</v>
      </c>
      <c r="C221" s="106" t="s">
        <v>655</v>
      </c>
      <c r="D221" s="106"/>
      <c r="E221" s="106"/>
      <c r="F221" s="106"/>
      <c r="G221" s="106" t="s">
        <v>1152</v>
      </c>
      <c r="H221" s="106"/>
      <c r="I221" s="106"/>
      <c r="J221" s="106" t="b">
        <f t="shared" si="16"/>
        <v>1</v>
      </c>
      <c r="K221" s="106" t="b">
        <v>1</v>
      </c>
      <c r="L221" s="106"/>
      <c r="M221" s="106"/>
      <c r="N221" s="106" t="s">
        <v>59</v>
      </c>
      <c r="O221" s="106" t="str">
        <f>"$B$"&amp;A221</f>
        <v>$B$16</v>
      </c>
      <c r="P221" s="106" t="str">
        <f>"$M$"&amp;A221</f>
        <v>$M$16</v>
      </c>
      <c r="Q221" s="106"/>
      <c r="R221" s="106">
        <v>2</v>
      </c>
      <c r="S221" s="106"/>
      <c r="T221" s="106">
        <v>2</v>
      </c>
      <c r="U221" s="106" t="b">
        <v>1</v>
      </c>
      <c r="V221" s="106" t="s">
        <v>1344</v>
      </c>
      <c r="W221" s="106" t="s">
        <v>1343</v>
      </c>
      <c r="X221" s="106"/>
      <c r="Y221" s="106"/>
      <c r="Z221" s="106"/>
      <c r="AA221" s="106"/>
      <c r="AB221" s="106"/>
      <c r="AC221" s="106"/>
      <c r="AD221" s="106"/>
      <c r="AE221" s="106"/>
      <c r="AF221" s="106"/>
      <c r="AG221" s="106"/>
      <c r="AH221" s="106"/>
      <c r="AI221" s="106"/>
      <c r="AJ221" s="106"/>
      <c r="AK221" s="106"/>
      <c r="AL221" s="106"/>
      <c r="AM221" s="106"/>
      <c r="AN221" s="106"/>
      <c r="AO221" s="106"/>
      <c r="AP221" s="106"/>
    </row>
    <row r="222" spans="1:42" ht="16.5" customHeight="1" x14ac:dyDescent="0.2">
      <c r="A222" s="100">
        <f>$A$221+2</f>
        <v>18</v>
      </c>
      <c r="B222" s="100" t="s">
        <v>668</v>
      </c>
      <c r="C222" s="100" t="s">
        <v>649</v>
      </c>
      <c r="D222" s="100"/>
      <c r="E222" s="100"/>
      <c r="F222" s="100"/>
      <c r="G222" s="100" t="s">
        <v>1152</v>
      </c>
      <c r="H222" s="100"/>
      <c r="I222" s="100" t="s">
        <v>188</v>
      </c>
      <c r="J222" s="100" t="b">
        <f t="shared" si="16"/>
        <v>1</v>
      </c>
      <c r="K222" s="100" t="b">
        <v>1</v>
      </c>
      <c r="L222" s="100"/>
      <c r="M222" s="100"/>
      <c r="N222" s="100" t="s">
        <v>59</v>
      </c>
      <c r="O222" s="100" t="str">
        <f>"$B$"&amp;A222</f>
        <v>$B$18</v>
      </c>
      <c r="P222" s="100" t="str">
        <f>"$E$"&amp;A222</f>
        <v>$E$18</v>
      </c>
      <c r="Q222" s="100"/>
      <c r="R222" s="100"/>
      <c r="S222" s="100"/>
      <c r="T222" s="100">
        <v>30</v>
      </c>
      <c r="U222" s="100" t="b">
        <v>1</v>
      </c>
      <c r="V222" s="100" t="s">
        <v>1342</v>
      </c>
      <c r="W222" s="100" t="s">
        <v>1342</v>
      </c>
      <c r="X222" s="100"/>
      <c r="Y222" s="100"/>
      <c r="Z222" s="100"/>
      <c r="AA222" s="100"/>
      <c r="AB222" s="100">
        <v>3</v>
      </c>
      <c r="AC222" s="100">
        <v>5</v>
      </c>
      <c r="AD222" s="100" t="s">
        <v>105</v>
      </c>
      <c r="AE222" s="100">
        <v>14</v>
      </c>
      <c r="AF222" s="100" t="b">
        <v>1</v>
      </c>
      <c r="AG222" s="100" t="s">
        <v>1355</v>
      </c>
      <c r="AH222" s="100" t="s">
        <v>29</v>
      </c>
      <c r="AI222" s="100" t="s">
        <v>28</v>
      </c>
      <c r="AJ222" s="100"/>
      <c r="AK222" s="100"/>
      <c r="AL222" s="100">
        <v>0</v>
      </c>
      <c r="AM222" s="100"/>
      <c r="AN222" s="100"/>
      <c r="AO222" s="100"/>
      <c r="AP222" s="100"/>
    </row>
    <row r="223" spans="1:42" ht="16.5" customHeight="1" x14ac:dyDescent="0.2">
      <c r="A223" s="110">
        <f>$A$221+2</f>
        <v>18</v>
      </c>
      <c r="B223" s="110" t="s">
        <v>811</v>
      </c>
      <c r="C223" s="110" t="s">
        <v>656</v>
      </c>
      <c r="D223" s="110"/>
      <c r="E223" s="110"/>
      <c r="F223" s="110"/>
      <c r="G223" s="110" t="s">
        <v>1152</v>
      </c>
      <c r="H223" s="110"/>
      <c r="I223" s="110" t="str">
        <f>IF(L223,"Luk","Hjælp")</f>
        <v>Hjælp</v>
      </c>
      <c r="J223" s="110" t="b">
        <f t="shared" si="16"/>
        <v>1</v>
      </c>
      <c r="K223" s="110" t="b">
        <v>1</v>
      </c>
      <c r="L223" s="110" t="b">
        <v>0</v>
      </c>
      <c r="M223" s="110" t="str">
        <f>"'readMore """&amp;B223&amp;""","""&amp;G223&amp;""","""&amp;B224&amp;""",TRUE'"</f>
        <v>'readMore "Cfg1Group2Btn2","Konfiguration","Cfg1Text2b",TRUE'</v>
      </c>
      <c r="N223" s="110" t="s">
        <v>59</v>
      </c>
      <c r="O223" s="110" t="str">
        <f>"$L$"&amp;A223</f>
        <v>$L$18</v>
      </c>
      <c r="P223" s="110" t="str">
        <f>"$M$"&amp;A223</f>
        <v>$M$18</v>
      </c>
      <c r="Q223" s="110">
        <v>5</v>
      </c>
      <c r="R223" s="110">
        <v>1</v>
      </c>
      <c r="S223" s="110"/>
      <c r="T223" s="110">
        <v>22</v>
      </c>
      <c r="U223" s="110" t="b">
        <v>1</v>
      </c>
      <c r="V223" s="110" t="s">
        <v>1344</v>
      </c>
      <c r="W223" s="110" t="s">
        <v>1343</v>
      </c>
      <c r="X223" s="110"/>
      <c r="Y223" s="110"/>
      <c r="Z223" s="110"/>
      <c r="AA223" s="110"/>
      <c r="AB223" s="110"/>
      <c r="AC223" s="110">
        <v>5</v>
      </c>
      <c r="AD223" s="110" t="s">
        <v>105</v>
      </c>
      <c r="AE223" s="110">
        <v>12</v>
      </c>
      <c r="AF223" s="110"/>
      <c r="AG223" s="110" t="s">
        <v>1351</v>
      </c>
      <c r="AH223" s="110" t="s">
        <v>29</v>
      </c>
      <c r="AI223" s="110" t="s">
        <v>29</v>
      </c>
      <c r="AJ223" s="110"/>
      <c r="AK223" s="110"/>
      <c r="AL223" s="110"/>
      <c r="AM223" s="110"/>
      <c r="AN223" s="110">
        <v>2</v>
      </c>
      <c r="AO223" s="110"/>
      <c r="AP223" s="110"/>
    </row>
    <row r="224" spans="1:42" ht="16.5" customHeight="1" x14ac:dyDescent="0.2">
      <c r="A224" s="100">
        <f>$A$221+4</f>
        <v>20</v>
      </c>
      <c r="B224" s="100" t="s">
        <v>669</v>
      </c>
      <c r="C224" s="100" t="s">
        <v>649</v>
      </c>
      <c r="D224" s="100"/>
      <c r="E224" s="100"/>
      <c r="F224" s="100"/>
      <c r="G224" s="100" t="s">
        <v>1152</v>
      </c>
      <c r="H224" s="100"/>
      <c r="I224" s="100" t="s">
        <v>1268</v>
      </c>
      <c r="J224" s="100" t="b">
        <f t="shared" si="16"/>
        <v>1</v>
      </c>
      <c r="K224" s="100" t="b">
        <v>1</v>
      </c>
      <c r="L224" s="100" t="b">
        <v>1</v>
      </c>
      <c r="M224" s="100"/>
      <c r="N224" s="100" t="s">
        <v>59</v>
      </c>
      <c r="O224" s="100" t="str">
        <f>"$D$"&amp;A224</f>
        <v>$D$20</v>
      </c>
      <c r="P224" s="100" t="str">
        <f>"$M$"&amp;A224</f>
        <v>$M$20</v>
      </c>
      <c r="Q224" s="100"/>
      <c r="R224" s="100"/>
      <c r="S224" s="100"/>
      <c r="T224" s="100">
        <v>166</v>
      </c>
      <c r="U224" s="100" t="b">
        <v>1</v>
      </c>
      <c r="V224" s="100" t="s">
        <v>1341</v>
      </c>
      <c r="W224" s="100" t="s">
        <v>1341</v>
      </c>
      <c r="X224" s="100"/>
      <c r="Y224" s="100"/>
      <c r="Z224" s="100"/>
      <c r="AA224" s="100"/>
      <c r="AB224" s="100">
        <v>3</v>
      </c>
      <c r="AC224" s="100">
        <v>5</v>
      </c>
      <c r="AD224" s="100" t="s">
        <v>105</v>
      </c>
      <c r="AE224" s="100">
        <v>12</v>
      </c>
      <c r="AF224" s="100" t="b">
        <v>0</v>
      </c>
      <c r="AG224" s="100" t="s">
        <v>1355</v>
      </c>
      <c r="AH224" s="100" t="s">
        <v>27</v>
      </c>
      <c r="AI224" s="100" t="s">
        <v>28</v>
      </c>
      <c r="AJ224" s="100"/>
      <c r="AK224" s="100"/>
      <c r="AL224" s="100">
        <v>0</v>
      </c>
      <c r="AM224" s="100"/>
      <c r="AN224" s="100"/>
      <c r="AO224" s="100"/>
      <c r="AP224" s="100"/>
    </row>
    <row r="225" spans="1:51" ht="16.5" customHeight="1" x14ac:dyDescent="0.2">
      <c r="A225" s="104">
        <f>$A$221+6</f>
        <v>22</v>
      </c>
      <c r="B225" s="104" t="s">
        <v>645</v>
      </c>
      <c r="C225" s="104" t="s">
        <v>657</v>
      </c>
      <c r="D225" s="104" t="s">
        <v>645</v>
      </c>
      <c r="E225" s="104"/>
      <c r="F225" s="104"/>
      <c r="G225" s="104" t="s">
        <v>1152</v>
      </c>
      <c r="H225" s="104"/>
      <c r="I225" s="104" t="str">
        <f>B225</f>
        <v>Cfg1Group2</v>
      </c>
      <c r="J225" s="104" t="b">
        <f t="shared" si="16"/>
        <v>1</v>
      </c>
      <c r="K225" s="104" t="b">
        <f>$C$3</f>
        <v>0</v>
      </c>
      <c r="L225" s="104"/>
      <c r="M225" s="104"/>
      <c r="N225" s="104" t="s">
        <v>59</v>
      </c>
      <c r="O225" s="104" t="str">
        <f>"$D$"&amp;A225</f>
        <v>$D$22</v>
      </c>
      <c r="P225" s="104" t="str">
        <f>"$H$"&amp;A225+1</f>
        <v>$H$23</v>
      </c>
      <c r="Q225" s="104">
        <v>-5</v>
      </c>
      <c r="R225" s="104">
        <v>3</v>
      </c>
      <c r="S225" s="104"/>
      <c r="T225" s="104"/>
      <c r="U225" s="104"/>
      <c r="V225" s="104"/>
      <c r="W225" s="104"/>
      <c r="X225" s="104"/>
      <c r="Y225" s="104"/>
      <c r="Z225" s="104"/>
      <c r="AA225" s="104"/>
      <c r="AB225" s="104"/>
      <c r="AC225" s="104">
        <v>16</v>
      </c>
      <c r="AD225" s="104"/>
      <c r="AE225" s="104"/>
      <c r="AF225" s="104"/>
      <c r="AG225" s="104"/>
      <c r="AH225" s="104" t="s">
        <v>27</v>
      </c>
      <c r="AI225" s="104" t="s">
        <v>28</v>
      </c>
      <c r="AJ225" s="104"/>
      <c r="AK225" s="104"/>
      <c r="AL225" s="104"/>
      <c r="AM225" s="104"/>
      <c r="AN225" s="104"/>
      <c r="AO225" s="104"/>
      <c r="AP225" s="104"/>
    </row>
    <row r="226" spans="1:51" ht="16.5" customHeight="1" x14ac:dyDescent="0.2">
      <c r="A226" s="105">
        <f>$A$221+6</f>
        <v>22</v>
      </c>
      <c r="B226" s="105" t="s">
        <v>888</v>
      </c>
      <c r="C226" s="105" t="s">
        <v>659</v>
      </c>
      <c r="D226" s="105" t="s">
        <v>645</v>
      </c>
      <c r="E226" s="105"/>
      <c r="F226" s="105"/>
      <c r="G226" s="105" t="s">
        <v>1152</v>
      </c>
      <c r="H226" s="105" t="b">
        <v>1</v>
      </c>
      <c r="I226" s="105" t="s">
        <v>189</v>
      </c>
      <c r="J226" s="105" t="b">
        <f t="shared" si="16"/>
        <v>1</v>
      </c>
      <c r="K226" s="105" t="b">
        <v>1</v>
      </c>
      <c r="L226" s="105"/>
      <c r="M226" s="105" t="str">
        <f>"'setType """&amp;B226&amp;"""'"</f>
        <v>'setType "CfgGroup2R1"'</v>
      </c>
      <c r="N226" s="105" t="s">
        <v>59</v>
      </c>
      <c r="O226" s="105" t="str">
        <f>"$D$"&amp;A226</f>
        <v>$D$22</v>
      </c>
      <c r="P226" s="105" t="str">
        <f>"$H$"&amp;A226</f>
        <v>$H$22</v>
      </c>
      <c r="Q226" s="105"/>
      <c r="R226" s="105">
        <v>3</v>
      </c>
      <c r="S226" s="105"/>
      <c r="T226" s="105">
        <v>22</v>
      </c>
      <c r="U226" s="105" t="b">
        <v>1</v>
      </c>
      <c r="V226" s="105" t="s">
        <v>1343</v>
      </c>
      <c r="W226" s="105" t="s">
        <v>1356</v>
      </c>
      <c r="X226" s="105"/>
      <c r="Y226" s="105"/>
      <c r="Z226" s="105"/>
      <c r="AA226" s="105"/>
      <c r="AB226" s="105"/>
      <c r="AC226" s="105">
        <v>16</v>
      </c>
      <c r="AD226" s="105"/>
      <c r="AE226" s="105">
        <v>12</v>
      </c>
      <c r="AF226" s="105" t="b">
        <v>0</v>
      </c>
      <c r="AG226" s="105" t="s">
        <v>1355</v>
      </c>
      <c r="AH226" s="105" t="s">
        <v>27</v>
      </c>
      <c r="AI226" s="105" t="s">
        <v>28</v>
      </c>
      <c r="AJ226" s="105"/>
      <c r="AK226" s="105"/>
      <c r="AL226" s="105">
        <v>0</v>
      </c>
      <c r="AM226" s="105"/>
      <c r="AN226" s="105"/>
      <c r="AO226" s="105"/>
      <c r="AP226" s="105"/>
    </row>
    <row r="227" spans="1:51" ht="16.5" customHeight="1" x14ac:dyDescent="0.2">
      <c r="A227" s="105">
        <f>$A$221+7</f>
        <v>23</v>
      </c>
      <c r="B227" s="105" t="s">
        <v>889</v>
      </c>
      <c r="C227" s="105" t="s">
        <v>659</v>
      </c>
      <c r="D227" s="105" t="s">
        <v>645</v>
      </c>
      <c r="E227" s="105"/>
      <c r="F227" s="105"/>
      <c r="G227" s="105" t="s">
        <v>1152</v>
      </c>
      <c r="H227" s="105" t="b">
        <v>0</v>
      </c>
      <c r="I227" s="105" t="s">
        <v>190</v>
      </c>
      <c r="J227" s="105" t="b">
        <f t="shared" si="16"/>
        <v>1</v>
      </c>
      <c r="K227" s="105" t="b">
        <v>1</v>
      </c>
      <c r="L227" s="105"/>
      <c r="M227" s="105" t="str">
        <f>"'setType """&amp;B227&amp;"""'"</f>
        <v>'setType "CfgGroup2R2"'</v>
      </c>
      <c r="N227" s="105" t="s">
        <v>59</v>
      </c>
      <c r="O227" s="105" t="str">
        <f>"$D$"&amp;A227</f>
        <v>$D$23</v>
      </c>
      <c r="P227" s="105" t="str">
        <f>"$H$"&amp;A227</f>
        <v>$H$23</v>
      </c>
      <c r="Q227" s="105"/>
      <c r="R227" s="105">
        <v>3</v>
      </c>
      <c r="S227" s="105"/>
      <c r="T227" s="105">
        <v>22</v>
      </c>
      <c r="U227" s="105" t="b">
        <v>1</v>
      </c>
      <c r="V227" s="105" t="s">
        <v>1343</v>
      </c>
      <c r="W227" s="105" t="s">
        <v>1356</v>
      </c>
      <c r="X227" s="105"/>
      <c r="Y227" s="105"/>
      <c r="Z227" s="105"/>
      <c r="AA227" s="105"/>
      <c r="AB227" s="105"/>
      <c r="AC227" s="105">
        <v>16</v>
      </c>
      <c r="AD227" s="105"/>
      <c r="AE227" s="105">
        <v>12</v>
      </c>
      <c r="AF227" s="105" t="b">
        <v>0</v>
      </c>
      <c r="AG227" s="105" t="s">
        <v>1355</v>
      </c>
      <c r="AH227" s="105" t="s">
        <v>27</v>
      </c>
      <c r="AI227" s="105" t="s">
        <v>28</v>
      </c>
      <c r="AJ227" s="105"/>
      <c r="AK227" s="105"/>
      <c r="AL227" s="105">
        <v>0</v>
      </c>
      <c r="AM227" s="105"/>
      <c r="AN227" s="105"/>
      <c r="AO227" s="105"/>
      <c r="AP227" s="105"/>
    </row>
    <row r="228" spans="1:51" ht="16.5" customHeight="1" x14ac:dyDescent="0.2">
      <c r="A228" s="106">
        <f>$A$221+10</f>
        <v>26</v>
      </c>
      <c r="B228" s="106" t="s">
        <v>670</v>
      </c>
      <c r="C228" s="106" t="s">
        <v>655</v>
      </c>
      <c r="D228" s="106"/>
      <c r="E228" s="106"/>
      <c r="F228" s="106"/>
      <c r="G228" s="106" t="s">
        <v>1152</v>
      </c>
      <c r="H228" s="106"/>
      <c r="I228" s="106"/>
      <c r="J228" s="106" t="b">
        <f t="shared" si="16"/>
        <v>1</v>
      </c>
      <c r="K228" s="106" t="b">
        <v>1</v>
      </c>
      <c r="L228" s="106"/>
      <c r="M228" s="106"/>
      <c r="N228" s="106" t="s">
        <v>59</v>
      </c>
      <c r="O228" s="106" t="str">
        <f>"$B$"&amp;A228</f>
        <v>$B$26</v>
      </c>
      <c r="P228" s="106" t="str">
        <f>"$M$"&amp;A228</f>
        <v>$M$26</v>
      </c>
      <c r="Q228" s="106"/>
      <c r="R228" s="106">
        <v>2</v>
      </c>
      <c r="S228" s="106"/>
      <c r="T228" s="106">
        <v>2</v>
      </c>
      <c r="U228" s="106" t="b">
        <v>1</v>
      </c>
      <c r="V228" s="106" t="s">
        <v>1344</v>
      </c>
      <c r="W228" s="106" t="s">
        <v>1343</v>
      </c>
      <c r="X228" s="106"/>
      <c r="Y228" s="106"/>
      <c r="Z228" s="106"/>
      <c r="AA228" s="106"/>
      <c r="AB228" s="106"/>
      <c r="AC228" s="106"/>
      <c r="AD228" s="106"/>
      <c r="AE228" s="106"/>
      <c r="AF228" s="106"/>
      <c r="AG228" s="106"/>
      <c r="AH228" s="106"/>
      <c r="AI228" s="106"/>
      <c r="AJ228" s="106"/>
      <c r="AK228" s="106"/>
      <c r="AL228" s="106"/>
      <c r="AM228" s="106"/>
      <c r="AN228" s="106"/>
      <c r="AO228" s="106"/>
      <c r="AP228" s="106"/>
    </row>
    <row r="229" spans="1:51" ht="16.5" customHeight="1" x14ac:dyDescent="0.2">
      <c r="A229" s="100">
        <f>$A$228+2</f>
        <v>28</v>
      </c>
      <c r="B229" s="100" t="s">
        <v>671</v>
      </c>
      <c r="C229" s="100" t="s">
        <v>649</v>
      </c>
      <c r="D229" s="100"/>
      <c r="E229" s="100"/>
      <c r="F229" s="100"/>
      <c r="G229" s="100" t="s">
        <v>1152</v>
      </c>
      <c r="H229" s="100"/>
      <c r="I229" s="100" t="s">
        <v>193</v>
      </c>
      <c r="J229" s="100" t="b">
        <f t="shared" si="16"/>
        <v>1</v>
      </c>
      <c r="K229" s="100" t="b">
        <v>1</v>
      </c>
      <c r="L229" s="100"/>
      <c r="M229" s="100"/>
      <c r="N229" s="100" t="s">
        <v>59</v>
      </c>
      <c r="O229" s="100" t="str">
        <f>"$B$"&amp;A229</f>
        <v>$B$28</v>
      </c>
      <c r="P229" s="100" t="str">
        <f>"$E$"&amp;A229</f>
        <v>$E$28</v>
      </c>
      <c r="Q229" s="100"/>
      <c r="R229" s="100"/>
      <c r="S229" s="100"/>
      <c r="T229" s="100">
        <v>30</v>
      </c>
      <c r="U229" s="100" t="b">
        <v>1</v>
      </c>
      <c r="V229" s="100" t="s">
        <v>1342</v>
      </c>
      <c r="W229" s="100" t="s">
        <v>1342</v>
      </c>
      <c r="X229" s="100"/>
      <c r="Y229" s="100"/>
      <c r="Z229" s="100"/>
      <c r="AA229" s="100"/>
      <c r="AB229" s="100"/>
      <c r="AC229" s="100">
        <v>5</v>
      </c>
      <c r="AD229" s="100" t="s">
        <v>105</v>
      </c>
      <c r="AE229" s="100">
        <v>14</v>
      </c>
      <c r="AF229" s="100" t="b">
        <v>1</v>
      </c>
      <c r="AG229" s="100" t="s">
        <v>1355</v>
      </c>
      <c r="AH229" s="100" t="s">
        <v>29</v>
      </c>
      <c r="AI229" s="100" t="s">
        <v>28</v>
      </c>
      <c r="AJ229" s="100"/>
      <c r="AK229" s="100"/>
      <c r="AL229" s="100">
        <v>0</v>
      </c>
      <c r="AM229" s="100"/>
      <c r="AN229" s="100"/>
      <c r="AO229" s="100"/>
      <c r="AP229" s="100"/>
    </row>
    <row r="230" spans="1:51" ht="16.5" customHeight="1" x14ac:dyDescent="0.2">
      <c r="A230" s="110">
        <f>$A$228+2</f>
        <v>28</v>
      </c>
      <c r="B230" s="110" t="s">
        <v>812</v>
      </c>
      <c r="C230" s="110" t="s">
        <v>656</v>
      </c>
      <c r="D230" s="110"/>
      <c r="E230" s="110"/>
      <c r="F230" s="110"/>
      <c r="G230" s="110" t="s">
        <v>1152</v>
      </c>
      <c r="H230" s="110"/>
      <c r="I230" s="110" t="str">
        <f>IF(L230,"Luk","Hjælp")</f>
        <v>Hjælp</v>
      </c>
      <c r="J230" s="110" t="b">
        <f t="shared" si="16"/>
        <v>1</v>
      </c>
      <c r="K230" s="110" t="b">
        <v>1</v>
      </c>
      <c r="L230" s="110" t="b">
        <v>0</v>
      </c>
      <c r="M230" s="110" t="str">
        <f>"'readMore """&amp;B230&amp;""","""&amp;G230&amp;""","""&amp;B231&amp;""",TRUE'"</f>
        <v>'readMore "Cfg1Group3Btn3","Konfiguration","Cfg1Text3b",TRUE'</v>
      </c>
      <c r="N230" s="110" t="s">
        <v>59</v>
      </c>
      <c r="O230" s="110" t="str">
        <f>"$L$"&amp;A230</f>
        <v>$L$28</v>
      </c>
      <c r="P230" s="110" t="str">
        <f>"$M$"&amp;A230</f>
        <v>$M$28</v>
      </c>
      <c r="Q230" s="110">
        <v>5</v>
      </c>
      <c r="R230" s="110">
        <v>1</v>
      </c>
      <c r="S230" s="110"/>
      <c r="T230" s="110">
        <v>22</v>
      </c>
      <c r="U230" s="110" t="b">
        <v>1</v>
      </c>
      <c r="V230" s="110" t="s">
        <v>1344</v>
      </c>
      <c r="W230" s="110" t="s">
        <v>1343</v>
      </c>
      <c r="X230" s="110"/>
      <c r="Y230" s="110"/>
      <c r="Z230" s="110"/>
      <c r="AA230" s="110"/>
      <c r="AB230" s="110">
        <v>3</v>
      </c>
      <c r="AC230" s="110">
        <v>5</v>
      </c>
      <c r="AD230" s="110" t="s">
        <v>105</v>
      </c>
      <c r="AE230" s="110">
        <v>12</v>
      </c>
      <c r="AF230" s="110"/>
      <c r="AG230" s="110" t="s">
        <v>1351</v>
      </c>
      <c r="AH230" s="110" t="s">
        <v>29</v>
      </c>
      <c r="AI230" s="110" t="s">
        <v>29</v>
      </c>
      <c r="AJ230" s="110"/>
      <c r="AK230" s="110"/>
      <c r="AL230" s="110"/>
      <c r="AM230" s="110"/>
      <c r="AN230" s="110">
        <v>2</v>
      </c>
      <c r="AO230" s="110"/>
      <c r="AP230" s="110"/>
    </row>
    <row r="231" spans="1:51" ht="16.5" customHeight="1" x14ac:dyDescent="0.2">
      <c r="A231" s="100">
        <f>$A$228+4</f>
        <v>30</v>
      </c>
      <c r="B231" s="100" t="s">
        <v>672</v>
      </c>
      <c r="C231" s="100" t="s">
        <v>649</v>
      </c>
      <c r="D231" s="100"/>
      <c r="E231" s="100"/>
      <c r="F231" s="100"/>
      <c r="G231" s="100" t="s">
        <v>1152</v>
      </c>
      <c r="H231" s="100"/>
      <c r="I231" s="100" t="s">
        <v>197</v>
      </c>
      <c r="J231" s="100" t="b">
        <f t="shared" si="16"/>
        <v>1</v>
      </c>
      <c r="K231" s="100" t="b">
        <v>1</v>
      </c>
      <c r="L231" s="100" t="b">
        <v>1</v>
      </c>
      <c r="M231" s="100"/>
      <c r="N231" s="100" t="s">
        <v>59</v>
      </c>
      <c r="O231" s="100" t="str">
        <f>"$D$"&amp;A231</f>
        <v>$D$30</v>
      </c>
      <c r="P231" s="100" t="str">
        <f>"$M$"&amp;A231</f>
        <v>$M$30</v>
      </c>
      <c r="Q231" s="100"/>
      <c r="R231" s="100"/>
      <c r="S231" s="100"/>
      <c r="T231" s="100">
        <v>120</v>
      </c>
      <c r="U231" s="100" t="b">
        <v>1</v>
      </c>
      <c r="V231" s="100" t="s">
        <v>1341</v>
      </c>
      <c r="W231" s="100" t="s">
        <v>1341</v>
      </c>
      <c r="X231" s="100"/>
      <c r="Y231" s="100"/>
      <c r="Z231" s="100"/>
      <c r="AA231" s="100"/>
      <c r="AB231" s="100">
        <v>3</v>
      </c>
      <c r="AC231" s="100">
        <v>5</v>
      </c>
      <c r="AD231" s="100" t="s">
        <v>105</v>
      </c>
      <c r="AE231" s="100">
        <v>12</v>
      </c>
      <c r="AF231" s="100" t="b">
        <v>0</v>
      </c>
      <c r="AG231" s="100" t="s">
        <v>1355</v>
      </c>
      <c r="AH231" s="100" t="s">
        <v>27</v>
      </c>
      <c r="AI231" s="100" t="s">
        <v>28</v>
      </c>
      <c r="AJ231" s="100"/>
      <c r="AK231" s="100"/>
      <c r="AL231" s="100">
        <v>0</v>
      </c>
      <c r="AM231" s="100"/>
      <c r="AN231" s="100"/>
      <c r="AO231" s="100"/>
      <c r="AP231" s="100"/>
    </row>
    <row r="232" spans="1:51" ht="16.5" customHeight="1" x14ac:dyDescent="0.2">
      <c r="A232" s="104">
        <f>$A$228+6</f>
        <v>32</v>
      </c>
      <c r="B232" s="104" t="s">
        <v>643</v>
      </c>
      <c r="C232" s="104" t="s">
        <v>657</v>
      </c>
      <c r="D232" s="104" t="s">
        <v>643</v>
      </c>
      <c r="E232" s="104"/>
      <c r="F232" s="104"/>
      <c r="G232" s="104" t="s">
        <v>1152</v>
      </c>
      <c r="H232" s="104"/>
      <c r="I232" s="104" t="str">
        <f>B232</f>
        <v>Cfg1Group3</v>
      </c>
      <c r="J232" s="104" t="b">
        <f t="shared" si="16"/>
        <v>1</v>
      </c>
      <c r="K232" s="104" t="b">
        <f>$C$3</f>
        <v>0</v>
      </c>
      <c r="L232" s="104"/>
      <c r="M232" s="104"/>
      <c r="N232" s="104" t="s">
        <v>59</v>
      </c>
      <c r="O232" s="104" t="str">
        <f>"$D$"&amp;A232</f>
        <v>$D$32</v>
      </c>
      <c r="P232" s="104" t="str">
        <f>"$H$"&amp;A232+1</f>
        <v>$H$33</v>
      </c>
      <c r="Q232" s="104">
        <v>-5</v>
      </c>
      <c r="R232" s="104">
        <v>3</v>
      </c>
      <c r="S232" s="104"/>
      <c r="T232" s="104"/>
      <c r="U232" s="104"/>
      <c r="V232" s="104"/>
      <c r="W232" s="104"/>
      <c r="X232" s="104"/>
      <c r="Y232" s="104"/>
      <c r="Z232" s="104"/>
      <c r="AA232" s="104"/>
      <c r="AB232" s="104"/>
      <c r="AC232" s="104">
        <v>16</v>
      </c>
      <c r="AD232" s="104"/>
      <c r="AE232" s="104"/>
      <c r="AF232" s="104"/>
      <c r="AG232" s="104"/>
      <c r="AH232" s="104" t="s">
        <v>27</v>
      </c>
      <c r="AI232" s="104" t="s">
        <v>28</v>
      </c>
      <c r="AJ232" s="104"/>
      <c r="AK232" s="104"/>
      <c r="AL232" s="104"/>
      <c r="AM232" s="104"/>
      <c r="AN232" s="104"/>
      <c r="AO232" s="104"/>
      <c r="AP232" s="104"/>
    </row>
    <row r="233" spans="1:51" ht="16.5" customHeight="1" x14ac:dyDescent="0.2">
      <c r="A233" s="105">
        <f>$A$228+6</f>
        <v>32</v>
      </c>
      <c r="B233" s="105" t="s">
        <v>890</v>
      </c>
      <c r="C233" s="105" t="s">
        <v>659</v>
      </c>
      <c r="D233" s="105" t="s">
        <v>643</v>
      </c>
      <c r="E233" s="105"/>
      <c r="F233" s="105"/>
      <c r="G233" s="105" t="s">
        <v>1152</v>
      </c>
      <c r="H233" s="105" t="b">
        <v>0</v>
      </c>
      <c r="I233" s="105" t="s">
        <v>191</v>
      </c>
      <c r="J233" s="105" t="b">
        <f t="shared" si="16"/>
        <v>1</v>
      </c>
      <c r="K233" s="105" t="b">
        <v>1</v>
      </c>
      <c r="L233" s="105"/>
      <c r="M233" s="105" t="str">
        <f>"'setType """&amp;B233&amp;"""'"</f>
        <v>'setType "CfgGroup3R1"'</v>
      </c>
      <c r="N233" s="105" t="s">
        <v>59</v>
      </c>
      <c r="O233" s="105" t="str">
        <f>"$D$"&amp;A233</f>
        <v>$D$32</v>
      </c>
      <c r="P233" s="105" t="str">
        <f>"$H$"&amp;A233</f>
        <v>$H$32</v>
      </c>
      <c r="Q233" s="105"/>
      <c r="R233" s="105">
        <v>3</v>
      </c>
      <c r="S233" s="105"/>
      <c r="T233" s="105">
        <v>22</v>
      </c>
      <c r="U233" s="105" t="b">
        <v>1</v>
      </c>
      <c r="V233" s="105" t="s">
        <v>1343</v>
      </c>
      <c r="W233" s="105" t="s">
        <v>1356</v>
      </c>
      <c r="X233" s="105"/>
      <c r="Y233" s="105"/>
      <c r="Z233" s="105"/>
      <c r="AA233" s="105"/>
      <c r="AB233" s="105"/>
      <c r="AC233" s="105">
        <v>16</v>
      </c>
      <c r="AD233" s="105"/>
      <c r="AE233" s="105">
        <v>12</v>
      </c>
      <c r="AF233" s="105" t="b">
        <v>0</v>
      </c>
      <c r="AG233" s="105" t="s">
        <v>1355</v>
      </c>
      <c r="AH233" s="105" t="s">
        <v>27</v>
      </c>
      <c r="AI233" s="105" t="s">
        <v>28</v>
      </c>
      <c r="AJ233" s="105"/>
      <c r="AK233" s="105"/>
      <c r="AL233" s="105">
        <v>0</v>
      </c>
      <c r="AM233" s="105"/>
      <c r="AN233" s="105"/>
      <c r="AO233" s="105"/>
      <c r="AP233" s="105"/>
    </row>
    <row r="234" spans="1:51" ht="16.5" customHeight="1" x14ac:dyDescent="0.2">
      <c r="A234" s="105">
        <f>$A$228+7</f>
        <v>33</v>
      </c>
      <c r="B234" s="105" t="s">
        <v>891</v>
      </c>
      <c r="C234" s="105" t="s">
        <v>659</v>
      </c>
      <c r="D234" s="105" t="s">
        <v>643</v>
      </c>
      <c r="E234" s="105"/>
      <c r="F234" s="105"/>
      <c r="G234" s="105" t="s">
        <v>1152</v>
      </c>
      <c r="H234" s="105" t="b">
        <v>1</v>
      </c>
      <c r="I234" s="105" t="s">
        <v>192</v>
      </c>
      <c r="J234" s="105" t="b">
        <f t="shared" si="16"/>
        <v>1</v>
      </c>
      <c r="K234" s="105" t="b">
        <v>1</v>
      </c>
      <c r="L234" s="105"/>
      <c r="M234" s="105" t="str">
        <f>"'setType """&amp;B234&amp;"""'"</f>
        <v>'setType "CfgGroup3R2"'</v>
      </c>
      <c r="N234" s="105" t="s">
        <v>59</v>
      </c>
      <c r="O234" s="105" t="str">
        <f>"$D$"&amp;A234</f>
        <v>$D$33</v>
      </c>
      <c r="P234" s="105" t="str">
        <f>"$H$"&amp;A234</f>
        <v>$H$33</v>
      </c>
      <c r="Q234" s="105"/>
      <c r="R234" s="105">
        <v>3</v>
      </c>
      <c r="S234" s="105"/>
      <c r="T234" s="105">
        <v>22</v>
      </c>
      <c r="U234" s="105" t="b">
        <v>1</v>
      </c>
      <c r="V234" s="105" t="s">
        <v>1343</v>
      </c>
      <c r="W234" s="105" t="s">
        <v>1356</v>
      </c>
      <c r="X234" s="105"/>
      <c r="Y234" s="105"/>
      <c r="Z234" s="105"/>
      <c r="AA234" s="105"/>
      <c r="AB234" s="105"/>
      <c r="AC234" s="105">
        <v>16</v>
      </c>
      <c r="AD234" s="105"/>
      <c r="AE234" s="105">
        <v>12</v>
      </c>
      <c r="AF234" s="105" t="b">
        <v>0</v>
      </c>
      <c r="AG234" s="105" t="s">
        <v>1355</v>
      </c>
      <c r="AH234" s="105" t="s">
        <v>27</v>
      </c>
      <c r="AI234" s="105" t="s">
        <v>28</v>
      </c>
      <c r="AJ234" s="105"/>
      <c r="AK234" s="105"/>
      <c r="AL234" s="105">
        <v>0</v>
      </c>
      <c r="AM234" s="105"/>
      <c r="AN234" s="105"/>
      <c r="AO234" s="105"/>
      <c r="AP234" s="105"/>
    </row>
    <row r="235" spans="1:51" ht="16.5" customHeight="1" x14ac:dyDescent="0.2">
      <c r="A235" s="106">
        <f>$A$228+10</f>
        <v>36</v>
      </c>
      <c r="B235" s="106" t="s">
        <v>673</v>
      </c>
      <c r="C235" s="106" t="s">
        <v>655</v>
      </c>
      <c r="D235" s="106"/>
      <c r="E235" s="106"/>
      <c r="F235" s="106"/>
      <c r="G235" s="106" t="s">
        <v>1152</v>
      </c>
      <c r="H235" s="106"/>
      <c r="I235" s="106"/>
      <c r="J235" s="106" t="b">
        <f t="shared" si="16"/>
        <v>1</v>
      </c>
      <c r="K235" s="106" t="b">
        <v>1</v>
      </c>
      <c r="L235" s="106"/>
      <c r="M235" s="106"/>
      <c r="N235" s="106" t="s">
        <v>59</v>
      </c>
      <c r="O235" s="106" t="str">
        <f>"$B$"&amp;A235</f>
        <v>$B$36</v>
      </c>
      <c r="P235" s="106" t="str">
        <f>"$M$"&amp;A235</f>
        <v>$M$36</v>
      </c>
      <c r="Q235" s="106"/>
      <c r="R235" s="106">
        <v>2</v>
      </c>
      <c r="S235" s="106"/>
      <c r="T235" s="106">
        <v>2</v>
      </c>
      <c r="U235" s="106" t="b">
        <v>1</v>
      </c>
      <c r="V235" s="106" t="s">
        <v>1344</v>
      </c>
      <c r="W235" s="106" t="s">
        <v>1343</v>
      </c>
      <c r="X235" s="106"/>
      <c r="Y235" s="106"/>
      <c r="Z235" s="106"/>
      <c r="AA235" s="106"/>
      <c r="AB235" s="106"/>
      <c r="AC235" s="106"/>
      <c r="AD235" s="106"/>
      <c r="AE235" s="106"/>
      <c r="AF235" s="106"/>
      <c r="AG235" s="106"/>
      <c r="AH235" s="106"/>
      <c r="AI235" s="106"/>
      <c r="AJ235" s="106"/>
      <c r="AK235" s="106"/>
      <c r="AL235" s="106"/>
      <c r="AM235" s="106"/>
      <c r="AN235" s="106"/>
      <c r="AO235" s="106"/>
      <c r="AP235" s="106"/>
    </row>
    <row r="236" spans="1:51" ht="16.5" customHeight="1" x14ac:dyDescent="0.2">
      <c r="A236" s="100">
        <f>$A$235+2</f>
        <v>38</v>
      </c>
      <c r="B236" s="100" t="s">
        <v>674</v>
      </c>
      <c r="C236" s="100" t="s">
        <v>649</v>
      </c>
      <c r="D236" s="100"/>
      <c r="E236" s="100"/>
      <c r="F236" s="100"/>
      <c r="G236" s="100" t="s">
        <v>1152</v>
      </c>
      <c r="H236" s="100"/>
      <c r="I236" s="100" t="s">
        <v>1249</v>
      </c>
      <c r="J236" s="100" t="b">
        <f t="shared" si="16"/>
        <v>1</v>
      </c>
      <c r="K236" s="100" t="b">
        <v>1</v>
      </c>
      <c r="L236" s="100"/>
      <c r="M236" s="100"/>
      <c r="N236" s="100" t="s">
        <v>59</v>
      </c>
      <c r="O236" s="100" t="str">
        <f>"$B$"&amp;A236</f>
        <v>$B$38</v>
      </c>
      <c r="P236" s="100" t="str">
        <f>"$E$"&amp;A236</f>
        <v>$E$38</v>
      </c>
      <c r="Q236" s="100"/>
      <c r="R236" s="100"/>
      <c r="S236" s="100"/>
      <c r="T236" s="100">
        <v>30</v>
      </c>
      <c r="U236" s="100" t="b">
        <v>1</v>
      </c>
      <c r="V236" s="100" t="s">
        <v>1342</v>
      </c>
      <c r="W236" s="100" t="s">
        <v>1342</v>
      </c>
      <c r="X236" s="100"/>
      <c r="Y236" s="100"/>
      <c r="Z236" s="100"/>
      <c r="AA236" s="100"/>
      <c r="AB236" s="100"/>
      <c r="AC236" s="100">
        <v>5</v>
      </c>
      <c r="AD236" s="100" t="s">
        <v>105</v>
      </c>
      <c r="AE236" s="100">
        <v>14</v>
      </c>
      <c r="AF236" s="100" t="b">
        <v>1</v>
      </c>
      <c r="AG236" s="100" t="s">
        <v>1355</v>
      </c>
      <c r="AH236" s="100" t="s">
        <v>29</v>
      </c>
      <c r="AI236" s="100" t="s">
        <v>28</v>
      </c>
      <c r="AJ236" s="100"/>
      <c r="AK236" s="100"/>
      <c r="AL236" s="100">
        <v>0</v>
      </c>
      <c r="AM236" s="100"/>
      <c r="AN236" s="100"/>
      <c r="AO236" s="100"/>
      <c r="AP236" s="100"/>
    </row>
    <row r="237" spans="1:51" ht="16.5" customHeight="1" x14ac:dyDescent="0.2">
      <c r="A237" s="110">
        <f>$A$235+2</f>
        <v>38</v>
      </c>
      <c r="B237" s="110" t="s">
        <v>813</v>
      </c>
      <c r="C237" s="110" t="s">
        <v>656</v>
      </c>
      <c r="D237" s="110"/>
      <c r="E237" s="110"/>
      <c r="F237" s="110"/>
      <c r="G237" s="110" t="s">
        <v>1152</v>
      </c>
      <c r="H237" s="110"/>
      <c r="I237" s="110" t="str">
        <f>IF(L237,"Luk","Hjælp")</f>
        <v>Hjælp</v>
      </c>
      <c r="J237" s="110" t="b">
        <f t="shared" si="16"/>
        <v>1</v>
      </c>
      <c r="K237" s="110" t="b">
        <v>1</v>
      </c>
      <c r="L237" s="110" t="b">
        <v>0</v>
      </c>
      <c r="M237" s="110" t="str">
        <f>"'readMore """&amp;B237&amp;""","""&amp;G237&amp;""","""&amp;B238&amp;""",TRUE'"</f>
        <v>'readMore "Cfg1Group4Btn4","Konfiguration","Cfg1Text4b",TRUE'</v>
      </c>
      <c r="N237" s="110" t="s">
        <v>59</v>
      </c>
      <c r="O237" s="110" t="str">
        <f>"$L$"&amp;A237</f>
        <v>$L$38</v>
      </c>
      <c r="P237" s="110" t="str">
        <f>"$M$"&amp;A237</f>
        <v>$M$38</v>
      </c>
      <c r="Q237" s="110">
        <v>5</v>
      </c>
      <c r="R237" s="110">
        <v>1</v>
      </c>
      <c r="S237" s="110"/>
      <c r="T237" s="110">
        <v>22</v>
      </c>
      <c r="U237" s="110" t="b">
        <v>1</v>
      </c>
      <c r="V237" s="110" t="s">
        <v>1344</v>
      </c>
      <c r="W237" s="110" t="s">
        <v>1343</v>
      </c>
      <c r="X237" s="110"/>
      <c r="Y237" s="110"/>
      <c r="Z237" s="110"/>
      <c r="AA237" s="110"/>
      <c r="AB237" s="110">
        <v>3</v>
      </c>
      <c r="AC237" s="110">
        <v>5</v>
      </c>
      <c r="AD237" s="110" t="s">
        <v>105</v>
      </c>
      <c r="AE237" s="110">
        <v>12</v>
      </c>
      <c r="AF237" s="110"/>
      <c r="AG237" s="110" t="s">
        <v>1351</v>
      </c>
      <c r="AH237" s="110" t="s">
        <v>29</v>
      </c>
      <c r="AI237" s="110" t="s">
        <v>29</v>
      </c>
      <c r="AJ237" s="110"/>
      <c r="AK237" s="110"/>
      <c r="AL237" s="110"/>
      <c r="AM237" s="110"/>
      <c r="AN237" s="110">
        <v>2</v>
      </c>
      <c r="AO237" s="110"/>
      <c r="AP237" s="110"/>
    </row>
    <row r="238" spans="1:51" ht="16.5" customHeight="1" x14ac:dyDescent="0.2">
      <c r="A238" s="100">
        <f>$A$235+4</f>
        <v>40</v>
      </c>
      <c r="B238" s="100" t="s">
        <v>675</v>
      </c>
      <c r="C238" s="100" t="s">
        <v>649</v>
      </c>
      <c r="D238" s="100"/>
      <c r="E238" s="100"/>
      <c r="F238" s="100"/>
      <c r="G238" s="100" t="s">
        <v>1152</v>
      </c>
      <c r="H238" s="100"/>
      <c r="I238" s="100" t="s">
        <v>198</v>
      </c>
      <c r="J238" s="100" t="b">
        <f t="shared" si="16"/>
        <v>1</v>
      </c>
      <c r="K238" s="100" t="b">
        <v>1</v>
      </c>
      <c r="L238" s="100" t="b">
        <v>1</v>
      </c>
      <c r="M238" s="100"/>
      <c r="N238" s="100" t="s">
        <v>59</v>
      </c>
      <c r="O238" s="100" t="str">
        <f>"$D$"&amp;A238</f>
        <v>$D$40</v>
      </c>
      <c r="P238" s="100" t="str">
        <f>"$M$"&amp;A238</f>
        <v>$M$40</v>
      </c>
      <c r="Q238" s="100"/>
      <c r="R238" s="100"/>
      <c r="S238" s="100"/>
      <c r="T238" s="100">
        <v>60</v>
      </c>
      <c r="U238" s="100" t="b">
        <v>1</v>
      </c>
      <c r="V238" s="100" t="s">
        <v>1341</v>
      </c>
      <c r="W238" s="100" t="s">
        <v>1341</v>
      </c>
      <c r="X238" s="100"/>
      <c r="Y238" s="100"/>
      <c r="Z238" s="100"/>
      <c r="AA238" s="100"/>
      <c r="AB238" s="100">
        <v>3</v>
      </c>
      <c r="AC238" s="100">
        <v>5</v>
      </c>
      <c r="AD238" s="100" t="s">
        <v>105</v>
      </c>
      <c r="AE238" s="100">
        <v>12</v>
      </c>
      <c r="AF238" s="100" t="b">
        <v>0</v>
      </c>
      <c r="AG238" s="100" t="s">
        <v>1355</v>
      </c>
      <c r="AH238" s="100" t="s">
        <v>27</v>
      </c>
      <c r="AI238" s="100" t="s">
        <v>28</v>
      </c>
      <c r="AJ238" s="100"/>
      <c r="AK238" s="100"/>
      <c r="AL238" s="100">
        <v>0</v>
      </c>
      <c r="AM238" s="100"/>
      <c r="AN238" s="100"/>
      <c r="AO238" s="100"/>
      <c r="AP238" s="100"/>
    </row>
    <row r="239" spans="1:51" ht="16.5" customHeight="1" x14ac:dyDescent="0.2">
      <c r="A239" s="107">
        <f>$A$235+6</f>
        <v>42</v>
      </c>
      <c r="B239" s="107" t="s">
        <v>814</v>
      </c>
      <c r="C239" s="107" t="s">
        <v>663</v>
      </c>
      <c r="D239" s="107"/>
      <c r="E239" s="107"/>
      <c r="F239" s="107"/>
      <c r="G239" s="107" t="s">
        <v>1152</v>
      </c>
      <c r="H239" s="107">
        <v>10</v>
      </c>
      <c r="I239" s="107">
        <v>6</v>
      </c>
      <c r="J239" s="107" t="b">
        <f t="shared" si="16"/>
        <v>1</v>
      </c>
      <c r="K239" s="107"/>
      <c r="L239" s="107"/>
      <c r="M239" s="107"/>
      <c r="N239" s="107"/>
      <c r="O239" s="107">
        <f>A239</f>
        <v>42</v>
      </c>
      <c r="P239" s="107">
        <f>O239+2</f>
        <v>44</v>
      </c>
      <c r="Q239" s="107"/>
      <c r="R239" s="107"/>
      <c r="S239" s="107"/>
      <c r="T239" s="107"/>
      <c r="U239" s="107"/>
      <c r="V239" s="107"/>
      <c r="W239" s="107"/>
      <c r="X239" s="107"/>
      <c r="Y239" s="107"/>
      <c r="Z239" s="107"/>
      <c r="AA239" s="107"/>
      <c r="AB239" s="107"/>
      <c r="AC239" s="107"/>
      <c r="AD239" s="107"/>
      <c r="AE239" s="107"/>
      <c r="AF239" s="107"/>
      <c r="AG239" s="107"/>
      <c r="AH239" s="107"/>
      <c r="AI239" s="107"/>
      <c r="AJ239" s="107"/>
      <c r="AK239" s="107"/>
      <c r="AL239" s="107"/>
      <c r="AM239" s="107"/>
      <c r="AN239" s="107"/>
      <c r="AO239" s="107"/>
      <c r="AP239" s="107"/>
      <c r="AQ239" s="93" t="str">
        <f>AQ246</f>
        <v>Personaleomkostninger</v>
      </c>
      <c r="AR239" s="93" t="str">
        <f>AQ252</f>
        <v>Køb af IT-tjenesteydelser</v>
      </c>
      <c r="AS239" s="93" t="str">
        <f>AQ258</f>
        <v>Køb af tjenesteydelser i øvrigt</v>
      </c>
      <c r="AT239" s="93" t="str">
        <f>AQ264</f>
        <v>Andre ordinære driftsomkostninger</v>
      </c>
      <c r="AU239" s="93" t="str">
        <f>AQ270</f>
        <v>Personaleomkostninger, der kan aktiveres</v>
      </c>
      <c r="AV239" s="93" t="str">
        <f>AQ276</f>
        <v>Immaterielle anlægsaktiver</v>
      </c>
      <c r="AW239" s="93" t="str">
        <f>AQ282</f>
        <v>Materielle anlægsaktiver</v>
      </c>
      <c r="AX239" s="93" t="str">
        <f>AQ288</f>
        <v>Omsætningsaktiver</v>
      </c>
      <c r="AY239" s="93" t="str">
        <f>AQ294</f>
        <v>Indtægter</v>
      </c>
    </row>
    <row r="240" spans="1:51" ht="16.5" customHeight="1" x14ac:dyDescent="0.2">
      <c r="A240" s="108">
        <f>$A$239+0</f>
        <v>42</v>
      </c>
      <c r="B240" s="109" t="s">
        <v>817</v>
      </c>
      <c r="C240" s="109" t="s">
        <v>96</v>
      </c>
      <c r="D240" s="109"/>
      <c r="E240" s="109" t="s">
        <v>814</v>
      </c>
      <c r="F240" s="109"/>
      <c r="G240" s="109" t="s">
        <v>1152</v>
      </c>
      <c r="H240" s="109"/>
      <c r="I240" s="109"/>
      <c r="J240" s="109"/>
      <c r="K240" s="109" t="b">
        <v>1</v>
      </c>
      <c r="L240" s="109"/>
      <c r="M240" s="109"/>
      <c r="N240" s="109"/>
      <c r="O240" s="109" t="str">
        <f>"$D$"&amp;A240</f>
        <v>$D$42</v>
      </c>
      <c r="P240" s="109" t="str">
        <f>"$I$"&amp;A240</f>
        <v>$I$42</v>
      </c>
      <c r="Q240" s="109"/>
      <c r="R240" s="109"/>
      <c r="S240" s="109"/>
      <c r="T240" s="109">
        <v>25</v>
      </c>
      <c r="U240" s="109" t="b">
        <v>1</v>
      </c>
      <c r="V240" s="109" t="s">
        <v>1342</v>
      </c>
      <c r="W240" s="109" t="s">
        <v>1342</v>
      </c>
      <c r="X240" s="109"/>
      <c r="Y240" s="109"/>
      <c r="Z240" s="109"/>
      <c r="AA240" s="109"/>
      <c r="AB240" s="109"/>
      <c r="AC240" s="109">
        <v>5</v>
      </c>
      <c r="AD240" s="109" t="s">
        <v>105</v>
      </c>
      <c r="AE240" s="109">
        <v>14</v>
      </c>
      <c r="AF240" s="109"/>
      <c r="AG240" s="109" t="s">
        <v>1360</v>
      </c>
      <c r="AH240" s="109" t="s">
        <v>29</v>
      </c>
      <c r="AI240" s="109" t="s">
        <v>28</v>
      </c>
      <c r="AJ240" s="109"/>
      <c r="AK240" s="109" t="s">
        <v>1342</v>
      </c>
      <c r="AL240" s="109">
        <v>5</v>
      </c>
      <c r="AM240" s="109"/>
      <c r="AN240" s="109"/>
      <c r="AO240" s="109"/>
      <c r="AP240" s="109" t="b">
        <v>1</v>
      </c>
      <c r="AQ240" s="296" t="s">
        <v>1267</v>
      </c>
      <c r="AR240" s="296"/>
      <c r="AS240" s="296"/>
      <c r="AT240" s="296"/>
      <c r="AU240" s="296"/>
      <c r="AV240" s="296"/>
    </row>
    <row r="241" spans="1:48" ht="16.5" customHeight="1" x14ac:dyDescent="0.2">
      <c r="A241" s="108">
        <f>$A$239+0</f>
        <v>42</v>
      </c>
      <c r="B241" s="110" t="str">
        <f>D241&amp;"Red"</f>
        <v>CFG_FinanskontiVRed</v>
      </c>
      <c r="C241" s="110" t="s">
        <v>656</v>
      </c>
      <c r="D241" s="110" t="s">
        <v>817</v>
      </c>
      <c r="E241" s="110" t="s">
        <v>814</v>
      </c>
      <c r="F241" s="110"/>
      <c r="G241" s="110" t="s">
        <v>1152</v>
      </c>
      <c r="H241" s="110"/>
      <c r="I241" s="110" t="s">
        <v>1247</v>
      </c>
      <c r="J241" s="110"/>
      <c r="K241" s="110" t="b">
        <v>1</v>
      </c>
      <c r="L241" s="110"/>
      <c r="M241" s="110" t="str">
        <f>"'editNorm """&amp;D241&amp;""","""&amp;B241&amp;""","""&amp;E241&amp;"""'"</f>
        <v>'editNorm "CFG_FinanskontiV","CFG_FinanskontiVRed","CFG_Finanskonti"'</v>
      </c>
      <c r="N241" s="110" t="s">
        <v>59</v>
      </c>
      <c r="O241" s="110" t="str">
        <f>"$L$"&amp;A241</f>
        <v>$L$42</v>
      </c>
      <c r="P241" s="110" t="str">
        <f>"$M$"&amp;A241</f>
        <v>$M$42</v>
      </c>
      <c r="Q241" s="110">
        <v>5</v>
      </c>
      <c r="R241" s="110">
        <v>1</v>
      </c>
      <c r="S241" s="110"/>
      <c r="T241" s="110">
        <v>22</v>
      </c>
      <c r="U241" s="110" t="b">
        <v>1</v>
      </c>
      <c r="V241" s="110" t="s">
        <v>1344</v>
      </c>
      <c r="W241" s="110" t="s">
        <v>1343</v>
      </c>
      <c r="X241" s="110"/>
      <c r="Y241" s="110"/>
      <c r="Z241" s="110"/>
      <c r="AA241" s="110"/>
      <c r="AB241" s="110">
        <v>3</v>
      </c>
      <c r="AC241" s="110">
        <v>5</v>
      </c>
      <c r="AD241" s="110" t="s">
        <v>105</v>
      </c>
      <c r="AE241" s="110">
        <v>12</v>
      </c>
      <c r="AF241" s="110"/>
      <c r="AG241" s="110" t="s">
        <v>1351</v>
      </c>
      <c r="AH241" s="110" t="s">
        <v>29</v>
      </c>
      <c r="AI241" s="110" t="s">
        <v>29</v>
      </c>
      <c r="AJ241" s="110"/>
      <c r="AK241" s="110"/>
      <c r="AL241" s="110"/>
      <c r="AM241" s="110"/>
      <c r="AN241" s="110">
        <v>2</v>
      </c>
      <c r="AO241" s="110"/>
      <c r="AP241" s="110"/>
    </row>
    <row r="242" spans="1:48" ht="16.5" customHeight="1" x14ac:dyDescent="0.2">
      <c r="A242" s="108">
        <f>$A$239+0</f>
        <v>42</v>
      </c>
      <c r="B242" s="110" t="str">
        <f>D242&amp;"Gem"</f>
        <v>CFG_FinanskontiVGem</v>
      </c>
      <c r="C242" s="110" t="s">
        <v>656</v>
      </c>
      <c r="D242" s="110" t="s">
        <v>817</v>
      </c>
      <c r="E242" s="110" t="s">
        <v>814</v>
      </c>
      <c r="F242" s="110"/>
      <c r="G242" s="110" t="s">
        <v>1152</v>
      </c>
      <c r="H242" s="110"/>
      <c r="I242" s="110" t="s">
        <v>238</v>
      </c>
      <c r="J242" s="110"/>
      <c r="K242" s="110"/>
      <c r="L242" s="110"/>
      <c r="M242" s="110" t="str">
        <f>"'editNorm """&amp;D242&amp;""","""&amp;B242&amp;""","""&amp;E242&amp;"""'"</f>
        <v>'editNorm "CFG_FinanskontiV","CFG_FinanskontiVGem","CFG_Finanskonti"'</v>
      </c>
      <c r="N242" s="110" t="s">
        <v>59</v>
      </c>
      <c r="O242" s="110" t="str">
        <f>"$L$"&amp;A242</f>
        <v>$L$42</v>
      </c>
      <c r="P242" s="110" t="str">
        <f>"$L$"&amp;A242</f>
        <v>$L$42</v>
      </c>
      <c r="Q242" s="110">
        <v>5</v>
      </c>
      <c r="R242" s="110">
        <v>1</v>
      </c>
      <c r="S242" s="110"/>
      <c r="T242" s="110">
        <v>22</v>
      </c>
      <c r="U242" s="110" t="b">
        <v>1</v>
      </c>
      <c r="V242" s="110" t="s">
        <v>1345</v>
      </c>
      <c r="W242" s="110" t="s">
        <v>1343</v>
      </c>
      <c r="X242" s="110"/>
      <c r="Y242" s="110"/>
      <c r="Z242" s="110"/>
      <c r="AA242" s="110"/>
      <c r="AB242" s="110">
        <v>3</v>
      </c>
      <c r="AC242" s="110">
        <v>5</v>
      </c>
      <c r="AD242" s="110" t="s">
        <v>105</v>
      </c>
      <c r="AE242" s="110">
        <v>12</v>
      </c>
      <c r="AF242" s="110"/>
      <c r="AG242" s="110" t="s">
        <v>1351</v>
      </c>
      <c r="AH242" s="110" t="s">
        <v>29</v>
      </c>
      <c r="AI242" s="110" t="s">
        <v>29</v>
      </c>
      <c r="AJ242" s="110"/>
      <c r="AK242" s="110"/>
      <c r="AL242" s="110"/>
      <c r="AM242" s="110"/>
      <c r="AN242" s="110">
        <v>2</v>
      </c>
      <c r="AO242" s="110"/>
      <c r="AP242" s="110"/>
    </row>
    <row r="243" spans="1:48" ht="16.5" customHeight="1" x14ac:dyDescent="0.2">
      <c r="A243" s="108">
        <f>$A$239+0</f>
        <v>42</v>
      </c>
      <c r="B243" s="110" t="str">
        <f>D243&amp;"Cancel"</f>
        <v>CFG_FinanskontiVCancel</v>
      </c>
      <c r="C243" s="110" t="s">
        <v>656</v>
      </c>
      <c r="D243" s="110" t="s">
        <v>817</v>
      </c>
      <c r="E243" s="110" t="s">
        <v>814</v>
      </c>
      <c r="F243" s="110"/>
      <c r="G243" s="110" t="s">
        <v>1152</v>
      </c>
      <c r="H243" s="110"/>
      <c r="I243" s="110" t="s">
        <v>838</v>
      </c>
      <c r="J243" s="110"/>
      <c r="K243" s="110"/>
      <c r="L243" s="110"/>
      <c r="M243" s="110" t="str">
        <f>"'editNorm """&amp;D243&amp;""","""&amp;B243&amp;""","""&amp;E243&amp;"""'"</f>
        <v>'editNorm "CFG_FinanskontiV","CFG_FinanskontiVCancel","CFG_Finanskonti"'</v>
      </c>
      <c r="N243" s="110" t="s">
        <v>59</v>
      </c>
      <c r="O243" s="110" t="str">
        <f>"$M$"&amp;A243</f>
        <v>$M$42</v>
      </c>
      <c r="P243" s="110" t="str">
        <f>"$M$"&amp;A243</f>
        <v>$M$42</v>
      </c>
      <c r="Q243" s="110">
        <v>7</v>
      </c>
      <c r="R243" s="110">
        <v>1</v>
      </c>
      <c r="S243" s="110"/>
      <c r="T243" s="110">
        <v>22</v>
      </c>
      <c r="U243" s="110" t="b">
        <v>1</v>
      </c>
      <c r="V243" s="110" t="s">
        <v>1344</v>
      </c>
      <c r="W243" s="110" t="s">
        <v>1343</v>
      </c>
      <c r="X243" s="110"/>
      <c r="Y243" s="110"/>
      <c r="Z243" s="110"/>
      <c r="AA243" s="110"/>
      <c r="AB243" s="110">
        <v>3</v>
      </c>
      <c r="AC243" s="110">
        <v>5</v>
      </c>
      <c r="AD243" s="110" t="s">
        <v>105</v>
      </c>
      <c r="AE243" s="110">
        <v>12</v>
      </c>
      <c r="AF243" s="110"/>
      <c r="AG243" s="110" t="s">
        <v>1351</v>
      </c>
      <c r="AH243" s="110" t="s">
        <v>29</v>
      </c>
      <c r="AI243" s="110" t="s">
        <v>29</v>
      </c>
      <c r="AJ243" s="110"/>
      <c r="AK243" s="110"/>
      <c r="AL243" s="110"/>
      <c r="AM243" s="110"/>
      <c r="AN243" s="110">
        <v>2</v>
      </c>
      <c r="AO243" s="110"/>
      <c r="AP243" s="110"/>
    </row>
    <row r="244" spans="1:48" ht="16.5" customHeight="1" x14ac:dyDescent="0.2">
      <c r="A244" s="108">
        <f>$A$239+0</f>
        <v>42</v>
      </c>
      <c r="B244" s="110" t="str">
        <f>D244&amp;"Delete"</f>
        <v>CFG_FinanskontiVDelete</v>
      </c>
      <c r="C244" s="110" t="s">
        <v>656</v>
      </c>
      <c r="D244" s="110" t="s">
        <v>817</v>
      </c>
      <c r="E244" s="110" t="s">
        <v>814</v>
      </c>
      <c r="F244" s="110"/>
      <c r="G244" s="110" t="s">
        <v>1152</v>
      </c>
      <c r="H244" s="110"/>
      <c r="I244" s="110" t="s">
        <v>839</v>
      </c>
      <c r="J244" s="110"/>
      <c r="K244" s="110"/>
      <c r="L244" s="110"/>
      <c r="M244" s="110" t="str">
        <f>"'editNorm """&amp;D244&amp;""","""&amp;B244&amp;""","""&amp;E244&amp;"""'"</f>
        <v>'editNorm "CFG_FinanskontiV","CFG_FinanskontiVDelete","CFG_Finanskonti"'</v>
      </c>
      <c r="N244" s="110" t="s">
        <v>59</v>
      </c>
      <c r="O244" s="110" t="str">
        <f>"$N$"&amp;A244</f>
        <v>$N$42</v>
      </c>
      <c r="P244" s="110" t="str">
        <f>"$N$"&amp;A244</f>
        <v>$N$42</v>
      </c>
      <c r="Q244" s="110">
        <v>7</v>
      </c>
      <c r="R244" s="110">
        <v>1</v>
      </c>
      <c r="S244" s="110"/>
      <c r="T244" s="110">
        <v>22</v>
      </c>
      <c r="U244" s="110" t="b">
        <v>1</v>
      </c>
      <c r="V244" s="110" t="s">
        <v>1346</v>
      </c>
      <c r="W244" s="110" t="s">
        <v>1343</v>
      </c>
      <c r="X244" s="110"/>
      <c r="Y244" s="110"/>
      <c r="Z244" s="110"/>
      <c r="AA244" s="110"/>
      <c r="AB244" s="110">
        <v>3</v>
      </c>
      <c r="AC244" s="110">
        <v>5</v>
      </c>
      <c r="AD244" s="110" t="s">
        <v>105</v>
      </c>
      <c r="AE244" s="110">
        <v>12</v>
      </c>
      <c r="AF244" s="110"/>
      <c r="AG244" s="110" t="s">
        <v>1351</v>
      </c>
      <c r="AH244" s="110" t="s">
        <v>29</v>
      </c>
      <c r="AI244" s="110" t="s">
        <v>29</v>
      </c>
      <c r="AJ244" s="110"/>
      <c r="AK244" s="110"/>
      <c r="AL244" s="110"/>
      <c r="AM244" s="110"/>
      <c r="AN244" s="110">
        <v>2</v>
      </c>
      <c r="AO244" s="110"/>
      <c r="AP244" s="110"/>
    </row>
    <row r="245" spans="1:48" ht="16.5" customHeight="1" x14ac:dyDescent="0.2">
      <c r="A245" s="108">
        <f>$A$239+1</f>
        <v>43</v>
      </c>
      <c r="B245" s="106" t="s">
        <v>815</v>
      </c>
      <c r="C245" s="106" t="s">
        <v>655</v>
      </c>
      <c r="D245" s="106"/>
      <c r="E245" s="106" t="s">
        <v>814</v>
      </c>
      <c r="F245" s="106"/>
      <c r="G245" s="106" t="s">
        <v>1152</v>
      </c>
      <c r="H245" s="106"/>
      <c r="I245" s="106"/>
      <c r="J245" s="106"/>
      <c r="K245" s="106" t="b">
        <v>1</v>
      </c>
      <c r="L245" s="106"/>
      <c r="M245" s="106"/>
      <c r="N245" s="106" t="s">
        <v>59</v>
      </c>
      <c r="O245" s="106" t="str">
        <f>"$D$"&amp;A245</f>
        <v>$D$43</v>
      </c>
      <c r="P245" s="106" t="str">
        <f>"$M$"&amp;A245+1</f>
        <v>$M$44</v>
      </c>
      <c r="Q245" s="106"/>
      <c r="R245" s="106">
        <v>2</v>
      </c>
      <c r="S245" s="106"/>
      <c r="T245" s="106">
        <v>2</v>
      </c>
      <c r="U245" s="106" t="b">
        <v>1</v>
      </c>
      <c r="V245" s="106" t="s">
        <v>1344</v>
      </c>
      <c r="W245" s="106" t="s">
        <v>1343</v>
      </c>
      <c r="X245" s="106"/>
      <c r="Y245" s="106"/>
      <c r="Z245" s="106"/>
      <c r="AA245" s="106"/>
      <c r="AB245" s="106"/>
      <c r="AC245" s="106"/>
      <c r="AD245" s="106"/>
      <c r="AE245" s="106"/>
      <c r="AF245" s="106"/>
      <c r="AG245" s="106"/>
      <c r="AH245" s="106"/>
      <c r="AI245" s="106"/>
      <c r="AJ245" s="106"/>
      <c r="AK245" s="106"/>
      <c r="AL245" s="106"/>
      <c r="AM245" s="106"/>
      <c r="AN245" s="106"/>
      <c r="AO245" s="106"/>
      <c r="AP245" s="106"/>
    </row>
    <row r="246" spans="1:48" ht="16.5" customHeight="1" x14ac:dyDescent="0.2">
      <c r="A246" s="109">
        <f>$A$245+-1</f>
        <v>42</v>
      </c>
      <c r="B246" s="109" t="s">
        <v>825</v>
      </c>
      <c r="C246" s="109" t="s">
        <v>96</v>
      </c>
      <c r="D246" s="109"/>
      <c r="E246" s="109" t="s">
        <v>814</v>
      </c>
      <c r="F246" s="109"/>
      <c r="G246" s="109" t="s">
        <v>1152</v>
      </c>
      <c r="H246" s="109">
        <v>1</v>
      </c>
      <c r="I246" s="109"/>
      <c r="J246" s="109" t="b">
        <f t="shared" ref="J246:J302" si="17">$E$3</f>
        <v>1</v>
      </c>
      <c r="K246" s="109" t="b">
        <v>1</v>
      </c>
      <c r="L246" s="109"/>
      <c r="M246" s="109"/>
      <c r="N246" s="109"/>
      <c r="O246" s="109" t="str">
        <f>"$D$"&amp;A246</f>
        <v>$D$42</v>
      </c>
      <c r="P246" s="109" t="str">
        <f>"$I$"&amp;A246</f>
        <v>$I$42</v>
      </c>
      <c r="Q246" s="109"/>
      <c r="R246" s="109"/>
      <c r="S246" s="109"/>
      <c r="T246" s="109">
        <v>25</v>
      </c>
      <c r="U246" s="109" t="b">
        <v>1</v>
      </c>
      <c r="V246" s="109" t="s">
        <v>1342</v>
      </c>
      <c r="W246" s="109" t="s">
        <v>1342</v>
      </c>
      <c r="X246" s="109"/>
      <c r="Y246" s="109"/>
      <c r="Z246" s="109"/>
      <c r="AA246" s="109"/>
      <c r="AB246" s="109"/>
      <c r="AC246" s="109">
        <v>5</v>
      </c>
      <c r="AD246" s="109" t="s">
        <v>105</v>
      </c>
      <c r="AE246" s="109">
        <v>14</v>
      </c>
      <c r="AF246" s="109"/>
      <c r="AG246" s="109" t="s">
        <v>1360</v>
      </c>
      <c r="AH246" s="109" t="s">
        <v>29</v>
      </c>
      <c r="AI246" s="109" t="s">
        <v>28</v>
      </c>
      <c r="AJ246" s="109"/>
      <c r="AK246" s="109" t="s">
        <v>1342</v>
      </c>
      <c r="AL246" s="109">
        <v>5</v>
      </c>
      <c r="AM246" s="109"/>
      <c r="AN246" s="109"/>
      <c r="AO246" s="109"/>
      <c r="AP246" s="109" t="b">
        <v>1</v>
      </c>
      <c r="AQ246" s="296" t="s">
        <v>1179</v>
      </c>
      <c r="AR246" s="296"/>
      <c r="AS246" s="296"/>
      <c r="AT246" s="296"/>
      <c r="AU246" s="296"/>
      <c r="AV246" s="296"/>
    </row>
    <row r="247" spans="1:48" ht="16.5" customHeight="1" x14ac:dyDescent="0.2">
      <c r="A247" s="110">
        <f>$A$245+-1</f>
        <v>42</v>
      </c>
      <c r="B247" s="110" t="str">
        <f>D247&amp;"Red"</f>
        <v>CFG_FinanskontiV_1Red</v>
      </c>
      <c r="C247" s="110" t="s">
        <v>656</v>
      </c>
      <c r="D247" s="110" t="s">
        <v>825</v>
      </c>
      <c r="E247" s="110" t="s">
        <v>814</v>
      </c>
      <c r="F247" s="110"/>
      <c r="G247" s="110" t="s">
        <v>1152</v>
      </c>
      <c r="H247" s="110">
        <v>1</v>
      </c>
      <c r="I247" s="110" t="s">
        <v>1247</v>
      </c>
      <c r="J247" s="110" t="b">
        <f t="shared" si="17"/>
        <v>1</v>
      </c>
      <c r="K247" s="110" t="b">
        <v>1</v>
      </c>
      <c r="L247" s="110"/>
      <c r="M247" s="110" t="str">
        <f>"'editNorm """&amp;D247&amp;""","""&amp;B247&amp;""","""&amp;E247&amp;"""'"</f>
        <v>'editNorm "CFG_FinanskontiV_1","CFG_FinanskontiV_1Red","CFG_Finanskonti"'</v>
      </c>
      <c r="N247" s="110" t="s">
        <v>59</v>
      </c>
      <c r="O247" s="110" t="str">
        <f>"$L$"&amp;A247</f>
        <v>$L$42</v>
      </c>
      <c r="P247" s="110" t="str">
        <f>"$M$"&amp;A247</f>
        <v>$M$42</v>
      </c>
      <c r="Q247" s="110">
        <v>5</v>
      </c>
      <c r="R247" s="110">
        <v>1</v>
      </c>
      <c r="S247" s="110"/>
      <c r="T247" s="110">
        <v>22</v>
      </c>
      <c r="U247" s="110" t="b">
        <v>1</v>
      </c>
      <c r="V247" s="110" t="s">
        <v>1344</v>
      </c>
      <c r="W247" s="110" t="s">
        <v>1343</v>
      </c>
      <c r="X247" s="110"/>
      <c r="Y247" s="110"/>
      <c r="Z247" s="110"/>
      <c r="AA247" s="110"/>
      <c r="AB247" s="110">
        <v>3</v>
      </c>
      <c r="AC247" s="110">
        <v>5</v>
      </c>
      <c r="AD247" s="110" t="s">
        <v>105</v>
      </c>
      <c r="AE247" s="110">
        <v>12</v>
      </c>
      <c r="AF247" s="110"/>
      <c r="AG247" s="110" t="s">
        <v>1351</v>
      </c>
      <c r="AH247" s="110" t="s">
        <v>29</v>
      </c>
      <c r="AI247" s="110" t="s">
        <v>29</v>
      </c>
      <c r="AJ247" s="110"/>
      <c r="AK247" s="110"/>
      <c r="AL247" s="110"/>
      <c r="AM247" s="110"/>
      <c r="AN247" s="110">
        <v>2</v>
      </c>
      <c r="AO247" s="110"/>
      <c r="AP247" s="110"/>
    </row>
    <row r="248" spans="1:48" ht="16.5" customHeight="1" x14ac:dyDescent="0.2">
      <c r="A248" s="110">
        <f>$A$245+-1</f>
        <v>42</v>
      </c>
      <c r="B248" s="110" t="str">
        <f>D248&amp;"Gem"</f>
        <v>CFG_FinanskontiV_1Gem</v>
      </c>
      <c r="C248" s="110" t="s">
        <v>656</v>
      </c>
      <c r="D248" s="110" t="s">
        <v>825</v>
      </c>
      <c r="E248" s="110" t="s">
        <v>814</v>
      </c>
      <c r="F248" s="110"/>
      <c r="G248" s="110" t="s">
        <v>1152</v>
      </c>
      <c r="H248" s="110">
        <v>1</v>
      </c>
      <c r="I248" s="110" t="s">
        <v>238</v>
      </c>
      <c r="J248" s="110" t="b">
        <f t="shared" si="17"/>
        <v>1</v>
      </c>
      <c r="K248" s="110"/>
      <c r="L248" s="110"/>
      <c r="M248" s="110" t="str">
        <f>"'editNorm """&amp;D248&amp;""","""&amp;B248&amp;""","""&amp;E248&amp;"""'"</f>
        <v>'editNorm "CFG_FinanskontiV_1","CFG_FinanskontiV_1Gem","CFG_Finanskonti"'</v>
      </c>
      <c r="N248" s="110" t="s">
        <v>59</v>
      </c>
      <c r="O248" s="110" t="str">
        <f>"$L$"&amp;A248</f>
        <v>$L$42</v>
      </c>
      <c r="P248" s="110" t="str">
        <f>"$L$"&amp;A248</f>
        <v>$L$42</v>
      </c>
      <c r="Q248" s="110">
        <v>5</v>
      </c>
      <c r="R248" s="110">
        <v>1</v>
      </c>
      <c r="S248" s="110"/>
      <c r="T248" s="110">
        <v>22</v>
      </c>
      <c r="U248" s="110" t="b">
        <v>1</v>
      </c>
      <c r="V248" s="110" t="s">
        <v>1345</v>
      </c>
      <c r="W248" s="110" t="s">
        <v>1343</v>
      </c>
      <c r="X248" s="110"/>
      <c r="Y248" s="110"/>
      <c r="Z248" s="110"/>
      <c r="AA248" s="110"/>
      <c r="AB248" s="110">
        <v>3</v>
      </c>
      <c r="AC248" s="110">
        <v>5</v>
      </c>
      <c r="AD248" s="110" t="s">
        <v>105</v>
      </c>
      <c r="AE248" s="110">
        <v>12</v>
      </c>
      <c r="AF248" s="110"/>
      <c r="AG248" s="110" t="s">
        <v>1351</v>
      </c>
      <c r="AH248" s="110" t="s">
        <v>29</v>
      </c>
      <c r="AI248" s="110" t="s">
        <v>29</v>
      </c>
      <c r="AJ248" s="110"/>
      <c r="AK248" s="110"/>
      <c r="AL248" s="110"/>
      <c r="AM248" s="110"/>
      <c r="AN248" s="110">
        <v>2</v>
      </c>
      <c r="AO248" s="110"/>
      <c r="AP248" s="110"/>
    </row>
    <row r="249" spans="1:48" ht="16.5" customHeight="1" x14ac:dyDescent="0.2">
      <c r="A249" s="110">
        <f>$A$245+-1</f>
        <v>42</v>
      </c>
      <c r="B249" s="110" t="str">
        <f>D249&amp;"Cancel"</f>
        <v>CFG_FinanskontiV_1Cancel</v>
      </c>
      <c r="C249" s="110" t="s">
        <v>656</v>
      </c>
      <c r="D249" s="110" t="s">
        <v>825</v>
      </c>
      <c r="E249" s="110" t="s">
        <v>814</v>
      </c>
      <c r="F249" s="110"/>
      <c r="G249" s="110" t="s">
        <v>1152</v>
      </c>
      <c r="H249" s="110">
        <v>1</v>
      </c>
      <c r="I249" s="110" t="s">
        <v>838</v>
      </c>
      <c r="J249" s="110" t="b">
        <f t="shared" si="17"/>
        <v>1</v>
      </c>
      <c r="K249" s="110"/>
      <c r="L249" s="110"/>
      <c r="M249" s="110" t="str">
        <f>"'editNorm """&amp;D249&amp;""","""&amp;B249&amp;""","""&amp;E249&amp;"""'"</f>
        <v>'editNorm "CFG_FinanskontiV_1","CFG_FinanskontiV_1Cancel","CFG_Finanskonti"'</v>
      </c>
      <c r="N249" s="110" t="s">
        <v>59</v>
      </c>
      <c r="O249" s="110" t="str">
        <f>"$M$"&amp;A249</f>
        <v>$M$42</v>
      </c>
      <c r="P249" s="110" t="str">
        <f>"$M$"&amp;A249</f>
        <v>$M$42</v>
      </c>
      <c r="Q249" s="110">
        <v>7</v>
      </c>
      <c r="R249" s="110">
        <v>1</v>
      </c>
      <c r="S249" s="110"/>
      <c r="T249" s="110">
        <v>22</v>
      </c>
      <c r="U249" s="110" t="b">
        <v>1</v>
      </c>
      <c r="V249" s="110" t="s">
        <v>1344</v>
      </c>
      <c r="W249" s="110" t="s">
        <v>1343</v>
      </c>
      <c r="X249" s="110"/>
      <c r="Y249" s="110"/>
      <c r="Z249" s="110"/>
      <c r="AA249" s="110"/>
      <c r="AB249" s="110">
        <v>3</v>
      </c>
      <c r="AC249" s="110">
        <v>5</v>
      </c>
      <c r="AD249" s="110" t="s">
        <v>105</v>
      </c>
      <c r="AE249" s="110">
        <v>12</v>
      </c>
      <c r="AF249" s="110"/>
      <c r="AG249" s="110" t="s">
        <v>1351</v>
      </c>
      <c r="AH249" s="110" t="s">
        <v>29</v>
      </c>
      <c r="AI249" s="110" t="s">
        <v>29</v>
      </c>
      <c r="AJ249" s="110"/>
      <c r="AK249" s="110"/>
      <c r="AL249" s="110"/>
      <c r="AM249" s="110"/>
      <c r="AN249" s="110">
        <v>2</v>
      </c>
      <c r="AO249" s="110"/>
      <c r="AP249" s="110"/>
    </row>
    <row r="250" spans="1:48" ht="16.5" customHeight="1" x14ac:dyDescent="0.2">
      <c r="A250" s="110">
        <f>$A$245+-1</f>
        <v>42</v>
      </c>
      <c r="B250" s="110" t="str">
        <f>D250&amp;"Delete"</f>
        <v>CFG_FinanskontiV_1Delete</v>
      </c>
      <c r="C250" s="110" t="s">
        <v>656</v>
      </c>
      <c r="D250" s="110" t="s">
        <v>825</v>
      </c>
      <c r="E250" s="110" t="s">
        <v>814</v>
      </c>
      <c r="F250" s="110"/>
      <c r="G250" s="110" t="s">
        <v>1152</v>
      </c>
      <c r="H250" s="110">
        <v>1</v>
      </c>
      <c r="I250" s="110" t="s">
        <v>839</v>
      </c>
      <c r="J250" s="110" t="b">
        <f t="shared" si="17"/>
        <v>1</v>
      </c>
      <c r="K250" s="110"/>
      <c r="L250" s="110"/>
      <c r="M250" s="110" t="str">
        <f>"'editNorm """&amp;D250&amp;""","""&amp;B250&amp;""","""&amp;E250&amp;"""'"</f>
        <v>'editNorm "CFG_FinanskontiV_1","CFG_FinanskontiV_1Delete","CFG_Finanskonti"'</v>
      </c>
      <c r="N250" s="110" t="s">
        <v>59</v>
      </c>
      <c r="O250" s="110" t="str">
        <f>"$N$"&amp;A250</f>
        <v>$N$42</v>
      </c>
      <c r="P250" s="110" t="str">
        <f>"$N$"&amp;A250</f>
        <v>$N$42</v>
      </c>
      <c r="Q250" s="110">
        <v>7</v>
      </c>
      <c r="R250" s="110">
        <v>1</v>
      </c>
      <c r="S250" s="110"/>
      <c r="T250" s="110">
        <v>22</v>
      </c>
      <c r="U250" s="110" t="b">
        <v>1</v>
      </c>
      <c r="V250" s="110" t="s">
        <v>1346</v>
      </c>
      <c r="W250" s="110" t="s">
        <v>1343</v>
      </c>
      <c r="X250" s="110"/>
      <c r="Y250" s="110"/>
      <c r="Z250" s="110"/>
      <c r="AA250" s="110"/>
      <c r="AB250" s="110">
        <v>3</v>
      </c>
      <c r="AC250" s="110">
        <v>5</v>
      </c>
      <c r="AD250" s="110" t="s">
        <v>105</v>
      </c>
      <c r="AE250" s="110">
        <v>12</v>
      </c>
      <c r="AF250" s="110"/>
      <c r="AG250" s="110" t="s">
        <v>1351</v>
      </c>
      <c r="AH250" s="110" t="s">
        <v>29</v>
      </c>
      <c r="AI250" s="110" t="s">
        <v>29</v>
      </c>
      <c r="AJ250" s="110"/>
      <c r="AK250" s="110"/>
      <c r="AL250" s="110"/>
      <c r="AM250" s="110"/>
      <c r="AN250" s="110">
        <v>2</v>
      </c>
      <c r="AO250" s="110"/>
      <c r="AP250" s="110"/>
    </row>
    <row r="251" spans="1:48" ht="16.5" customHeight="1" x14ac:dyDescent="0.2">
      <c r="A251" s="106">
        <f>$A$245+0</f>
        <v>43</v>
      </c>
      <c r="B251" s="106" t="s">
        <v>826</v>
      </c>
      <c r="C251" s="106" t="s">
        <v>655</v>
      </c>
      <c r="D251" s="106"/>
      <c r="E251" s="106" t="s">
        <v>814</v>
      </c>
      <c r="F251" s="106"/>
      <c r="G251" s="106" t="s">
        <v>1152</v>
      </c>
      <c r="H251" s="106">
        <v>1</v>
      </c>
      <c r="I251" s="106"/>
      <c r="J251" s="106" t="b">
        <f t="shared" si="17"/>
        <v>1</v>
      </c>
      <c r="K251" s="106" t="b">
        <v>1</v>
      </c>
      <c r="L251" s="106"/>
      <c r="M251" s="106"/>
      <c r="N251" s="106" t="s">
        <v>59</v>
      </c>
      <c r="O251" s="106" t="str">
        <f>"$D$"&amp;A251</f>
        <v>$D$43</v>
      </c>
      <c r="P251" s="106" t="str">
        <f>"$M$"&amp;A251+1</f>
        <v>$M$44</v>
      </c>
      <c r="Q251" s="106"/>
      <c r="R251" s="106">
        <v>2</v>
      </c>
      <c r="S251" s="106"/>
      <c r="T251" s="106">
        <v>2</v>
      </c>
      <c r="U251" s="106" t="b">
        <v>1</v>
      </c>
      <c r="V251" s="106" t="s">
        <v>1344</v>
      </c>
      <c r="W251" s="106" t="s">
        <v>1343</v>
      </c>
      <c r="X251" s="106"/>
      <c r="Y251" s="106"/>
      <c r="Z251" s="106"/>
      <c r="AA251" s="106"/>
      <c r="AB251" s="106"/>
      <c r="AC251" s="106"/>
      <c r="AD251" s="106"/>
      <c r="AE251" s="106"/>
      <c r="AF251" s="106"/>
      <c r="AG251" s="106"/>
      <c r="AH251" s="106"/>
      <c r="AI251" s="106"/>
      <c r="AJ251" s="106"/>
      <c r="AK251" s="106"/>
      <c r="AL251" s="106"/>
      <c r="AM251" s="106"/>
      <c r="AN251" s="106"/>
      <c r="AO251" s="106"/>
      <c r="AP251" s="106"/>
    </row>
    <row r="252" spans="1:48" ht="16.5" customHeight="1" x14ac:dyDescent="0.2">
      <c r="A252" s="109">
        <f>$A$251+2</f>
        <v>45</v>
      </c>
      <c r="B252" s="109" t="s">
        <v>1159</v>
      </c>
      <c r="C252" s="109" t="s">
        <v>96</v>
      </c>
      <c r="D252" s="109"/>
      <c r="E252" s="109" t="s">
        <v>814</v>
      </c>
      <c r="F252" s="109"/>
      <c r="G252" s="109" t="s">
        <v>1152</v>
      </c>
      <c r="H252" s="109">
        <v>2</v>
      </c>
      <c r="I252" s="109"/>
      <c r="J252" s="109" t="b">
        <f t="shared" si="17"/>
        <v>1</v>
      </c>
      <c r="K252" s="109" t="b">
        <v>1</v>
      </c>
      <c r="L252" s="109"/>
      <c r="M252" s="109"/>
      <c r="N252" s="109"/>
      <c r="O252" s="109" t="str">
        <f>"$D$"&amp;A252</f>
        <v>$D$45</v>
      </c>
      <c r="P252" s="109" t="str">
        <f>"$I$"&amp;A252</f>
        <v>$I$45</v>
      </c>
      <c r="Q252" s="109"/>
      <c r="R252" s="109"/>
      <c r="S252" s="109"/>
      <c r="T252" s="109">
        <v>25</v>
      </c>
      <c r="U252" s="109" t="b">
        <v>1</v>
      </c>
      <c r="V252" s="109" t="s">
        <v>1342</v>
      </c>
      <c r="W252" s="109" t="s">
        <v>1342</v>
      </c>
      <c r="X252" s="109"/>
      <c r="Y252" s="109"/>
      <c r="Z252" s="109"/>
      <c r="AA252" s="109"/>
      <c r="AB252" s="109"/>
      <c r="AC252" s="109">
        <v>5</v>
      </c>
      <c r="AD252" s="109" t="s">
        <v>105</v>
      </c>
      <c r="AE252" s="109">
        <v>14</v>
      </c>
      <c r="AF252" s="109"/>
      <c r="AG252" s="109" t="s">
        <v>1360</v>
      </c>
      <c r="AH252" s="109" t="s">
        <v>29</v>
      </c>
      <c r="AI252" s="109" t="s">
        <v>28</v>
      </c>
      <c r="AJ252" s="109"/>
      <c r="AK252" s="109" t="s">
        <v>1342</v>
      </c>
      <c r="AL252" s="109">
        <v>5</v>
      </c>
      <c r="AM252" s="109"/>
      <c r="AN252" s="109"/>
      <c r="AO252" s="109"/>
      <c r="AP252" s="109" t="b">
        <v>1</v>
      </c>
      <c r="AQ252" s="296" t="s">
        <v>1180</v>
      </c>
      <c r="AR252" s="296"/>
      <c r="AS252" s="296"/>
      <c r="AT252" s="296"/>
      <c r="AU252" s="296"/>
      <c r="AV252" s="296"/>
    </row>
    <row r="253" spans="1:48" ht="16.5" customHeight="1" x14ac:dyDescent="0.2">
      <c r="A253" s="110">
        <f>$A$251+2</f>
        <v>45</v>
      </c>
      <c r="B253" s="110" t="str">
        <f>D253&amp;"Red"</f>
        <v>CFG_FinanskontiV_2Red</v>
      </c>
      <c r="C253" s="110" t="s">
        <v>656</v>
      </c>
      <c r="D253" s="110" t="s">
        <v>1159</v>
      </c>
      <c r="E253" s="110" t="s">
        <v>814</v>
      </c>
      <c r="F253" s="110"/>
      <c r="G253" s="110" t="s">
        <v>1152</v>
      </c>
      <c r="H253" s="110">
        <v>2</v>
      </c>
      <c r="I253" s="110" t="s">
        <v>1247</v>
      </c>
      <c r="J253" s="110" t="b">
        <f t="shared" si="17"/>
        <v>1</v>
      </c>
      <c r="K253" s="110" t="b">
        <v>1</v>
      </c>
      <c r="L253" s="110"/>
      <c r="M253" s="110" t="str">
        <f>"'editNorm """&amp;D253&amp;""","""&amp;B253&amp;""","""&amp;E253&amp;"""'"</f>
        <v>'editNorm "CFG_FinanskontiV_2","CFG_FinanskontiV_2Red","CFG_Finanskonti"'</v>
      </c>
      <c r="N253" s="110" t="s">
        <v>59</v>
      </c>
      <c r="O253" s="110" t="str">
        <f>"$L$"&amp;A253</f>
        <v>$L$45</v>
      </c>
      <c r="P253" s="110" t="str">
        <f>"$M$"&amp;A253</f>
        <v>$M$45</v>
      </c>
      <c r="Q253" s="110">
        <v>5</v>
      </c>
      <c r="R253" s="110">
        <v>1</v>
      </c>
      <c r="S253" s="110"/>
      <c r="T253" s="110">
        <v>22</v>
      </c>
      <c r="U253" s="110" t="b">
        <v>1</v>
      </c>
      <c r="V253" s="110" t="s">
        <v>1344</v>
      </c>
      <c r="W253" s="110" t="s">
        <v>1343</v>
      </c>
      <c r="X253" s="110"/>
      <c r="Y253" s="110"/>
      <c r="Z253" s="110"/>
      <c r="AA253" s="110"/>
      <c r="AB253" s="110">
        <v>3</v>
      </c>
      <c r="AC253" s="110">
        <v>5</v>
      </c>
      <c r="AD253" s="110" t="s">
        <v>105</v>
      </c>
      <c r="AE253" s="110">
        <v>12</v>
      </c>
      <c r="AF253" s="110"/>
      <c r="AG253" s="110" t="s">
        <v>1351</v>
      </c>
      <c r="AH253" s="110" t="s">
        <v>29</v>
      </c>
      <c r="AI253" s="110" t="s">
        <v>29</v>
      </c>
      <c r="AJ253" s="110"/>
      <c r="AK253" s="110"/>
      <c r="AL253" s="110"/>
      <c r="AM253" s="110"/>
      <c r="AN253" s="110">
        <v>2</v>
      </c>
      <c r="AO253" s="110"/>
      <c r="AP253" s="110"/>
    </row>
    <row r="254" spans="1:48" ht="16.5" customHeight="1" x14ac:dyDescent="0.2">
      <c r="A254" s="110">
        <f>$A$251+2</f>
        <v>45</v>
      </c>
      <c r="B254" s="110" t="str">
        <f>D254&amp;"Gem"</f>
        <v>CFG_FinanskontiV_2Gem</v>
      </c>
      <c r="C254" s="110" t="s">
        <v>656</v>
      </c>
      <c r="D254" s="110" t="s">
        <v>1159</v>
      </c>
      <c r="E254" s="110" t="s">
        <v>814</v>
      </c>
      <c r="F254" s="110"/>
      <c r="G254" s="110" t="s">
        <v>1152</v>
      </c>
      <c r="H254" s="110">
        <v>2</v>
      </c>
      <c r="I254" s="110" t="s">
        <v>238</v>
      </c>
      <c r="J254" s="110" t="b">
        <f t="shared" si="17"/>
        <v>1</v>
      </c>
      <c r="K254" s="110"/>
      <c r="L254" s="110"/>
      <c r="M254" s="110" t="str">
        <f>"'editNorm """&amp;D254&amp;""","""&amp;B254&amp;""","""&amp;E254&amp;"""'"</f>
        <v>'editNorm "CFG_FinanskontiV_2","CFG_FinanskontiV_2Gem","CFG_Finanskonti"'</v>
      </c>
      <c r="N254" s="110" t="s">
        <v>59</v>
      </c>
      <c r="O254" s="110" t="str">
        <f>"$L$"&amp;A254</f>
        <v>$L$45</v>
      </c>
      <c r="P254" s="110" t="str">
        <f>"$L$"&amp;A254</f>
        <v>$L$45</v>
      </c>
      <c r="Q254" s="110">
        <v>5</v>
      </c>
      <c r="R254" s="110">
        <v>1</v>
      </c>
      <c r="S254" s="110"/>
      <c r="T254" s="110">
        <v>22</v>
      </c>
      <c r="U254" s="110" t="b">
        <v>1</v>
      </c>
      <c r="V254" s="110" t="s">
        <v>1345</v>
      </c>
      <c r="W254" s="110" t="s">
        <v>1343</v>
      </c>
      <c r="X254" s="110"/>
      <c r="Y254" s="110"/>
      <c r="Z254" s="110"/>
      <c r="AA254" s="110"/>
      <c r="AB254" s="110">
        <v>3</v>
      </c>
      <c r="AC254" s="110">
        <v>5</v>
      </c>
      <c r="AD254" s="110" t="s">
        <v>105</v>
      </c>
      <c r="AE254" s="110">
        <v>12</v>
      </c>
      <c r="AF254" s="110"/>
      <c r="AG254" s="110" t="s">
        <v>1351</v>
      </c>
      <c r="AH254" s="110" t="s">
        <v>29</v>
      </c>
      <c r="AI254" s="110" t="s">
        <v>29</v>
      </c>
      <c r="AJ254" s="110"/>
      <c r="AK254" s="110"/>
      <c r="AL254" s="110"/>
      <c r="AM254" s="110"/>
      <c r="AN254" s="110">
        <v>2</v>
      </c>
      <c r="AO254" s="110"/>
      <c r="AP254" s="110"/>
    </row>
    <row r="255" spans="1:48" ht="16.5" customHeight="1" x14ac:dyDescent="0.2">
      <c r="A255" s="110">
        <f>$A$251+2</f>
        <v>45</v>
      </c>
      <c r="B255" s="110" t="str">
        <f>D255&amp;"Cancel"</f>
        <v>CFG_FinanskontiV_2Cancel</v>
      </c>
      <c r="C255" s="110" t="s">
        <v>656</v>
      </c>
      <c r="D255" s="110" t="s">
        <v>1159</v>
      </c>
      <c r="E255" s="110" t="s">
        <v>814</v>
      </c>
      <c r="F255" s="110"/>
      <c r="G255" s="110" t="s">
        <v>1152</v>
      </c>
      <c r="H255" s="110">
        <v>2</v>
      </c>
      <c r="I255" s="110" t="s">
        <v>838</v>
      </c>
      <c r="J255" s="110" t="b">
        <f t="shared" si="17"/>
        <v>1</v>
      </c>
      <c r="K255" s="110"/>
      <c r="L255" s="110"/>
      <c r="M255" s="110" t="str">
        <f>"'editNorm """&amp;D255&amp;""","""&amp;B255&amp;""","""&amp;E255&amp;"""'"</f>
        <v>'editNorm "CFG_FinanskontiV_2","CFG_FinanskontiV_2Cancel","CFG_Finanskonti"'</v>
      </c>
      <c r="N255" s="110" t="s">
        <v>59</v>
      </c>
      <c r="O255" s="110" t="str">
        <f>"$M$"&amp;A255</f>
        <v>$M$45</v>
      </c>
      <c r="P255" s="110" t="str">
        <f>"$M$"&amp;A255</f>
        <v>$M$45</v>
      </c>
      <c r="Q255" s="110">
        <v>7</v>
      </c>
      <c r="R255" s="110">
        <v>1</v>
      </c>
      <c r="S255" s="110"/>
      <c r="T255" s="110">
        <v>22</v>
      </c>
      <c r="U255" s="110" t="b">
        <v>1</v>
      </c>
      <c r="V255" s="110" t="s">
        <v>1344</v>
      </c>
      <c r="W255" s="110" t="s">
        <v>1343</v>
      </c>
      <c r="X255" s="110"/>
      <c r="Y255" s="110"/>
      <c r="Z255" s="110"/>
      <c r="AA255" s="110"/>
      <c r="AB255" s="110">
        <v>3</v>
      </c>
      <c r="AC255" s="110">
        <v>5</v>
      </c>
      <c r="AD255" s="110" t="s">
        <v>105</v>
      </c>
      <c r="AE255" s="110">
        <v>12</v>
      </c>
      <c r="AF255" s="110"/>
      <c r="AG255" s="110" t="s">
        <v>1351</v>
      </c>
      <c r="AH255" s="110" t="s">
        <v>29</v>
      </c>
      <c r="AI255" s="110" t="s">
        <v>29</v>
      </c>
      <c r="AJ255" s="110"/>
      <c r="AK255" s="110"/>
      <c r="AL255" s="110"/>
      <c r="AM255" s="110"/>
      <c r="AN255" s="110">
        <v>2</v>
      </c>
      <c r="AO255" s="110"/>
      <c r="AP255" s="110"/>
    </row>
    <row r="256" spans="1:48" ht="16.5" customHeight="1" x14ac:dyDescent="0.2">
      <c r="A256" s="110">
        <f>$A$251+2</f>
        <v>45</v>
      </c>
      <c r="B256" s="110" t="str">
        <f>D256&amp;"Delete"</f>
        <v>CFG_FinanskontiV_2Delete</v>
      </c>
      <c r="C256" s="110" t="s">
        <v>656</v>
      </c>
      <c r="D256" s="110" t="s">
        <v>1159</v>
      </c>
      <c r="E256" s="110" t="s">
        <v>814</v>
      </c>
      <c r="F256" s="110"/>
      <c r="G256" s="110" t="s">
        <v>1152</v>
      </c>
      <c r="H256" s="110">
        <v>2</v>
      </c>
      <c r="I256" s="110" t="s">
        <v>839</v>
      </c>
      <c r="J256" s="110" t="b">
        <f t="shared" si="17"/>
        <v>1</v>
      </c>
      <c r="K256" s="110"/>
      <c r="L256" s="110"/>
      <c r="M256" s="110" t="str">
        <f>"'editNorm """&amp;D256&amp;""","""&amp;B256&amp;""","""&amp;E256&amp;"""'"</f>
        <v>'editNorm "CFG_FinanskontiV_2","CFG_FinanskontiV_2Delete","CFG_Finanskonti"'</v>
      </c>
      <c r="N256" s="110" t="s">
        <v>59</v>
      </c>
      <c r="O256" s="110" t="str">
        <f>"$N$"&amp;A256</f>
        <v>$N$45</v>
      </c>
      <c r="P256" s="110" t="str">
        <f>"$N$"&amp;A256</f>
        <v>$N$45</v>
      </c>
      <c r="Q256" s="110">
        <v>7</v>
      </c>
      <c r="R256" s="110">
        <v>1</v>
      </c>
      <c r="S256" s="110"/>
      <c r="T256" s="110">
        <v>22</v>
      </c>
      <c r="U256" s="110" t="b">
        <v>1</v>
      </c>
      <c r="V256" s="110" t="s">
        <v>1346</v>
      </c>
      <c r="W256" s="110" t="s">
        <v>1343</v>
      </c>
      <c r="X256" s="110"/>
      <c r="Y256" s="110"/>
      <c r="Z256" s="110"/>
      <c r="AA256" s="110"/>
      <c r="AB256" s="110">
        <v>3</v>
      </c>
      <c r="AC256" s="110">
        <v>5</v>
      </c>
      <c r="AD256" s="110" t="s">
        <v>105</v>
      </c>
      <c r="AE256" s="110">
        <v>12</v>
      </c>
      <c r="AF256" s="110"/>
      <c r="AG256" s="110" t="s">
        <v>1351</v>
      </c>
      <c r="AH256" s="110" t="s">
        <v>29</v>
      </c>
      <c r="AI256" s="110" t="s">
        <v>29</v>
      </c>
      <c r="AJ256" s="110"/>
      <c r="AK256" s="110"/>
      <c r="AL256" s="110"/>
      <c r="AM256" s="110"/>
      <c r="AN256" s="110">
        <v>2</v>
      </c>
      <c r="AO256" s="110"/>
      <c r="AP256" s="110"/>
    </row>
    <row r="257" spans="1:48" ht="16.5" customHeight="1" x14ac:dyDescent="0.2">
      <c r="A257" s="106">
        <f>$A$251+3</f>
        <v>46</v>
      </c>
      <c r="B257" s="106" t="s">
        <v>1160</v>
      </c>
      <c r="C257" s="106" t="s">
        <v>655</v>
      </c>
      <c r="D257" s="106"/>
      <c r="E257" s="106" t="s">
        <v>814</v>
      </c>
      <c r="F257" s="106"/>
      <c r="G257" s="106" t="s">
        <v>1152</v>
      </c>
      <c r="H257" s="106">
        <v>2</v>
      </c>
      <c r="I257" s="106"/>
      <c r="J257" s="106" t="b">
        <f t="shared" si="17"/>
        <v>1</v>
      </c>
      <c r="K257" s="106" t="b">
        <v>1</v>
      </c>
      <c r="L257" s="106"/>
      <c r="M257" s="106"/>
      <c r="N257" s="106" t="s">
        <v>59</v>
      </c>
      <c r="O257" s="106" t="str">
        <f>"$D$"&amp;A257</f>
        <v>$D$46</v>
      </c>
      <c r="P257" s="106" t="str">
        <f>"$M$"&amp;A257+1</f>
        <v>$M$47</v>
      </c>
      <c r="Q257" s="106"/>
      <c r="R257" s="106">
        <v>2</v>
      </c>
      <c r="S257" s="106"/>
      <c r="T257" s="106">
        <v>2</v>
      </c>
      <c r="U257" s="106" t="b">
        <v>1</v>
      </c>
      <c r="V257" s="106" t="s">
        <v>1344</v>
      </c>
      <c r="W257" s="106" t="s">
        <v>1343</v>
      </c>
      <c r="X257" s="106"/>
      <c r="Y257" s="106"/>
      <c r="Z257" s="106"/>
      <c r="AA257" s="106"/>
      <c r="AB257" s="106"/>
      <c r="AC257" s="106"/>
      <c r="AD257" s="106"/>
      <c r="AE257" s="106"/>
      <c r="AF257" s="106"/>
      <c r="AG257" s="106"/>
      <c r="AH257" s="106"/>
      <c r="AI257" s="106"/>
      <c r="AJ257" s="106"/>
      <c r="AK257" s="106"/>
      <c r="AL257" s="106"/>
      <c r="AM257" s="106"/>
      <c r="AN257" s="106"/>
      <c r="AO257" s="106"/>
      <c r="AP257" s="106"/>
    </row>
    <row r="258" spans="1:48" ht="16.5" customHeight="1" x14ac:dyDescent="0.2">
      <c r="A258" s="109">
        <f>$A$257+2</f>
        <v>48</v>
      </c>
      <c r="B258" s="109" t="s">
        <v>1163</v>
      </c>
      <c r="C258" s="109" t="s">
        <v>96</v>
      </c>
      <c r="D258" s="109"/>
      <c r="E258" s="109" t="s">
        <v>814</v>
      </c>
      <c r="F258" s="109"/>
      <c r="G258" s="109" t="s">
        <v>1152</v>
      </c>
      <c r="H258" s="109">
        <v>3</v>
      </c>
      <c r="I258" s="109"/>
      <c r="J258" s="109" t="b">
        <f t="shared" si="17"/>
        <v>1</v>
      </c>
      <c r="K258" s="109" t="b">
        <v>1</v>
      </c>
      <c r="L258" s="109"/>
      <c r="M258" s="109"/>
      <c r="N258" s="109"/>
      <c r="O258" s="109" t="str">
        <f>"$D$"&amp;A258</f>
        <v>$D$48</v>
      </c>
      <c r="P258" s="109" t="str">
        <f>"$I$"&amp;A258</f>
        <v>$I$48</v>
      </c>
      <c r="Q258" s="109"/>
      <c r="R258" s="109"/>
      <c r="S258" s="109"/>
      <c r="T258" s="109">
        <v>25</v>
      </c>
      <c r="U258" s="109" t="b">
        <v>1</v>
      </c>
      <c r="V258" s="109" t="s">
        <v>1342</v>
      </c>
      <c r="W258" s="109" t="s">
        <v>1342</v>
      </c>
      <c r="X258" s="109"/>
      <c r="Y258" s="109"/>
      <c r="Z258" s="109"/>
      <c r="AA258" s="109"/>
      <c r="AB258" s="109"/>
      <c r="AC258" s="109">
        <v>5</v>
      </c>
      <c r="AD258" s="109" t="s">
        <v>105</v>
      </c>
      <c r="AE258" s="109">
        <v>14</v>
      </c>
      <c r="AF258" s="109"/>
      <c r="AG258" s="109" t="s">
        <v>1360</v>
      </c>
      <c r="AH258" s="109" t="s">
        <v>29</v>
      </c>
      <c r="AI258" s="109" t="s">
        <v>28</v>
      </c>
      <c r="AJ258" s="109"/>
      <c r="AK258" s="109" t="s">
        <v>1342</v>
      </c>
      <c r="AL258" s="109">
        <v>5</v>
      </c>
      <c r="AM258" s="109"/>
      <c r="AN258" s="109"/>
      <c r="AO258" s="109"/>
      <c r="AP258" s="109" t="b">
        <v>1</v>
      </c>
      <c r="AQ258" s="296" t="s">
        <v>1181</v>
      </c>
      <c r="AR258" s="296"/>
      <c r="AS258" s="296"/>
      <c r="AT258" s="296"/>
      <c r="AU258" s="296"/>
      <c r="AV258" s="296"/>
    </row>
    <row r="259" spans="1:48" ht="16.5" customHeight="1" x14ac:dyDescent="0.2">
      <c r="A259" s="110">
        <f>$A$257+2</f>
        <v>48</v>
      </c>
      <c r="B259" s="110" t="str">
        <f>D259&amp;"Red"</f>
        <v>CFG_FinanskontiV_3Red</v>
      </c>
      <c r="C259" s="110" t="s">
        <v>656</v>
      </c>
      <c r="D259" s="110" t="s">
        <v>1163</v>
      </c>
      <c r="E259" s="110" t="s">
        <v>814</v>
      </c>
      <c r="F259" s="110"/>
      <c r="G259" s="110" t="s">
        <v>1152</v>
      </c>
      <c r="H259" s="110">
        <v>3</v>
      </c>
      <c r="I259" s="110" t="s">
        <v>1247</v>
      </c>
      <c r="J259" s="110" t="b">
        <f t="shared" si="17"/>
        <v>1</v>
      </c>
      <c r="K259" s="110" t="b">
        <v>1</v>
      </c>
      <c r="L259" s="110"/>
      <c r="M259" s="110" t="str">
        <f>"'editNorm """&amp;D259&amp;""","""&amp;B259&amp;""","""&amp;E259&amp;"""'"</f>
        <v>'editNorm "CFG_FinanskontiV_3","CFG_FinanskontiV_3Red","CFG_Finanskonti"'</v>
      </c>
      <c r="N259" s="110" t="s">
        <v>59</v>
      </c>
      <c r="O259" s="110" t="str">
        <f>"$L$"&amp;A259</f>
        <v>$L$48</v>
      </c>
      <c r="P259" s="110" t="str">
        <f>"$M$"&amp;A259</f>
        <v>$M$48</v>
      </c>
      <c r="Q259" s="110">
        <v>5</v>
      </c>
      <c r="R259" s="110">
        <v>1</v>
      </c>
      <c r="S259" s="110"/>
      <c r="T259" s="110">
        <v>22</v>
      </c>
      <c r="U259" s="110" t="b">
        <v>1</v>
      </c>
      <c r="V259" s="110" t="s">
        <v>1344</v>
      </c>
      <c r="W259" s="110" t="s">
        <v>1343</v>
      </c>
      <c r="X259" s="110"/>
      <c r="Y259" s="110"/>
      <c r="Z259" s="110"/>
      <c r="AA259" s="110"/>
      <c r="AB259" s="110">
        <v>3</v>
      </c>
      <c r="AC259" s="110">
        <v>5</v>
      </c>
      <c r="AD259" s="110" t="s">
        <v>105</v>
      </c>
      <c r="AE259" s="110">
        <v>12</v>
      </c>
      <c r="AF259" s="110"/>
      <c r="AG259" s="110" t="s">
        <v>1351</v>
      </c>
      <c r="AH259" s="110" t="s">
        <v>29</v>
      </c>
      <c r="AI259" s="110" t="s">
        <v>29</v>
      </c>
      <c r="AJ259" s="110"/>
      <c r="AK259" s="110"/>
      <c r="AL259" s="110"/>
      <c r="AM259" s="110"/>
      <c r="AN259" s="110">
        <v>2</v>
      </c>
      <c r="AO259" s="110"/>
      <c r="AP259" s="110"/>
    </row>
    <row r="260" spans="1:48" ht="16.5" customHeight="1" x14ac:dyDescent="0.2">
      <c r="A260" s="110">
        <f>$A$257+2</f>
        <v>48</v>
      </c>
      <c r="B260" s="110" t="str">
        <f>D260&amp;"Gem"</f>
        <v>CFG_FinanskontiV_3Gem</v>
      </c>
      <c r="C260" s="110" t="s">
        <v>656</v>
      </c>
      <c r="D260" s="110" t="s">
        <v>1163</v>
      </c>
      <c r="E260" s="110" t="s">
        <v>814</v>
      </c>
      <c r="F260" s="110"/>
      <c r="G260" s="110" t="s">
        <v>1152</v>
      </c>
      <c r="H260" s="110">
        <v>3</v>
      </c>
      <c r="I260" s="110" t="s">
        <v>238</v>
      </c>
      <c r="J260" s="110" t="b">
        <f t="shared" si="17"/>
        <v>1</v>
      </c>
      <c r="K260" s="110"/>
      <c r="L260" s="110"/>
      <c r="M260" s="110" t="str">
        <f>"'editNorm """&amp;D260&amp;""","""&amp;B260&amp;""","""&amp;E260&amp;"""'"</f>
        <v>'editNorm "CFG_FinanskontiV_3","CFG_FinanskontiV_3Gem","CFG_Finanskonti"'</v>
      </c>
      <c r="N260" s="110" t="s">
        <v>59</v>
      </c>
      <c r="O260" s="110" t="str">
        <f>"$L$"&amp;A260</f>
        <v>$L$48</v>
      </c>
      <c r="P260" s="110" t="str">
        <f>"$L$"&amp;A260</f>
        <v>$L$48</v>
      </c>
      <c r="Q260" s="110">
        <v>5</v>
      </c>
      <c r="R260" s="110">
        <v>1</v>
      </c>
      <c r="S260" s="110"/>
      <c r="T260" s="110">
        <v>22</v>
      </c>
      <c r="U260" s="110" t="b">
        <v>1</v>
      </c>
      <c r="V260" s="110" t="s">
        <v>1345</v>
      </c>
      <c r="W260" s="110" t="s">
        <v>1343</v>
      </c>
      <c r="X260" s="110"/>
      <c r="Y260" s="110"/>
      <c r="Z260" s="110"/>
      <c r="AA260" s="110"/>
      <c r="AB260" s="110">
        <v>3</v>
      </c>
      <c r="AC260" s="110">
        <v>5</v>
      </c>
      <c r="AD260" s="110" t="s">
        <v>105</v>
      </c>
      <c r="AE260" s="110">
        <v>12</v>
      </c>
      <c r="AF260" s="110"/>
      <c r="AG260" s="110" t="s">
        <v>1351</v>
      </c>
      <c r="AH260" s="110" t="s">
        <v>29</v>
      </c>
      <c r="AI260" s="110" t="s">
        <v>29</v>
      </c>
      <c r="AJ260" s="110"/>
      <c r="AK260" s="110"/>
      <c r="AL260" s="110"/>
      <c r="AM260" s="110"/>
      <c r="AN260" s="110">
        <v>2</v>
      </c>
      <c r="AO260" s="110"/>
      <c r="AP260" s="110"/>
    </row>
    <row r="261" spans="1:48" ht="16.5" customHeight="1" x14ac:dyDescent="0.2">
      <c r="A261" s="110">
        <f>$A$257+2</f>
        <v>48</v>
      </c>
      <c r="B261" s="110" t="str">
        <f>D261&amp;"Cancel"</f>
        <v>CFG_FinanskontiV_3Cancel</v>
      </c>
      <c r="C261" s="110" t="s">
        <v>656</v>
      </c>
      <c r="D261" s="110" t="s">
        <v>1163</v>
      </c>
      <c r="E261" s="110" t="s">
        <v>814</v>
      </c>
      <c r="F261" s="110"/>
      <c r="G261" s="110" t="s">
        <v>1152</v>
      </c>
      <c r="H261" s="110">
        <v>3</v>
      </c>
      <c r="I261" s="110" t="s">
        <v>838</v>
      </c>
      <c r="J261" s="110" t="b">
        <f t="shared" si="17"/>
        <v>1</v>
      </c>
      <c r="K261" s="110"/>
      <c r="L261" s="110"/>
      <c r="M261" s="110" t="str">
        <f>"'editNorm """&amp;D261&amp;""","""&amp;B261&amp;""","""&amp;E261&amp;"""'"</f>
        <v>'editNorm "CFG_FinanskontiV_3","CFG_FinanskontiV_3Cancel","CFG_Finanskonti"'</v>
      </c>
      <c r="N261" s="110" t="s">
        <v>59</v>
      </c>
      <c r="O261" s="110" t="str">
        <f>"$M$"&amp;A261</f>
        <v>$M$48</v>
      </c>
      <c r="P261" s="110" t="str">
        <f>"$M$"&amp;A261</f>
        <v>$M$48</v>
      </c>
      <c r="Q261" s="110">
        <v>7</v>
      </c>
      <c r="R261" s="110">
        <v>1</v>
      </c>
      <c r="S261" s="110"/>
      <c r="T261" s="110">
        <v>22</v>
      </c>
      <c r="U261" s="110" t="b">
        <v>1</v>
      </c>
      <c r="V261" s="110" t="s">
        <v>1344</v>
      </c>
      <c r="W261" s="110" t="s">
        <v>1343</v>
      </c>
      <c r="X261" s="110"/>
      <c r="Y261" s="110"/>
      <c r="Z261" s="110"/>
      <c r="AA261" s="110"/>
      <c r="AB261" s="110">
        <v>3</v>
      </c>
      <c r="AC261" s="110">
        <v>5</v>
      </c>
      <c r="AD261" s="110" t="s">
        <v>105</v>
      </c>
      <c r="AE261" s="110">
        <v>12</v>
      </c>
      <c r="AF261" s="110"/>
      <c r="AG261" s="110" t="s">
        <v>1351</v>
      </c>
      <c r="AH261" s="110" t="s">
        <v>29</v>
      </c>
      <c r="AI261" s="110" t="s">
        <v>29</v>
      </c>
      <c r="AJ261" s="110"/>
      <c r="AK261" s="110"/>
      <c r="AL261" s="110"/>
      <c r="AM261" s="110"/>
      <c r="AN261" s="110">
        <v>2</v>
      </c>
      <c r="AO261" s="110"/>
      <c r="AP261" s="110"/>
    </row>
    <row r="262" spans="1:48" ht="16.5" customHeight="1" x14ac:dyDescent="0.2">
      <c r="A262" s="110">
        <f>$A$257+2</f>
        <v>48</v>
      </c>
      <c r="B262" s="110" t="str">
        <f>D262&amp;"Delete"</f>
        <v>CFG_FinanskontiV_3Delete</v>
      </c>
      <c r="C262" s="110" t="s">
        <v>656</v>
      </c>
      <c r="D262" s="110" t="s">
        <v>1163</v>
      </c>
      <c r="E262" s="110" t="s">
        <v>814</v>
      </c>
      <c r="F262" s="110"/>
      <c r="G262" s="110" t="s">
        <v>1152</v>
      </c>
      <c r="H262" s="110">
        <v>3</v>
      </c>
      <c r="I262" s="110" t="s">
        <v>839</v>
      </c>
      <c r="J262" s="110" t="b">
        <f t="shared" si="17"/>
        <v>1</v>
      </c>
      <c r="K262" s="110"/>
      <c r="L262" s="110"/>
      <c r="M262" s="110" t="str">
        <f>"'editNorm """&amp;D262&amp;""","""&amp;B262&amp;""","""&amp;E262&amp;"""'"</f>
        <v>'editNorm "CFG_FinanskontiV_3","CFG_FinanskontiV_3Delete","CFG_Finanskonti"'</v>
      </c>
      <c r="N262" s="110" t="s">
        <v>59</v>
      </c>
      <c r="O262" s="110" t="str">
        <f>"$N$"&amp;A262</f>
        <v>$N$48</v>
      </c>
      <c r="P262" s="110" t="str">
        <f>"$N$"&amp;A262</f>
        <v>$N$48</v>
      </c>
      <c r="Q262" s="110">
        <v>7</v>
      </c>
      <c r="R262" s="110">
        <v>1</v>
      </c>
      <c r="S262" s="110"/>
      <c r="T262" s="110">
        <v>22</v>
      </c>
      <c r="U262" s="110" t="b">
        <v>1</v>
      </c>
      <c r="V262" s="110" t="s">
        <v>1346</v>
      </c>
      <c r="W262" s="110" t="s">
        <v>1343</v>
      </c>
      <c r="X262" s="110"/>
      <c r="Y262" s="110"/>
      <c r="Z262" s="110"/>
      <c r="AA262" s="110"/>
      <c r="AB262" s="110">
        <v>3</v>
      </c>
      <c r="AC262" s="110">
        <v>5</v>
      </c>
      <c r="AD262" s="110" t="s">
        <v>105</v>
      </c>
      <c r="AE262" s="110">
        <v>12</v>
      </c>
      <c r="AF262" s="110"/>
      <c r="AG262" s="110" t="s">
        <v>1351</v>
      </c>
      <c r="AH262" s="110" t="s">
        <v>29</v>
      </c>
      <c r="AI262" s="110" t="s">
        <v>29</v>
      </c>
      <c r="AJ262" s="110"/>
      <c r="AK262" s="110"/>
      <c r="AL262" s="110"/>
      <c r="AM262" s="110"/>
      <c r="AN262" s="110">
        <v>2</v>
      </c>
      <c r="AO262" s="110"/>
      <c r="AP262" s="110"/>
    </row>
    <row r="263" spans="1:48" ht="16.5" customHeight="1" x14ac:dyDescent="0.2">
      <c r="A263" s="106">
        <f>$A$257+3</f>
        <v>49</v>
      </c>
      <c r="B263" s="106" t="s">
        <v>1164</v>
      </c>
      <c r="C263" s="106" t="s">
        <v>655</v>
      </c>
      <c r="D263" s="106"/>
      <c r="E263" s="106" t="s">
        <v>814</v>
      </c>
      <c r="F263" s="106"/>
      <c r="G263" s="106" t="s">
        <v>1152</v>
      </c>
      <c r="H263" s="106">
        <v>3</v>
      </c>
      <c r="I263" s="106"/>
      <c r="J263" s="106" t="b">
        <f t="shared" si="17"/>
        <v>1</v>
      </c>
      <c r="K263" s="106" t="b">
        <v>1</v>
      </c>
      <c r="L263" s="106"/>
      <c r="M263" s="106"/>
      <c r="N263" s="106" t="s">
        <v>59</v>
      </c>
      <c r="O263" s="106" t="str">
        <f>"$D$"&amp;A263</f>
        <v>$D$49</v>
      </c>
      <c r="P263" s="106" t="str">
        <f>"$M$"&amp;A263+1</f>
        <v>$M$50</v>
      </c>
      <c r="Q263" s="106"/>
      <c r="R263" s="106">
        <v>2</v>
      </c>
      <c r="S263" s="106"/>
      <c r="T263" s="106">
        <v>2</v>
      </c>
      <c r="U263" s="106" t="b">
        <v>1</v>
      </c>
      <c r="V263" s="106" t="s">
        <v>1344</v>
      </c>
      <c r="W263" s="106" t="s">
        <v>1343</v>
      </c>
      <c r="X263" s="106"/>
      <c r="Y263" s="106"/>
      <c r="Z263" s="106"/>
      <c r="AA263" s="106"/>
      <c r="AB263" s="106"/>
      <c r="AC263" s="106"/>
      <c r="AD263" s="106"/>
      <c r="AE263" s="106"/>
      <c r="AF263" s="106"/>
      <c r="AG263" s="106"/>
      <c r="AH263" s="106"/>
      <c r="AI263" s="106"/>
      <c r="AJ263" s="106"/>
      <c r="AK263" s="106"/>
      <c r="AL263" s="106"/>
      <c r="AM263" s="106"/>
      <c r="AN263" s="106"/>
      <c r="AO263" s="106"/>
      <c r="AP263" s="106"/>
    </row>
    <row r="264" spans="1:48" ht="16.5" customHeight="1" x14ac:dyDescent="0.2">
      <c r="A264" s="109">
        <f>$A$263+2</f>
        <v>51</v>
      </c>
      <c r="B264" s="109" t="s">
        <v>1167</v>
      </c>
      <c r="C264" s="109" t="s">
        <v>96</v>
      </c>
      <c r="D264" s="109"/>
      <c r="E264" s="109" t="s">
        <v>814</v>
      </c>
      <c r="F264" s="109"/>
      <c r="G264" s="109" t="s">
        <v>1152</v>
      </c>
      <c r="H264" s="109">
        <v>4</v>
      </c>
      <c r="I264" s="109"/>
      <c r="J264" s="109" t="b">
        <f t="shared" si="17"/>
        <v>1</v>
      </c>
      <c r="K264" s="109" t="b">
        <v>1</v>
      </c>
      <c r="L264" s="109"/>
      <c r="M264" s="109"/>
      <c r="N264" s="109"/>
      <c r="O264" s="109" t="str">
        <f>"$D$"&amp;A264</f>
        <v>$D$51</v>
      </c>
      <c r="P264" s="109" t="str">
        <f>"$I$"&amp;A264</f>
        <v>$I$51</v>
      </c>
      <c r="Q264" s="109"/>
      <c r="R264" s="109"/>
      <c r="S264" s="109"/>
      <c r="T264" s="109">
        <v>25</v>
      </c>
      <c r="U264" s="109" t="b">
        <v>1</v>
      </c>
      <c r="V264" s="109" t="s">
        <v>1342</v>
      </c>
      <c r="W264" s="109" t="s">
        <v>1342</v>
      </c>
      <c r="X264" s="109"/>
      <c r="Y264" s="109"/>
      <c r="Z264" s="109"/>
      <c r="AA264" s="109"/>
      <c r="AB264" s="109"/>
      <c r="AC264" s="109">
        <v>5</v>
      </c>
      <c r="AD264" s="109" t="s">
        <v>105</v>
      </c>
      <c r="AE264" s="109">
        <v>14</v>
      </c>
      <c r="AF264" s="109"/>
      <c r="AG264" s="109" t="s">
        <v>1360</v>
      </c>
      <c r="AH264" s="109" t="s">
        <v>29</v>
      </c>
      <c r="AI264" s="109" t="s">
        <v>28</v>
      </c>
      <c r="AJ264" s="109"/>
      <c r="AK264" s="109" t="s">
        <v>1342</v>
      </c>
      <c r="AL264" s="109">
        <v>5</v>
      </c>
      <c r="AM264" s="109"/>
      <c r="AN264" s="109"/>
      <c r="AO264" s="109"/>
      <c r="AP264" s="109" t="b">
        <v>1</v>
      </c>
      <c r="AQ264" s="296" t="s">
        <v>1182</v>
      </c>
      <c r="AR264" s="296"/>
      <c r="AS264" s="296"/>
      <c r="AT264" s="296"/>
      <c r="AU264" s="296"/>
      <c r="AV264" s="296"/>
    </row>
    <row r="265" spans="1:48" ht="16.5" customHeight="1" x14ac:dyDescent="0.2">
      <c r="A265" s="110">
        <f>$A$263+2</f>
        <v>51</v>
      </c>
      <c r="B265" s="110" t="str">
        <f>D265&amp;"Red"</f>
        <v>CFG_FinanskontiV_4Red</v>
      </c>
      <c r="C265" s="110" t="s">
        <v>656</v>
      </c>
      <c r="D265" s="110" t="s">
        <v>1167</v>
      </c>
      <c r="E265" s="110" t="s">
        <v>814</v>
      </c>
      <c r="F265" s="110"/>
      <c r="G265" s="110" t="s">
        <v>1152</v>
      </c>
      <c r="H265" s="110">
        <v>4</v>
      </c>
      <c r="I265" s="110" t="s">
        <v>1247</v>
      </c>
      <c r="J265" s="110" t="b">
        <f t="shared" si="17"/>
        <v>1</v>
      </c>
      <c r="K265" s="110" t="b">
        <v>1</v>
      </c>
      <c r="L265" s="110"/>
      <c r="M265" s="110" t="str">
        <f>"'editNorm """&amp;D265&amp;""","""&amp;B265&amp;""","""&amp;E265&amp;"""'"</f>
        <v>'editNorm "CFG_FinanskontiV_4","CFG_FinanskontiV_4Red","CFG_Finanskonti"'</v>
      </c>
      <c r="N265" s="110" t="s">
        <v>59</v>
      </c>
      <c r="O265" s="110" t="str">
        <f>"$L$"&amp;A265</f>
        <v>$L$51</v>
      </c>
      <c r="P265" s="110" t="str">
        <f>"$M$"&amp;A265</f>
        <v>$M$51</v>
      </c>
      <c r="Q265" s="110">
        <v>5</v>
      </c>
      <c r="R265" s="110">
        <v>1</v>
      </c>
      <c r="S265" s="110"/>
      <c r="T265" s="110">
        <v>22</v>
      </c>
      <c r="U265" s="110" t="b">
        <v>1</v>
      </c>
      <c r="V265" s="110" t="s">
        <v>1344</v>
      </c>
      <c r="W265" s="110" t="s">
        <v>1343</v>
      </c>
      <c r="X265" s="110"/>
      <c r="Y265" s="110"/>
      <c r="Z265" s="110"/>
      <c r="AA265" s="110"/>
      <c r="AB265" s="110">
        <v>3</v>
      </c>
      <c r="AC265" s="110">
        <v>5</v>
      </c>
      <c r="AD265" s="110" t="s">
        <v>105</v>
      </c>
      <c r="AE265" s="110">
        <v>12</v>
      </c>
      <c r="AF265" s="110"/>
      <c r="AG265" s="110" t="s">
        <v>1351</v>
      </c>
      <c r="AH265" s="110" t="s">
        <v>29</v>
      </c>
      <c r="AI265" s="110" t="s">
        <v>29</v>
      </c>
      <c r="AJ265" s="110"/>
      <c r="AK265" s="110"/>
      <c r="AL265" s="110"/>
      <c r="AM265" s="110"/>
      <c r="AN265" s="110">
        <v>2</v>
      </c>
      <c r="AO265" s="110"/>
      <c r="AP265" s="110"/>
    </row>
    <row r="266" spans="1:48" ht="16.5" customHeight="1" x14ac:dyDescent="0.2">
      <c r="A266" s="110">
        <f>$A$263+2</f>
        <v>51</v>
      </c>
      <c r="B266" s="110" t="str">
        <f>D266&amp;"Gem"</f>
        <v>CFG_FinanskontiV_4Gem</v>
      </c>
      <c r="C266" s="110" t="s">
        <v>656</v>
      </c>
      <c r="D266" s="110" t="s">
        <v>1167</v>
      </c>
      <c r="E266" s="110" t="s">
        <v>814</v>
      </c>
      <c r="F266" s="110"/>
      <c r="G266" s="110" t="s">
        <v>1152</v>
      </c>
      <c r="H266" s="110">
        <v>4</v>
      </c>
      <c r="I266" s="110" t="s">
        <v>238</v>
      </c>
      <c r="J266" s="110" t="b">
        <f t="shared" si="17"/>
        <v>1</v>
      </c>
      <c r="K266" s="110"/>
      <c r="L266" s="110"/>
      <c r="M266" s="110" t="str">
        <f>"'editNorm """&amp;D266&amp;""","""&amp;B266&amp;""","""&amp;E266&amp;"""'"</f>
        <v>'editNorm "CFG_FinanskontiV_4","CFG_FinanskontiV_4Gem","CFG_Finanskonti"'</v>
      </c>
      <c r="N266" s="110" t="s">
        <v>59</v>
      </c>
      <c r="O266" s="110" t="str">
        <f>"$L$"&amp;A266</f>
        <v>$L$51</v>
      </c>
      <c r="P266" s="110" t="str">
        <f>"$L$"&amp;A266</f>
        <v>$L$51</v>
      </c>
      <c r="Q266" s="110">
        <v>5</v>
      </c>
      <c r="R266" s="110">
        <v>1</v>
      </c>
      <c r="S266" s="110"/>
      <c r="T266" s="110">
        <v>22</v>
      </c>
      <c r="U266" s="110" t="b">
        <v>1</v>
      </c>
      <c r="V266" s="110" t="s">
        <v>1345</v>
      </c>
      <c r="W266" s="110" t="s">
        <v>1343</v>
      </c>
      <c r="X266" s="110"/>
      <c r="Y266" s="110"/>
      <c r="Z266" s="110"/>
      <c r="AA266" s="110"/>
      <c r="AB266" s="110">
        <v>3</v>
      </c>
      <c r="AC266" s="110">
        <v>5</v>
      </c>
      <c r="AD266" s="110" t="s">
        <v>105</v>
      </c>
      <c r="AE266" s="110">
        <v>12</v>
      </c>
      <c r="AF266" s="110"/>
      <c r="AG266" s="110" t="s">
        <v>1351</v>
      </c>
      <c r="AH266" s="110" t="s">
        <v>29</v>
      </c>
      <c r="AI266" s="110" t="s">
        <v>29</v>
      </c>
      <c r="AJ266" s="110"/>
      <c r="AK266" s="110"/>
      <c r="AL266" s="110"/>
      <c r="AM266" s="110"/>
      <c r="AN266" s="110">
        <v>2</v>
      </c>
      <c r="AO266" s="110"/>
      <c r="AP266" s="110"/>
    </row>
    <row r="267" spans="1:48" ht="16.5" customHeight="1" x14ac:dyDescent="0.2">
      <c r="A267" s="110">
        <f>$A$263+2</f>
        <v>51</v>
      </c>
      <c r="B267" s="110" t="str">
        <f>D267&amp;"Cancel"</f>
        <v>CFG_FinanskontiV_4Cancel</v>
      </c>
      <c r="C267" s="110" t="s">
        <v>656</v>
      </c>
      <c r="D267" s="110" t="s">
        <v>1167</v>
      </c>
      <c r="E267" s="110" t="s">
        <v>814</v>
      </c>
      <c r="F267" s="110"/>
      <c r="G267" s="110" t="s">
        <v>1152</v>
      </c>
      <c r="H267" s="110">
        <v>4</v>
      </c>
      <c r="I267" s="110" t="s">
        <v>838</v>
      </c>
      <c r="J267" s="110" t="b">
        <f t="shared" si="17"/>
        <v>1</v>
      </c>
      <c r="K267" s="110"/>
      <c r="L267" s="110"/>
      <c r="M267" s="110" t="str">
        <f>"'editNorm """&amp;D267&amp;""","""&amp;B267&amp;""","""&amp;E267&amp;"""'"</f>
        <v>'editNorm "CFG_FinanskontiV_4","CFG_FinanskontiV_4Cancel","CFG_Finanskonti"'</v>
      </c>
      <c r="N267" s="110" t="s">
        <v>59</v>
      </c>
      <c r="O267" s="110" t="str">
        <f>"$M$"&amp;A267</f>
        <v>$M$51</v>
      </c>
      <c r="P267" s="110" t="str">
        <f>"$M$"&amp;A267</f>
        <v>$M$51</v>
      </c>
      <c r="Q267" s="110">
        <v>7</v>
      </c>
      <c r="R267" s="110">
        <v>1</v>
      </c>
      <c r="S267" s="110"/>
      <c r="T267" s="110">
        <v>22</v>
      </c>
      <c r="U267" s="110" t="b">
        <v>1</v>
      </c>
      <c r="V267" s="110" t="s">
        <v>1344</v>
      </c>
      <c r="W267" s="110" t="s">
        <v>1343</v>
      </c>
      <c r="X267" s="110"/>
      <c r="Y267" s="110"/>
      <c r="Z267" s="110"/>
      <c r="AA267" s="110"/>
      <c r="AB267" s="110">
        <v>3</v>
      </c>
      <c r="AC267" s="110">
        <v>5</v>
      </c>
      <c r="AD267" s="110" t="s">
        <v>105</v>
      </c>
      <c r="AE267" s="110">
        <v>12</v>
      </c>
      <c r="AF267" s="110"/>
      <c r="AG267" s="110" t="s">
        <v>1351</v>
      </c>
      <c r="AH267" s="110" t="s">
        <v>29</v>
      </c>
      <c r="AI267" s="110" t="s">
        <v>29</v>
      </c>
      <c r="AJ267" s="110"/>
      <c r="AK267" s="110"/>
      <c r="AL267" s="110"/>
      <c r="AM267" s="110"/>
      <c r="AN267" s="110">
        <v>2</v>
      </c>
      <c r="AO267" s="110"/>
      <c r="AP267" s="110"/>
    </row>
    <row r="268" spans="1:48" ht="16.5" customHeight="1" x14ac:dyDescent="0.2">
      <c r="A268" s="110">
        <f>$A$263+2</f>
        <v>51</v>
      </c>
      <c r="B268" s="110" t="str">
        <f>D268&amp;"Delete"</f>
        <v>CFG_FinanskontiV_4Delete</v>
      </c>
      <c r="C268" s="110" t="s">
        <v>656</v>
      </c>
      <c r="D268" s="110" t="s">
        <v>1167</v>
      </c>
      <c r="E268" s="110" t="s">
        <v>814</v>
      </c>
      <c r="F268" s="110"/>
      <c r="G268" s="110" t="s">
        <v>1152</v>
      </c>
      <c r="H268" s="110">
        <v>4</v>
      </c>
      <c r="I268" s="110" t="s">
        <v>839</v>
      </c>
      <c r="J268" s="110" t="b">
        <f t="shared" si="17"/>
        <v>1</v>
      </c>
      <c r="K268" s="110"/>
      <c r="L268" s="110"/>
      <c r="M268" s="110" t="str">
        <f>"'editNorm """&amp;D268&amp;""","""&amp;B268&amp;""","""&amp;E268&amp;"""'"</f>
        <v>'editNorm "CFG_FinanskontiV_4","CFG_FinanskontiV_4Delete","CFG_Finanskonti"'</v>
      </c>
      <c r="N268" s="110" t="s">
        <v>59</v>
      </c>
      <c r="O268" s="110" t="str">
        <f>"$N$"&amp;A268</f>
        <v>$N$51</v>
      </c>
      <c r="P268" s="110" t="str">
        <f>"$N$"&amp;A268</f>
        <v>$N$51</v>
      </c>
      <c r="Q268" s="110">
        <v>7</v>
      </c>
      <c r="R268" s="110">
        <v>1</v>
      </c>
      <c r="S268" s="110"/>
      <c r="T268" s="110">
        <v>22</v>
      </c>
      <c r="U268" s="110" t="b">
        <v>1</v>
      </c>
      <c r="V268" s="110" t="s">
        <v>1346</v>
      </c>
      <c r="W268" s="110" t="s">
        <v>1343</v>
      </c>
      <c r="X268" s="110"/>
      <c r="Y268" s="110"/>
      <c r="Z268" s="110"/>
      <c r="AA268" s="110"/>
      <c r="AB268" s="110">
        <v>3</v>
      </c>
      <c r="AC268" s="110">
        <v>5</v>
      </c>
      <c r="AD268" s="110" t="s">
        <v>105</v>
      </c>
      <c r="AE268" s="110">
        <v>12</v>
      </c>
      <c r="AF268" s="110"/>
      <c r="AG268" s="110" t="s">
        <v>1351</v>
      </c>
      <c r="AH268" s="110" t="s">
        <v>29</v>
      </c>
      <c r="AI268" s="110" t="s">
        <v>29</v>
      </c>
      <c r="AJ268" s="110"/>
      <c r="AK268" s="110"/>
      <c r="AL268" s="110"/>
      <c r="AM268" s="110"/>
      <c r="AN268" s="110">
        <v>2</v>
      </c>
      <c r="AO268" s="110"/>
      <c r="AP268" s="110"/>
    </row>
    <row r="269" spans="1:48" ht="16.5" customHeight="1" x14ac:dyDescent="0.2">
      <c r="A269" s="106">
        <f>$A$263+3</f>
        <v>52</v>
      </c>
      <c r="B269" s="106" t="s">
        <v>1168</v>
      </c>
      <c r="C269" s="106" t="s">
        <v>655</v>
      </c>
      <c r="D269" s="106"/>
      <c r="E269" s="106" t="s">
        <v>814</v>
      </c>
      <c r="F269" s="106"/>
      <c r="G269" s="106" t="s">
        <v>1152</v>
      </c>
      <c r="H269" s="106">
        <v>4</v>
      </c>
      <c r="I269" s="106"/>
      <c r="J269" s="106" t="b">
        <f t="shared" si="17"/>
        <v>1</v>
      </c>
      <c r="K269" s="106" t="b">
        <v>1</v>
      </c>
      <c r="L269" s="106"/>
      <c r="M269" s="106"/>
      <c r="N269" s="106" t="s">
        <v>59</v>
      </c>
      <c r="O269" s="106" t="str">
        <f>"$D$"&amp;A269</f>
        <v>$D$52</v>
      </c>
      <c r="P269" s="106" t="str">
        <f>"$M$"&amp;A269+1</f>
        <v>$M$53</v>
      </c>
      <c r="Q269" s="106"/>
      <c r="R269" s="106">
        <v>2</v>
      </c>
      <c r="S269" s="106"/>
      <c r="T269" s="106">
        <v>2</v>
      </c>
      <c r="U269" s="106" t="b">
        <v>1</v>
      </c>
      <c r="V269" s="106" t="s">
        <v>1344</v>
      </c>
      <c r="W269" s="106" t="s">
        <v>1343</v>
      </c>
      <c r="X269" s="106"/>
      <c r="Y269" s="106"/>
      <c r="Z269" s="106"/>
      <c r="AA269" s="106"/>
      <c r="AB269" s="106"/>
      <c r="AC269" s="106"/>
      <c r="AD269" s="106"/>
      <c r="AE269" s="106"/>
      <c r="AF269" s="106"/>
      <c r="AG269" s="106"/>
      <c r="AH269" s="106"/>
      <c r="AI269" s="106"/>
      <c r="AJ269" s="106"/>
      <c r="AK269" s="106"/>
      <c r="AL269" s="106"/>
      <c r="AM269" s="106"/>
      <c r="AN269" s="106"/>
      <c r="AO269" s="106"/>
      <c r="AP269" s="106"/>
    </row>
    <row r="270" spans="1:48" ht="16.5" customHeight="1" x14ac:dyDescent="0.2">
      <c r="A270" s="109">
        <f>$A$269+2</f>
        <v>54</v>
      </c>
      <c r="B270" s="109" t="s">
        <v>1171</v>
      </c>
      <c r="C270" s="109" t="s">
        <v>96</v>
      </c>
      <c r="D270" s="109"/>
      <c r="E270" s="109" t="s">
        <v>814</v>
      </c>
      <c r="F270" s="109"/>
      <c r="G270" s="109" t="s">
        <v>1152</v>
      </c>
      <c r="H270" s="109">
        <v>5</v>
      </c>
      <c r="I270" s="109"/>
      <c r="J270" s="109" t="b">
        <f t="shared" si="17"/>
        <v>1</v>
      </c>
      <c r="K270" s="109" t="b">
        <v>1</v>
      </c>
      <c r="L270" s="109"/>
      <c r="M270" s="109"/>
      <c r="N270" s="109"/>
      <c r="O270" s="109" t="str">
        <f>"$D$"&amp;A270</f>
        <v>$D$54</v>
      </c>
      <c r="P270" s="109" t="str">
        <f>"$I$"&amp;A270</f>
        <v>$I$54</v>
      </c>
      <c r="Q270" s="109"/>
      <c r="R270" s="109"/>
      <c r="S270" s="109"/>
      <c r="T270" s="109">
        <v>25</v>
      </c>
      <c r="U270" s="109" t="b">
        <v>1</v>
      </c>
      <c r="V270" s="109" t="s">
        <v>1342</v>
      </c>
      <c r="W270" s="109" t="s">
        <v>1342</v>
      </c>
      <c r="X270" s="109"/>
      <c r="Y270" s="109"/>
      <c r="Z270" s="109"/>
      <c r="AA270" s="109"/>
      <c r="AB270" s="109"/>
      <c r="AC270" s="109">
        <v>5</v>
      </c>
      <c r="AD270" s="109" t="s">
        <v>105</v>
      </c>
      <c r="AE270" s="109">
        <v>14</v>
      </c>
      <c r="AF270" s="109"/>
      <c r="AG270" s="109" t="s">
        <v>1360</v>
      </c>
      <c r="AH270" s="109" t="s">
        <v>29</v>
      </c>
      <c r="AI270" s="109" t="s">
        <v>28</v>
      </c>
      <c r="AJ270" s="109"/>
      <c r="AK270" s="109" t="s">
        <v>1342</v>
      </c>
      <c r="AL270" s="109">
        <v>5</v>
      </c>
      <c r="AM270" s="109"/>
      <c r="AN270" s="109"/>
      <c r="AO270" s="109"/>
      <c r="AP270" s="109" t="b">
        <v>1</v>
      </c>
      <c r="AQ270" s="296" t="s">
        <v>1183</v>
      </c>
      <c r="AR270" s="296"/>
      <c r="AS270" s="296"/>
      <c r="AT270" s="296"/>
      <c r="AU270" s="296"/>
      <c r="AV270" s="296"/>
    </row>
    <row r="271" spans="1:48" ht="16.5" customHeight="1" x14ac:dyDescent="0.2">
      <c r="A271" s="110">
        <f>$A$269+2</f>
        <v>54</v>
      </c>
      <c r="B271" s="110" t="str">
        <f>D271&amp;"Red"</f>
        <v>CFG_FinanskontiV_5Red</v>
      </c>
      <c r="C271" s="110" t="s">
        <v>656</v>
      </c>
      <c r="D271" s="110" t="s">
        <v>1171</v>
      </c>
      <c r="E271" s="110" t="s">
        <v>814</v>
      </c>
      <c r="F271" s="110"/>
      <c r="G271" s="110" t="s">
        <v>1152</v>
      </c>
      <c r="H271" s="110">
        <v>5</v>
      </c>
      <c r="I271" s="110" t="s">
        <v>1247</v>
      </c>
      <c r="J271" s="110" t="b">
        <f t="shared" si="17"/>
        <v>1</v>
      </c>
      <c r="K271" s="110" t="b">
        <v>1</v>
      </c>
      <c r="L271" s="110"/>
      <c r="M271" s="110" t="str">
        <f>"'editNorm """&amp;D271&amp;""","""&amp;B271&amp;""","""&amp;E271&amp;"""'"</f>
        <v>'editNorm "CFG_FinanskontiV_5","CFG_FinanskontiV_5Red","CFG_Finanskonti"'</v>
      </c>
      <c r="N271" s="110" t="s">
        <v>59</v>
      </c>
      <c r="O271" s="110" t="str">
        <f>"$L$"&amp;A271</f>
        <v>$L$54</v>
      </c>
      <c r="P271" s="110" t="str">
        <f>"$M$"&amp;A271</f>
        <v>$M$54</v>
      </c>
      <c r="Q271" s="110">
        <v>5</v>
      </c>
      <c r="R271" s="110">
        <v>1</v>
      </c>
      <c r="S271" s="110"/>
      <c r="T271" s="110">
        <v>22</v>
      </c>
      <c r="U271" s="110" t="b">
        <v>1</v>
      </c>
      <c r="V271" s="110" t="s">
        <v>1344</v>
      </c>
      <c r="W271" s="110" t="s">
        <v>1343</v>
      </c>
      <c r="X271" s="110"/>
      <c r="Y271" s="110"/>
      <c r="Z271" s="110"/>
      <c r="AA271" s="110"/>
      <c r="AB271" s="110">
        <v>3</v>
      </c>
      <c r="AC271" s="110">
        <v>5</v>
      </c>
      <c r="AD271" s="110" t="s">
        <v>105</v>
      </c>
      <c r="AE271" s="110">
        <v>12</v>
      </c>
      <c r="AF271" s="110"/>
      <c r="AG271" s="110" t="s">
        <v>1351</v>
      </c>
      <c r="AH271" s="110" t="s">
        <v>29</v>
      </c>
      <c r="AI271" s="110" t="s">
        <v>29</v>
      </c>
      <c r="AJ271" s="110"/>
      <c r="AK271" s="110"/>
      <c r="AL271" s="110"/>
      <c r="AM271" s="110"/>
      <c r="AN271" s="110">
        <v>2</v>
      </c>
      <c r="AO271" s="110"/>
      <c r="AP271" s="110"/>
    </row>
    <row r="272" spans="1:48" ht="16.5" customHeight="1" x14ac:dyDescent="0.2">
      <c r="A272" s="110">
        <f>$A$269+2</f>
        <v>54</v>
      </c>
      <c r="B272" s="110" t="str">
        <f>D272&amp;"Gem"</f>
        <v>CFG_FinanskontiV_5Gem</v>
      </c>
      <c r="C272" s="110" t="s">
        <v>656</v>
      </c>
      <c r="D272" s="110" t="s">
        <v>1171</v>
      </c>
      <c r="E272" s="110" t="s">
        <v>814</v>
      </c>
      <c r="F272" s="110"/>
      <c r="G272" s="110" t="s">
        <v>1152</v>
      </c>
      <c r="H272" s="110">
        <v>5</v>
      </c>
      <c r="I272" s="110" t="s">
        <v>238</v>
      </c>
      <c r="J272" s="110" t="b">
        <f t="shared" si="17"/>
        <v>1</v>
      </c>
      <c r="K272" s="110"/>
      <c r="L272" s="110"/>
      <c r="M272" s="110" t="str">
        <f>"'editNorm """&amp;D272&amp;""","""&amp;B272&amp;""","""&amp;E272&amp;"""'"</f>
        <v>'editNorm "CFG_FinanskontiV_5","CFG_FinanskontiV_5Gem","CFG_Finanskonti"'</v>
      </c>
      <c r="N272" s="110" t="s">
        <v>59</v>
      </c>
      <c r="O272" s="110" t="str">
        <f>"$L$"&amp;A272</f>
        <v>$L$54</v>
      </c>
      <c r="P272" s="110" t="str">
        <f>"$L$"&amp;A272</f>
        <v>$L$54</v>
      </c>
      <c r="Q272" s="110">
        <v>5</v>
      </c>
      <c r="R272" s="110">
        <v>1</v>
      </c>
      <c r="S272" s="110"/>
      <c r="T272" s="110">
        <v>22</v>
      </c>
      <c r="U272" s="110" t="b">
        <v>1</v>
      </c>
      <c r="V272" s="110" t="s">
        <v>1345</v>
      </c>
      <c r="W272" s="110" t="s">
        <v>1343</v>
      </c>
      <c r="X272" s="110"/>
      <c r="Y272" s="110"/>
      <c r="Z272" s="110"/>
      <c r="AA272" s="110"/>
      <c r="AB272" s="110">
        <v>3</v>
      </c>
      <c r="AC272" s="110">
        <v>5</v>
      </c>
      <c r="AD272" s="110" t="s">
        <v>105</v>
      </c>
      <c r="AE272" s="110">
        <v>12</v>
      </c>
      <c r="AF272" s="110"/>
      <c r="AG272" s="110" t="s">
        <v>1351</v>
      </c>
      <c r="AH272" s="110" t="s">
        <v>29</v>
      </c>
      <c r="AI272" s="110" t="s">
        <v>29</v>
      </c>
      <c r="AJ272" s="110"/>
      <c r="AK272" s="110"/>
      <c r="AL272" s="110"/>
      <c r="AM272" s="110"/>
      <c r="AN272" s="110">
        <v>2</v>
      </c>
      <c r="AO272" s="110"/>
      <c r="AP272" s="110"/>
    </row>
    <row r="273" spans="1:48" ht="16.5" customHeight="1" x14ac:dyDescent="0.2">
      <c r="A273" s="110">
        <f>$A$269+2</f>
        <v>54</v>
      </c>
      <c r="B273" s="110" t="str">
        <f>D273&amp;"Cancel"</f>
        <v>CFG_FinanskontiV_5Cancel</v>
      </c>
      <c r="C273" s="110" t="s">
        <v>656</v>
      </c>
      <c r="D273" s="110" t="s">
        <v>1171</v>
      </c>
      <c r="E273" s="110" t="s">
        <v>814</v>
      </c>
      <c r="F273" s="110"/>
      <c r="G273" s="110" t="s">
        <v>1152</v>
      </c>
      <c r="H273" s="110">
        <v>5</v>
      </c>
      <c r="I273" s="110" t="s">
        <v>838</v>
      </c>
      <c r="J273" s="110" t="b">
        <f t="shared" si="17"/>
        <v>1</v>
      </c>
      <c r="K273" s="110"/>
      <c r="L273" s="110"/>
      <c r="M273" s="110" t="str">
        <f>"'editNorm """&amp;D273&amp;""","""&amp;B273&amp;""","""&amp;E273&amp;"""'"</f>
        <v>'editNorm "CFG_FinanskontiV_5","CFG_FinanskontiV_5Cancel","CFG_Finanskonti"'</v>
      </c>
      <c r="N273" s="110" t="s">
        <v>59</v>
      </c>
      <c r="O273" s="110" t="str">
        <f>"$M$"&amp;A273</f>
        <v>$M$54</v>
      </c>
      <c r="P273" s="110" t="str">
        <f>"$M$"&amp;A273</f>
        <v>$M$54</v>
      </c>
      <c r="Q273" s="110">
        <v>7</v>
      </c>
      <c r="R273" s="110">
        <v>1</v>
      </c>
      <c r="S273" s="110"/>
      <c r="T273" s="110">
        <v>22</v>
      </c>
      <c r="U273" s="110" t="b">
        <v>1</v>
      </c>
      <c r="V273" s="110" t="s">
        <v>1344</v>
      </c>
      <c r="W273" s="110" t="s">
        <v>1343</v>
      </c>
      <c r="X273" s="110"/>
      <c r="Y273" s="110"/>
      <c r="Z273" s="110"/>
      <c r="AA273" s="110"/>
      <c r="AB273" s="110">
        <v>3</v>
      </c>
      <c r="AC273" s="110">
        <v>5</v>
      </c>
      <c r="AD273" s="110" t="s">
        <v>105</v>
      </c>
      <c r="AE273" s="110">
        <v>12</v>
      </c>
      <c r="AF273" s="110"/>
      <c r="AG273" s="110" t="s">
        <v>1351</v>
      </c>
      <c r="AH273" s="110" t="s">
        <v>29</v>
      </c>
      <c r="AI273" s="110" t="s">
        <v>29</v>
      </c>
      <c r="AJ273" s="110"/>
      <c r="AK273" s="110"/>
      <c r="AL273" s="110"/>
      <c r="AM273" s="110"/>
      <c r="AN273" s="110">
        <v>2</v>
      </c>
      <c r="AO273" s="110"/>
      <c r="AP273" s="110"/>
    </row>
    <row r="274" spans="1:48" ht="16.5" customHeight="1" x14ac:dyDescent="0.2">
      <c r="A274" s="110">
        <f>$A$269+2</f>
        <v>54</v>
      </c>
      <c r="B274" s="110" t="str">
        <f>D274&amp;"Delete"</f>
        <v>CFG_FinanskontiV_5Delete</v>
      </c>
      <c r="C274" s="110" t="s">
        <v>656</v>
      </c>
      <c r="D274" s="110" t="s">
        <v>1171</v>
      </c>
      <c r="E274" s="110" t="s">
        <v>814</v>
      </c>
      <c r="F274" s="110"/>
      <c r="G274" s="110" t="s">
        <v>1152</v>
      </c>
      <c r="H274" s="110">
        <v>5</v>
      </c>
      <c r="I274" s="110" t="s">
        <v>839</v>
      </c>
      <c r="J274" s="110" t="b">
        <f t="shared" si="17"/>
        <v>1</v>
      </c>
      <c r="K274" s="110"/>
      <c r="L274" s="110"/>
      <c r="M274" s="110" t="str">
        <f>"'editNorm """&amp;D274&amp;""","""&amp;B274&amp;""","""&amp;E274&amp;"""'"</f>
        <v>'editNorm "CFG_FinanskontiV_5","CFG_FinanskontiV_5Delete","CFG_Finanskonti"'</v>
      </c>
      <c r="N274" s="110" t="s">
        <v>59</v>
      </c>
      <c r="O274" s="110" t="str">
        <f>"$N$"&amp;A274</f>
        <v>$N$54</v>
      </c>
      <c r="P274" s="110" t="str">
        <f>"$N$"&amp;A274</f>
        <v>$N$54</v>
      </c>
      <c r="Q274" s="110">
        <v>7</v>
      </c>
      <c r="R274" s="110">
        <v>1</v>
      </c>
      <c r="S274" s="110"/>
      <c r="T274" s="110">
        <v>22</v>
      </c>
      <c r="U274" s="110" t="b">
        <v>1</v>
      </c>
      <c r="V274" s="110" t="s">
        <v>1346</v>
      </c>
      <c r="W274" s="110" t="s">
        <v>1343</v>
      </c>
      <c r="X274" s="110"/>
      <c r="Y274" s="110"/>
      <c r="Z274" s="110"/>
      <c r="AA274" s="110"/>
      <c r="AB274" s="110">
        <v>3</v>
      </c>
      <c r="AC274" s="110">
        <v>5</v>
      </c>
      <c r="AD274" s="110" t="s">
        <v>105</v>
      </c>
      <c r="AE274" s="110">
        <v>12</v>
      </c>
      <c r="AF274" s="110"/>
      <c r="AG274" s="110" t="s">
        <v>1351</v>
      </c>
      <c r="AH274" s="110" t="s">
        <v>29</v>
      </c>
      <c r="AI274" s="110" t="s">
        <v>29</v>
      </c>
      <c r="AJ274" s="110"/>
      <c r="AK274" s="110"/>
      <c r="AL274" s="110"/>
      <c r="AM274" s="110"/>
      <c r="AN274" s="110">
        <v>2</v>
      </c>
      <c r="AO274" s="110"/>
      <c r="AP274" s="110"/>
    </row>
    <row r="275" spans="1:48" ht="16.5" customHeight="1" x14ac:dyDescent="0.2">
      <c r="A275" s="106">
        <f>$A$269+3</f>
        <v>55</v>
      </c>
      <c r="B275" s="106" t="s">
        <v>1172</v>
      </c>
      <c r="C275" s="106" t="s">
        <v>655</v>
      </c>
      <c r="D275" s="106"/>
      <c r="E275" s="106" t="s">
        <v>814</v>
      </c>
      <c r="F275" s="106"/>
      <c r="G275" s="106" t="s">
        <v>1152</v>
      </c>
      <c r="H275" s="106">
        <v>5</v>
      </c>
      <c r="I275" s="106"/>
      <c r="J275" s="106" t="b">
        <f t="shared" si="17"/>
        <v>1</v>
      </c>
      <c r="K275" s="106" t="b">
        <v>1</v>
      </c>
      <c r="L275" s="106"/>
      <c r="M275" s="106"/>
      <c r="N275" s="106" t="s">
        <v>59</v>
      </c>
      <c r="O275" s="106" t="str">
        <f>"$D$"&amp;A275</f>
        <v>$D$55</v>
      </c>
      <c r="P275" s="106" t="str">
        <f>"$M$"&amp;A275+1</f>
        <v>$M$56</v>
      </c>
      <c r="Q275" s="106"/>
      <c r="R275" s="106">
        <v>2</v>
      </c>
      <c r="S275" s="106"/>
      <c r="T275" s="106">
        <v>2</v>
      </c>
      <c r="U275" s="106" t="b">
        <v>1</v>
      </c>
      <c r="V275" s="106" t="s">
        <v>1344</v>
      </c>
      <c r="W275" s="106" t="s">
        <v>1343</v>
      </c>
      <c r="X275" s="106"/>
      <c r="Y275" s="106"/>
      <c r="Z275" s="106"/>
      <c r="AA275" s="106"/>
      <c r="AB275" s="106"/>
      <c r="AC275" s="106"/>
      <c r="AD275" s="106"/>
      <c r="AE275" s="106"/>
      <c r="AF275" s="106"/>
      <c r="AG275" s="106"/>
      <c r="AH275" s="106"/>
      <c r="AI275" s="106"/>
      <c r="AJ275" s="106"/>
      <c r="AK275" s="106"/>
      <c r="AL275" s="106"/>
      <c r="AM275" s="106"/>
      <c r="AN275" s="106"/>
      <c r="AO275" s="106"/>
      <c r="AP275" s="106"/>
    </row>
    <row r="276" spans="1:48" ht="16.5" customHeight="1" x14ac:dyDescent="0.2">
      <c r="A276" s="109">
        <f>$A$275+2</f>
        <v>57</v>
      </c>
      <c r="B276" s="109" t="s">
        <v>1175</v>
      </c>
      <c r="C276" s="109" t="s">
        <v>96</v>
      </c>
      <c r="D276" s="109"/>
      <c r="E276" s="109" t="s">
        <v>814</v>
      </c>
      <c r="F276" s="109"/>
      <c r="G276" s="109" t="s">
        <v>1152</v>
      </c>
      <c r="H276" s="109">
        <v>6</v>
      </c>
      <c r="I276" s="109"/>
      <c r="J276" s="109" t="b">
        <f t="shared" si="17"/>
        <v>1</v>
      </c>
      <c r="K276" s="109" t="b">
        <v>1</v>
      </c>
      <c r="L276" s="109"/>
      <c r="M276" s="109"/>
      <c r="N276" s="109"/>
      <c r="O276" s="109" t="str">
        <f>"$D$"&amp;A276</f>
        <v>$D$57</v>
      </c>
      <c r="P276" s="109" t="str">
        <f>"$I$"&amp;A276</f>
        <v>$I$57</v>
      </c>
      <c r="Q276" s="109"/>
      <c r="R276" s="109"/>
      <c r="S276" s="109"/>
      <c r="T276" s="109">
        <v>25</v>
      </c>
      <c r="U276" s="109" t="b">
        <v>1</v>
      </c>
      <c r="V276" s="109" t="s">
        <v>1342</v>
      </c>
      <c r="W276" s="109" t="s">
        <v>1342</v>
      </c>
      <c r="X276" s="109"/>
      <c r="Y276" s="109"/>
      <c r="Z276" s="109"/>
      <c r="AA276" s="109"/>
      <c r="AB276" s="109"/>
      <c r="AC276" s="109">
        <v>5</v>
      </c>
      <c r="AD276" s="109" t="s">
        <v>105</v>
      </c>
      <c r="AE276" s="109">
        <v>14</v>
      </c>
      <c r="AF276" s="109"/>
      <c r="AG276" s="109" t="s">
        <v>1360</v>
      </c>
      <c r="AH276" s="109" t="s">
        <v>29</v>
      </c>
      <c r="AI276" s="109" t="s">
        <v>28</v>
      </c>
      <c r="AJ276" s="109"/>
      <c r="AK276" s="109" t="s">
        <v>1342</v>
      </c>
      <c r="AL276" s="109">
        <v>5</v>
      </c>
      <c r="AM276" s="109"/>
      <c r="AN276" s="109"/>
      <c r="AO276" s="109"/>
      <c r="AP276" s="109" t="b">
        <v>1</v>
      </c>
      <c r="AQ276" s="296" t="s">
        <v>84</v>
      </c>
      <c r="AR276" s="296"/>
      <c r="AS276" s="296"/>
      <c r="AT276" s="296"/>
      <c r="AU276" s="296"/>
      <c r="AV276" s="296"/>
    </row>
    <row r="277" spans="1:48" ht="16.5" customHeight="1" x14ac:dyDescent="0.2">
      <c r="A277" s="110">
        <f>$A$275+2</f>
        <v>57</v>
      </c>
      <c r="B277" s="110" t="str">
        <f>D277&amp;"Red"</f>
        <v>CFG_FinanskontiV_6Red</v>
      </c>
      <c r="C277" s="110" t="s">
        <v>656</v>
      </c>
      <c r="D277" s="110" t="s">
        <v>1175</v>
      </c>
      <c r="E277" s="110" t="s">
        <v>814</v>
      </c>
      <c r="F277" s="110"/>
      <c r="G277" s="110" t="s">
        <v>1152</v>
      </c>
      <c r="H277" s="110">
        <v>6</v>
      </c>
      <c r="I277" s="110" t="s">
        <v>1247</v>
      </c>
      <c r="J277" s="110" t="b">
        <f t="shared" si="17"/>
        <v>1</v>
      </c>
      <c r="K277" s="110" t="b">
        <v>1</v>
      </c>
      <c r="L277" s="110"/>
      <c r="M277" s="110" t="str">
        <f>"'editNorm """&amp;D277&amp;""","""&amp;B277&amp;""","""&amp;E277&amp;"""'"</f>
        <v>'editNorm "CFG_FinanskontiV_6","CFG_FinanskontiV_6Red","CFG_Finanskonti"'</v>
      </c>
      <c r="N277" s="110" t="s">
        <v>59</v>
      </c>
      <c r="O277" s="110" t="str">
        <f>"$L$"&amp;A277</f>
        <v>$L$57</v>
      </c>
      <c r="P277" s="110" t="str">
        <f>"$M$"&amp;A277</f>
        <v>$M$57</v>
      </c>
      <c r="Q277" s="110">
        <v>5</v>
      </c>
      <c r="R277" s="110">
        <v>1</v>
      </c>
      <c r="S277" s="110"/>
      <c r="T277" s="110">
        <v>22</v>
      </c>
      <c r="U277" s="110" t="b">
        <v>1</v>
      </c>
      <c r="V277" s="110" t="s">
        <v>1344</v>
      </c>
      <c r="W277" s="110" t="s">
        <v>1343</v>
      </c>
      <c r="X277" s="110"/>
      <c r="Y277" s="110"/>
      <c r="Z277" s="110"/>
      <c r="AA277" s="110"/>
      <c r="AB277" s="110">
        <v>3</v>
      </c>
      <c r="AC277" s="110">
        <v>5</v>
      </c>
      <c r="AD277" s="110" t="s">
        <v>105</v>
      </c>
      <c r="AE277" s="110">
        <v>12</v>
      </c>
      <c r="AF277" s="110"/>
      <c r="AG277" s="110" t="s">
        <v>1351</v>
      </c>
      <c r="AH277" s="110" t="s">
        <v>29</v>
      </c>
      <c r="AI277" s="110" t="s">
        <v>29</v>
      </c>
      <c r="AJ277" s="110"/>
      <c r="AK277" s="110"/>
      <c r="AL277" s="110"/>
      <c r="AM277" s="110"/>
      <c r="AN277" s="110">
        <v>2</v>
      </c>
      <c r="AO277" s="110"/>
      <c r="AP277" s="110"/>
    </row>
    <row r="278" spans="1:48" ht="16.5" customHeight="1" x14ac:dyDescent="0.2">
      <c r="A278" s="110">
        <f>$A$275+2</f>
        <v>57</v>
      </c>
      <c r="B278" s="110" t="str">
        <f>D278&amp;"Gem"</f>
        <v>CFG_FinanskontiV_6Gem</v>
      </c>
      <c r="C278" s="110" t="s">
        <v>656</v>
      </c>
      <c r="D278" s="110" t="s">
        <v>1175</v>
      </c>
      <c r="E278" s="110" t="s">
        <v>814</v>
      </c>
      <c r="F278" s="110"/>
      <c r="G278" s="110" t="s">
        <v>1152</v>
      </c>
      <c r="H278" s="110">
        <v>6</v>
      </c>
      <c r="I278" s="110" t="s">
        <v>238</v>
      </c>
      <c r="J278" s="110" t="b">
        <f t="shared" si="17"/>
        <v>1</v>
      </c>
      <c r="K278" s="110"/>
      <c r="L278" s="110"/>
      <c r="M278" s="110" t="str">
        <f>"'editNorm """&amp;D278&amp;""","""&amp;B278&amp;""","""&amp;E278&amp;"""'"</f>
        <v>'editNorm "CFG_FinanskontiV_6","CFG_FinanskontiV_6Gem","CFG_Finanskonti"'</v>
      </c>
      <c r="N278" s="110" t="s">
        <v>59</v>
      </c>
      <c r="O278" s="110" t="str">
        <f>"$L$"&amp;A278</f>
        <v>$L$57</v>
      </c>
      <c r="P278" s="110" t="str">
        <f>"$L$"&amp;A278</f>
        <v>$L$57</v>
      </c>
      <c r="Q278" s="110">
        <v>5</v>
      </c>
      <c r="R278" s="110">
        <v>1</v>
      </c>
      <c r="S278" s="110"/>
      <c r="T278" s="110">
        <v>22</v>
      </c>
      <c r="U278" s="110" t="b">
        <v>1</v>
      </c>
      <c r="V278" s="110" t="s">
        <v>1345</v>
      </c>
      <c r="W278" s="110" t="s">
        <v>1343</v>
      </c>
      <c r="X278" s="110"/>
      <c r="Y278" s="110"/>
      <c r="Z278" s="110"/>
      <c r="AA278" s="110"/>
      <c r="AB278" s="110">
        <v>3</v>
      </c>
      <c r="AC278" s="110">
        <v>5</v>
      </c>
      <c r="AD278" s="110" t="s">
        <v>105</v>
      </c>
      <c r="AE278" s="110">
        <v>12</v>
      </c>
      <c r="AF278" s="110"/>
      <c r="AG278" s="110" t="s">
        <v>1351</v>
      </c>
      <c r="AH278" s="110" t="s">
        <v>29</v>
      </c>
      <c r="AI278" s="110" t="s">
        <v>29</v>
      </c>
      <c r="AJ278" s="110"/>
      <c r="AK278" s="110"/>
      <c r="AL278" s="110"/>
      <c r="AM278" s="110"/>
      <c r="AN278" s="110">
        <v>2</v>
      </c>
      <c r="AO278" s="110"/>
      <c r="AP278" s="110"/>
    </row>
    <row r="279" spans="1:48" ht="16.5" customHeight="1" x14ac:dyDescent="0.2">
      <c r="A279" s="110">
        <f>$A$275+2</f>
        <v>57</v>
      </c>
      <c r="B279" s="110" t="str">
        <f>D279&amp;"Cancel"</f>
        <v>CFG_FinanskontiV_6Cancel</v>
      </c>
      <c r="C279" s="110" t="s">
        <v>656</v>
      </c>
      <c r="D279" s="110" t="s">
        <v>1175</v>
      </c>
      <c r="E279" s="110" t="s">
        <v>814</v>
      </c>
      <c r="F279" s="110"/>
      <c r="G279" s="110" t="s">
        <v>1152</v>
      </c>
      <c r="H279" s="110">
        <v>6</v>
      </c>
      <c r="I279" s="110" t="s">
        <v>838</v>
      </c>
      <c r="J279" s="110" t="b">
        <f t="shared" si="17"/>
        <v>1</v>
      </c>
      <c r="K279" s="110"/>
      <c r="L279" s="110"/>
      <c r="M279" s="110" t="str">
        <f>"'editNorm """&amp;D279&amp;""","""&amp;B279&amp;""","""&amp;E279&amp;"""'"</f>
        <v>'editNorm "CFG_FinanskontiV_6","CFG_FinanskontiV_6Cancel","CFG_Finanskonti"'</v>
      </c>
      <c r="N279" s="110" t="s">
        <v>59</v>
      </c>
      <c r="O279" s="110" t="str">
        <f>"$M$"&amp;A279</f>
        <v>$M$57</v>
      </c>
      <c r="P279" s="110" t="str">
        <f>"$M$"&amp;A279</f>
        <v>$M$57</v>
      </c>
      <c r="Q279" s="110">
        <v>7</v>
      </c>
      <c r="R279" s="110">
        <v>1</v>
      </c>
      <c r="S279" s="110"/>
      <c r="T279" s="110">
        <v>22</v>
      </c>
      <c r="U279" s="110" t="b">
        <v>1</v>
      </c>
      <c r="V279" s="110" t="s">
        <v>1344</v>
      </c>
      <c r="W279" s="110" t="s">
        <v>1343</v>
      </c>
      <c r="X279" s="110"/>
      <c r="Y279" s="110"/>
      <c r="Z279" s="110"/>
      <c r="AA279" s="110"/>
      <c r="AB279" s="110">
        <v>3</v>
      </c>
      <c r="AC279" s="110">
        <v>5</v>
      </c>
      <c r="AD279" s="110" t="s">
        <v>105</v>
      </c>
      <c r="AE279" s="110">
        <v>12</v>
      </c>
      <c r="AF279" s="110"/>
      <c r="AG279" s="110" t="s">
        <v>1351</v>
      </c>
      <c r="AH279" s="110" t="s">
        <v>29</v>
      </c>
      <c r="AI279" s="110" t="s">
        <v>29</v>
      </c>
      <c r="AJ279" s="110"/>
      <c r="AK279" s="110"/>
      <c r="AL279" s="110"/>
      <c r="AM279" s="110"/>
      <c r="AN279" s="110">
        <v>2</v>
      </c>
      <c r="AO279" s="110"/>
      <c r="AP279" s="110"/>
    </row>
    <row r="280" spans="1:48" ht="16.5" customHeight="1" x14ac:dyDescent="0.2">
      <c r="A280" s="110">
        <f>$A$275+2</f>
        <v>57</v>
      </c>
      <c r="B280" s="110" t="str">
        <f>D280&amp;"Delete"</f>
        <v>CFG_FinanskontiV_6Delete</v>
      </c>
      <c r="C280" s="110" t="s">
        <v>656</v>
      </c>
      <c r="D280" s="110" t="s">
        <v>1175</v>
      </c>
      <c r="E280" s="110" t="s">
        <v>814</v>
      </c>
      <c r="F280" s="110"/>
      <c r="G280" s="110" t="s">
        <v>1152</v>
      </c>
      <c r="H280" s="110">
        <v>6</v>
      </c>
      <c r="I280" s="110" t="s">
        <v>839</v>
      </c>
      <c r="J280" s="110" t="b">
        <f t="shared" si="17"/>
        <v>1</v>
      </c>
      <c r="K280" s="110"/>
      <c r="L280" s="110"/>
      <c r="M280" s="110" t="str">
        <f>"'editNorm """&amp;D280&amp;""","""&amp;B280&amp;""","""&amp;E280&amp;"""'"</f>
        <v>'editNorm "CFG_FinanskontiV_6","CFG_FinanskontiV_6Delete","CFG_Finanskonti"'</v>
      </c>
      <c r="N280" s="110" t="s">
        <v>59</v>
      </c>
      <c r="O280" s="110" t="str">
        <f>"$N$"&amp;A280</f>
        <v>$N$57</v>
      </c>
      <c r="P280" s="110" t="str">
        <f>"$N$"&amp;A280</f>
        <v>$N$57</v>
      </c>
      <c r="Q280" s="110">
        <v>7</v>
      </c>
      <c r="R280" s="110">
        <v>1</v>
      </c>
      <c r="S280" s="110"/>
      <c r="T280" s="110">
        <v>22</v>
      </c>
      <c r="U280" s="110" t="b">
        <v>1</v>
      </c>
      <c r="V280" s="110" t="s">
        <v>1346</v>
      </c>
      <c r="W280" s="110" t="s">
        <v>1343</v>
      </c>
      <c r="X280" s="110"/>
      <c r="Y280" s="110"/>
      <c r="Z280" s="110"/>
      <c r="AA280" s="110"/>
      <c r="AB280" s="110">
        <v>3</v>
      </c>
      <c r="AC280" s="110">
        <v>5</v>
      </c>
      <c r="AD280" s="110" t="s">
        <v>105</v>
      </c>
      <c r="AE280" s="110">
        <v>12</v>
      </c>
      <c r="AF280" s="110"/>
      <c r="AG280" s="110" t="s">
        <v>1351</v>
      </c>
      <c r="AH280" s="110" t="s">
        <v>29</v>
      </c>
      <c r="AI280" s="110" t="s">
        <v>29</v>
      </c>
      <c r="AJ280" s="110"/>
      <c r="AK280" s="110"/>
      <c r="AL280" s="110"/>
      <c r="AM280" s="110"/>
      <c r="AN280" s="110">
        <v>2</v>
      </c>
      <c r="AO280" s="110"/>
      <c r="AP280" s="110"/>
    </row>
    <row r="281" spans="1:48" ht="16.5" customHeight="1" x14ac:dyDescent="0.2">
      <c r="A281" s="106">
        <f>$A$275+3</f>
        <v>58</v>
      </c>
      <c r="B281" s="106" t="s">
        <v>1176</v>
      </c>
      <c r="C281" s="106" t="s">
        <v>655</v>
      </c>
      <c r="D281" s="106"/>
      <c r="E281" s="106" t="s">
        <v>814</v>
      </c>
      <c r="F281" s="106"/>
      <c r="G281" s="106" t="s">
        <v>1152</v>
      </c>
      <c r="H281" s="106">
        <v>6</v>
      </c>
      <c r="I281" s="106"/>
      <c r="J281" s="106" t="b">
        <f t="shared" si="17"/>
        <v>1</v>
      </c>
      <c r="K281" s="106" t="b">
        <v>1</v>
      </c>
      <c r="L281" s="106"/>
      <c r="M281" s="106"/>
      <c r="N281" s="106" t="s">
        <v>59</v>
      </c>
      <c r="O281" s="106" t="str">
        <f>"$D$"&amp;A281</f>
        <v>$D$58</v>
      </c>
      <c r="P281" s="106" t="str">
        <f>"$M$"&amp;A281+1</f>
        <v>$M$59</v>
      </c>
      <c r="Q281" s="106"/>
      <c r="R281" s="106">
        <v>2</v>
      </c>
      <c r="S281" s="106"/>
      <c r="T281" s="106">
        <v>2</v>
      </c>
      <c r="U281" s="106" t="b">
        <v>1</v>
      </c>
      <c r="V281" s="106" t="s">
        <v>1344</v>
      </c>
      <c r="W281" s="106" t="s">
        <v>1343</v>
      </c>
      <c r="X281" s="106"/>
      <c r="Y281" s="106"/>
      <c r="Z281" s="106"/>
      <c r="AA281" s="106"/>
      <c r="AB281" s="106"/>
      <c r="AC281" s="106"/>
      <c r="AD281" s="106"/>
      <c r="AE281" s="106"/>
      <c r="AF281" s="106"/>
      <c r="AG281" s="106"/>
      <c r="AH281" s="106"/>
      <c r="AI281" s="106"/>
      <c r="AJ281" s="106"/>
      <c r="AK281" s="106"/>
      <c r="AL281" s="106"/>
      <c r="AM281" s="106"/>
      <c r="AN281" s="106"/>
      <c r="AO281" s="106"/>
      <c r="AP281" s="106"/>
    </row>
    <row r="282" spans="1:48" ht="16.5" customHeight="1" x14ac:dyDescent="0.2">
      <c r="A282" s="109">
        <f>$A$281+2</f>
        <v>60</v>
      </c>
      <c r="B282" s="109" t="s">
        <v>1184</v>
      </c>
      <c r="C282" s="109" t="s">
        <v>96</v>
      </c>
      <c r="D282" s="109"/>
      <c r="E282" s="109" t="s">
        <v>814</v>
      </c>
      <c r="F282" s="109"/>
      <c r="G282" s="109" t="s">
        <v>1152</v>
      </c>
      <c r="H282" s="109">
        <v>7</v>
      </c>
      <c r="I282" s="109"/>
      <c r="J282" s="109" t="b">
        <f t="shared" si="17"/>
        <v>1</v>
      </c>
      <c r="K282" s="109" t="b">
        <v>1</v>
      </c>
      <c r="L282" s="109"/>
      <c r="M282" s="109"/>
      <c r="N282" s="109"/>
      <c r="O282" s="109" t="str">
        <f>"$D$"&amp;A282</f>
        <v>$D$60</v>
      </c>
      <c r="P282" s="109" t="str">
        <f>"$I$"&amp;A282</f>
        <v>$I$60</v>
      </c>
      <c r="Q282" s="109"/>
      <c r="R282" s="109"/>
      <c r="S282" s="109"/>
      <c r="T282" s="109">
        <v>25</v>
      </c>
      <c r="U282" s="109" t="b">
        <v>1</v>
      </c>
      <c r="V282" s="109" t="s">
        <v>1342</v>
      </c>
      <c r="W282" s="109" t="s">
        <v>1342</v>
      </c>
      <c r="X282" s="109"/>
      <c r="Y282" s="109"/>
      <c r="Z282" s="109"/>
      <c r="AA282" s="109"/>
      <c r="AB282" s="109"/>
      <c r="AC282" s="109">
        <v>5</v>
      </c>
      <c r="AD282" s="109" t="s">
        <v>105</v>
      </c>
      <c r="AE282" s="109">
        <v>14</v>
      </c>
      <c r="AF282" s="109"/>
      <c r="AG282" s="109" t="s">
        <v>1360</v>
      </c>
      <c r="AH282" s="109" t="s">
        <v>29</v>
      </c>
      <c r="AI282" s="109" t="s">
        <v>28</v>
      </c>
      <c r="AJ282" s="109"/>
      <c r="AK282" s="109" t="s">
        <v>1342</v>
      </c>
      <c r="AL282" s="109">
        <v>5</v>
      </c>
      <c r="AM282" s="109"/>
      <c r="AN282" s="109"/>
      <c r="AO282" s="109"/>
      <c r="AP282" s="109" t="b">
        <v>1</v>
      </c>
      <c r="AQ282" s="296" t="s">
        <v>85</v>
      </c>
      <c r="AR282" s="296"/>
      <c r="AS282" s="296"/>
      <c r="AT282" s="296"/>
      <c r="AU282" s="296"/>
      <c r="AV282" s="296"/>
    </row>
    <row r="283" spans="1:48" ht="16.5" customHeight="1" x14ac:dyDescent="0.2">
      <c r="A283" s="110">
        <f>$A$281+2</f>
        <v>60</v>
      </c>
      <c r="B283" s="110" t="str">
        <f>D283&amp;"Red"</f>
        <v>CFG_FinanskontiV_7Red</v>
      </c>
      <c r="C283" s="110" t="s">
        <v>656</v>
      </c>
      <c r="D283" s="110" t="s">
        <v>1184</v>
      </c>
      <c r="E283" s="110" t="s">
        <v>814</v>
      </c>
      <c r="F283" s="110"/>
      <c r="G283" s="110" t="s">
        <v>1152</v>
      </c>
      <c r="H283" s="110">
        <v>7</v>
      </c>
      <c r="I283" s="110" t="s">
        <v>1247</v>
      </c>
      <c r="J283" s="110" t="b">
        <f t="shared" si="17"/>
        <v>1</v>
      </c>
      <c r="K283" s="110" t="b">
        <v>1</v>
      </c>
      <c r="L283" s="110"/>
      <c r="M283" s="110" t="str">
        <f>"'editNorm """&amp;D283&amp;""","""&amp;B283&amp;""","""&amp;E283&amp;"""'"</f>
        <v>'editNorm "CFG_FinanskontiV_7","CFG_FinanskontiV_7Red","CFG_Finanskonti"'</v>
      </c>
      <c r="N283" s="110" t="s">
        <v>59</v>
      </c>
      <c r="O283" s="110" t="str">
        <f>"$L$"&amp;A283</f>
        <v>$L$60</v>
      </c>
      <c r="P283" s="110" t="str">
        <f>"$M$"&amp;A283</f>
        <v>$M$60</v>
      </c>
      <c r="Q283" s="110">
        <v>5</v>
      </c>
      <c r="R283" s="110">
        <v>1</v>
      </c>
      <c r="S283" s="110"/>
      <c r="T283" s="110">
        <v>22</v>
      </c>
      <c r="U283" s="110" t="b">
        <v>1</v>
      </c>
      <c r="V283" s="110" t="s">
        <v>1344</v>
      </c>
      <c r="W283" s="110" t="s">
        <v>1343</v>
      </c>
      <c r="X283" s="110"/>
      <c r="Y283" s="110"/>
      <c r="Z283" s="110"/>
      <c r="AA283" s="110"/>
      <c r="AB283" s="110">
        <v>3</v>
      </c>
      <c r="AC283" s="110">
        <v>5</v>
      </c>
      <c r="AD283" s="110" t="s">
        <v>105</v>
      </c>
      <c r="AE283" s="110">
        <v>12</v>
      </c>
      <c r="AF283" s="110"/>
      <c r="AG283" s="110" t="s">
        <v>1351</v>
      </c>
      <c r="AH283" s="110" t="s">
        <v>29</v>
      </c>
      <c r="AI283" s="110" t="s">
        <v>29</v>
      </c>
      <c r="AJ283" s="110"/>
      <c r="AK283" s="110"/>
      <c r="AL283" s="110"/>
      <c r="AM283" s="110"/>
      <c r="AN283" s="110">
        <v>2</v>
      </c>
      <c r="AO283" s="110"/>
      <c r="AP283" s="110"/>
    </row>
    <row r="284" spans="1:48" ht="16.5" customHeight="1" x14ac:dyDescent="0.2">
      <c r="A284" s="110">
        <f>$A$281+2</f>
        <v>60</v>
      </c>
      <c r="B284" s="110" t="str">
        <f>D284&amp;"Gem"</f>
        <v>CFG_FinanskontiV_7Gem</v>
      </c>
      <c r="C284" s="110" t="s">
        <v>656</v>
      </c>
      <c r="D284" s="110" t="s">
        <v>1184</v>
      </c>
      <c r="E284" s="110" t="s">
        <v>814</v>
      </c>
      <c r="F284" s="110"/>
      <c r="G284" s="110" t="s">
        <v>1152</v>
      </c>
      <c r="H284" s="110">
        <v>7</v>
      </c>
      <c r="I284" s="110" t="s">
        <v>238</v>
      </c>
      <c r="J284" s="110" t="b">
        <f t="shared" si="17"/>
        <v>1</v>
      </c>
      <c r="K284" s="110"/>
      <c r="L284" s="110"/>
      <c r="M284" s="110" t="str">
        <f>"'editNorm """&amp;D284&amp;""","""&amp;B284&amp;""","""&amp;E284&amp;"""'"</f>
        <v>'editNorm "CFG_FinanskontiV_7","CFG_FinanskontiV_7Gem","CFG_Finanskonti"'</v>
      </c>
      <c r="N284" s="110" t="s">
        <v>59</v>
      </c>
      <c r="O284" s="110" t="str">
        <f>"$L$"&amp;A284</f>
        <v>$L$60</v>
      </c>
      <c r="P284" s="110" t="str">
        <f>"$L$"&amp;A284</f>
        <v>$L$60</v>
      </c>
      <c r="Q284" s="110">
        <v>5</v>
      </c>
      <c r="R284" s="110">
        <v>1</v>
      </c>
      <c r="S284" s="110"/>
      <c r="T284" s="110">
        <v>22</v>
      </c>
      <c r="U284" s="110" t="b">
        <v>1</v>
      </c>
      <c r="V284" s="110" t="s">
        <v>1345</v>
      </c>
      <c r="W284" s="110" t="s">
        <v>1343</v>
      </c>
      <c r="X284" s="110"/>
      <c r="Y284" s="110"/>
      <c r="Z284" s="110"/>
      <c r="AA284" s="110"/>
      <c r="AB284" s="110">
        <v>3</v>
      </c>
      <c r="AC284" s="110">
        <v>5</v>
      </c>
      <c r="AD284" s="110" t="s">
        <v>105</v>
      </c>
      <c r="AE284" s="110">
        <v>12</v>
      </c>
      <c r="AF284" s="110"/>
      <c r="AG284" s="110" t="s">
        <v>1351</v>
      </c>
      <c r="AH284" s="110" t="s">
        <v>29</v>
      </c>
      <c r="AI284" s="110" t="s">
        <v>29</v>
      </c>
      <c r="AJ284" s="110"/>
      <c r="AK284" s="110"/>
      <c r="AL284" s="110"/>
      <c r="AM284" s="110"/>
      <c r="AN284" s="110">
        <v>2</v>
      </c>
      <c r="AO284" s="110"/>
      <c r="AP284" s="110"/>
    </row>
    <row r="285" spans="1:48" ht="16.5" customHeight="1" x14ac:dyDescent="0.2">
      <c r="A285" s="110">
        <f>$A$281+2</f>
        <v>60</v>
      </c>
      <c r="B285" s="110" t="str">
        <f>D285&amp;"Cancel"</f>
        <v>CFG_FinanskontiV_7Cancel</v>
      </c>
      <c r="C285" s="110" t="s">
        <v>656</v>
      </c>
      <c r="D285" s="110" t="s">
        <v>1184</v>
      </c>
      <c r="E285" s="110" t="s">
        <v>814</v>
      </c>
      <c r="F285" s="110"/>
      <c r="G285" s="110" t="s">
        <v>1152</v>
      </c>
      <c r="H285" s="110">
        <v>7</v>
      </c>
      <c r="I285" s="110" t="s">
        <v>838</v>
      </c>
      <c r="J285" s="110" t="b">
        <f t="shared" si="17"/>
        <v>1</v>
      </c>
      <c r="K285" s="110"/>
      <c r="L285" s="110"/>
      <c r="M285" s="110" t="str">
        <f>"'editNorm """&amp;D285&amp;""","""&amp;B285&amp;""","""&amp;E285&amp;"""'"</f>
        <v>'editNorm "CFG_FinanskontiV_7","CFG_FinanskontiV_7Cancel","CFG_Finanskonti"'</v>
      </c>
      <c r="N285" s="110" t="s">
        <v>59</v>
      </c>
      <c r="O285" s="110" t="str">
        <f>"$M$"&amp;A285</f>
        <v>$M$60</v>
      </c>
      <c r="P285" s="110" t="str">
        <f>"$M$"&amp;A285</f>
        <v>$M$60</v>
      </c>
      <c r="Q285" s="110">
        <v>7</v>
      </c>
      <c r="R285" s="110">
        <v>1</v>
      </c>
      <c r="S285" s="110"/>
      <c r="T285" s="110">
        <v>22</v>
      </c>
      <c r="U285" s="110" t="b">
        <v>1</v>
      </c>
      <c r="V285" s="110" t="s">
        <v>1344</v>
      </c>
      <c r="W285" s="110" t="s">
        <v>1343</v>
      </c>
      <c r="X285" s="110"/>
      <c r="Y285" s="110"/>
      <c r="Z285" s="110"/>
      <c r="AA285" s="110"/>
      <c r="AB285" s="110">
        <v>3</v>
      </c>
      <c r="AC285" s="110">
        <v>5</v>
      </c>
      <c r="AD285" s="110" t="s">
        <v>105</v>
      </c>
      <c r="AE285" s="110">
        <v>12</v>
      </c>
      <c r="AF285" s="110"/>
      <c r="AG285" s="110" t="s">
        <v>1351</v>
      </c>
      <c r="AH285" s="110" t="s">
        <v>29</v>
      </c>
      <c r="AI285" s="110" t="s">
        <v>29</v>
      </c>
      <c r="AJ285" s="110"/>
      <c r="AK285" s="110"/>
      <c r="AL285" s="110"/>
      <c r="AM285" s="110"/>
      <c r="AN285" s="110">
        <v>2</v>
      </c>
      <c r="AO285" s="110"/>
      <c r="AP285" s="110"/>
    </row>
    <row r="286" spans="1:48" ht="16.5" customHeight="1" x14ac:dyDescent="0.2">
      <c r="A286" s="110">
        <f>$A$281+2</f>
        <v>60</v>
      </c>
      <c r="B286" s="110" t="str">
        <f>D286&amp;"Delete"</f>
        <v>CFG_FinanskontiV_7Delete</v>
      </c>
      <c r="C286" s="110" t="s">
        <v>656</v>
      </c>
      <c r="D286" s="110" t="s">
        <v>1184</v>
      </c>
      <c r="E286" s="110" t="s">
        <v>814</v>
      </c>
      <c r="F286" s="110"/>
      <c r="G286" s="110" t="s">
        <v>1152</v>
      </c>
      <c r="H286" s="110">
        <v>7</v>
      </c>
      <c r="I286" s="110" t="s">
        <v>839</v>
      </c>
      <c r="J286" s="110" t="b">
        <f t="shared" si="17"/>
        <v>1</v>
      </c>
      <c r="K286" s="110"/>
      <c r="L286" s="110"/>
      <c r="M286" s="110" t="str">
        <f>"'editNorm """&amp;D286&amp;""","""&amp;B286&amp;""","""&amp;E286&amp;"""'"</f>
        <v>'editNorm "CFG_FinanskontiV_7","CFG_FinanskontiV_7Delete","CFG_Finanskonti"'</v>
      </c>
      <c r="N286" s="110" t="s">
        <v>59</v>
      </c>
      <c r="O286" s="110" t="str">
        <f>"$N$"&amp;A286</f>
        <v>$N$60</v>
      </c>
      <c r="P286" s="110" t="str">
        <f>"$N$"&amp;A286</f>
        <v>$N$60</v>
      </c>
      <c r="Q286" s="110">
        <v>7</v>
      </c>
      <c r="R286" s="110">
        <v>1</v>
      </c>
      <c r="S286" s="110"/>
      <c r="T286" s="110">
        <v>22</v>
      </c>
      <c r="U286" s="110" t="b">
        <v>1</v>
      </c>
      <c r="V286" s="110" t="s">
        <v>1346</v>
      </c>
      <c r="W286" s="110" t="s">
        <v>1343</v>
      </c>
      <c r="X286" s="110"/>
      <c r="Y286" s="110"/>
      <c r="Z286" s="110"/>
      <c r="AA286" s="110"/>
      <c r="AB286" s="110">
        <v>3</v>
      </c>
      <c r="AC286" s="110">
        <v>5</v>
      </c>
      <c r="AD286" s="110" t="s">
        <v>105</v>
      </c>
      <c r="AE286" s="110">
        <v>12</v>
      </c>
      <c r="AF286" s="110"/>
      <c r="AG286" s="110" t="s">
        <v>1351</v>
      </c>
      <c r="AH286" s="110" t="s">
        <v>29</v>
      </c>
      <c r="AI286" s="110" t="s">
        <v>29</v>
      </c>
      <c r="AJ286" s="110"/>
      <c r="AK286" s="110"/>
      <c r="AL286" s="110"/>
      <c r="AM286" s="110"/>
      <c r="AN286" s="110">
        <v>2</v>
      </c>
      <c r="AO286" s="110"/>
      <c r="AP286" s="110"/>
    </row>
    <row r="287" spans="1:48" ht="16.5" customHeight="1" x14ac:dyDescent="0.2">
      <c r="A287" s="106">
        <f>$A$281+3</f>
        <v>61</v>
      </c>
      <c r="B287" s="106" t="s">
        <v>1185</v>
      </c>
      <c r="C287" s="106" t="s">
        <v>655</v>
      </c>
      <c r="D287" s="106"/>
      <c r="E287" s="106" t="s">
        <v>814</v>
      </c>
      <c r="F287" s="106"/>
      <c r="G287" s="106" t="s">
        <v>1152</v>
      </c>
      <c r="H287" s="106">
        <v>7</v>
      </c>
      <c r="I287" s="106"/>
      <c r="J287" s="106" t="b">
        <f t="shared" si="17"/>
        <v>1</v>
      </c>
      <c r="K287" s="106" t="b">
        <v>1</v>
      </c>
      <c r="L287" s="106"/>
      <c r="M287" s="106"/>
      <c r="N287" s="106" t="s">
        <v>59</v>
      </c>
      <c r="O287" s="106" t="str">
        <f>"$D$"&amp;A287</f>
        <v>$D$61</v>
      </c>
      <c r="P287" s="106" t="str">
        <f>"$M$"&amp;A287+1</f>
        <v>$M$62</v>
      </c>
      <c r="Q287" s="106"/>
      <c r="R287" s="106">
        <v>2</v>
      </c>
      <c r="S287" s="106"/>
      <c r="T287" s="106">
        <v>2</v>
      </c>
      <c r="U287" s="106" t="b">
        <v>1</v>
      </c>
      <c r="V287" s="106" t="s">
        <v>1344</v>
      </c>
      <c r="W287" s="106" t="s">
        <v>1343</v>
      </c>
      <c r="X287" s="106"/>
      <c r="Y287" s="106"/>
      <c r="Z287" s="106"/>
      <c r="AA287" s="106"/>
      <c r="AB287" s="106"/>
      <c r="AC287" s="106"/>
      <c r="AD287" s="106"/>
      <c r="AE287" s="106"/>
      <c r="AF287" s="106"/>
      <c r="AG287" s="106"/>
      <c r="AH287" s="106"/>
      <c r="AI287" s="106"/>
      <c r="AJ287" s="106"/>
      <c r="AK287" s="106"/>
      <c r="AL287" s="106"/>
      <c r="AM287" s="106"/>
      <c r="AN287" s="106"/>
      <c r="AO287" s="106"/>
      <c r="AP287" s="106"/>
    </row>
    <row r="288" spans="1:48" ht="16.5" customHeight="1" x14ac:dyDescent="0.2">
      <c r="A288" s="109">
        <f>$A$287+2</f>
        <v>63</v>
      </c>
      <c r="B288" s="109" t="s">
        <v>1188</v>
      </c>
      <c r="C288" s="109" t="s">
        <v>96</v>
      </c>
      <c r="D288" s="109"/>
      <c r="E288" s="109" t="s">
        <v>814</v>
      </c>
      <c r="F288" s="109"/>
      <c r="G288" s="109" t="s">
        <v>1152</v>
      </c>
      <c r="H288" s="109">
        <v>8</v>
      </c>
      <c r="I288" s="109"/>
      <c r="J288" s="109" t="b">
        <f t="shared" si="17"/>
        <v>1</v>
      </c>
      <c r="K288" s="109" t="b">
        <v>1</v>
      </c>
      <c r="L288" s="109"/>
      <c r="M288" s="109"/>
      <c r="N288" s="109"/>
      <c r="O288" s="109" t="str">
        <f>"$D$"&amp;A288</f>
        <v>$D$63</v>
      </c>
      <c r="P288" s="109" t="str">
        <f>"$I$"&amp;A288</f>
        <v>$I$63</v>
      </c>
      <c r="Q288" s="109"/>
      <c r="R288" s="109"/>
      <c r="S288" s="109"/>
      <c r="T288" s="109">
        <v>25</v>
      </c>
      <c r="U288" s="109" t="b">
        <v>1</v>
      </c>
      <c r="V288" s="109" t="s">
        <v>1342</v>
      </c>
      <c r="W288" s="109" t="s">
        <v>1342</v>
      </c>
      <c r="X288" s="109"/>
      <c r="Y288" s="109"/>
      <c r="Z288" s="109"/>
      <c r="AA288" s="109"/>
      <c r="AB288" s="109"/>
      <c r="AC288" s="109">
        <v>5</v>
      </c>
      <c r="AD288" s="109" t="s">
        <v>105</v>
      </c>
      <c r="AE288" s="109">
        <v>14</v>
      </c>
      <c r="AF288" s="109"/>
      <c r="AG288" s="109" t="s">
        <v>1360</v>
      </c>
      <c r="AH288" s="109" t="s">
        <v>29</v>
      </c>
      <c r="AI288" s="109" t="s">
        <v>28</v>
      </c>
      <c r="AJ288" s="109"/>
      <c r="AK288" s="109" t="s">
        <v>1342</v>
      </c>
      <c r="AL288" s="109">
        <v>5</v>
      </c>
      <c r="AM288" s="109"/>
      <c r="AN288" s="109"/>
      <c r="AO288" s="109"/>
      <c r="AP288" s="109" t="b">
        <v>1</v>
      </c>
      <c r="AQ288" s="341" t="s">
        <v>86</v>
      </c>
      <c r="AR288" s="341"/>
      <c r="AS288" s="341"/>
      <c r="AT288" s="341"/>
      <c r="AU288" s="341"/>
      <c r="AV288" s="341"/>
    </row>
    <row r="289" spans="1:48" ht="16.5" customHeight="1" x14ac:dyDescent="0.2">
      <c r="A289" s="110">
        <f>$A$287+2</f>
        <v>63</v>
      </c>
      <c r="B289" s="110" t="str">
        <f>D289&amp;"Red"</f>
        <v>CFG_FinanskontiV_8Red</v>
      </c>
      <c r="C289" s="110" t="s">
        <v>656</v>
      </c>
      <c r="D289" s="110" t="s">
        <v>1188</v>
      </c>
      <c r="E289" s="110" t="s">
        <v>814</v>
      </c>
      <c r="F289" s="110"/>
      <c r="G289" s="110" t="s">
        <v>1152</v>
      </c>
      <c r="H289" s="110">
        <v>8</v>
      </c>
      <c r="I289" s="110" t="s">
        <v>1247</v>
      </c>
      <c r="J289" s="110" t="b">
        <f t="shared" si="17"/>
        <v>1</v>
      </c>
      <c r="K289" s="110" t="b">
        <v>1</v>
      </c>
      <c r="L289" s="110"/>
      <c r="M289" s="110" t="str">
        <f>"'editNorm """&amp;D289&amp;""","""&amp;B289&amp;""","""&amp;E289&amp;"""'"</f>
        <v>'editNorm "CFG_FinanskontiV_8","CFG_FinanskontiV_8Red","CFG_Finanskonti"'</v>
      </c>
      <c r="N289" s="110" t="s">
        <v>59</v>
      </c>
      <c r="O289" s="110" t="str">
        <f>"$L$"&amp;A289</f>
        <v>$L$63</v>
      </c>
      <c r="P289" s="110" t="str">
        <f>"$M$"&amp;A289</f>
        <v>$M$63</v>
      </c>
      <c r="Q289" s="110">
        <v>5</v>
      </c>
      <c r="R289" s="110">
        <v>1</v>
      </c>
      <c r="S289" s="110"/>
      <c r="T289" s="110">
        <v>22</v>
      </c>
      <c r="U289" s="110" t="b">
        <v>1</v>
      </c>
      <c r="V289" s="110" t="s">
        <v>1344</v>
      </c>
      <c r="W289" s="110" t="s">
        <v>1343</v>
      </c>
      <c r="X289" s="110"/>
      <c r="Y289" s="110"/>
      <c r="Z289" s="110"/>
      <c r="AA289" s="110"/>
      <c r="AB289" s="110">
        <v>3</v>
      </c>
      <c r="AC289" s="110">
        <v>5</v>
      </c>
      <c r="AD289" s="110" t="s">
        <v>105</v>
      </c>
      <c r="AE289" s="110">
        <v>12</v>
      </c>
      <c r="AF289" s="110"/>
      <c r="AG289" s="110" t="s">
        <v>1351</v>
      </c>
      <c r="AH289" s="110" t="s">
        <v>29</v>
      </c>
      <c r="AI289" s="110" t="s">
        <v>29</v>
      </c>
      <c r="AJ289" s="110"/>
      <c r="AK289" s="110"/>
      <c r="AL289" s="110"/>
      <c r="AM289" s="110"/>
      <c r="AN289" s="110">
        <v>2</v>
      </c>
      <c r="AO289" s="110"/>
      <c r="AP289" s="110"/>
    </row>
    <row r="290" spans="1:48" ht="16.5" customHeight="1" x14ac:dyDescent="0.2">
      <c r="A290" s="110">
        <f>$A$287+2</f>
        <v>63</v>
      </c>
      <c r="B290" s="110" t="str">
        <f>D290&amp;"Gem"</f>
        <v>CFG_FinanskontiV_8Gem</v>
      </c>
      <c r="C290" s="110" t="s">
        <v>656</v>
      </c>
      <c r="D290" s="110" t="s">
        <v>1188</v>
      </c>
      <c r="E290" s="110" t="s">
        <v>814</v>
      </c>
      <c r="F290" s="110"/>
      <c r="G290" s="110" t="s">
        <v>1152</v>
      </c>
      <c r="H290" s="110">
        <v>8</v>
      </c>
      <c r="I290" s="110" t="s">
        <v>238</v>
      </c>
      <c r="J290" s="110" t="b">
        <f t="shared" si="17"/>
        <v>1</v>
      </c>
      <c r="K290" s="110"/>
      <c r="L290" s="110"/>
      <c r="M290" s="110" t="str">
        <f>"'editNorm """&amp;D290&amp;""","""&amp;B290&amp;""","""&amp;E290&amp;"""'"</f>
        <v>'editNorm "CFG_FinanskontiV_8","CFG_FinanskontiV_8Gem","CFG_Finanskonti"'</v>
      </c>
      <c r="N290" s="110" t="s">
        <v>59</v>
      </c>
      <c r="O290" s="110" t="str">
        <f>"$L$"&amp;A290</f>
        <v>$L$63</v>
      </c>
      <c r="P290" s="110" t="str">
        <f>"$L$"&amp;A290</f>
        <v>$L$63</v>
      </c>
      <c r="Q290" s="110">
        <v>5</v>
      </c>
      <c r="R290" s="110">
        <v>1</v>
      </c>
      <c r="S290" s="110"/>
      <c r="T290" s="110">
        <v>22</v>
      </c>
      <c r="U290" s="110" t="b">
        <v>1</v>
      </c>
      <c r="V290" s="110" t="s">
        <v>1345</v>
      </c>
      <c r="W290" s="110" t="s">
        <v>1343</v>
      </c>
      <c r="X290" s="110"/>
      <c r="Y290" s="110"/>
      <c r="Z290" s="110"/>
      <c r="AA290" s="110"/>
      <c r="AB290" s="110">
        <v>3</v>
      </c>
      <c r="AC290" s="110">
        <v>5</v>
      </c>
      <c r="AD290" s="110" t="s">
        <v>105</v>
      </c>
      <c r="AE290" s="110">
        <v>12</v>
      </c>
      <c r="AF290" s="110"/>
      <c r="AG290" s="110" t="s">
        <v>1351</v>
      </c>
      <c r="AH290" s="110" t="s">
        <v>29</v>
      </c>
      <c r="AI290" s="110" t="s">
        <v>29</v>
      </c>
      <c r="AJ290" s="110"/>
      <c r="AK290" s="110"/>
      <c r="AL290" s="110"/>
      <c r="AM290" s="110"/>
      <c r="AN290" s="110">
        <v>2</v>
      </c>
      <c r="AO290" s="110"/>
      <c r="AP290" s="110"/>
    </row>
    <row r="291" spans="1:48" ht="16.5" customHeight="1" x14ac:dyDescent="0.2">
      <c r="A291" s="110">
        <f>$A$287+2</f>
        <v>63</v>
      </c>
      <c r="B291" s="110" t="str">
        <f>D291&amp;"Cancel"</f>
        <v>CFG_FinanskontiV_8Cancel</v>
      </c>
      <c r="C291" s="110" t="s">
        <v>656</v>
      </c>
      <c r="D291" s="110" t="s">
        <v>1188</v>
      </c>
      <c r="E291" s="110" t="s">
        <v>814</v>
      </c>
      <c r="F291" s="110"/>
      <c r="G291" s="110" t="s">
        <v>1152</v>
      </c>
      <c r="H291" s="110">
        <v>8</v>
      </c>
      <c r="I291" s="110" t="s">
        <v>838</v>
      </c>
      <c r="J291" s="110" t="b">
        <f t="shared" si="17"/>
        <v>1</v>
      </c>
      <c r="K291" s="110"/>
      <c r="L291" s="110"/>
      <c r="M291" s="110" t="str">
        <f>"'editNorm """&amp;D291&amp;""","""&amp;B291&amp;""","""&amp;E291&amp;"""'"</f>
        <v>'editNorm "CFG_FinanskontiV_8","CFG_FinanskontiV_8Cancel","CFG_Finanskonti"'</v>
      </c>
      <c r="N291" s="110" t="s">
        <v>59</v>
      </c>
      <c r="O291" s="110" t="str">
        <f>"$M$"&amp;A291</f>
        <v>$M$63</v>
      </c>
      <c r="P291" s="110" t="str">
        <f>"$M$"&amp;A291</f>
        <v>$M$63</v>
      </c>
      <c r="Q291" s="110">
        <v>7</v>
      </c>
      <c r="R291" s="110">
        <v>1</v>
      </c>
      <c r="S291" s="110"/>
      <c r="T291" s="110">
        <v>22</v>
      </c>
      <c r="U291" s="110" t="b">
        <v>1</v>
      </c>
      <c r="V291" s="110" t="s">
        <v>1344</v>
      </c>
      <c r="W291" s="110" t="s">
        <v>1343</v>
      </c>
      <c r="X291" s="110"/>
      <c r="Y291" s="110"/>
      <c r="Z291" s="110"/>
      <c r="AA291" s="110"/>
      <c r="AB291" s="110">
        <v>3</v>
      </c>
      <c r="AC291" s="110">
        <v>5</v>
      </c>
      <c r="AD291" s="110" t="s">
        <v>105</v>
      </c>
      <c r="AE291" s="110">
        <v>12</v>
      </c>
      <c r="AF291" s="110"/>
      <c r="AG291" s="110" t="s">
        <v>1351</v>
      </c>
      <c r="AH291" s="110" t="s">
        <v>29</v>
      </c>
      <c r="AI291" s="110" t="s">
        <v>29</v>
      </c>
      <c r="AJ291" s="110"/>
      <c r="AK291" s="110"/>
      <c r="AL291" s="110"/>
      <c r="AM291" s="110"/>
      <c r="AN291" s="110">
        <v>2</v>
      </c>
      <c r="AO291" s="110"/>
      <c r="AP291" s="110"/>
    </row>
    <row r="292" spans="1:48" ht="16.5" customHeight="1" x14ac:dyDescent="0.2">
      <c r="A292" s="110">
        <f>$A$287+2</f>
        <v>63</v>
      </c>
      <c r="B292" s="110" t="str">
        <f>D292&amp;"Delete"</f>
        <v>CFG_FinanskontiV_8Delete</v>
      </c>
      <c r="C292" s="110" t="s">
        <v>656</v>
      </c>
      <c r="D292" s="110" t="s">
        <v>1188</v>
      </c>
      <c r="E292" s="110" t="s">
        <v>814</v>
      </c>
      <c r="F292" s="110"/>
      <c r="G292" s="110" t="s">
        <v>1152</v>
      </c>
      <c r="H292" s="110">
        <v>8</v>
      </c>
      <c r="I292" s="110" t="s">
        <v>839</v>
      </c>
      <c r="J292" s="110" t="b">
        <f t="shared" si="17"/>
        <v>1</v>
      </c>
      <c r="K292" s="110"/>
      <c r="L292" s="110"/>
      <c r="M292" s="110" t="str">
        <f>"'editNorm """&amp;D292&amp;""","""&amp;B292&amp;""","""&amp;E292&amp;"""'"</f>
        <v>'editNorm "CFG_FinanskontiV_8","CFG_FinanskontiV_8Delete","CFG_Finanskonti"'</v>
      </c>
      <c r="N292" s="110" t="s">
        <v>59</v>
      </c>
      <c r="O292" s="110" t="str">
        <f>"$N$"&amp;A292</f>
        <v>$N$63</v>
      </c>
      <c r="P292" s="110" t="str">
        <f>"$N$"&amp;A292</f>
        <v>$N$63</v>
      </c>
      <c r="Q292" s="110">
        <v>7</v>
      </c>
      <c r="R292" s="110">
        <v>1</v>
      </c>
      <c r="S292" s="110"/>
      <c r="T292" s="110">
        <v>22</v>
      </c>
      <c r="U292" s="110" t="b">
        <v>1</v>
      </c>
      <c r="V292" s="110" t="s">
        <v>1346</v>
      </c>
      <c r="W292" s="110" t="s">
        <v>1343</v>
      </c>
      <c r="X292" s="110"/>
      <c r="Y292" s="110"/>
      <c r="Z292" s="110"/>
      <c r="AA292" s="110"/>
      <c r="AB292" s="110">
        <v>3</v>
      </c>
      <c r="AC292" s="110">
        <v>5</v>
      </c>
      <c r="AD292" s="110" t="s">
        <v>105</v>
      </c>
      <c r="AE292" s="110">
        <v>12</v>
      </c>
      <c r="AF292" s="110"/>
      <c r="AG292" s="110" t="s">
        <v>1351</v>
      </c>
      <c r="AH292" s="110" t="s">
        <v>29</v>
      </c>
      <c r="AI292" s="110" t="s">
        <v>29</v>
      </c>
      <c r="AJ292" s="110"/>
      <c r="AK292" s="110"/>
      <c r="AL292" s="110"/>
      <c r="AM292" s="110"/>
      <c r="AN292" s="110">
        <v>2</v>
      </c>
      <c r="AO292" s="110"/>
      <c r="AP292" s="110"/>
    </row>
    <row r="293" spans="1:48" ht="16.5" customHeight="1" x14ac:dyDescent="0.2">
      <c r="A293" s="106">
        <f>$A$287+3</f>
        <v>64</v>
      </c>
      <c r="B293" s="106" t="s">
        <v>1189</v>
      </c>
      <c r="C293" s="106" t="s">
        <v>655</v>
      </c>
      <c r="D293" s="106"/>
      <c r="E293" s="106" t="s">
        <v>814</v>
      </c>
      <c r="F293" s="106"/>
      <c r="G293" s="106" t="s">
        <v>1152</v>
      </c>
      <c r="H293" s="106">
        <v>8</v>
      </c>
      <c r="I293" s="106"/>
      <c r="J293" s="106" t="b">
        <f t="shared" si="17"/>
        <v>1</v>
      </c>
      <c r="K293" s="106" t="b">
        <v>1</v>
      </c>
      <c r="L293" s="106"/>
      <c r="M293" s="106"/>
      <c r="N293" s="106" t="s">
        <v>59</v>
      </c>
      <c r="O293" s="106" t="str">
        <f>"$D$"&amp;A293</f>
        <v>$D$64</v>
      </c>
      <c r="P293" s="106" t="str">
        <f>"$M$"&amp;A293+1</f>
        <v>$M$65</v>
      </c>
      <c r="Q293" s="106"/>
      <c r="R293" s="106">
        <v>2</v>
      </c>
      <c r="S293" s="106"/>
      <c r="T293" s="106">
        <v>2</v>
      </c>
      <c r="U293" s="106" t="b">
        <v>1</v>
      </c>
      <c r="V293" s="106" t="s">
        <v>1344</v>
      </c>
      <c r="W293" s="106" t="s">
        <v>1343</v>
      </c>
      <c r="X293" s="106"/>
      <c r="Y293" s="106"/>
      <c r="Z293" s="106"/>
      <c r="AA293" s="106"/>
      <c r="AB293" s="106"/>
      <c r="AC293" s="106"/>
      <c r="AD293" s="106"/>
      <c r="AE293" s="106"/>
      <c r="AF293" s="106"/>
      <c r="AG293" s="106"/>
      <c r="AH293" s="106"/>
      <c r="AI293" s="106"/>
      <c r="AJ293" s="106"/>
      <c r="AK293" s="106"/>
      <c r="AL293" s="106"/>
      <c r="AM293" s="106"/>
      <c r="AN293" s="106"/>
      <c r="AO293" s="106"/>
      <c r="AP293" s="106"/>
    </row>
    <row r="294" spans="1:48" ht="16.5" customHeight="1" x14ac:dyDescent="0.2">
      <c r="A294" s="109">
        <f>$A$293+2</f>
        <v>66</v>
      </c>
      <c r="B294" s="109" t="s">
        <v>1507</v>
      </c>
      <c r="C294" s="109" t="s">
        <v>96</v>
      </c>
      <c r="D294" s="109"/>
      <c r="E294" s="109" t="s">
        <v>814</v>
      </c>
      <c r="F294" s="109"/>
      <c r="G294" s="109" t="s">
        <v>1152</v>
      </c>
      <c r="H294" s="109">
        <v>9</v>
      </c>
      <c r="I294" s="109"/>
      <c r="J294" s="109" t="b">
        <f t="shared" si="17"/>
        <v>1</v>
      </c>
      <c r="K294" s="109" t="b">
        <v>1</v>
      </c>
      <c r="L294" s="109"/>
      <c r="M294" s="109"/>
      <c r="N294" s="109"/>
      <c r="O294" s="109" t="str">
        <f>"$D$"&amp;A294</f>
        <v>$D$66</v>
      </c>
      <c r="P294" s="109" t="str">
        <f>"$I$"&amp;A294</f>
        <v>$I$66</v>
      </c>
      <c r="Q294" s="109"/>
      <c r="R294" s="109"/>
      <c r="S294" s="109"/>
      <c r="T294" s="109">
        <v>25</v>
      </c>
      <c r="U294" s="109" t="b">
        <v>1</v>
      </c>
      <c r="V294" s="109" t="s">
        <v>1342</v>
      </c>
      <c r="W294" s="109" t="s">
        <v>1342</v>
      </c>
      <c r="X294" s="109"/>
      <c r="Y294" s="109"/>
      <c r="Z294" s="109"/>
      <c r="AA294" s="109"/>
      <c r="AB294" s="109"/>
      <c r="AC294" s="109">
        <v>5</v>
      </c>
      <c r="AD294" s="109" t="s">
        <v>105</v>
      </c>
      <c r="AE294" s="109">
        <v>14</v>
      </c>
      <c r="AF294" s="109"/>
      <c r="AG294" s="109" t="s">
        <v>1360</v>
      </c>
      <c r="AH294" s="109" t="s">
        <v>29</v>
      </c>
      <c r="AI294" s="109" t="s">
        <v>28</v>
      </c>
      <c r="AJ294" s="109"/>
      <c r="AK294" s="109" t="s">
        <v>1342</v>
      </c>
      <c r="AL294" s="109">
        <v>5</v>
      </c>
      <c r="AM294" s="109"/>
      <c r="AN294" s="109"/>
      <c r="AO294" s="109"/>
      <c r="AP294" s="109" t="b">
        <v>1</v>
      </c>
      <c r="AQ294" s="296" t="s">
        <v>1486</v>
      </c>
      <c r="AR294" s="296"/>
      <c r="AS294" s="296"/>
      <c r="AT294" s="296"/>
      <c r="AU294" s="296"/>
      <c r="AV294" s="296"/>
    </row>
    <row r="295" spans="1:48" ht="16.5" customHeight="1" x14ac:dyDescent="0.2">
      <c r="A295" s="110">
        <f>$A$293+2</f>
        <v>66</v>
      </c>
      <c r="B295" s="110" t="str">
        <f>D295&amp;"Red"</f>
        <v>CFG_FinanskontiV_9Red</v>
      </c>
      <c r="C295" s="110" t="s">
        <v>656</v>
      </c>
      <c r="D295" s="110" t="s">
        <v>1507</v>
      </c>
      <c r="E295" s="110" t="s">
        <v>814</v>
      </c>
      <c r="F295" s="110"/>
      <c r="G295" s="110" t="s">
        <v>1152</v>
      </c>
      <c r="H295" s="110">
        <v>9</v>
      </c>
      <c r="I295" s="110" t="s">
        <v>1247</v>
      </c>
      <c r="J295" s="110" t="b">
        <f t="shared" si="17"/>
        <v>1</v>
      </c>
      <c r="K295" s="110" t="b">
        <v>1</v>
      </c>
      <c r="L295" s="110"/>
      <c r="M295" s="110" t="str">
        <f>"'editNorm """&amp;D295&amp;""","""&amp;B295&amp;""","""&amp;E295&amp;"""'"</f>
        <v>'editNorm "CFG_FinanskontiV_9","CFG_FinanskontiV_9Red","CFG_Finanskonti"'</v>
      </c>
      <c r="N295" s="110" t="s">
        <v>59</v>
      </c>
      <c r="O295" s="110" t="str">
        <f>"$L$"&amp;A295</f>
        <v>$L$66</v>
      </c>
      <c r="P295" s="110" t="str">
        <f>"$M$"&amp;A295</f>
        <v>$M$66</v>
      </c>
      <c r="Q295" s="110">
        <v>5</v>
      </c>
      <c r="R295" s="110">
        <v>1</v>
      </c>
      <c r="S295" s="110"/>
      <c r="T295" s="110">
        <v>22</v>
      </c>
      <c r="U295" s="110" t="b">
        <v>1</v>
      </c>
      <c r="V295" s="110" t="s">
        <v>1344</v>
      </c>
      <c r="W295" s="110" t="s">
        <v>1343</v>
      </c>
      <c r="X295" s="110"/>
      <c r="Y295" s="110"/>
      <c r="Z295" s="110"/>
      <c r="AA295" s="110"/>
      <c r="AB295" s="110">
        <v>3</v>
      </c>
      <c r="AC295" s="110">
        <v>5</v>
      </c>
      <c r="AD295" s="110" t="s">
        <v>105</v>
      </c>
      <c r="AE295" s="110">
        <v>12</v>
      </c>
      <c r="AF295" s="110"/>
      <c r="AG295" s="110" t="s">
        <v>1351</v>
      </c>
      <c r="AH295" s="110" t="s">
        <v>29</v>
      </c>
      <c r="AI295" s="110" t="s">
        <v>29</v>
      </c>
      <c r="AJ295" s="110"/>
      <c r="AK295" s="110"/>
      <c r="AL295" s="110"/>
      <c r="AM295" s="110"/>
      <c r="AN295" s="110">
        <v>2</v>
      </c>
      <c r="AO295" s="110"/>
      <c r="AP295" s="110"/>
    </row>
    <row r="296" spans="1:48" ht="16.5" customHeight="1" x14ac:dyDescent="0.2">
      <c r="A296" s="110">
        <f>$A$293+2</f>
        <v>66</v>
      </c>
      <c r="B296" s="110" t="str">
        <f>D296&amp;"Gem"</f>
        <v>CFG_FinanskontiV_9Gem</v>
      </c>
      <c r="C296" s="110" t="s">
        <v>656</v>
      </c>
      <c r="D296" s="110" t="s">
        <v>1507</v>
      </c>
      <c r="E296" s="110" t="s">
        <v>814</v>
      </c>
      <c r="F296" s="110"/>
      <c r="G296" s="110" t="s">
        <v>1152</v>
      </c>
      <c r="H296" s="110">
        <v>9</v>
      </c>
      <c r="I296" s="110" t="s">
        <v>238</v>
      </c>
      <c r="J296" s="110" t="b">
        <f t="shared" si="17"/>
        <v>1</v>
      </c>
      <c r="K296" s="110"/>
      <c r="L296" s="110"/>
      <c r="M296" s="110" t="str">
        <f>"'editNorm """&amp;D296&amp;""","""&amp;B296&amp;""","""&amp;E296&amp;"""'"</f>
        <v>'editNorm "CFG_FinanskontiV_9","CFG_FinanskontiV_9Gem","CFG_Finanskonti"'</v>
      </c>
      <c r="N296" s="110" t="s">
        <v>59</v>
      </c>
      <c r="O296" s="110" t="str">
        <f>"$L$"&amp;A296</f>
        <v>$L$66</v>
      </c>
      <c r="P296" s="110" t="str">
        <f>"$L$"&amp;A296</f>
        <v>$L$66</v>
      </c>
      <c r="Q296" s="110">
        <v>5</v>
      </c>
      <c r="R296" s="110">
        <v>1</v>
      </c>
      <c r="S296" s="110"/>
      <c r="T296" s="110">
        <v>22</v>
      </c>
      <c r="U296" s="110" t="b">
        <v>1</v>
      </c>
      <c r="V296" s="110" t="s">
        <v>1345</v>
      </c>
      <c r="W296" s="110" t="s">
        <v>1343</v>
      </c>
      <c r="X296" s="110"/>
      <c r="Y296" s="110"/>
      <c r="Z296" s="110"/>
      <c r="AA296" s="110"/>
      <c r="AB296" s="110">
        <v>3</v>
      </c>
      <c r="AC296" s="110">
        <v>5</v>
      </c>
      <c r="AD296" s="110" t="s">
        <v>105</v>
      </c>
      <c r="AE296" s="110">
        <v>12</v>
      </c>
      <c r="AF296" s="110"/>
      <c r="AG296" s="110" t="s">
        <v>1351</v>
      </c>
      <c r="AH296" s="110" t="s">
        <v>29</v>
      </c>
      <c r="AI296" s="110" t="s">
        <v>29</v>
      </c>
      <c r="AJ296" s="110"/>
      <c r="AK296" s="110"/>
      <c r="AL296" s="110"/>
      <c r="AM296" s="110"/>
      <c r="AN296" s="110">
        <v>2</v>
      </c>
      <c r="AO296" s="110"/>
      <c r="AP296" s="110"/>
    </row>
    <row r="297" spans="1:48" ht="16.5" customHeight="1" x14ac:dyDescent="0.2">
      <c r="A297" s="110">
        <f>$A$293+2</f>
        <v>66</v>
      </c>
      <c r="B297" s="110" t="str">
        <f>D297&amp;"Cancel"</f>
        <v>CFG_FinanskontiV_9Cancel</v>
      </c>
      <c r="C297" s="110" t="s">
        <v>656</v>
      </c>
      <c r="D297" s="110" t="s">
        <v>1507</v>
      </c>
      <c r="E297" s="110" t="s">
        <v>814</v>
      </c>
      <c r="F297" s="110"/>
      <c r="G297" s="110" t="s">
        <v>1152</v>
      </c>
      <c r="H297" s="110">
        <v>9</v>
      </c>
      <c r="I297" s="110" t="s">
        <v>838</v>
      </c>
      <c r="J297" s="110" t="b">
        <f t="shared" si="17"/>
        <v>1</v>
      </c>
      <c r="K297" s="110"/>
      <c r="L297" s="110"/>
      <c r="M297" s="110" t="str">
        <f>"'editNorm """&amp;D297&amp;""","""&amp;B297&amp;""","""&amp;E297&amp;"""'"</f>
        <v>'editNorm "CFG_FinanskontiV_9","CFG_FinanskontiV_9Cancel","CFG_Finanskonti"'</v>
      </c>
      <c r="N297" s="110" t="s">
        <v>59</v>
      </c>
      <c r="O297" s="110" t="str">
        <f>"$M$"&amp;A297</f>
        <v>$M$66</v>
      </c>
      <c r="P297" s="110" t="str">
        <f>"$M$"&amp;A297</f>
        <v>$M$66</v>
      </c>
      <c r="Q297" s="110">
        <v>7</v>
      </c>
      <c r="R297" s="110">
        <v>1</v>
      </c>
      <c r="S297" s="110"/>
      <c r="T297" s="110">
        <v>22</v>
      </c>
      <c r="U297" s="110" t="b">
        <v>1</v>
      </c>
      <c r="V297" s="110" t="s">
        <v>1344</v>
      </c>
      <c r="W297" s="110" t="s">
        <v>1343</v>
      </c>
      <c r="X297" s="110"/>
      <c r="Y297" s="110"/>
      <c r="Z297" s="110"/>
      <c r="AA297" s="110"/>
      <c r="AB297" s="110">
        <v>3</v>
      </c>
      <c r="AC297" s="110">
        <v>5</v>
      </c>
      <c r="AD297" s="110" t="s">
        <v>105</v>
      </c>
      <c r="AE297" s="110">
        <v>12</v>
      </c>
      <c r="AF297" s="110"/>
      <c r="AG297" s="110" t="s">
        <v>1351</v>
      </c>
      <c r="AH297" s="110" t="s">
        <v>29</v>
      </c>
      <c r="AI297" s="110" t="s">
        <v>29</v>
      </c>
      <c r="AJ297" s="110"/>
      <c r="AK297" s="110"/>
      <c r="AL297" s="110"/>
      <c r="AM297" s="110"/>
      <c r="AN297" s="110">
        <v>2</v>
      </c>
      <c r="AO297" s="110"/>
      <c r="AP297" s="110"/>
    </row>
    <row r="298" spans="1:48" ht="16.5" customHeight="1" x14ac:dyDescent="0.2">
      <c r="A298" s="110">
        <f>$A$293+2</f>
        <v>66</v>
      </c>
      <c r="B298" s="110" t="str">
        <f>D298&amp;"Delete"</f>
        <v>CFG_FinanskontiV_9Delete</v>
      </c>
      <c r="C298" s="110" t="s">
        <v>656</v>
      </c>
      <c r="D298" s="110" t="s">
        <v>1507</v>
      </c>
      <c r="E298" s="110" t="s">
        <v>814</v>
      </c>
      <c r="F298" s="110"/>
      <c r="G298" s="110" t="s">
        <v>1152</v>
      </c>
      <c r="H298" s="110">
        <v>9</v>
      </c>
      <c r="I298" s="110" t="s">
        <v>839</v>
      </c>
      <c r="J298" s="110" t="b">
        <f t="shared" si="17"/>
        <v>1</v>
      </c>
      <c r="K298" s="110"/>
      <c r="L298" s="110"/>
      <c r="M298" s="110" t="str">
        <f>"'editNorm """&amp;D298&amp;""","""&amp;B298&amp;""","""&amp;E298&amp;"""'"</f>
        <v>'editNorm "CFG_FinanskontiV_9","CFG_FinanskontiV_9Delete","CFG_Finanskonti"'</v>
      </c>
      <c r="N298" s="110" t="s">
        <v>59</v>
      </c>
      <c r="O298" s="110" t="str">
        <f>"$N$"&amp;A298</f>
        <v>$N$66</v>
      </c>
      <c r="P298" s="110" t="str">
        <f>"$N$"&amp;A298</f>
        <v>$N$66</v>
      </c>
      <c r="Q298" s="110">
        <v>7</v>
      </c>
      <c r="R298" s="110">
        <v>1</v>
      </c>
      <c r="S298" s="110"/>
      <c r="T298" s="110">
        <v>22</v>
      </c>
      <c r="U298" s="110" t="b">
        <v>1</v>
      </c>
      <c r="V298" s="110" t="s">
        <v>1346</v>
      </c>
      <c r="W298" s="110" t="s">
        <v>1343</v>
      </c>
      <c r="X298" s="110"/>
      <c r="Y298" s="110"/>
      <c r="Z298" s="110"/>
      <c r="AA298" s="110"/>
      <c r="AB298" s="110">
        <v>3</v>
      </c>
      <c r="AC298" s="110">
        <v>5</v>
      </c>
      <c r="AD298" s="110" t="s">
        <v>105</v>
      </c>
      <c r="AE298" s="110">
        <v>12</v>
      </c>
      <c r="AF298" s="110"/>
      <c r="AG298" s="110" t="s">
        <v>1351</v>
      </c>
      <c r="AH298" s="110" t="s">
        <v>29</v>
      </c>
      <c r="AI298" s="110" t="s">
        <v>29</v>
      </c>
      <c r="AJ298" s="110"/>
      <c r="AK298" s="110"/>
      <c r="AL298" s="110"/>
      <c r="AM298" s="110"/>
      <c r="AN298" s="110">
        <v>2</v>
      </c>
      <c r="AO298" s="110"/>
      <c r="AP298" s="110"/>
    </row>
    <row r="299" spans="1:48" ht="16.5" customHeight="1" x14ac:dyDescent="0.2">
      <c r="A299" s="106">
        <f>$A$293+3</f>
        <v>67</v>
      </c>
      <c r="B299" s="106" t="s">
        <v>1508</v>
      </c>
      <c r="C299" s="106" t="s">
        <v>655</v>
      </c>
      <c r="D299" s="106"/>
      <c r="E299" s="106" t="s">
        <v>814</v>
      </c>
      <c r="F299" s="106"/>
      <c r="G299" s="106" t="s">
        <v>1152</v>
      </c>
      <c r="H299" s="106">
        <v>9</v>
      </c>
      <c r="I299" s="106"/>
      <c r="J299" s="106" t="b">
        <f t="shared" si="17"/>
        <v>1</v>
      </c>
      <c r="K299" s="106" t="b">
        <v>1</v>
      </c>
      <c r="L299" s="106"/>
      <c r="M299" s="106"/>
      <c r="N299" s="106" t="s">
        <v>59</v>
      </c>
      <c r="O299" s="106" t="str">
        <f>"$D$"&amp;A299</f>
        <v>$D$67</v>
      </c>
      <c r="P299" s="106" t="str">
        <f>"$M$"&amp;A299+1</f>
        <v>$M$68</v>
      </c>
      <c r="Q299" s="106"/>
      <c r="R299" s="106">
        <v>2</v>
      </c>
      <c r="S299" s="106"/>
      <c r="T299" s="106">
        <v>2</v>
      </c>
      <c r="U299" s="106" t="b">
        <v>1</v>
      </c>
      <c r="V299" s="106" t="s">
        <v>1344</v>
      </c>
      <c r="W299" s="106" t="s">
        <v>1343</v>
      </c>
      <c r="X299" s="106"/>
      <c r="Y299" s="106"/>
      <c r="Z299" s="106"/>
      <c r="AA299" s="106"/>
      <c r="AB299" s="106"/>
      <c r="AC299" s="106"/>
      <c r="AD299" s="106"/>
      <c r="AE299" s="106"/>
      <c r="AF299" s="106"/>
      <c r="AG299" s="106"/>
      <c r="AH299" s="106"/>
      <c r="AI299" s="106"/>
      <c r="AJ299" s="106"/>
      <c r="AK299" s="106"/>
      <c r="AL299" s="106"/>
      <c r="AM299" s="106"/>
      <c r="AN299" s="106"/>
      <c r="AO299" s="106"/>
      <c r="AP299" s="106"/>
    </row>
    <row r="300" spans="1:48" ht="16.5" customHeight="1" x14ac:dyDescent="0.2">
      <c r="A300" s="107">
        <f>$O$239+(P239-O239+1)*(H239-1)-1</f>
        <v>68</v>
      </c>
      <c r="B300" s="107" t="s">
        <v>814</v>
      </c>
      <c r="C300" s="107" t="s">
        <v>663</v>
      </c>
      <c r="D300" s="107"/>
      <c r="E300" s="107"/>
      <c r="F300" s="107"/>
      <c r="G300" s="107" t="s">
        <v>1152</v>
      </c>
      <c r="H300" s="107"/>
      <c r="I300" s="107"/>
      <c r="J300" s="107" t="b">
        <f t="shared" si="17"/>
        <v>1</v>
      </c>
      <c r="K300" s="107"/>
      <c r="L300" s="107"/>
      <c r="M300" s="107"/>
      <c r="N300" s="107"/>
      <c r="O300" s="107"/>
      <c r="P300" s="107"/>
      <c r="Q300" s="107"/>
      <c r="R300" s="107"/>
      <c r="S300" s="107"/>
      <c r="T300" s="107"/>
      <c r="U300" s="107"/>
      <c r="V300" s="107"/>
      <c r="W300" s="107"/>
      <c r="X300" s="107"/>
      <c r="Y300" s="107"/>
      <c r="Z300" s="107"/>
      <c r="AA300" s="107"/>
      <c r="AB300" s="107"/>
      <c r="AC300" s="107"/>
      <c r="AD300" s="107"/>
      <c r="AE300" s="107"/>
      <c r="AF300" s="107"/>
      <c r="AG300" s="107"/>
      <c r="AH300" s="107"/>
      <c r="AI300" s="107"/>
      <c r="AJ300" s="107"/>
      <c r="AK300" s="107"/>
      <c r="AL300" s="107"/>
      <c r="AM300" s="107"/>
      <c r="AN300" s="107"/>
      <c r="AO300" s="107"/>
      <c r="AP300" s="107"/>
    </row>
    <row r="301" spans="1:48" ht="16.5" customHeight="1" x14ac:dyDescent="0.2">
      <c r="A301" s="110">
        <f>$A$300+1</f>
        <v>69</v>
      </c>
      <c r="B301" s="110" t="s">
        <v>816</v>
      </c>
      <c r="C301" s="110" t="s">
        <v>656</v>
      </c>
      <c r="D301" s="110"/>
      <c r="E301" s="110" t="s">
        <v>814</v>
      </c>
      <c r="F301" s="110"/>
      <c r="G301" s="110" t="s">
        <v>1152</v>
      </c>
      <c r="H301" s="110"/>
      <c r="I301" s="110" t="s">
        <v>199</v>
      </c>
      <c r="J301" s="110" t="b">
        <f t="shared" si="17"/>
        <v>1</v>
      </c>
      <c r="K301" s="110" t="b">
        <v>1</v>
      </c>
      <c r="L301" s="110"/>
      <c r="M301" s="110" t="str">
        <f>"'groupAdd """&amp;E301&amp;"""'"</f>
        <v>'groupAdd "CFG_Finanskonti"'</v>
      </c>
      <c r="N301" s="110" t="s">
        <v>59</v>
      </c>
      <c r="O301" s="110" t="str">
        <f>"$L$"&amp;A301</f>
        <v>$L$69</v>
      </c>
      <c r="P301" s="110" t="str">
        <f>"$M$"&amp;A301</f>
        <v>$M$69</v>
      </c>
      <c r="Q301" s="110">
        <v>5</v>
      </c>
      <c r="R301" s="110">
        <v>1</v>
      </c>
      <c r="S301" s="110"/>
      <c r="T301" s="110">
        <v>22</v>
      </c>
      <c r="U301" s="110" t="b">
        <v>1</v>
      </c>
      <c r="V301" s="110" t="s">
        <v>1344</v>
      </c>
      <c r="W301" s="110" t="s">
        <v>1343</v>
      </c>
      <c r="X301" s="110"/>
      <c r="Y301" s="110"/>
      <c r="Z301" s="110"/>
      <c r="AA301" s="110"/>
      <c r="AB301" s="110">
        <v>3</v>
      </c>
      <c r="AC301" s="110">
        <v>5</v>
      </c>
      <c r="AD301" s="110" t="s">
        <v>105</v>
      </c>
      <c r="AE301" s="110">
        <v>12</v>
      </c>
      <c r="AF301" s="110"/>
      <c r="AG301" s="110" t="s">
        <v>1351</v>
      </c>
      <c r="AH301" s="110" t="s">
        <v>29</v>
      </c>
      <c r="AI301" s="110" t="s">
        <v>29</v>
      </c>
      <c r="AJ301" s="110"/>
      <c r="AK301" s="110"/>
      <c r="AL301" s="110"/>
      <c r="AM301" s="110"/>
      <c r="AN301" s="110">
        <v>2</v>
      </c>
      <c r="AO301" s="110"/>
      <c r="AP301" s="110"/>
    </row>
    <row r="302" spans="1:48" ht="16.5" customHeight="1" x14ac:dyDescent="0.2">
      <c r="A302" s="103">
        <f>$A$300+3</f>
        <v>71</v>
      </c>
      <c r="B302" s="103" t="s">
        <v>1153</v>
      </c>
      <c r="C302" s="103" t="s">
        <v>654</v>
      </c>
      <c r="D302" s="103"/>
      <c r="E302" s="103"/>
      <c r="F302" s="103"/>
      <c r="G302" s="103" t="s">
        <v>1152</v>
      </c>
      <c r="H302" s="103"/>
      <c r="I302" s="103" t="s">
        <v>113</v>
      </c>
      <c r="J302" s="103" t="b">
        <f t="shared" si="17"/>
        <v>1</v>
      </c>
      <c r="K302" s="103" t="b">
        <v>1</v>
      </c>
      <c r="L302" s="103"/>
      <c r="M302" s="103" t="str">
        <f>"'startRun """&amp;G302&amp;"""'"</f>
        <v>'startRun "Konfiguration"'</v>
      </c>
      <c r="N302" s="103" t="s">
        <v>59</v>
      </c>
      <c r="O302" s="103" t="str">
        <f>"$K$"&amp;A302</f>
        <v>$K$71</v>
      </c>
      <c r="P302" s="103" t="str">
        <f>"$M$"&amp;A302</f>
        <v>$M$71</v>
      </c>
      <c r="Q302" s="103">
        <v>20</v>
      </c>
      <c r="R302" s="103">
        <v>3</v>
      </c>
      <c r="S302" s="103"/>
      <c r="T302" s="103">
        <v>22</v>
      </c>
      <c r="U302" s="103" t="b">
        <v>1</v>
      </c>
      <c r="V302" s="103" t="s">
        <v>1347</v>
      </c>
      <c r="W302" s="103" t="s">
        <v>1357</v>
      </c>
      <c r="X302" s="103"/>
      <c r="Y302" s="103"/>
      <c r="Z302" s="103"/>
      <c r="AA302" s="103"/>
      <c r="AB302" s="103">
        <v>3</v>
      </c>
      <c r="AC302" s="103">
        <v>5</v>
      </c>
      <c r="AD302" s="103" t="s">
        <v>105</v>
      </c>
      <c r="AE302" s="103">
        <v>14</v>
      </c>
      <c r="AF302" s="103"/>
      <c r="AG302" s="103" t="s">
        <v>1351</v>
      </c>
      <c r="AH302" s="103" t="s">
        <v>29</v>
      </c>
      <c r="AI302" s="103" t="s">
        <v>29</v>
      </c>
      <c r="AJ302" s="103"/>
      <c r="AK302" s="103"/>
      <c r="AL302" s="103"/>
      <c r="AM302" s="103"/>
      <c r="AN302" s="103"/>
      <c r="AO302" s="103">
        <v>135</v>
      </c>
      <c r="AP302" s="103"/>
    </row>
    <row r="303" spans="1:48" ht="16.5" customHeight="1" x14ac:dyDescent="0.2">
      <c r="A303" s="99">
        <f>$A$302+-65</f>
        <v>6</v>
      </c>
      <c r="B303" s="99" t="s">
        <v>1154</v>
      </c>
      <c r="C303" s="99" t="s">
        <v>89</v>
      </c>
      <c r="D303" s="99"/>
      <c r="E303" s="99"/>
      <c r="F303" s="99">
        <v>11</v>
      </c>
      <c r="G303" s="99" t="str">
        <f>B303</f>
        <v>Forside</v>
      </c>
      <c r="H303" s="99" t="s">
        <v>1553</v>
      </c>
      <c r="I303" s="99">
        <f>COUNTIF(G:G,B303)</f>
        <v>409</v>
      </c>
      <c r="J303" s="99" t="b">
        <f t="shared" ref="J303:J311" si="18">$E$4</f>
        <v>1</v>
      </c>
      <c r="K303" s="99" t="b">
        <v>1</v>
      </c>
      <c r="L303" s="99"/>
      <c r="M303" s="99"/>
      <c r="N303" s="99"/>
      <c r="O303" s="99"/>
      <c r="P303" s="99"/>
      <c r="Q303" s="99"/>
      <c r="R303" s="99"/>
      <c r="S303" s="99"/>
      <c r="T303" s="99"/>
      <c r="U303" s="99"/>
      <c r="V303" s="99"/>
      <c r="W303" s="99" t="s">
        <v>1355</v>
      </c>
      <c r="X303" s="99"/>
      <c r="Y303" s="99"/>
      <c r="Z303" s="99"/>
      <c r="AA303" s="99"/>
      <c r="AB303" s="99"/>
      <c r="AC303" s="99"/>
      <c r="AD303" s="99" t="s">
        <v>105</v>
      </c>
      <c r="AE303" s="99"/>
      <c r="AF303" s="99"/>
      <c r="AG303" s="99"/>
      <c r="AH303" s="99"/>
      <c r="AI303" s="99"/>
      <c r="AJ303" s="99">
        <v>80</v>
      </c>
      <c r="AK303" s="99" t="s">
        <v>1342</v>
      </c>
      <c r="AL303" s="99"/>
      <c r="AM303" s="99"/>
      <c r="AN303" s="99"/>
      <c r="AO303" s="99"/>
      <c r="AP303" s="99"/>
    </row>
    <row r="304" spans="1:48" ht="16.5" customHeight="1" x14ac:dyDescent="0.2">
      <c r="A304" s="100">
        <f>$A$303+0</f>
        <v>6</v>
      </c>
      <c r="B304" s="100" t="s">
        <v>1150</v>
      </c>
      <c r="C304" s="100" t="s">
        <v>649</v>
      </c>
      <c r="D304" s="100"/>
      <c r="E304" s="100"/>
      <c r="F304" s="100"/>
      <c r="G304" s="100" t="s">
        <v>1154</v>
      </c>
      <c r="H304" s="100"/>
      <c r="I304" s="100" t="s">
        <v>1242</v>
      </c>
      <c r="J304" s="100" t="b">
        <f t="shared" si="18"/>
        <v>1</v>
      </c>
      <c r="K304" s="100" t="b">
        <v>1</v>
      </c>
      <c r="L304" s="100"/>
      <c r="M304" s="100"/>
      <c r="N304" s="100" t="s">
        <v>59</v>
      </c>
      <c r="O304" s="100" t="str">
        <f>"$B$"&amp;A304</f>
        <v>$B$6</v>
      </c>
      <c r="P304" s="100" t="str">
        <f>"$N$"&amp;A304</f>
        <v>$N$6</v>
      </c>
      <c r="Q304" s="100">
        <v>20</v>
      </c>
      <c r="R304" s="100"/>
      <c r="S304" s="100"/>
      <c r="T304" s="100">
        <v>40</v>
      </c>
      <c r="U304" s="100" t="b">
        <v>1</v>
      </c>
      <c r="V304" s="100" t="s">
        <v>1342</v>
      </c>
      <c r="W304" s="100" t="s">
        <v>1342</v>
      </c>
      <c r="X304" s="100"/>
      <c r="Y304" s="100"/>
      <c r="Z304" s="100"/>
      <c r="AA304" s="100"/>
      <c r="AB304" s="100">
        <v>3</v>
      </c>
      <c r="AC304" s="100">
        <v>5</v>
      </c>
      <c r="AD304" s="100" t="s">
        <v>105</v>
      </c>
      <c r="AE304" s="100">
        <v>28</v>
      </c>
      <c r="AF304" s="100" t="b">
        <v>1</v>
      </c>
      <c r="AG304" s="100" t="s">
        <v>1355</v>
      </c>
      <c r="AH304" s="100" t="s">
        <v>29</v>
      </c>
      <c r="AI304" s="100" t="s">
        <v>28</v>
      </c>
      <c r="AJ304" s="100"/>
      <c r="AK304" s="100"/>
      <c r="AL304" s="100">
        <v>0</v>
      </c>
      <c r="AM304" s="100"/>
      <c r="AN304" s="100"/>
      <c r="AO304" s="100"/>
      <c r="AP304" s="100"/>
    </row>
    <row r="305" spans="1:48" ht="16.5" customHeight="1" x14ac:dyDescent="0.2">
      <c r="A305" s="101">
        <f>$A$303+2</f>
        <v>8</v>
      </c>
      <c r="B305" s="101" t="s">
        <v>136</v>
      </c>
      <c r="C305" s="101" t="s">
        <v>599</v>
      </c>
      <c r="D305" s="101" t="s">
        <v>136</v>
      </c>
      <c r="E305" s="101"/>
      <c r="F305" s="101"/>
      <c r="G305" s="101" t="s">
        <v>1154</v>
      </c>
      <c r="H305" s="101"/>
      <c r="I305" s="101"/>
      <c r="J305" s="101" t="b">
        <f t="shared" si="18"/>
        <v>1</v>
      </c>
      <c r="K305" s="101"/>
      <c r="L305" s="101"/>
      <c r="M305" s="101" t="str">
        <f>"'checkVersion'"</f>
        <v>'checkVersion'</v>
      </c>
      <c r="N305" s="101" t="s">
        <v>57</v>
      </c>
      <c r="O305" s="101" t="str">
        <f>"$P$"&amp;A305</f>
        <v>$P$8</v>
      </c>
      <c r="P305" s="101" t="str">
        <f>"$Q$"&amp;A305</f>
        <v>$Q$8</v>
      </c>
      <c r="Q305" s="101"/>
      <c r="R305" s="101"/>
      <c r="S305" s="101">
        <v>140</v>
      </c>
      <c r="T305" s="101">
        <v>160</v>
      </c>
      <c r="U305" s="101"/>
      <c r="V305" s="101"/>
      <c r="W305" s="101"/>
      <c r="X305" s="101"/>
      <c r="Y305" s="101"/>
      <c r="Z305" s="101"/>
      <c r="AA305" s="101"/>
      <c r="AB305" s="101"/>
      <c r="AC305" s="101">
        <v>5</v>
      </c>
      <c r="AD305" s="101"/>
      <c r="AE305" s="101">
        <v>12</v>
      </c>
      <c r="AF305" s="101" t="b">
        <v>0</v>
      </c>
      <c r="AG305" s="101" t="s">
        <v>1355</v>
      </c>
      <c r="AH305" s="101" t="s">
        <v>27</v>
      </c>
      <c r="AI305" s="101" t="s">
        <v>28</v>
      </c>
      <c r="AJ305" s="101"/>
      <c r="AK305" s="101"/>
      <c r="AL305" s="101"/>
      <c r="AM305" s="101"/>
      <c r="AN305" s="101"/>
      <c r="AO305" s="101"/>
      <c r="AP305" s="101"/>
    </row>
    <row r="306" spans="1:48" ht="16.5" customHeight="1" x14ac:dyDescent="0.2">
      <c r="A306" s="101">
        <f>$A$303+2</f>
        <v>8</v>
      </c>
      <c r="B306" s="101" t="s">
        <v>138</v>
      </c>
      <c r="C306" s="101" t="s">
        <v>599</v>
      </c>
      <c r="D306" s="101" t="s">
        <v>138</v>
      </c>
      <c r="E306" s="101"/>
      <c r="F306" s="101"/>
      <c r="G306" s="101" t="s">
        <v>1154</v>
      </c>
      <c r="H306" s="101"/>
      <c r="I306" s="101"/>
      <c r="J306" s="101" t="b">
        <f t="shared" si="18"/>
        <v>1</v>
      </c>
      <c r="K306" s="101"/>
      <c r="L306" s="101"/>
      <c r="M306" s="101" t="str">
        <f>"'checkVersion'"</f>
        <v>'checkVersion'</v>
      </c>
      <c r="N306" s="101" t="s">
        <v>57</v>
      </c>
      <c r="O306" s="101" t="str">
        <f>"$P$"&amp;A306</f>
        <v>$P$8</v>
      </c>
      <c r="P306" s="101" t="str">
        <f>"$Q$"&amp;A306</f>
        <v>$Q$8</v>
      </c>
      <c r="Q306" s="101"/>
      <c r="R306" s="101"/>
      <c r="S306" s="101">
        <v>140</v>
      </c>
      <c r="T306" s="101">
        <v>160</v>
      </c>
      <c r="U306" s="101"/>
      <c r="V306" s="101"/>
      <c r="W306" s="101"/>
      <c r="X306" s="101"/>
      <c r="Y306" s="101"/>
      <c r="Z306" s="101"/>
      <c r="AA306" s="101"/>
      <c r="AB306" s="101"/>
      <c r="AC306" s="101">
        <v>5</v>
      </c>
      <c r="AD306" s="101"/>
      <c r="AE306" s="101">
        <v>12</v>
      </c>
      <c r="AF306" s="101" t="b">
        <v>0</v>
      </c>
      <c r="AG306" s="101" t="s">
        <v>1355</v>
      </c>
      <c r="AH306" s="101" t="s">
        <v>27</v>
      </c>
      <c r="AI306" s="101" t="s">
        <v>28</v>
      </c>
      <c r="AJ306" s="101"/>
      <c r="AK306" s="101"/>
      <c r="AL306" s="101"/>
      <c r="AM306" s="101"/>
      <c r="AN306" s="101"/>
      <c r="AO306" s="101"/>
      <c r="AP306" s="101"/>
    </row>
    <row r="307" spans="1:48" ht="16.5" customHeight="1" x14ac:dyDescent="0.2">
      <c r="A307" s="101">
        <f>$A$303+2</f>
        <v>8</v>
      </c>
      <c r="B307" s="101" t="s">
        <v>137</v>
      </c>
      <c r="C307" s="101" t="s">
        <v>599</v>
      </c>
      <c r="D307" s="101" t="s">
        <v>137</v>
      </c>
      <c r="E307" s="101"/>
      <c r="F307" s="101"/>
      <c r="G307" s="101" t="s">
        <v>1154</v>
      </c>
      <c r="H307" s="101"/>
      <c r="I307" s="101"/>
      <c r="J307" s="101" t="b">
        <f t="shared" si="18"/>
        <v>1</v>
      </c>
      <c r="K307" s="101" t="b">
        <v>1</v>
      </c>
      <c r="L307" s="101"/>
      <c r="M307" s="101" t="str">
        <f>"'checkVersion'"</f>
        <v>'checkVersion'</v>
      </c>
      <c r="N307" s="101" t="s">
        <v>57</v>
      </c>
      <c r="O307" s="101" t="str">
        <f>"$P$"&amp;A307</f>
        <v>$P$8</v>
      </c>
      <c r="P307" s="101" t="str">
        <f>"$Q$"&amp;A307</f>
        <v>$Q$8</v>
      </c>
      <c r="Q307" s="101"/>
      <c r="R307" s="101"/>
      <c r="S307" s="101">
        <v>140</v>
      </c>
      <c r="T307" s="101">
        <v>160</v>
      </c>
      <c r="U307" s="101"/>
      <c r="V307" s="101"/>
      <c r="W307" s="101"/>
      <c r="X307" s="101"/>
      <c r="Y307" s="101"/>
      <c r="Z307" s="101"/>
      <c r="AA307" s="101"/>
      <c r="AB307" s="101"/>
      <c r="AC307" s="101">
        <v>5</v>
      </c>
      <c r="AD307" s="101"/>
      <c r="AE307" s="101">
        <v>12</v>
      </c>
      <c r="AF307" s="101" t="b">
        <v>0</v>
      </c>
      <c r="AG307" s="101" t="s">
        <v>1355</v>
      </c>
      <c r="AH307" s="101" t="s">
        <v>27</v>
      </c>
      <c r="AI307" s="101" t="s">
        <v>28</v>
      </c>
      <c r="AJ307" s="101"/>
      <c r="AK307" s="101"/>
      <c r="AL307" s="101"/>
      <c r="AM307" s="101"/>
      <c r="AN307" s="101"/>
      <c r="AO307" s="101"/>
      <c r="AP307" s="101"/>
    </row>
    <row r="308" spans="1:48" ht="16.5" customHeight="1" x14ac:dyDescent="0.2">
      <c r="A308" s="102">
        <f>$A$303+2</f>
        <v>8</v>
      </c>
      <c r="B308" s="102" t="s">
        <v>1151</v>
      </c>
      <c r="C308" s="102" t="s">
        <v>600</v>
      </c>
      <c r="D308" s="102" t="s">
        <v>135</v>
      </c>
      <c r="E308" s="102"/>
      <c r="F308" s="102"/>
      <c r="G308" s="102" t="s">
        <v>1154</v>
      </c>
      <c r="H308" s="102"/>
      <c r="I308" s="102" t="str">
        <f>IFERROR(MasterSheet_f_lastSaved," ")</f>
        <v>[27-08-2013 13.01.36]</v>
      </c>
      <c r="J308" s="102" t="b">
        <f t="shared" si="18"/>
        <v>1</v>
      </c>
      <c r="K308" s="102" t="b">
        <v>1</v>
      </c>
      <c r="L308" s="102"/>
      <c r="M308" s="102" t="str">
        <f>"'lastBackup """&amp;D308&amp;"""'"</f>
        <v>'lastBackup "LastBkp"'</v>
      </c>
      <c r="N308" s="102" t="s">
        <v>57</v>
      </c>
      <c r="O308" s="102" t="str">
        <f>"$P$"&amp;A308</f>
        <v>$P$8</v>
      </c>
      <c r="P308" s="102" t="str">
        <f>"$Q$"&amp;A308</f>
        <v>$Q$8</v>
      </c>
      <c r="Q308" s="102"/>
      <c r="R308" s="102">
        <v>180</v>
      </c>
      <c r="S308" s="102">
        <v>140</v>
      </c>
      <c r="T308" s="102">
        <v>160</v>
      </c>
      <c r="U308" s="102" t="b">
        <v>1</v>
      </c>
      <c r="V308" s="102"/>
      <c r="W308" s="102"/>
      <c r="X308" s="102"/>
      <c r="Y308" s="102"/>
      <c r="Z308" s="102"/>
      <c r="AA308" s="102"/>
      <c r="AB308" s="102">
        <v>28</v>
      </c>
      <c r="AC308" s="102"/>
      <c r="AD308" s="102" t="s">
        <v>105</v>
      </c>
      <c r="AE308" s="102">
        <v>10</v>
      </c>
      <c r="AF308" s="102" t="b">
        <v>1</v>
      </c>
      <c r="AG308" s="102" t="s">
        <v>1355</v>
      </c>
      <c r="AH308" s="102" t="s">
        <v>27</v>
      </c>
      <c r="AI308" s="102" t="s">
        <v>29</v>
      </c>
      <c r="AJ308" s="102"/>
      <c r="AK308" s="102"/>
      <c r="AL308" s="102"/>
      <c r="AM308" s="102"/>
      <c r="AN308" s="102"/>
      <c r="AO308" s="102"/>
      <c r="AP308" s="102"/>
    </row>
    <row r="309" spans="1:48" ht="16.5" customHeight="1" x14ac:dyDescent="0.2">
      <c r="A309" s="103">
        <f>$A$303+2</f>
        <v>8</v>
      </c>
      <c r="B309" s="103" t="s">
        <v>212</v>
      </c>
      <c r="C309" s="103" t="s">
        <v>654</v>
      </c>
      <c r="D309" s="103"/>
      <c r="E309" s="103"/>
      <c r="F309" s="103"/>
      <c r="G309" s="103" t="s">
        <v>1154</v>
      </c>
      <c r="H309" s="103" t="s">
        <v>1592</v>
      </c>
      <c r="I309" s="103" t="s">
        <v>200</v>
      </c>
      <c r="J309" s="103" t="b">
        <f t="shared" si="18"/>
        <v>1</v>
      </c>
      <c r="K309" s="103" t="b">
        <v>1</v>
      </c>
      <c r="L309" s="103" t="b">
        <v>0</v>
      </c>
      <c r="M309" s="103" t="str">
        <f>"'expand """&amp;B309&amp;""","""&amp;G309&amp;""",TRUE'"</f>
        <v>'expand "FP_Main1","Forside",TRUE'</v>
      </c>
      <c r="N309" s="103" t="s">
        <v>59</v>
      </c>
      <c r="O309" s="103" t="str">
        <f>"$B$"&amp;A309</f>
        <v>$B$8</v>
      </c>
      <c r="P309" s="103" t="str">
        <f>"$N$" &amp;A696-1</f>
        <v>$N$206</v>
      </c>
      <c r="Q309" s="103"/>
      <c r="R309" s="103">
        <v>1</v>
      </c>
      <c r="S309" s="103"/>
      <c r="T309" s="103">
        <v>60</v>
      </c>
      <c r="U309" s="103" t="b">
        <v>1</v>
      </c>
      <c r="V309" s="103" t="s">
        <v>1343</v>
      </c>
      <c r="W309" s="103" t="s">
        <v>1355</v>
      </c>
      <c r="X309" s="103"/>
      <c r="Y309" s="103"/>
      <c r="Z309" s="103"/>
      <c r="AA309" s="103"/>
      <c r="AB309" s="103"/>
      <c r="AC309" s="103">
        <v>30</v>
      </c>
      <c r="AD309" s="103"/>
      <c r="AE309" s="103">
        <v>20</v>
      </c>
      <c r="AF309" s="103" t="b">
        <v>0</v>
      </c>
      <c r="AG309" s="103" t="s">
        <v>1351</v>
      </c>
      <c r="AH309" s="103" t="s">
        <v>29</v>
      </c>
      <c r="AI309" s="103" t="s">
        <v>28</v>
      </c>
      <c r="AJ309" s="103"/>
      <c r="AK309" s="103"/>
      <c r="AL309" s="103"/>
      <c r="AM309" s="103"/>
      <c r="AN309" s="103">
        <v>10</v>
      </c>
      <c r="AO309" s="103">
        <v>225</v>
      </c>
      <c r="AP309" s="103"/>
    </row>
    <row r="310" spans="1:48" ht="16.5" customHeight="1" x14ac:dyDescent="0.2">
      <c r="A310" s="103">
        <f>$A$309+2</f>
        <v>10</v>
      </c>
      <c r="B310" s="103" t="s">
        <v>860</v>
      </c>
      <c r="C310" s="103" t="s">
        <v>654</v>
      </c>
      <c r="D310" s="103"/>
      <c r="E310" s="103"/>
      <c r="F310" s="103"/>
      <c r="G310" s="103" t="s">
        <v>1154</v>
      </c>
      <c r="H310" s="103" t="s">
        <v>1443</v>
      </c>
      <c r="I310" s="103" t="s">
        <v>110</v>
      </c>
      <c r="J310" s="103" t="b">
        <f t="shared" si="18"/>
        <v>1</v>
      </c>
      <c r="K310" s="103" t="b">
        <v>1</v>
      </c>
      <c r="L310" s="103" t="b">
        <v>1</v>
      </c>
      <c r="M310" s="103" t="str">
        <f>"'expand """&amp;B310&amp;""","""&amp;G310&amp;""",TRUE'"</f>
        <v>'expand "FP_StamdataMain1","Forside",TRUE'</v>
      </c>
      <c r="N310" s="103" t="s">
        <v>59</v>
      </c>
      <c r="O310" s="103" t="str">
        <f>"$B$"&amp;A310</f>
        <v>$B$10</v>
      </c>
      <c r="P310" s="103" t="str">
        <f>"$M$" &amp;A366-1</f>
        <v>$M$38</v>
      </c>
      <c r="Q310" s="103"/>
      <c r="R310" s="103">
        <v>1</v>
      </c>
      <c r="S310" s="103"/>
      <c r="T310" s="103">
        <v>40</v>
      </c>
      <c r="U310" s="103" t="b">
        <v>1</v>
      </c>
      <c r="V310" s="103" t="s">
        <v>1344</v>
      </c>
      <c r="W310" s="103" t="s">
        <v>1343</v>
      </c>
      <c r="X310" s="103"/>
      <c r="Y310" s="103"/>
      <c r="Z310" s="103"/>
      <c r="AA310" s="103"/>
      <c r="AB310" s="103"/>
      <c r="AC310" s="103">
        <v>30</v>
      </c>
      <c r="AD310" s="103"/>
      <c r="AE310" s="103">
        <v>18</v>
      </c>
      <c r="AF310" s="103" t="b">
        <v>0</v>
      </c>
      <c r="AG310" s="103" t="s">
        <v>1351</v>
      </c>
      <c r="AH310" s="103" t="s">
        <v>29</v>
      </c>
      <c r="AI310" s="103" t="s">
        <v>28</v>
      </c>
      <c r="AJ310" s="103"/>
      <c r="AK310" s="103"/>
      <c r="AL310" s="103"/>
      <c r="AM310" s="103"/>
      <c r="AN310" s="103">
        <v>8</v>
      </c>
      <c r="AO310" s="103">
        <v>135</v>
      </c>
      <c r="AP310" s="103"/>
    </row>
    <row r="311" spans="1:48" ht="16.5" customHeight="1" x14ac:dyDescent="0.2">
      <c r="A311" s="107">
        <f>$A$310+2</f>
        <v>12</v>
      </c>
      <c r="B311" s="107" t="s">
        <v>808</v>
      </c>
      <c r="C311" s="107" t="s">
        <v>663</v>
      </c>
      <c r="D311" s="107"/>
      <c r="E311" s="107"/>
      <c r="F311" s="107"/>
      <c r="G311" s="107" t="s">
        <v>1154</v>
      </c>
      <c r="H311" s="107">
        <v>2</v>
      </c>
      <c r="I311" s="107">
        <v>5</v>
      </c>
      <c r="J311" s="107" t="b">
        <f t="shared" si="18"/>
        <v>1</v>
      </c>
      <c r="K311" s="107"/>
      <c r="L311" s="107"/>
      <c r="M311" s="107"/>
      <c r="N311" s="107"/>
      <c r="O311" s="107">
        <f>A311</f>
        <v>12</v>
      </c>
      <c r="P311" s="107">
        <f>O311</f>
        <v>12</v>
      </c>
      <c r="Q311" s="107"/>
      <c r="R311" s="107"/>
      <c r="S311" s="107"/>
      <c r="T311" s="107"/>
      <c r="U311" s="107"/>
      <c r="V311" s="107"/>
      <c r="W311" s="107"/>
      <c r="X311" s="107"/>
      <c r="Y311" s="107"/>
      <c r="Z311" s="107"/>
      <c r="AA311" s="107"/>
      <c r="AB311" s="107"/>
      <c r="AC311" s="107"/>
      <c r="AD311" s="107"/>
      <c r="AE311" s="107"/>
      <c r="AF311" s="107"/>
      <c r="AG311" s="107"/>
      <c r="AH311" s="107"/>
      <c r="AI311" s="107"/>
      <c r="AJ311" s="107"/>
      <c r="AK311" s="107"/>
      <c r="AL311" s="107"/>
      <c r="AM311" s="107"/>
      <c r="AN311" s="107"/>
      <c r="AO311" s="107"/>
      <c r="AP311" s="107"/>
      <c r="AQ311" s="93" t="str">
        <f>AQ317</f>
        <v>[Projektnavn / programnavn]</v>
      </c>
    </row>
    <row r="312" spans="1:48" ht="16.5" customHeight="1" x14ac:dyDescent="0.2">
      <c r="A312" s="108">
        <f t="shared" ref="A312:A321" si="19">$A$311+0</f>
        <v>12</v>
      </c>
      <c r="B312" s="109" t="s">
        <v>202</v>
      </c>
      <c r="C312" s="109" t="s">
        <v>96</v>
      </c>
      <c r="D312" s="109"/>
      <c r="E312" s="109" t="s">
        <v>808</v>
      </c>
      <c r="F312" s="109"/>
      <c r="G312" s="109" t="s">
        <v>1154</v>
      </c>
      <c r="H312" s="109"/>
      <c r="I312" s="109"/>
      <c r="J312" s="109"/>
      <c r="K312" s="109" t="b">
        <v>1</v>
      </c>
      <c r="L312" s="109"/>
      <c r="M312" s="109"/>
      <c r="N312" s="109"/>
      <c r="O312" s="109" t="str">
        <f>"$D$"&amp;A312</f>
        <v>$D$12</v>
      </c>
      <c r="P312" s="109" t="str">
        <f>"$I$"&amp;A312</f>
        <v>$I$12</v>
      </c>
      <c r="Q312" s="109"/>
      <c r="R312" s="109"/>
      <c r="S312" s="109"/>
      <c r="T312" s="109">
        <v>25</v>
      </c>
      <c r="U312" s="109" t="b">
        <v>1</v>
      </c>
      <c r="V312" s="109" t="s">
        <v>1342</v>
      </c>
      <c r="W312" s="109" t="s">
        <v>1342</v>
      </c>
      <c r="X312" s="109"/>
      <c r="Y312" s="109"/>
      <c r="Z312" s="109"/>
      <c r="AA312" s="109"/>
      <c r="AB312" s="109"/>
      <c r="AC312" s="109">
        <v>5</v>
      </c>
      <c r="AD312" s="109" t="s">
        <v>105</v>
      </c>
      <c r="AE312" s="109">
        <v>14</v>
      </c>
      <c r="AF312" s="109"/>
      <c r="AG312" s="109" t="s">
        <v>1360</v>
      </c>
      <c r="AH312" s="109" t="s">
        <v>29</v>
      </c>
      <c r="AI312" s="109" t="s">
        <v>28</v>
      </c>
      <c r="AJ312" s="109"/>
      <c r="AK312" s="109" t="s">
        <v>1342</v>
      </c>
      <c r="AL312" s="109">
        <v>5</v>
      </c>
      <c r="AM312" s="109"/>
      <c r="AN312" s="109"/>
      <c r="AO312" s="109"/>
      <c r="AP312" s="109" t="b">
        <v>1</v>
      </c>
      <c r="AQ312" s="296" t="s">
        <v>178</v>
      </c>
      <c r="AR312" s="296"/>
      <c r="AS312" s="296"/>
      <c r="AT312" s="296"/>
      <c r="AU312" s="296"/>
      <c r="AV312" s="296"/>
    </row>
    <row r="313" spans="1:48" ht="16.5" customHeight="1" x14ac:dyDescent="0.2">
      <c r="A313" s="108">
        <f t="shared" si="19"/>
        <v>12</v>
      </c>
      <c r="B313" s="110" t="str">
        <f>D313&amp;"Red"</f>
        <v>FP_StamdataT1Red</v>
      </c>
      <c r="C313" s="110" t="s">
        <v>656</v>
      </c>
      <c r="D313" s="110" t="s">
        <v>202</v>
      </c>
      <c r="E313" s="110" t="s">
        <v>808</v>
      </c>
      <c r="F313" s="110"/>
      <c r="G313" s="110" t="s">
        <v>1154</v>
      </c>
      <c r="H313" s="110"/>
      <c r="I313" s="110" t="s">
        <v>1247</v>
      </c>
      <c r="J313" s="110"/>
      <c r="K313" s="110" t="b">
        <v>1</v>
      </c>
      <c r="L313" s="110"/>
      <c r="M313" s="110" t="str">
        <f>"'editNorm """&amp;D313&amp;""","""&amp;B313&amp;""","""&amp;E313&amp;"""'"</f>
        <v>'editNorm "FP_StamdataT1","FP_StamdataT1Red","FP_StamdataT1Rep"'</v>
      </c>
      <c r="N313" s="110" t="s">
        <v>59</v>
      </c>
      <c r="O313" s="110" t="str">
        <f>"$L$"&amp;A313</f>
        <v>$L$12</v>
      </c>
      <c r="P313" s="110" t="str">
        <f>"$M$"&amp;A313</f>
        <v>$M$12</v>
      </c>
      <c r="Q313" s="110">
        <v>5</v>
      </c>
      <c r="R313" s="110">
        <v>1</v>
      </c>
      <c r="S313" s="110"/>
      <c r="T313" s="110">
        <v>22</v>
      </c>
      <c r="U313" s="110" t="b">
        <v>1</v>
      </c>
      <c r="V313" s="110" t="s">
        <v>1344</v>
      </c>
      <c r="W313" s="110" t="s">
        <v>1343</v>
      </c>
      <c r="X313" s="110"/>
      <c r="Y313" s="110"/>
      <c r="Z313" s="110"/>
      <c r="AA313" s="110"/>
      <c r="AB313" s="110">
        <v>3</v>
      </c>
      <c r="AC313" s="110">
        <v>5</v>
      </c>
      <c r="AD313" s="110" t="s">
        <v>105</v>
      </c>
      <c r="AE313" s="110">
        <v>12</v>
      </c>
      <c r="AF313" s="110"/>
      <c r="AG313" s="110" t="s">
        <v>1351</v>
      </c>
      <c r="AH313" s="110" t="s">
        <v>29</v>
      </c>
      <c r="AI313" s="110" t="s">
        <v>29</v>
      </c>
      <c r="AJ313" s="110"/>
      <c r="AK313" s="110"/>
      <c r="AL313" s="110"/>
      <c r="AM313" s="110"/>
      <c r="AN313" s="110">
        <v>2</v>
      </c>
      <c r="AO313" s="110"/>
      <c r="AP313" s="110"/>
    </row>
    <row r="314" spans="1:48" ht="16.5" customHeight="1" x14ac:dyDescent="0.2">
      <c r="A314" s="108">
        <f t="shared" si="19"/>
        <v>12</v>
      </c>
      <c r="B314" s="110" t="str">
        <f>D314&amp;"Gem"</f>
        <v>FP_StamdataT1Gem</v>
      </c>
      <c r="C314" s="110" t="s">
        <v>656</v>
      </c>
      <c r="D314" s="110" t="s">
        <v>202</v>
      </c>
      <c r="E314" s="110" t="s">
        <v>808</v>
      </c>
      <c r="F314" s="110"/>
      <c r="G314" s="110" t="s">
        <v>1154</v>
      </c>
      <c r="H314" s="110"/>
      <c r="I314" s="110" t="s">
        <v>238</v>
      </c>
      <c r="J314" s="110"/>
      <c r="K314" s="110"/>
      <c r="L314" s="110"/>
      <c r="M314" s="110" t="str">
        <f>"'editNorm """&amp;D314&amp;""","""&amp;B314&amp;""","""&amp;E314&amp;"""'"</f>
        <v>'editNorm "FP_StamdataT1","FP_StamdataT1Gem","FP_StamdataT1Rep"'</v>
      </c>
      <c r="N314" s="110" t="s">
        <v>59</v>
      </c>
      <c r="O314" s="110" t="str">
        <f>"$L$"&amp;A314</f>
        <v>$L$12</v>
      </c>
      <c r="P314" s="110" t="str">
        <f>"$L$"&amp;A314</f>
        <v>$L$12</v>
      </c>
      <c r="Q314" s="110">
        <v>5</v>
      </c>
      <c r="R314" s="110">
        <v>1</v>
      </c>
      <c r="S314" s="110"/>
      <c r="T314" s="110">
        <v>22</v>
      </c>
      <c r="U314" s="110" t="b">
        <v>1</v>
      </c>
      <c r="V314" s="110" t="s">
        <v>1345</v>
      </c>
      <c r="W314" s="110" t="s">
        <v>1343</v>
      </c>
      <c r="X314" s="110"/>
      <c r="Y314" s="110"/>
      <c r="Z314" s="110"/>
      <c r="AA314" s="110"/>
      <c r="AB314" s="110">
        <v>3</v>
      </c>
      <c r="AC314" s="110">
        <v>5</v>
      </c>
      <c r="AD314" s="110" t="s">
        <v>105</v>
      </c>
      <c r="AE314" s="110">
        <v>12</v>
      </c>
      <c r="AF314" s="110"/>
      <c r="AG314" s="110" t="s">
        <v>1351</v>
      </c>
      <c r="AH314" s="110" t="s">
        <v>29</v>
      </c>
      <c r="AI314" s="110" t="s">
        <v>29</v>
      </c>
      <c r="AJ314" s="110"/>
      <c r="AK314" s="110"/>
      <c r="AL314" s="110"/>
      <c r="AM314" s="110"/>
      <c r="AN314" s="110">
        <v>2</v>
      </c>
      <c r="AO314" s="110"/>
      <c r="AP314" s="110"/>
    </row>
    <row r="315" spans="1:48" ht="16.5" customHeight="1" x14ac:dyDescent="0.2">
      <c r="A315" s="108">
        <f t="shared" si="19"/>
        <v>12</v>
      </c>
      <c r="B315" s="110" t="str">
        <f>D315&amp;"Cancel"</f>
        <v>FP_StamdataT1Cancel</v>
      </c>
      <c r="C315" s="110" t="s">
        <v>656</v>
      </c>
      <c r="D315" s="110" t="s">
        <v>202</v>
      </c>
      <c r="E315" s="110" t="s">
        <v>808</v>
      </c>
      <c r="F315" s="110"/>
      <c r="G315" s="110" t="s">
        <v>1154</v>
      </c>
      <c r="H315" s="110"/>
      <c r="I315" s="110" t="s">
        <v>838</v>
      </c>
      <c r="J315" s="110"/>
      <c r="K315" s="110"/>
      <c r="L315" s="110"/>
      <c r="M315" s="110" t="str">
        <f>"'editNorm """&amp;D315&amp;""","""&amp;B315&amp;""","""&amp;E315&amp;"""'"</f>
        <v>'editNorm "FP_StamdataT1","FP_StamdataT1Cancel","FP_StamdataT1Rep"'</v>
      </c>
      <c r="N315" s="110" t="s">
        <v>59</v>
      </c>
      <c r="O315" s="110" t="str">
        <f>"$M$"&amp;A315</f>
        <v>$M$12</v>
      </c>
      <c r="P315" s="110" t="str">
        <f>"$M$"&amp;A315</f>
        <v>$M$12</v>
      </c>
      <c r="Q315" s="110">
        <v>7</v>
      </c>
      <c r="R315" s="110">
        <v>1</v>
      </c>
      <c r="S315" s="110"/>
      <c r="T315" s="110">
        <v>22</v>
      </c>
      <c r="U315" s="110" t="b">
        <v>1</v>
      </c>
      <c r="V315" s="110" t="s">
        <v>1344</v>
      </c>
      <c r="W315" s="110" t="s">
        <v>1343</v>
      </c>
      <c r="X315" s="110"/>
      <c r="Y315" s="110"/>
      <c r="Z315" s="110"/>
      <c r="AA315" s="110"/>
      <c r="AB315" s="110">
        <v>3</v>
      </c>
      <c r="AC315" s="110">
        <v>5</v>
      </c>
      <c r="AD315" s="110" t="s">
        <v>105</v>
      </c>
      <c r="AE315" s="110">
        <v>12</v>
      </c>
      <c r="AF315" s="110"/>
      <c r="AG315" s="110" t="s">
        <v>1351</v>
      </c>
      <c r="AH315" s="110" t="s">
        <v>29</v>
      </c>
      <c r="AI315" s="110" t="s">
        <v>29</v>
      </c>
      <c r="AJ315" s="110"/>
      <c r="AK315" s="110"/>
      <c r="AL315" s="110"/>
      <c r="AM315" s="110"/>
      <c r="AN315" s="110">
        <v>2</v>
      </c>
      <c r="AO315" s="110"/>
      <c r="AP315" s="110"/>
    </row>
    <row r="316" spans="1:48" ht="16.5" customHeight="1" x14ac:dyDescent="0.2">
      <c r="A316" s="108">
        <f t="shared" si="19"/>
        <v>12</v>
      </c>
      <c r="B316" s="110" t="str">
        <f>D316&amp;"Delete"</f>
        <v>FP_StamdataT1Delete</v>
      </c>
      <c r="C316" s="110" t="s">
        <v>656</v>
      </c>
      <c r="D316" s="110" t="s">
        <v>202</v>
      </c>
      <c r="E316" s="110" t="s">
        <v>808</v>
      </c>
      <c r="F316" s="110"/>
      <c r="G316" s="110" t="s">
        <v>1154</v>
      </c>
      <c r="H316" s="110"/>
      <c r="I316" s="110" t="s">
        <v>1266</v>
      </c>
      <c r="J316" s="110"/>
      <c r="K316" s="110"/>
      <c r="L316" s="110"/>
      <c r="M316" s="110" t="str">
        <f>"'editNorm """&amp;D316&amp;""","""&amp;B316&amp;""","""&amp;E316&amp;"""'"</f>
        <v>'editNorm "FP_StamdataT1","FP_StamdataT1Delete","FP_StamdataT1Rep"'</v>
      </c>
      <c r="N316" s="110" t="s">
        <v>59</v>
      </c>
      <c r="O316" s="110" t="str">
        <f>"$N$"&amp;A316</f>
        <v>$N$12</v>
      </c>
      <c r="P316" s="110" t="str">
        <f>"$N$"&amp;A316</f>
        <v>$N$12</v>
      </c>
      <c r="Q316" s="110">
        <v>7</v>
      </c>
      <c r="R316" s="110">
        <v>1</v>
      </c>
      <c r="S316" s="110"/>
      <c r="T316" s="110">
        <v>22</v>
      </c>
      <c r="U316" s="110" t="b">
        <v>1</v>
      </c>
      <c r="V316" s="110" t="s">
        <v>1346</v>
      </c>
      <c r="W316" s="110" t="s">
        <v>1343</v>
      </c>
      <c r="X316" s="110"/>
      <c r="Y316" s="110"/>
      <c r="Z316" s="110"/>
      <c r="AA316" s="110"/>
      <c r="AB316" s="110">
        <v>3</v>
      </c>
      <c r="AC316" s="110">
        <v>5</v>
      </c>
      <c r="AD316" s="110" t="s">
        <v>105</v>
      </c>
      <c r="AE316" s="110">
        <v>12</v>
      </c>
      <c r="AF316" s="110"/>
      <c r="AG316" s="110" t="s">
        <v>1351</v>
      </c>
      <c r="AH316" s="110" t="s">
        <v>29</v>
      </c>
      <c r="AI316" s="110" t="s">
        <v>29</v>
      </c>
      <c r="AJ316" s="110"/>
      <c r="AK316" s="110"/>
      <c r="AL316" s="110"/>
      <c r="AM316" s="110"/>
      <c r="AN316" s="110">
        <v>2</v>
      </c>
      <c r="AO316" s="110"/>
      <c r="AP316" s="110"/>
    </row>
    <row r="317" spans="1:48" ht="16.5" customHeight="1" x14ac:dyDescent="0.2">
      <c r="A317" s="109">
        <f t="shared" si="19"/>
        <v>12</v>
      </c>
      <c r="B317" s="109" t="s">
        <v>848</v>
      </c>
      <c r="C317" s="109" t="s">
        <v>96</v>
      </c>
      <c r="D317" s="109"/>
      <c r="E317" s="109" t="s">
        <v>808</v>
      </c>
      <c r="F317" s="109"/>
      <c r="G317" s="109" t="s">
        <v>1154</v>
      </c>
      <c r="H317" s="109">
        <v>1</v>
      </c>
      <c r="I317" s="109"/>
      <c r="J317" s="109" t="b">
        <f t="shared" ref="J317:J324" si="20">$E$4</f>
        <v>1</v>
      </c>
      <c r="K317" s="109" t="b">
        <v>1</v>
      </c>
      <c r="L317" s="109"/>
      <c r="M317" s="109"/>
      <c r="N317" s="109"/>
      <c r="O317" s="109" t="str">
        <f>"$D$"&amp;A317</f>
        <v>$D$12</v>
      </c>
      <c r="P317" s="109" t="str">
        <f>"$I$"&amp;A317</f>
        <v>$I$12</v>
      </c>
      <c r="Q317" s="109"/>
      <c r="R317" s="109"/>
      <c r="S317" s="109"/>
      <c r="T317" s="109">
        <v>25</v>
      </c>
      <c r="U317" s="109" t="b">
        <v>1</v>
      </c>
      <c r="V317" s="109" t="s">
        <v>1342</v>
      </c>
      <c r="W317" s="109" t="s">
        <v>1342</v>
      </c>
      <c r="X317" s="109"/>
      <c r="Y317" s="109"/>
      <c r="Z317" s="109"/>
      <c r="AA317" s="109"/>
      <c r="AB317" s="109"/>
      <c r="AC317" s="109">
        <v>5</v>
      </c>
      <c r="AD317" s="109" t="s">
        <v>105</v>
      </c>
      <c r="AE317" s="109">
        <v>14</v>
      </c>
      <c r="AF317" s="109"/>
      <c r="AG317" s="109" t="s">
        <v>1360</v>
      </c>
      <c r="AH317" s="109" t="s">
        <v>29</v>
      </c>
      <c r="AI317" s="109" t="s">
        <v>28</v>
      </c>
      <c r="AJ317" s="109"/>
      <c r="AK317" s="109" t="s">
        <v>1342</v>
      </c>
      <c r="AL317" s="109">
        <v>5</v>
      </c>
      <c r="AM317" s="109"/>
      <c r="AN317" s="109"/>
      <c r="AO317" s="109"/>
      <c r="AP317" s="109" t="b">
        <v>1</v>
      </c>
      <c r="AQ317" s="296" t="s">
        <v>178</v>
      </c>
      <c r="AR317" s="296"/>
      <c r="AS317" s="296"/>
      <c r="AT317" s="296"/>
      <c r="AU317" s="296"/>
      <c r="AV317" s="296"/>
    </row>
    <row r="318" spans="1:48" ht="16.5" customHeight="1" x14ac:dyDescent="0.2">
      <c r="A318" s="110">
        <f t="shared" si="19"/>
        <v>12</v>
      </c>
      <c r="B318" s="110" t="str">
        <f>D318&amp;"Red"</f>
        <v>FP_StamdataT1_1Red</v>
      </c>
      <c r="C318" s="110" t="s">
        <v>656</v>
      </c>
      <c r="D318" s="110" t="s">
        <v>848</v>
      </c>
      <c r="E318" s="110" t="s">
        <v>808</v>
      </c>
      <c r="F318" s="110"/>
      <c r="G318" s="110" t="s">
        <v>1154</v>
      </c>
      <c r="H318" s="110">
        <v>1</v>
      </c>
      <c r="I318" s="110" t="s">
        <v>1247</v>
      </c>
      <c r="J318" s="110" t="b">
        <f t="shared" si="20"/>
        <v>1</v>
      </c>
      <c r="K318" s="110" t="b">
        <v>1</v>
      </c>
      <c r="L318" s="110"/>
      <c r="M318" s="110" t="str">
        <f>"'editNorm """&amp;D318&amp;""","""&amp;B318&amp;""","""&amp;E318&amp;"""'"</f>
        <v>'editNorm "FP_StamdataT1_1","FP_StamdataT1_1Red","FP_StamdataT1Rep"'</v>
      </c>
      <c r="N318" s="110" t="s">
        <v>59</v>
      </c>
      <c r="O318" s="110" t="str">
        <f>"$L$"&amp;A318</f>
        <v>$L$12</v>
      </c>
      <c r="P318" s="110" t="str">
        <f>"$M$"&amp;A318</f>
        <v>$M$12</v>
      </c>
      <c r="Q318" s="110">
        <v>5</v>
      </c>
      <c r="R318" s="110">
        <v>1</v>
      </c>
      <c r="S318" s="110"/>
      <c r="T318" s="110">
        <v>22</v>
      </c>
      <c r="U318" s="110" t="b">
        <v>1</v>
      </c>
      <c r="V318" s="110" t="s">
        <v>1344</v>
      </c>
      <c r="W318" s="110" t="s">
        <v>1343</v>
      </c>
      <c r="X318" s="110"/>
      <c r="Y318" s="110"/>
      <c r="Z318" s="110"/>
      <c r="AA318" s="110"/>
      <c r="AB318" s="110">
        <v>3</v>
      </c>
      <c r="AC318" s="110">
        <v>5</v>
      </c>
      <c r="AD318" s="110" t="s">
        <v>105</v>
      </c>
      <c r="AE318" s="110">
        <v>12</v>
      </c>
      <c r="AF318" s="110"/>
      <c r="AG318" s="110" t="s">
        <v>1351</v>
      </c>
      <c r="AH318" s="110" t="s">
        <v>29</v>
      </c>
      <c r="AI318" s="110" t="s">
        <v>29</v>
      </c>
      <c r="AJ318" s="110"/>
      <c r="AK318" s="110"/>
      <c r="AL318" s="110"/>
      <c r="AM318" s="110"/>
      <c r="AN318" s="110">
        <v>2</v>
      </c>
      <c r="AO318" s="110"/>
      <c r="AP318" s="110"/>
    </row>
    <row r="319" spans="1:48" ht="16.5" customHeight="1" x14ac:dyDescent="0.2">
      <c r="A319" s="110">
        <f t="shared" si="19"/>
        <v>12</v>
      </c>
      <c r="B319" s="110" t="str">
        <f>D319&amp;"Gem"</f>
        <v>FP_StamdataT1_1Gem</v>
      </c>
      <c r="C319" s="110" t="s">
        <v>656</v>
      </c>
      <c r="D319" s="110" t="s">
        <v>848</v>
      </c>
      <c r="E319" s="110" t="s">
        <v>808</v>
      </c>
      <c r="F319" s="110"/>
      <c r="G319" s="110" t="s">
        <v>1154</v>
      </c>
      <c r="H319" s="110">
        <v>1</v>
      </c>
      <c r="I319" s="110" t="s">
        <v>238</v>
      </c>
      <c r="J319" s="110" t="b">
        <f t="shared" si="20"/>
        <v>1</v>
      </c>
      <c r="K319" s="110"/>
      <c r="L319" s="110"/>
      <c r="M319" s="110" t="str">
        <f>"'editNorm """&amp;D319&amp;""","""&amp;B319&amp;""","""&amp;E319&amp;"""'"</f>
        <v>'editNorm "FP_StamdataT1_1","FP_StamdataT1_1Gem","FP_StamdataT1Rep"'</v>
      </c>
      <c r="N319" s="110" t="s">
        <v>59</v>
      </c>
      <c r="O319" s="110" t="str">
        <f>"$L$"&amp;A319</f>
        <v>$L$12</v>
      </c>
      <c r="P319" s="110" t="str">
        <f>"$L$"&amp;A319</f>
        <v>$L$12</v>
      </c>
      <c r="Q319" s="110">
        <v>5</v>
      </c>
      <c r="R319" s="110">
        <v>1</v>
      </c>
      <c r="S319" s="110"/>
      <c r="T319" s="110">
        <v>22</v>
      </c>
      <c r="U319" s="110" t="b">
        <v>1</v>
      </c>
      <c r="V319" s="110" t="s">
        <v>1345</v>
      </c>
      <c r="W319" s="110" t="s">
        <v>1343</v>
      </c>
      <c r="X319" s="110"/>
      <c r="Y319" s="110"/>
      <c r="Z319" s="110"/>
      <c r="AA319" s="110"/>
      <c r="AB319" s="110">
        <v>3</v>
      </c>
      <c r="AC319" s="110">
        <v>5</v>
      </c>
      <c r="AD319" s="110" t="s">
        <v>105</v>
      </c>
      <c r="AE319" s="110">
        <v>12</v>
      </c>
      <c r="AF319" s="110"/>
      <c r="AG319" s="110" t="s">
        <v>1351</v>
      </c>
      <c r="AH319" s="110" t="s">
        <v>29</v>
      </c>
      <c r="AI319" s="110" t="s">
        <v>29</v>
      </c>
      <c r="AJ319" s="110"/>
      <c r="AK319" s="110"/>
      <c r="AL319" s="110"/>
      <c r="AM319" s="110"/>
      <c r="AN319" s="110">
        <v>2</v>
      </c>
      <c r="AO319" s="110"/>
      <c r="AP319" s="110"/>
    </row>
    <row r="320" spans="1:48" ht="16.5" customHeight="1" x14ac:dyDescent="0.2">
      <c r="A320" s="110">
        <f t="shared" si="19"/>
        <v>12</v>
      </c>
      <c r="B320" s="110" t="str">
        <f>D320&amp;"Cancel"</f>
        <v>FP_StamdataT1_1Cancel</v>
      </c>
      <c r="C320" s="110" t="s">
        <v>656</v>
      </c>
      <c r="D320" s="110" t="s">
        <v>848</v>
      </c>
      <c r="E320" s="110" t="s">
        <v>808</v>
      </c>
      <c r="F320" s="110"/>
      <c r="G320" s="110" t="s">
        <v>1154</v>
      </c>
      <c r="H320" s="110">
        <v>1</v>
      </c>
      <c r="I320" s="110" t="s">
        <v>838</v>
      </c>
      <c r="J320" s="110" t="b">
        <f t="shared" si="20"/>
        <v>1</v>
      </c>
      <c r="K320" s="110"/>
      <c r="L320" s="110"/>
      <c r="M320" s="110" t="str">
        <f>"'editNorm """&amp;D320&amp;""","""&amp;B320&amp;""","""&amp;E320&amp;"""'"</f>
        <v>'editNorm "FP_StamdataT1_1","FP_StamdataT1_1Cancel","FP_StamdataT1Rep"'</v>
      </c>
      <c r="N320" s="110" t="s">
        <v>59</v>
      </c>
      <c r="O320" s="110" t="str">
        <f>"$M$"&amp;A320</f>
        <v>$M$12</v>
      </c>
      <c r="P320" s="110" t="str">
        <f>"$M$"&amp;A320</f>
        <v>$M$12</v>
      </c>
      <c r="Q320" s="110">
        <v>7</v>
      </c>
      <c r="R320" s="110">
        <v>1</v>
      </c>
      <c r="S320" s="110"/>
      <c r="T320" s="110">
        <v>22</v>
      </c>
      <c r="U320" s="110" t="b">
        <v>1</v>
      </c>
      <c r="V320" s="110" t="s">
        <v>1344</v>
      </c>
      <c r="W320" s="110" t="s">
        <v>1343</v>
      </c>
      <c r="X320" s="110"/>
      <c r="Y320" s="110"/>
      <c r="Z320" s="110"/>
      <c r="AA320" s="110"/>
      <c r="AB320" s="110">
        <v>3</v>
      </c>
      <c r="AC320" s="110">
        <v>5</v>
      </c>
      <c r="AD320" s="110" t="s">
        <v>105</v>
      </c>
      <c r="AE320" s="110">
        <v>12</v>
      </c>
      <c r="AF320" s="110"/>
      <c r="AG320" s="110" t="s">
        <v>1351</v>
      </c>
      <c r="AH320" s="110" t="s">
        <v>29</v>
      </c>
      <c r="AI320" s="110" t="s">
        <v>29</v>
      </c>
      <c r="AJ320" s="110"/>
      <c r="AK320" s="110"/>
      <c r="AL320" s="110"/>
      <c r="AM320" s="110"/>
      <c r="AN320" s="110">
        <v>2</v>
      </c>
      <c r="AO320" s="110"/>
      <c r="AP320" s="110"/>
    </row>
    <row r="321" spans="1:48" ht="16.5" customHeight="1" x14ac:dyDescent="0.2">
      <c r="A321" s="110">
        <f t="shared" si="19"/>
        <v>12</v>
      </c>
      <c r="B321" s="110" t="str">
        <f>D321&amp;"Delete"</f>
        <v>FP_StamdataT1_1Delete</v>
      </c>
      <c r="C321" s="110" t="s">
        <v>656</v>
      </c>
      <c r="D321" s="110" t="s">
        <v>848</v>
      </c>
      <c r="E321" s="110" t="s">
        <v>808</v>
      </c>
      <c r="F321" s="110"/>
      <c r="G321" s="110" t="s">
        <v>1154</v>
      </c>
      <c r="H321" s="110">
        <v>1</v>
      </c>
      <c r="I321" s="110" t="s">
        <v>1266</v>
      </c>
      <c r="J321" s="110" t="b">
        <f t="shared" si="20"/>
        <v>1</v>
      </c>
      <c r="K321" s="110"/>
      <c r="L321" s="110"/>
      <c r="M321" s="110" t="str">
        <f>"'editNorm """&amp;D321&amp;""","""&amp;B321&amp;""","""&amp;E321&amp;"""'"</f>
        <v>'editNorm "FP_StamdataT1_1","FP_StamdataT1_1Delete","FP_StamdataT1Rep"'</v>
      </c>
      <c r="N321" s="110" t="s">
        <v>59</v>
      </c>
      <c r="O321" s="110" t="str">
        <f>"$N$"&amp;A321</f>
        <v>$N$12</v>
      </c>
      <c r="P321" s="110" t="str">
        <f>"$N$"&amp;A321</f>
        <v>$N$12</v>
      </c>
      <c r="Q321" s="110">
        <v>7</v>
      </c>
      <c r="R321" s="110">
        <v>1</v>
      </c>
      <c r="S321" s="110"/>
      <c r="T321" s="110">
        <v>22</v>
      </c>
      <c r="U321" s="110" t="b">
        <v>1</v>
      </c>
      <c r="V321" s="110" t="s">
        <v>1346</v>
      </c>
      <c r="W321" s="110" t="s">
        <v>1343</v>
      </c>
      <c r="X321" s="110"/>
      <c r="Y321" s="110"/>
      <c r="Z321" s="110"/>
      <c r="AA321" s="110"/>
      <c r="AB321" s="110">
        <v>3</v>
      </c>
      <c r="AC321" s="110">
        <v>5</v>
      </c>
      <c r="AD321" s="110" t="s">
        <v>105</v>
      </c>
      <c r="AE321" s="110">
        <v>12</v>
      </c>
      <c r="AF321" s="110"/>
      <c r="AG321" s="110" t="s">
        <v>1351</v>
      </c>
      <c r="AH321" s="110" t="s">
        <v>29</v>
      </c>
      <c r="AI321" s="110" t="s">
        <v>29</v>
      </c>
      <c r="AJ321" s="110"/>
      <c r="AK321" s="110"/>
      <c r="AL321" s="110"/>
      <c r="AM321" s="110"/>
      <c r="AN321" s="110">
        <v>2</v>
      </c>
      <c r="AO321" s="110"/>
      <c r="AP321" s="110"/>
    </row>
    <row r="322" spans="1:48" ht="16.5" customHeight="1" x14ac:dyDescent="0.2">
      <c r="A322" s="107">
        <f>$O$311+(P311-O311+1)*(H311-1)-1</f>
        <v>12</v>
      </c>
      <c r="B322" s="107" t="s">
        <v>808</v>
      </c>
      <c r="C322" s="107" t="s">
        <v>663</v>
      </c>
      <c r="D322" s="107"/>
      <c r="E322" s="107"/>
      <c r="F322" s="107"/>
      <c r="G322" s="107" t="s">
        <v>1154</v>
      </c>
      <c r="H322" s="107"/>
      <c r="I322" s="107"/>
      <c r="J322" s="107" t="b">
        <f t="shared" si="20"/>
        <v>1</v>
      </c>
      <c r="K322" s="107"/>
      <c r="L322" s="107"/>
      <c r="M322" s="107"/>
      <c r="N322" s="107"/>
      <c r="O322" s="107"/>
      <c r="P322" s="107"/>
      <c r="Q322" s="107"/>
      <c r="R322" s="107"/>
      <c r="S322" s="107"/>
      <c r="T322" s="107"/>
      <c r="U322" s="107"/>
      <c r="V322" s="107"/>
      <c r="W322" s="107"/>
      <c r="X322" s="107"/>
      <c r="Y322" s="107"/>
      <c r="Z322" s="107"/>
      <c r="AA322" s="107"/>
      <c r="AB322" s="107"/>
      <c r="AC322" s="107"/>
      <c r="AD322" s="107"/>
      <c r="AE322" s="107"/>
      <c r="AF322" s="107"/>
      <c r="AG322" s="107"/>
      <c r="AH322" s="107"/>
      <c r="AI322" s="107"/>
      <c r="AJ322" s="107"/>
      <c r="AK322" s="107"/>
      <c r="AL322" s="107"/>
      <c r="AM322" s="107"/>
      <c r="AN322" s="107"/>
      <c r="AO322" s="107"/>
      <c r="AP322" s="107"/>
    </row>
    <row r="323" spans="1:48" ht="16.5" customHeight="1" x14ac:dyDescent="0.2">
      <c r="A323" s="106">
        <f>$A$322+1</f>
        <v>13</v>
      </c>
      <c r="B323" s="106" t="s">
        <v>859</v>
      </c>
      <c r="C323" s="106" t="s">
        <v>655</v>
      </c>
      <c r="D323" s="106"/>
      <c r="E323" s="106"/>
      <c r="F323" s="106"/>
      <c r="G323" s="106" t="s">
        <v>1154</v>
      </c>
      <c r="H323" s="106"/>
      <c r="I323" s="106"/>
      <c r="J323" s="106" t="b">
        <f t="shared" si="20"/>
        <v>1</v>
      </c>
      <c r="K323" s="106" t="b">
        <v>1</v>
      </c>
      <c r="L323" s="106"/>
      <c r="M323" s="106"/>
      <c r="N323" s="106" t="s">
        <v>59</v>
      </c>
      <c r="O323" s="106" t="str">
        <f>"$D$"&amp;A323</f>
        <v>$D$13</v>
      </c>
      <c r="P323" s="106" t="str">
        <f>"$M$"&amp;A323+1</f>
        <v>$M$14</v>
      </c>
      <c r="Q323" s="106"/>
      <c r="R323" s="106">
        <v>2</v>
      </c>
      <c r="S323" s="106"/>
      <c r="T323" s="106">
        <v>2</v>
      </c>
      <c r="U323" s="106" t="b">
        <v>1</v>
      </c>
      <c r="V323" s="106" t="s">
        <v>1344</v>
      </c>
      <c r="W323" s="106" t="s">
        <v>1343</v>
      </c>
      <c r="X323" s="106"/>
      <c r="Y323" s="106"/>
      <c r="Z323" s="106"/>
      <c r="AA323" s="106"/>
      <c r="AB323" s="106"/>
      <c r="AC323" s="106"/>
      <c r="AD323" s="106"/>
      <c r="AE323" s="106"/>
      <c r="AF323" s="106"/>
      <c r="AG323" s="106"/>
      <c r="AH323" s="106"/>
      <c r="AI323" s="106"/>
      <c r="AJ323" s="106"/>
      <c r="AK323" s="106"/>
      <c r="AL323" s="106"/>
      <c r="AM323" s="106"/>
      <c r="AN323" s="106"/>
      <c r="AO323" s="106"/>
      <c r="AP323" s="106"/>
    </row>
    <row r="324" spans="1:48" ht="16.5" customHeight="1" x14ac:dyDescent="0.2">
      <c r="A324" s="107">
        <f>$A$323+2</f>
        <v>15</v>
      </c>
      <c r="B324" s="107" t="s">
        <v>809</v>
      </c>
      <c r="C324" s="107" t="s">
        <v>663</v>
      </c>
      <c r="D324" s="107"/>
      <c r="E324" s="107"/>
      <c r="F324" s="107"/>
      <c r="G324" s="107" t="s">
        <v>1154</v>
      </c>
      <c r="H324" s="107">
        <v>2</v>
      </c>
      <c r="I324" s="107">
        <v>6</v>
      </c>
      <c r="J324" s="107" t="b">
        <f t="shared" si="20"/>
        <v>1</v>
      </c>
      <c r="K324" s="107"/>
      <c r="L324" s="107"/>
      <c r="M324" s="107"/>
      <c r="N324" s="107"/>
      <c r="O324" s="107">
        <f>A324</f>
        <v>15</v>
      </c>
      <c r="P324" s="107">
        <f>O324</f>
        <v>15</v>
      </c>
      <c r="Q324" s="107"/>
      <c r="R324" s="107"/>
      <c r="S324" s="107"/>
      <c r="T324" s="107"/>
      <c r="U324" s="107"/>
      <c r="V324" s="107"/>
      <c r="W324" s="107"/>
      <c r="X324" s="107"/>
      <c r="Y324" s="107"/>
      <c r="Z324" s="107"/>
      <c r="AA324" s="107"/>
      <c r="AB324" s="107"/>
      <c r="AC324" s="107"/>
      <c r="AD324" s="107"/>
      <c r="AE324" s="107"/>
      <c r="AF324" s="107"/>
      <c r="AG324" s="107"/>
      <c r="AH324" s="107"/>
      <c r="AI324" s="107"/>
      <c r="AJ324" s="107"/>
      <c r="AK324" s="107"/>
      <c r="AL324" s="107"/>
      <c r="AM324" s="107"/>
      <c r="AN324" s="107"/>
      <c r="AO324" s="107"/>
      <c r="AP324" s="107"/>
      <c r="AQ324" s="93" t="str">
        <f>AQ331</f>
        <v>[Journaliseringsnummer]</v>
      </c>
    </row>
    <row r="325" spans="1:48" ht="16.5" customHeight="1" x14ac:dyDescent="0.2">
      <c r="A325" s="108">
        <f t="shared" ref="A325:A336" si="21">$A$324+0</f>
        <v>15</v>
      </c>
      <c r="B325" s="109" t="s">
        <v>203</v>
      </c>
      <c r="C325" s="109" t="s">
        <v>96</v>
      </c>
      <c r="D325" s="109"/>
      <c r="E325" s="109" t="s">
        <v>809</v>
      </c>
      <c r="F325" s="109"/>
      <c r="G325" s="109" t="s">
        <v>1154</v>
      </c>
      <c r="H325" s="109"/>
      <c r="I325" s="109"/>
      <c r="J325" s="109"/>
      <c r="K325" s="109" t="b">
        <v>1</v>
      </c>
      <c r="L325" s="109"/>
      <c r="M325" s="109"/>
      <c r="N325" s="109"/>
      <c r="O325" s="109" t="str">
        <f>"$D$"&amp;A325</f>
        <v>$D$15</v>
      </c>
      <c r="P325" s="109" t="str">
        <f>"$I$"&amp;A325</f>
        <v>$I$15</v>
      </c>
      <c r="Q325" s="109"/>
      <c r="R325" s="109"/>
      <c r="S325" s="109"/>
      <c r="T325" s="109">
        <v>25</v>
      </c>
      <c r="U325" s="109" t="b">
        <v>1</v>
      </c>
      <c r="V325" s="109" t="s">
        <v>1342</v>
      </c>
      <c r="W325" s="109" t="s">
        <v>1342</v>
      </c>
      <c r="X325" s="109"/>
      <c r="Y325" s="109"/>
      <c r="Z325" s="109"/>
      <c r="AA325" s="109"/>
      <c r="AB325" s="109"/>
      <c r="AC325" s="109">
        <v>5</v>
      </c>
      <c r="AD325" s="109" t="s">
        <v>105</v>
      </c>
      <c r="AE325" s="109">
        <v>14</v>
      </c>
      <c r="AF325" s="109"/>
      <c r="AG325" s="109" t="s">
        <v>1360</v>
      </c>
      <c r="AH325" s="109" t="s">
        <v>29</v>
      </c>
      <c r="AI325" s="109" t="s">
        <v>28</v>
      </c>
      <c r="AJ325" s="109"/>
      <c r="AK325" s="109" t="s">
        <v>1342</v>
      </c>
      <c r="AL325" s="109">
        <v>5</v>
      </c>
      <c r="AM325" s="109"/>
      <c r="AN325" s="109"/>
      <c r="AO325" s="109"/>
      <c r="AP325" s="109" t="b">
        <v>1</v>
      </c>
      <c r="AQ325" s="296" t="s">
        <v>112</v>
      </c>
      <c r="AR325" s="296"/>
      <c r="AS325" s="296"/>
      <c r="AT325" s="296"/>
      <c r="AU325" s="296"/>
      <c r="AV325" s="296"/>
    </row>
    <row r="326" spans="1:48" ht="16.5" customHeight="1" x14ac:dyDescent="0.2">
      <c r="A326" s="108">
        <f t="shared" si="21"/>
        <v>15</v>
      </c>
      <c r="B326" s="110" t="str">
        <f>D326&amp;"Red"</f>
        <v>FP_StamdataT2Red</v>
      </c>
      <c r="C326" s="110" t="s">
        <v>656</v>
      </c>
      <c r="D326" s="110" t="s">
        <v>203</v>
      </c>
      <c r="E326" s="110" t="s">
        <v>809</v>
      </c>
      <c r="F326" s="110"/>
      <c r="G326" s="110" t="s">
        <v>1154</v>
      </c>
      <c r="H326" s="110"/>
      <c r="I326" s="110" t="s">
        <v>1247</v>
      </c>
      <c r="J326" s="110"/>
      <c r="K326" s="110" t="b">
        <v>1</v>
      </c>
      <c r="L326" s="110"/>
      <c r="M326" s="110" t="str">
        <f>"'editNorm """&amp;D326&amp;""","""&amp;B326&amp;""","""&amp;E326&amp;"""'"</f>
        <v>'editNorm "FP_StamdataT2","FP_StamdataT2Red","FP_StamdataT2Rep"'</v>
      </c>
      <c r="N326" s="110" t="s">
        <v>59</v>
      </c>
      <c r="O326" s="110" t="str">
        <f>"$L$"&amp;A326</f>
        <v>$L$15</v>
      </c>
      <c r="P326" s="110" t="str">
        <f>"$M$"&amp;A326</f>
        <v>$M$15</v>
      </c>
      <c r="Q326" s="110">
        <v>5</v>
      </c>
      <c r="R326" s="110">
        <v>1</v>
      </c>
      <c r="S326" s="110"/>
      <c r="T326" s="110">
        <v>22</v>
      </c>
      <c r="U326" s="110" t="b">
        <v>1</v>
      </c>
      <c r="V326" s="110" t="s">
        <v>1344</v>
      </c>
      <c r="W326" s="110" t="s">
        <v>1343</v>
      </c>
      <c r="X326" s="110"/>
      <c r="Y326" s="110"/>
      <c r="Z326" s="110"/>
      <c r="AA326" s="110"/>
      <c r="AB326" s="110">
        <v>3</v>
      </c>
      <c r="AC326" s="110">
        <v>5</v>
      </c>
      <c r="AD326" s="110" t="s">
        <v>105</v>
      </c>
      <c r="AE326" s="110">
        <v>12</v>
      </c>
      <c r="AF326" s="110"/>
      <c r="AG326" s="110" t="s">
        <v>1351</v>
      </c>
      <c r="AH326" s="110" t="s">
        <v>29</v>
      </c>
      <c r="AI326" s="110" t="s">
        <v>29</v>
      </c>
      <c r="AJ326" s="110"/>
      <c r="AK326" s="110"/>
      <c r="AL326" s="110"/>
      <c r="AM326" s="110"/>
      <c r="AN326" s="110">
        <v>2</v>
      </c>
      <c r="AO326" s="110"/>
      <c r="AP326" s="110"/>
    </row>
    <row r="327" spans="1:48" ht="16.5" customHeight="1" x14ac:dyDescent="0.2">
      <c r="A327" s="108">
        <f t="shared" si="21"/>
        <v>15</v>
      </c>
      <c r="B327" s="110" t="str">
        <f>D327&amp;"Gem"</f>
        <v>FP_StamdataT2Gem</v>
      </c>
      <c r="C327" s="110" t="s">
        <v>656</v>
      </c>
      <c r="D327" s="110" t="s">
        <v>203</v>
      </c>
      <c r="E327" s="110" t="s">
        <v>809</v>
      </c>
      <c r="F327" s="110"/>
      <c r="G327" s="110" t="s">
        <v>1154</v>
      </c>
      <c r="H327" s="110"/>
      <c r="I327" s="110" t="s">
        <v>238</v>
      </c>
      <c r="J327" s="110"/>
      <c r="K327" s="110"/>
      <c r="L327" s="110"/>
      <c r="M327" s="110" t="str">
        <f>"'editNorm """&amp;D327&amp;""","""&amp;B327&amp;""","""&amp;E327&amp;"""'"</f>
        <v>'editNorm "FP_StamdataT2","FP_StamdataT2Gem","FP_StamdataT2Rep"'</v>
      </c>
      <c r="N327" s="110" t="s">
        <v>59</v>
      </c>
      <c r="O327" s="110" t="str">
        <f>"$L$"&amp;A327</f>
        <v>$L$15</v>
      </c>
      <c r="P327" s="110" t="str">
        <f>"$L$"&amp;A327</f>
        <v>$L$15</v>
      </c>
      <c r="Q327" s="110">
        <v>5</v>
      </c>
      <c r="R327" s="110">
        <v>1</v>
      </c>
      <c r="S327" s="110"/>
      <c r="T327" s="110">
        <v>22</v>
      </c>
      <c r="U327" s="110" t="b">
        <v>1</v>
      </c>
      <c r="V327" s="110" t="s">
        <v>1345</v>
      </c>
      <c r="W327" s="110" t="s">
        <v>1343</v>
      </c>
      <c r="X327" s="110"/>
      <c r="Y327" s="110"/>
      <c r="Z327" s="110"/>
      <c r="AA327" s="110"/>
      <c r="AB327" s="110">
        <v>3</v>
      </c>
      <c r="AC327" s="110">
        <v>5</v>
      </c>
      <c r="AD327" s="110" t="s">
        <v>105</v>
      </c>
      <c r="AE327" s="110">
        <v>12</v>
      </c>
      <c r="AF327" s="110"/>
      <c r="AG327" s="110" t="s">
        <v>1351</v>
      </c>
      <c r="AH327" s="110" t="s">
        <v>29</v>
      </c>
      <c r="AI327" s="110" t="s">
        <v>29</v>
      </c>
      <c r="AJ327" s="110"/>
      <c r="AK327" s="110"/>
      <c r="AL327" s="110"/>
      <c r="AM327" s="110"/>
      <c r="AN327" s="110">
        <v>2</v>
      </c>
      <c r="AO327" s="110"/>
      <c r="AP327" s="110"/>
    </row>
    <row r="328" spans="1:48" ht="16.5" customHeight="1" x14ac:dyDescent="0.2">
      <c r="A328" s="108">
        <f t="shared" si="21"/>
        <v>15</v>
      </c>
      <c r="B328" s="110" t="str">
        <f>D328&amp;"Cancel"</f>
        <v>FP_StamdataT2Cancel</v>
      </c>
      <c r="C328" s="110" t="s">
        <v>656</v>
      </c>
      <c r="D328" s="110" t="s">
        <v>203</v>
      </c>
      <c r="E328" s="110" t="s">
        <v>809</v>
      </c>
      <c r="F328" s="110"/>
      <c r="G328" s="110" t="s">
        <v>1154</v>
      </c>
      <c r="H328" s="110"/>
      <c r="I328" s="110" t="s">
        <v>838</v>
      </c>
      <c r="J328" s="110"/>
      <c r="K328" s="110"/>
      <c r="L328" s="110"/>
      <c r="M328" s="110" t="str">
        <f>"'editNorm """&amp;D328&amp;""","""&amp;B328&amp;""","""&amp;E328&amp;"""'"</f>
        <v>'editNorm "FP_StamdataT2","FP_StamdataT2Cancel","FP_StamdataT2Rep"'</v>
      </c>
      <c r="N328" s="110" t="s">
        <v>59</v>
      </c>
      <c r="O328" s="110" t="str">
        <f>"$M$"&amp;A328</f>
        <v>$M$15</v>
      </c>
      <c r="P328" s="110" t="str">
        <f>"$M$"&amp;A328</f>
        <v>$M$15</v>
      </c>
      <c r="Q328" s="110">
        <v>7</v>
      </c>
      <c r="R328" s="110">
        <v>1</v>
      </c>
      <c r="S328" s="110"/>
      <c r="T328" s="110">
        <v>22</v>
      </c>
      <c r="U328" s="110" t="b">
        <v>1</v>
      </c>
      <c r="V328" s="110" t="s">
        <v>1344</v>
      </c>
      <c r="W328" s="110" t="s">
        <v>1343</v>
      </c>
      <c r="X328" s="110"/>
      <c r="Y328" s="110"/>
      <c r="Z328" s="110"/>
      <c r="AA328" s="110"/>
      <c r="AB328" s="110">
        <v>3</v>
      </c>
      <c r="AC328" s="110">
        <v>5</v>
      </c>
      <c r="AD328" s="110" t="s">
        <v>105</v>
      </c>
      <c r="AE328" s="110">
        <v>12</v>
      </c>
      <c r="AF328" s="110"/>
      <c r="AG328" s="110" t="s">
        <v>1351</v>
      </c>
      <c r="AH328" s="110" t="s">
        <v>29</v>
      </c>
      <c r="AI328" s="110" t="s">
        <v>29</v>
      </c>
      <c r="AJ328" s="110"/>
      <c r="AK328" s="110"/>
      <c r="AL328" s="110"/>
      <c r="AM328" s="110"/>
      <c r="AN328" s="110">
        <v>2</v>
      </c>
      <c r="AO328" s="110"/>
      <c r="AP328" s="110"/>
    </row>
    <row r="329" spans="1:48" ht="16.5" customHeight="1" x14ac:dyDescent="0.2">
      <c r="A329" s="108">
        <f t="shared" si="21"/>
        <v>15</v>
      </c>
      <c r="B329" s="110" t="str">
        <f>D329&amp;"Delete"</f>
        <v>FP_StamdataT2Delete</v>
      </c>
      <c r="C329" s="110" t="s">
        <v>656</v>
      </c>
      <c r="D329" s="110" t="s">
        <v>203</v>
      </c>
      <c r="E329" s="110" t="s">
        <v>809</v>
      </c>
      <c r="F329" s="110"/>
      <c r="G329" s="110" t="s">
        <v>1154</v>
      </c>
      <c r="H329" s="110"/>
      <c r="I329" s="110" t="s">
        <v>1266</v>
      </c>
      <c r="J329" s="110"/>
      <c r="K329" s="110"/>
      <c r="L329" s="110"/>
      <c r="M329" s="110" t="str">
        <f>"'editNorm """&amp;D329&amp;""","""&amp;B329&amp;""","""&amp;E329&amp;"""'"</f>
        <v>'editNorm "FP_StamdataT2","FP_StamdataT2Delete","FP_StamdataT2Rep"'</v>
      </c>
      <c r="N329" s="110" t="s">
        <v>59</v>
      </c>
      <c r="O329" s="110" t="str">
        <f>"$N$"&amp;A329</f>
        <v>$N$15</v>
      </c>
      <c r="P329" s="110" t="str">
        <f>"$N$"&amp;A329</f>
        <v>$N$15</v>
      </c>
      <c r="Q329" s="110">
        <v>7</v>
      </c>
      <c r="R329" s="110">
        <v>1</v>
      </c>
      <c r="S329" s="110"/>
      <c r="T329" s="110">
        <v>22</v>
      </c>
      <c r="U329" s="110" t="b">
        <v>1</v>
      </c>
      <c r="V329" s="110" t="s">
        <v>1346</v>
      </c>
      <c r="W329" s="110" t="s">
        <v>1343</v>
      </c>
      <c r="X329" s="110"/>
      <c r="Y329" s="110"/>
      <c r="Z329" s="110"/>
      <c r="AA329" s="110"/>
      <c r="AB329" s="110">
        <v>3</v>
      </c>
      <c r="AC329" s="110">
        <v>5</v>
      </c>
      <c r="AD329" s="110" t="s">
        <v>105</v>
      </c>
      <c r="AE329" s="110">
        <v>12</v>
      </c>
      <c r="AF329" s="110"/>
      <c r="AG329" s="110" t="s">
        <v>1351</v>
      </c>
      <c r="AH329" s="110" t="s">
        <v>29</v>
      </c>
      <c r="AI329" s="110" t="s">
        <v>29</v>
      </c>
      <c r="AJ329" s="110"/>
      <c r="AK329" s="110"/>
      <c r="AL329" s="110"/>
      <c r="AM329" s="110"/>
      <c r="AN329" s="110">
        <v>2</v>
      </c>
      <c r="AO329" s="110"/>
      <c r="AP329" s="110"/>
    </row>
    <row r="330" spans="1:48" ht="16.5" customHeight="1" x14ac:dyDescent="0.2">
      <c r="A330" s="108">
        <f t="shared" si="21"/>
        <v>15</v>
      </c>
      <c r="B330" s="100" t="s">
        <v>204</v>
      </c>
      <c r="C330" s="100" t="s">
        <v>649</v>
      </c>
      <c r="D330" s="100"/>
      <c r="E330" s="100" t="s">
        <v>809</v>
      </c>
      <c r="F330" s="100"/>
      <c r="G330" s="100" t="s">
        <v>1154</v>
      </c>
      <c r="H330" s="100"/>
      <c r="I330" s="100" t="s">
        <v>1280</v>
      </c>
      <c r="J330" s="100"/>
      <c r="K330" s="100" t="b">
        <v>1</v>
      </c>
      <c r="L330" s="100"/>
      <c r="M330" s="100"/>
      <c r="N330" s="100" t="s">
        <v>59</v>
      </c>
      <c r="O330" s="100" t="str">
        <f>"$J$"&amp;A330</f>
        <v>$J$15</v>
      </c>
      <c r="P330" s="100" t="str">
        <f>"$K$"&amp;A330</f>
        <v>$K$15</v>
      </c>
      <c r="Q330" s="100">
        <v>2</v>
      </c>
      <c r="R330" s="100"/>
      <c r="S330" s="100"/>
      <c r="T330" s="100">
        <v>22</v>
      </c>
      <c r="U330" s="100" t="b">
        <v>1</v>
      </c>
      <c r="V330" s="100" t="s">
        <v>1342</v>
      </c>
      <c r="W330" s="100" t="s">
        <v>1342</v>
      </c>
      <c r="X330" s="100"/>
      <c r="Y330" s="100"/>
      <c r="Z330" s="100"/>
      <c r="AA330" s="100"/>
      <c r="AB330" s="100"/>
      <c r="AC330" s="100"/>
      <c r="AD330" s="100" t="s">
        <v>105</v>
      </c>
      <c r="AE330" s="100">
        <v>10</v>
      </c>
      <c r="AF330" s="100"/>
      <c r="AG330" s="100" t="s">
        <v>1360</v>
      </c>
      <c r="AH330" s="100" t="s">
        <v>29</v>
      </c>
      <c r="AI330" s="100" t="s">
        <v>28</v>
      </c>
      <c r="AJ330" s="100"/>
      <c r="AK330" s="100"/>
      <c r="AL330" s="100">
        <v>0</v>
      </c>
      <c r="AM330" s="100"/>
      <c r="AN330" s="100"/>
      <c r="AO330" s="100"/>
      <c r="AP330" s="100"/>
    </row>
    <row r="331" spans="1:48" ht="16.5" customHeight="1" x14ac:dyDescent="0.2">
      <c r="A331" s="109">
        <f t="shared" si="21"/>
        <v>15</v>
      </c>
      <c r="B331" s="109" t="s">
        <v>849</v>
      </c>
      <c r="C331" s="109" t="s">
        <v>96</v>
      </c>
      <c r="D331" s="109"/>
      <c r="E331" s="109" t="s">
        <v>809</v>
      </c>
      <c r="F331" s="109"/>
      <c r="G331" s="109" t="s">
        <v>1154</v>
      </c>
      <c r="H331" s="109">
        <v>1</v>
      </c>
      <c r="I331" s="109"/>
      <c r="J331" s="109" t="b">
        <f t="shared" ref="J331:J339" si="22">$E$4</f>
        <v>1</v>
      </c>
      <c r="K331" s="109" t="b">
        <v>1</v>
      </c>
      <c r="L331" s="109"/>
      <c r="M331" s="109"/>
      <c r="N331" s="109"/>
      <c r="O331" s="109" t="str">
        <f>"$D$"&amp;A331</f>
        <v>$D$15</v>
      </c>
      <c r="P331" s="109" t="str">
        <f>"$I$"&amp;A331</f>
        <v>$I$15</v>
      </c>
      <c r="Q331" s="109"/>
      <c r="R331" s="109"/>
      <c r="S331" s="109"/>
      <c r="T331" s="109">
        <v>25</v>
      </c>
      <c r="U331" s="109" t="b">
        <v>1</v>
      </c>
      <c r="V331" s="109" t="s">
        <v>1342</v>
      </c>
      <c r="W331" s="109" t="s">
        <v>1342</v>
      </c>
      <c r="X331" s="109"/>
      <c r="Y331" s="109"/>
      <c r="Z331" s="109"/>
      <c r="AA331" s="109"/>
      <c r="AB331" s="109"/>
      <c r="AC331" s="109">
        <v>5</v>
      </c>
      <c r="AD331" s="109" t="s">
        <v>105</v>
      </c>
      <c r="AE331" s="109">
        <v>14</v>
      </c>
      <c r="AF331" s="109"/>
      <c r="AG331" s="109" t="s">
        <v>1360</v>
      </c>
      <c r="AH331" s="109" t="s">
        <v>29</v>
      </c>
      <c r="AI331" s="109" t="s">
        <v>28</v>
      </c>
      <c r="AJ331" s="109"/>
      <c r="AK331" s="109" t="s">
        <v>1342</v>
      </c>
      <c r="AL331" s="109">
        <v>5</v>
      </c>
      <c r="AM331" s="109"/>
      <c r="AN331" s="109"/>
      <c r="AO331" s="109"/>
      <c r="AP331" s="109" t="b">
        <v>1</v>
      </c>
      <c r="AQ331" s="296" t="s">
        <v>112</v>
      </c>
      <c r="AR331" s="296"/>
      <c r="AS331" s="296"/>
      <c r="AT331" s="296"/>
      <c r="AU331" s="296"/>
      <c r="AV331" s="296"/>
    </row>
    <row r="332" spans="1:48" ht="16.5" customHeight="1" x14ac:dyDescent="0.2">
      <c r="A332" s="110">
        <f t="shared" si="21"/>
        <v>15</v>
      </c>
      <c r="B332" s="110" t="str">
        <f>D332&amp;"Red"</f>
        <v>FP_StamdataT2_1Red</v>
      </c>
      <c r="C332" s="110" t="s">
        <v>656</v>
      </c>
      <c r="D332" s="110" t="s">
        <v>849</v>
      </c>
      <c r="E332" s="110" t="s">
        <v>809</v>
      </c>
      <c r="F332" s="110"/>
      <c r="G332" s="110" t="s">
        <v>1154</v>
      </c>
      <c r="H332" s="110">
        <v>1</v>
      </c>
      <c r="I332" s="110" t="s">
        <v>1247</v>
      </c>
      <c r="J332" s="110" t="b">
        <f t="shared" si="22"/>
        <v>1</v>
      </c>
      <c r="K332" s="110" t="b">
        <v>1</v>
      </c>
      <c r="L332" s="110"/>
      <c r="M332" s="110" t="str">
        <f>"'editNorm """&amp;D332&amp;""","""&amp;B332&amp;""","""&amp;E332&amp;"""'"</f>
        <v>'editNorm "FP_StamdataT2_1","FP_StamdataT2_1Red","FP_StamdataT2Rep"'</v>
      </c>
      <c r="N332" s="110" t="s">
        <v>59</v>
      </c>
      <c r="O332" s="110" t="str">
        <f>"$L$"&amp;A332</f>
        <v>$L$15</v>
      </c>
      <c r="P332" s="110" t="str">
        <f>"$M$"&amp;A332</f>
        <v>$M$15</v>
      </c>
      <c r="Q332" s="110">
        <v>5</v>
      </c>
      <c r="R332" s="110">
        <v>1</v>
      </c>
      <c r="S332" s="110"/>
      <c r="T332" s="110">
        <v>22</v>
      </c>
      <c r="U332" s="110" t="b">
        <v>1</v>
      </c>
      <c r="V332" s="110" t="s">
        <v>1344</v>
      </c>
      <c r="W332" s="110" t="s">
        <v>1343</v>
      </c>
      <c r="X332" s="110"/>
      <c r="Y332" s="110"/>
      <c r="Z332" s="110"/>
      <c r="AA332" s="110"/>
      <c r="AB332" s="110">
        <v>3</v>
      </c>
      <c r="AC332" s="110">
        <v>5</v>
      </c>
      <c r="AD332" s="110" t="s">
        <v>105</v>
      </c>
      <c r="AE332" s="110">
        <v>12</v>
      </c>
      <c r="AF332" s="110"/>
      <c r="AG332" s="110" t="s">
        <v>1351</v>
      </c>
      <c r="AH332" s="110" t="s">
        <v>29</v>
      </c>
      <c r="AI332" s="110" t="s">
        <v>29</v>
      </c>
      <c r="AJ332" s="110"/>
      <c r="AK332" s="110"/>
      <c r="AL332" s="110"/>
      <c r="AM332" s="110"/>
      <c r="AN332" s="110">
        <v>2</v>
      </c>
      <c r="AO332" s="110"/>
      <c r="AP332" s="110"/>
    </row>
    <row r="333" spans="1:48" ht="16.5" customHeight="1" x14ac:dyDescent="0.2">
      <c r="A333" s="110">
        <f t="shared" si="21"/>
        <v>15</v>
      </c>
      <c r="B333" s="110" t="str">
        <f>D333&amp;"Gem"</f>
        <v>FP_StamdataT2_1Gem</v>
      </c>
      <c r="C333" s="110" t="s">
        <v>656</v>
      </c>
      <c r="D333" s="110" t="s">
        <v>849</v>
      </c>
      <c r="E333" s="110" t="s">
        <v>809</v>
      </c>
      <c r="F333" s="110"/>
      <c r="G333" s="110" t="s">
        <v>1154</v>
      </c>
      <c r="H333" s="110">
        <v>1</v>
      </c>
      <c r="I333" s="110" t="s">
        <v>238</v>
      </c>
      <c r="J333" s="110" t="b">
        <f t="shared" si="22"/>
        <v>1</v>
      </c>
      <c r="K333" s="110"/>
      <c r="L333" s="110"/>
      <c r="M333" s="110" t="str">
        <f>"'editNorm """&amp;D333&amp;""","""&amp;B333&amp;""","""&amp;E333&amp;"""'"</f>
        <v>'editNorm "FP_StamdataT2_1","FP_StamdataT2_1Gem","FP_StamdataT2Rep"'</v>
      </c>
      <c r="N333" s="110" t="s">
        <v>59</v>
      </c>
      <c r="O333" s="110" t="str">
        <f>"$L$"&amp;A333</f>
        <v>$L$15</v>
      </c>
      <c r="P333" s="110" t="str">
        <f>"$L$"&amp;A333</f>
        <v>$L$15</v>
      </c>
      <c r="Q333" s="110">
        <v>5</v>
      </c>
      <c r="R333" s="110">
        <v>1</v>
      </c>
      <c r="S333" s="110"/>
      <c r="T333" s="110">
        <v>22</v>
      </c>
      <c r="U333" s="110" t="b">
        <v>1</v>
      </c>
      <c r="V333" s="110" t="s">
        <v>1345</v>
      </c>
      <c r="W333" s="110" t="s">
        <v>1343</v>
      </c>
      <c r="X333" s="110"/>
      <c r="Y333" s="110"/>
      <c r="Z333" s="110"/>
      <c r="AA333" s="110"/>
      <c r="AB333" s="110">
        <v>3</v>
      </c>
      <c r="AC333" s="110">
        <v>5</v>
      </c>
      <c r="AD333" s="110" t="s">
        <v>105</v>
      </c>
      <c r="AE333" s="110">
        <v>12</v>
      </c>
      <c r="AF333" s="110"/>
      <c r="AG333" s="110" t="s">
        <v>1351</v>
      </c>
      <c r="AH333" s="110" t="s">
        <v>29</v>
      </c>
      <c r="AI333" s="110" t="s">
        <v>29</v>
      </c>
      <c r="AJ333" s="110"/>
      <c r="AK333" s="110"/>
      <c r="AL333" s="110"/>
      <c r="AM333" s="110"/>
      <c r="AN333" s="110">
        <v>2</v>
      </c>
      <c r="AO333" s="110"/>
      <c r="AP333" s="110"/>
    </row>
    <row r="334" spans="1:48" ht="16.5" customHeight="1" x14ac:dyDescent="0.2">
      <c r="A334" s="110">
        <f t="shared" si="21"/>
        <v>15</v>
      </c>
      <c r="B334" s="110" t="str">
        <f>D334&amp;"Cancel"</f>
        <v>FP_StamdataT2_1Cancel</v>
      </c>
      <c r="C334" s="110" t="s">
        <v>656</v>
      </c>
      <c r="D334" s="110" t="s">
        <v>849</v>
      </c>
      <c r="E334" s="110" t="s">
        <v>809</v>
      </c>
      <c r="F334" s="110"/>
      <c r="G334" s="110" t="s">
        <v>1154</v>
      </c>
      <c r="H334" s="110">
        <v>1</v>
      </c>
      <c r="I334" s="110" t="s">
        <v>838</v>
      </c>
      <c r="J334" s="110" t="b">
        <f t="shared" si="22"/>
        <v>1</v>
      </c>
      <c r="K334" s="110"/>
      <c r="L334" s="110"/>
      <c r="M334" s="110" t="str">
        <f>"'editNorm """&amp;D334&amp;""","""&amp;B334&amp;""","""&amp;E334&amp;"""'"</f>
        <v>'editNorm "FP_StamdataT2_1","FP_StamdataT2_1Cancel","FP_StamdataT2Rep"'</v>
      </c>
      <c r="N334" s="110" t="s">
        <v>59</v>
      </c>
      <c r="O334" s="110" t="str">
        <f>"$M$"&amp;A334</f>
        <v>$M$15</v>
      </c>
      <c r="P334" s="110" t="str">
        <f>"$M$"&amp;A334</f>
        <v>$M$15</v>
      </c>
      <c r="Q334" s="110">
        <v>7</v>
      </c>
      <c r="R334" s="110">
        <v>1</v>
      </c>
      <c r="S334" s="110"/>
      <c r="T334" s="110">
        <v>22</v>
      </c>
      <c r="U334" s="110" t="b">
        <v>1</v>
      </c>
      <c r="V334" s="110" t="s">
        <v>1344</v>
      </c>
      <c r="W334" s="110" t="s">
        <v>1343</v>
      </c>
      <c r="X334" s="110"/>
      <c r="Y334" s="110"/>
      <c r="Z334" s="110"/>
      <c r="AA334" s="110"/>
      <c r="AB334" s="110">
        <v>3</v>
      </c>
      <c r="AC334" s="110">
        <v>5</v>
      </c>
      <c r="AD334" s="110" t="s">
        <v>105</v>
      </c>
      <c r="AE334" s="110">
        <v>12</v>
      </c>
      <c r="AF334" s="110"/>
      <c r="AG334" s="110" t="s">
        <v>1351</v>
      </c>
      <c r="AH334" s="110" t="s">
        <v>29</v>
      </c>
      <c r="AI334" s="110" t="s">
        <v>29</v>
      </c>
      <c r="AJ334" s="110"/>
      <c r="AK334" s="110"/>
      <c r="AL334" s="110"/>
      <c r="AM334" s="110"/>
      <c r="AN334" s="110">
        <v>2</v>
      </c>
      <c r="AO334" s="110"/>
      <c r="AP334" s="110"/>
    </row>
    <row r="335" spans="1:48" ht="16.5" customHeight="1" x14ac:dyDescent="0.2">
      <c r="A335" s="110">
        <f t="shared" si="21"/>
        <v>15</v>
      </c>
      <c r="B335" s="110" t="str">
        <f>D335&amp;"Delete"</f>
        <v>FP_StamdataT2_1Delete</v>
      </c>
      <c r="C335" s="110" t="s">
        <v>656</v>
      </c>
      <c r="D335" s="110" t="s">
        <v>849</v>
      </c>
      <c r="E335" s="110" t="s">
        <v>809</v>
      </c>
      <c r="F335" s="110"/>
      <c r="G335" s="110" t="s">
        <v>1154</v>
      </c>
      <c r="H335" s="110">
        <v>1</v>
      </c>
      <c r="I335" s="110" t="s">
        <v>1266</v>
      </c>
      <c r="J335" s="110" t="b">
        <f t="shared" si="22"/>
        <v>1</v>
      </c>
      <c r="K335" s="110"/>
      <c r="L335" s="110"/>
      <c r="M335" s="110" t="str">
        <f>"'editNorm """&amp;D335&amp;""","""&amp;B335&amp;""","""&amp;E335&amp;"""'"</f>
        <v>'editNorm "FP_StamdataT2_1","FP_StamdataT2_1Delete","FP_StamdataT2Rep"'</v>
      </c>
      <c r="N335" s="110" t="s">
        <v>59</v>
      </c>
      <c r="O335" s="110" t="str">
        <f>"$N$"&amp;A335</f>
        <v>$N$15</v>
      </c>
      <c r="P335" s="110" t="str">
        <f>"$N$"&amp;A335</f>
        <v>$N$15</v>
      </c>
      <c r="Q335" s="110">
        <v>7</v>
      </c>
      <c r="R335" s="110">
        <v>1</v>
      </c>
      <c r="S335" s="110"/>
      <c r="T335" s="110">
        <v>22</v>
      </c>
      <c r="U335" s="110" t="b">
        <v>1</v>
      </c>
      <c r="V335" s="110" t="s">
        <v>1346</v>
      </c>
      <c r="W335" s="110" t="s">
        <v>1343</v>
      </c>
      <c r="X335" s="110"/>
      <c r="Y335" s="110"/>
      <c r="Z335" s="110"/>
      <c r="AA335" s="110"/>
      <c r="AB335" s="110">
        <v>3</v>
      </c>
      <c r="AC335" s="110">
        <v>5</v>
      </c>
      <c r="AD335" s="110" t="s">
        <v>105</v>
      </c>
      <c r="AE335" s="110">
        <v>12</v>
      </c>
      <c r="AF335" s="110"/>
      <c r="AG335" s="110" t="s">
        <v>1351</v>
      </c>
      <c r="AH335" s="110" t="s">
        <v>29</v>
      </c>
      <c r="AI335" s="110" t="s">
        <v>29</v>
      </c>
      <c r="AJ335" s="110"/>
      <c r="AK335" s="110"/>
      <c r="AL335" s="110"/>
      <c r="AM335" s="110"/>
      <c r="AN335" s="110">
        <v>2</v>
      </c>
      <c r="AO335" s="110"/>
      <c r="AP335" s="110"/>
    </row>
    <row r="336" spans="1:48" ht="16.5" customHeight="1" x14ac:dyDescent="0.2">
      <c r="A336" s="100">
        <f t="shared" si="21"/>
        <v>15</v>
      </c>
      <c r="B336" s="100" t="s">
        <v>850</v>
      </c>
      <c r="C336" s="100" t="s">
        <v>649</v>
      </c>
      <c r="D336" s="100"/>
      <c r="E336" s="100" t="s">
        <v>809</v>
      </c>
      <c r="F336" s="100"/>
      <c r="G336" s="100" t="s">
        <v>1154</v>
      </c>
      <c r="H336" s="100">
        <v>1</v>
      </c>
      <c r="I336" s="100" t="s">
        <v>1280</v>
      </c>
      <c r="J336" s="100" t="b">
        <f t="shared" si="22"/>
        <v>1</v>
      </c>
      <c r="K336" s="100" t="b">
        <v>1</v>
      </c>
      <c r="L336" s="100"/>
      <c r="M336" s="100"/>
      <c r="N336" s="100" t="s">
        <v>59</v>
      </c>
      <c r="O336" s="100" t="str">
        <f>"$J$"&amp;A336</f>
        <v>$J$15</v>
      </c>
      <c r="P336" s="100" t="str">
        <f>"$K$"&amp;A336</f>
        <v>$K$15</v>
      </c>
      <c r="Q336" s="100">
        <v>2</v>
      </c>
      <c r="R336" s="100"/>
      <c r="S336" s="100"/>
      <c r="T336" s="100">
        <v>22</v>
      </c>
      <c r="U336" s="100" t="b">
        <v>1</v>
      </c>
      <c r="V336" s="100" t="s">
        <v>1342</v>
      </c>
      <c r="W336" s="100" t="s">
        <v>1342</v>
      </c>
      <c r="X336" s="100"/>
      <c r="Y336" s="100"/>
      <c r="Z336" s="100"/>
      <c r="AA336" s="100"/>
      <c r="AB336" s="100"/>
      <c r="AC336" s="100"/>
      <c r="AD336" s="100" t="s">
        <v>105</v>
      </c>
      <c r="AE336" s="100">
        <v>10</v>
      </c>
      <c r="AF336" s="100"/>
      <c r="AG336" s="100" t="s">
        <v>1360</v>
      </c>
      <c r="AH336" s="100" t="s">
        <v>29</v>
      </c>
      <c r="AI336" s="100" t="s">
        <v>28</v>
      </c>
      <c r="AJ336" s="100"/>
      <c r="AK336" s="100"/>
      <c r="AL336" s="100">
        <v>0</v>
      </c>
      <c r="AM336" s="100"/>
      <c r="AN336" s="100"/>
      <c r="AO336" s="100"/>
      <c r="AP336" s="100"/>
    </row>
    <row r="337" spans="1:48" ht="16.5" customHeight="1" x14ac:dyDescent="0.2">
      <c r="A337" s="107">
        <f>$O$324+(P324-O324+1)*(H324-1)-1</f>
        <v>15</v>
      </c>
      <c r="B337" s="107" t="s">
        <v>809</v>
      </c>
      <c r="C337" s="107" t="s">
        <v>663</v>
      </c>
      <c r="D337" s="107"/>
      <c r="E337" s="107"/>
      <c r="F337" s="107"/>
      <c r="G337" s="107" t="s">
        <v>1154</v>
      </c>
      <c r="H337" s="107"/>
      <c r="I337" s="107"/>
      <c r="J337" s="107" t="b">
        <f t="shared" si="22"/>
        <v>1</v>
      </c>
      <c r="K337" s="107"/>
      <c r="L337" s="107"/>
      <c r="M337" s="107"/>
      <c r="N337" s="107"/>
      <c r="O337" s="107"/>
      <c r="P337" s="107"/>
      <c r="Q337" s="107"/>
      <c r="R337" s="107"/>
      <c r="S337" s="107"/>
      <c r="T337" s="107"/>
      <c r="U337" s="107"/>
      <c r="V337" s="107"/>
      <c r="W337" s="107"/>
      <c r="X337" s="107"/>
      <c r="Y337" s="107"/>
      <c r="Z337" s="107"/>
      <c r="AA337" s="107"/>
      <c r="AB337" s="107"/>
      <c r="AC337" s="107"/>
      <c r="AD337" s="107"/>
      <c r="AE337" s="107"/>
      <c r="AF337" s="107"/>
      <c r="AG337" s="107"/>
      <c r="AH337" s="107"/>
      <c r="AI337" s="107"/>
      <c r="AJ337" s="107"/>
      <c r="AK337" s="107"/>
      <c r="AL337" s="107"/>
      <c r="AM337" s="107"/>
      <c r="AN337" s="107"/>
      <c r="AO337" s="107"/>
      <c r="AP337" s="107"/>
    </row>
    <row r="338" spans="1:48" ht="16.5" customHeight="1" x14ac:dyDescent="0.2">
      <c r="A338" s="106">
        <f>$A$337+1</f>
        <v>16</v>
      </c>
      <c r="B338" s="106" t="s">
        <v>205</v>
      </c>
      <c r="C338" s="106" t="s">
        <v>655</v>
      </c>
      <c r="D338" s="106"/>
      <c r="E338" s="106"/>
      <c r="F338" s="106"/>
      <c r="G338" s="106" t="s">
        <v>1154</v>
      </c>
      <c r="H338" s="106"/>
      <c r="I338" s="106"/>
      <c r="J338" s="106" t="b">
        <f t="shared" si="22"/>
        <v>1</v>
      </c>
      <c r="K338" s="106" t="b">
        <v>1</v>
      </c>
      <c r="L338" s="106"/>
      <c r="M338" s="106"/>
      <c r="N338" s="106" t="s">
        <v>59</v>
      </c>
      <c r="O338" s="106" t="str">
        <f>"$D$"&amp;A338</f>
        <v>$D$16</v>
      </c>
      <c r="P338" s="106" t="str">
        <f>"$M$"&amp;A338+1</f>
        <v>$M$17</v>
      </c>
      <c r="Q338" s="106"/>
      <c r="R338" s="106">
        <v>2</v>
      </c>
      <c r="S338" s="106"/>
      <c r="T338" s="106">
        <v>2</v>
      </c>
      <c r="U338" s="106" t="b">
        <v>1</v>
      </c>
      <c r="V338" s="106" t="s">
        <v>1344</v>
      </c>
      <c r="W338" s="106" t="s">
        <v>1343</v>
      </c>
      <c r="X338" s="106"/>
      <c r="Y338" s="106"/>
      <c r="Z338" s="106"/>
      <c r="AA338" s="106"/>
      <c r="AB338" s="106"/>
      <c r="AC338" s="106"/>
      <c r="AD338" s="106"/>
      <c r="AE338" s="106"/>
      <c r="AF338" s="106"/>
      <c r="AG338" s="106"/>
      <c r="AH338" s="106"/>
      <c r="AI338" s="106"/>
      <c r="AJ338" s="106"/>
      <c r="AK338" s="106"/>
      <c r="AL338" s="106"/>
      <c r="AM338" s="106"/>
      <c r="AN338" s="106"/>
      <c r="AO338" s="106"/>
      <c r="AP338" s="106"/>
    </row>
    <row r="339" spans="1:48" ht="16.5" customHeight="1" x14ac:dyDescent="0.2">
      <c r="A339" s="107">
        <f>$A$338+2</f>
        <v>18</v>
      </c>
      <c r="B339" s="107" t="s">
        <v>810</v>
      </c>
      <c r="C339" s="107" t="s">
        <v>663</v>
      </c>
      <c r="D339" s="107"/>
      <c r="E339" s="107"/>
      <c r="F339" s="107"/>
      <c r="G339" s="107" t="s">
        <v>1154</v>
      </c>
      <c r="H339" s="107">
        <v>2</v>
      </c>
      <c r="I339" s="107">
        <v>5</v>
      </c>
      <c r="J339" s="107" t="b">
        <f t="shared" si="22"/>
        <v>1</v>
      </c>
      <c r="K339" s="107"/>
      <c r="L339" s="107"/>
      <c r="M339" s="107"/>
      <c r="N339" s="107"/>
      <c r="O339" s="107">
        <f>A339</f>
        <v>18</v>
      </c>
      <c r="P339" s="107">
        <f>O339</f>
        <v>18</v>
      </c>
      <c r="Q339" s="107"/>
      <c r="R339" s="107"/>
      <c r="S339" s="107"/>
      <c r="T339" s="107"/>
      <c r="U339" s="107"/>
      <c r="V339" s="107"/>
      <c r="W339" s="107"/>
      <c r="X339" s="107"/>
      <c r="Y339" s="107"/>
      <c r="Z339" s="107"/>
      <c r="AA339" s="107"/>
      <c r="AB339" s="107"/>
      <c r="AC339" s="107"/>
      <c r="AD339" s="107"/>
      <c r="AE339" s="107"/>
      <c r="AF339" s="107"/>
      <c r="AG339" s="107"/>
      <c r="AH339" s="107"/>
      <c r="AI339" s="107"/>
      <c r="AJ339" s="107"/>
      <c r="AK339" s="107"/>
      <c r="AL339" s="107"/>
      <c r="AM339" s="107"/>
      <c r="AN339" s="107"/>
      <c r="AO339" s="107"/>
      <c r="AP339" s="107"/>
      <c r="AQ339" s="93" t="str">
        <f>AQ345</f>
        <v>[Projektleder / programleder]</v>
      </c>
    </row>
    <row r="340" spans="1:48" ht="16.5" customHeight="1" x14ac:dyDescent="0.2">
      <c r="A340" s="108">
        <f t="shared" ref="A340:A349" si="23">$A$339+0</f>
        <v>18</v>
      </c>
      <c r="B340" s="109" t="s">
        <v>206</v>
      </c>
      <c r="C340" s="109" t="s">
        <v>96</v>
      </c>
      <c r="D340" s="109"/>
      <c r="E340" s="109" t="s">
        <v>810</v>
      </c>
      <c r="F340" s="109"/>
      <c r="G340" s="109" t="s">
        <v>1154</v>
      </c>
      <c r="H340" s="109"/>
      <c r="I340" s="109"/>
      <c r="J340" s="109"/>
      <c r="K340" s="109" t="b">
        <v>1</v>
      </c>
      <c r="L340" s="109"/>
      <c r="M340" s="109"/>
      <c r="N340" s="109"/>
      <c r="O340" s="109" t="str">
        <f>"$D$"&amp;A340</f>
        <v>$D$18</v>
      </c>
      <c r="P340" s="109" t="str">
        <f>"$I$"&amp;A340</f>
        <v>$I$18</v>
      </c>
      <c r="Q340" s="109"/>
      <c r="R340" s="109"/>
      <c r="S340" s="109"/>
      <c r="T340" s="109">
        <v>25</v>
      </c>
      <c r="U340" s="109" t="b">
        <v>1</v>
      </c>
      <c r="V340" s="109" t="s">
        <v>1342</v>
      </c>
      <c r="W340" s="109" t="s">
        <v>1342</v>
      </c>
      <c r="X340" s="109"/>
      <c r="Y340" s="109"/>
      <c r="Z340" s="109"/>
      <c r="AA340" s="109"/>
      <c r="AB340" s="109"/>
      <c r="AC340" s="109">
        <v>5</v>
      </c>
      <c r="AD340" s="109" t="s">
        <v>105</v>
      </c>
      <c r="AE340" s="109">
        <v>14</v>
      </c>
      <c r="AF340" s="109"/>
      <c r="AG340" s="109" t="s">
        <v>1360</v>
      </c>
      <c r="AH340" s="109" t="s">
        <v>29</v>
      </c>
      <c r="AI340" s="109" t="s">
        <v>28</v>
      </c>
      <c r="AJ340" s="109"/>
      <c r="AK340" s="109" t="s">
        <v>1342</v>
      </c>
      <c r="AL340" s="109">
        <v>5</v>
      </c>
      <c r="AM340" s="109"/>
      <c r="AN340" s="109"/>
      <c r="AO340" s="109"/>
      <c r="AP340" s="109" t="b">
        <v>1</v>
      </c>
      <c r="AQ340" s="296" t="s">
        <v>179</v>
      </c>
      <c r="AR340" s="296"/>
      <c r="AS340" s="296"/>
      <c r="AT340" s="296"/>
      <c r="AU340" s="296"/>
      <c r="AV340" s="296"/>
    </row>
    <row r="341" spans="1:48" ht="16.5" customHeight="1" x14ac:dyDescent="0.2">
      <c r="A341" s="108">
        <f t="shared" si="23"/>
        <v>18</v>
      </c>
      <c r="B341" s="110" t="str">
        <f>D341&amp;"Red"</f>
        <v>FP_StamdataT3Red</v>
      </c>
      <c r="C341" s="110" t="s">
        <v>656</v>
      </c>
      <c r="D341" s="110" t="s">
        <v>206</v>
      </c>
      <c r="E341" s="110" t="s">
        <v>810</v>
      </c>
      <c r="F341" s="110"/>
      <c r="G341" s="110" t="s">
        <v>1154</v>
      </c>
      <c r="H341" s="110"/>
      <c r="I341" s="110" t="s">
        <v>1247</v>
      </c>
      <c r="J341" s="110"/>
      <c r="K341" s="110" t="b">
        <v>1</v>
      </c>
      <c r="L341" s="110"/>
      <c r="M341" s="110" t="str">
        <f>"'editNorm """&amp;D341&amp;""","""&amp;B341&amp;""","""&amp;E341&amp;"""'"</f>
        <v>'editNorm "FP_StamdataT3","FP_StamdataT3Red","FP_StamdataT3Rep"'</v>
      </c>
      <c r="N341" s="110" t="s">
        <v>59</v>
      </c>
      <c r="O341" s="110" t="str">
        <f>"$L$"&amp;A341</f>
        <v>$L$18</v>
      </c>
      <c r="P341" s="110" t="str">
        <f>"$M$"&amp;A341</f>
        <v>$M$18</v>
      </c>
      <c r="Q341" s="110">
        <v>5</v>
      </c>
      <c r="R341" s="110">
        <v>1</v>
      </c>
      <c r="S341" s="110"/>
      <c r="T341" s="110">
        <v>22</v>
      </c>
      <c r="U341" s="110" t="b">
        <v>1</v>
      </c>
      <c r="V341" s="110" t="s">
        <v>1344</v>
      </c>
      <c r="W341" s="110" t="s">
        <v>1343</v>
      </c>
      <c r="X341" s="110"/>
      <c r="Y341" s="110"/>
      <c r="Z341" s="110"/>
      <c r="AA341" s="110"/>
      <c r="AB341" s="110">
        <v>3</v>
      </c>
      <c r="AC341" s="110">
        <v>5</v>
      </c>
      <c r="AD341" s="110" t="s">
        <v>105</v>
      </c>
      <c r="AE341" s="110">
        <v>12</v>
      </c>
      <c r="AF341" s="110"/>
      <c r="AG341" s="110" t="s">
        <v>1351</v>
      </c>
      <c r="AH341" s="110" t="s">
        <v>29</v>
      </c>
      <c r="AI341" s="110" t="s">
        <v>29</v>
      </c>
      <c r="AJ341" s="110"/>
      <c r="AK341" s="110"/>
      <c r="AL341" s="110"/>
      <c r="AM341" s="110"/>
      <c r="AN341" s="110">
        <v>2</v>
      </c>
      <c r="AO341" s="110"/>
      <c r="AP341" s="110"/>
    </row>
    <row r="342" spans="1:48" ht="16.5" customHeight="1" x14ac:dyDescent="0.2">
      <c r="A342" s="108">
        <f t="shared" si="23"/>
        <v>18</v>
      </c>
      <c r="B342" s="110" t="str">
        <f>D342&amp;"Gem"</f>
        <v>FP_StamdataT3Gem</v>
      </c>
      <c r="C342" s="110" t="s">
        <v>656</v>
      </c>
      <c r="D342" s="110" t="s">
        <v>206</v>
      </c>
      <c r="E342" s="110" t="s">
        <v>810</v>
      </c>
      <c r="F342" s="110"/>
      <c r="G342" s="110" t="s">
        <v>1154</v>
      </c>
      <c r="H342" s="110"/>
      <c r="I342" s="110" t="s">
        <v>238</v>
      </c>
      <c r="J342" s="110"/>
      <c r="K342" s="110"/>
      <c r="L342" s="110"/>
      <c r="M342" s="110" t="str">
        <f>"'editNorm """&amp;D342&amp;""","""&amp;B342&amp;""","""&amp;E342&amp;"""'"</f>
        <v>'editNorm "FP_StamdataT3","FP_StamdataT3Gem","FP_StamdataT3Rep"'</v>
      </c>
      <c r="N342" s="110" t="s">
        <v>59</v>
      </c>
      <c r="O342" s="110" t="str">
        <f>"$L$"&amp;A342</f>
        <v>$L$18</v>
      </c>
      <c r="P342" s="110" t="str">
        <f>"$L$"&amp;A342</f>
        <v>$L$18</v>
      </c>
      <c r="Q342" s="110">
        <v>5</v>
      </c>
      <c r="R342" s="110">
        <v>1</v>
      </c>
      <c r="S342" s="110"/>
      <c r="T342" s="110">
        <v>22</v>
      </c>
      <c r="U342" s="110" t="b">
        <v>1</v>
      </c>
      <c r="V342" s="110" t="s">
        <v>1345</v>
      </c>
      <c r="W342" s="110" t="s">
        <v>1343</v>
      </c>
      <c r="X342" s="110"/>
      <c r="Y342" s="110"/>
      <c r="Z342" s="110"/>
      <c r="AA342" s="110"/>
      <c r="AB342" s="110">
        <v>3</v>
      </c>
      <c r="AC342" s="110">
        <v>5</v>
      </c>
      <c r="AD342" s="110" t="s">
        <v>105</v>
      </c>
      <c r="AE342" s="110">
        <v>12</v>
      </c>
      <c r="AF342" s="110"/>
      <c r="AG342" s="110" t="s">
        <v>1351</v>
      </c>
      <c r="AH342" s="110" t="s">
        <v>29</v>
      </c>
      <c r="AI342" s="110" t="s">
        <v>29</v>
      </c>
      <c r="AJ342" s="110"/>
      <c r="AK342" s="110"/>
      <c r="AL342" s="110"/>
      <c r="AM342" s="110"/>
      <c r="AN342" s="110">
        <v>2</v>
      </c>
      <c r="AO342" s="110"/>
      <c r="AP342" s="110"/>
    </row>
    <row r="343" spans="1:48" ht="16.5" customHeight="1" x14ac:dyDescent="0.2">
      <c r="A343" s="108">
        <f t="shared" si="23"/>
        <v>18</v>
      </c>
      <c r="B343" s="110" t="str">
        <f>D343&amp;"Cancel"</f>
        <v>FP_StamdataT3Cancel</v>
      </c>
      <c r="C343" s="110" t="s">
        <v>656</v>
      </c>
      <c r="D343" s="110" t="s">
        <v>206</v>
      </c>
      <c r="E343" s="110" t="s">
        <v>810</v>
      </c>
      <c r="F343" s="110"/>
      <c r="G343" s="110" t="s">
        <v>1154</v>
      </c>
      <c r="H343" s="110"/>
      <c r="I343" s="110" t="s">
        <v>838</v>
      </c>
      <c r="J343" s="110"/>
      <c r="K343" s="110"/>
      <c r="L343" s="110"/>
      <c r="M343" s="110" t="str">
        <f>"'editNorm """&amp;D343&amp;""","""&amp;B343&amp;""","""&amp;E343&amp;"""'"</f>
        <v>'editNorm "FP_StamdataT3","FP_StamdataT3Cancel","FP_StamdataT3Rep"'</v>
      </c>
      <c r="N343" s="110" t="s">
        <v>59</v>
      </c>
      <c r="O343" s="110" t="str">
        <f>"$M$"&amp;A343</f>
        <v>$M$18</v>
      </c>
      <c r="P343" s="110" t="str">
        <f>"$M$"&amp;A343</f>
        <v>$M$18</v>
      </c>
      <c r="Q343" s="110">
        <v>7</v>
      </c>
      <c r="R343" s="110">
        <v>1</v>
      </c>
      <c r="S343" s="110"/>
      <c r="T343" s="110">
        <v>22</v>
      </c>
      <c r="U343" s="110" t="b">
        <v>1</v>
      </c>
      <c r="V343" s="110" t="s">
        <v>1344</v>
      </c>
      <c r="W343" s="110" t="s">
        <v>1343</v>
      </c>
      <c r="X343" s="110"/>
      <c r="Y343" s="110"/>
      <c r="Z343" s="110"/>
      <c r="AA343" s="110"/>
      <c r="AB343" s="110">
        <v>3</v>
      </c>
      <c r="AC343" s="110">
        <v>5</v>
      </c>
      <c r="AD343" s="110" t="s">
        <v>105</v>
      </c>
      <c r="AE343" s="110">
        <v>12</v>
      </c>
      <c r="AF343" s="110"/>
      <c r="AG343" s="110" t="s">
        <v>1351</v>
      </c>
      <c r="AH343" s="110" t="s">
        <v>29</v>
      </c>
      <c r="AI343" s="110" t="s">
        <v>29</v>
      </c>
      <c r="AJ343" s="110"/>
      <c r="AK343" s="110"/>
      <c r="AL343" s="110"/>
      <c r="AM343" s="110"/>
      <c r="AN343" s="110">
        <v>2</v>
      </c>
      <c r="AO343" s="110"/>
      <c r="AP343" s="110"/>
    </row>
    <row r="344" spans="1:48" ht="16.5" customHeight="1" x14ac:dyDescent="0.2">
      <c r="A344" s="108">
        <f t="shared" si="23"/>
        <v>18</v>
      </c>
      <c r="B344" s="110" t="str">
        <f>D344&amp;"Delete"</f>
        <v>FP_StamdataT3Delete</v>
      </c>
      <c r="C344" s="110" t="s">
        <v>656</v>
      </c>
      <c r="D344" s="110" t="s">
        <v>206</v>
      </c>
      <c r="E344" s="110" t="s">
        <v>810</v>
      </c>
      <c r="F344" s="110"/>
      <c r="G344" s="110" t="s">
        <v>1154</v>
      </c>
      <c r="H344" s="110"/>
      <c r="I344" s="110" t="s">
        <v>1266</v>
      </c>
      <c r="J344" s="110"/>
      <c r="K344" s="110"/>
      <c r="L344" s="110"/>
      <c r="M344" s="110" t="str">
        <f>"'editNorm """&amp;D344&amp;""","""&amp;B344&amp;""","""&amp;E344&amp;"""'"</f>
        <v>'editNorm "FP_StamdataT3","FP_StamdataT3Delete","FP_StamdataT3Rep"'</v>
      </c>
      <c r="N344" s="110" t="s">
        <v>59</v>
      </c>
      <c r="O344" s="110" t="str">
        <f>"$N$"&amp;A344</f>
        <v>$N$18</v>
      </c>
      <c r="P344" s="110" t="str">
        <f>"$N$"&amp;A344</f>
        <v>$N$18</v>
      </c>
      <c r="Q344" s="110">
        <v>7</v>
      </c>
      <c r="R344" s="110">
        <v>1</v>
      </c>
      <c r="S344" s="110"/>
      <c r="T344" s="110">
        <v>22</v>
      </c>
      <c r="U344" s="110" t="b">
        <v>1</v>
      </c>
      <c r="V344" s="110" t="s">
        <v>1346</v>
      </c>
      <c r="W344" s="110" t="s">
        <v>1343</v>
      </c>
      <c r="X344" s="110"/>
      <c r="Y344" s="110"/>
      <c r="Z344" s="110"/>
      <c r="AA344" s="110"/>
      <c r="AB344" s="110">
        <v>3</v>
      </c>
      <c r="AC344" s="110">
        <v>5</v>
      </c>
      <c r="AD344" s="110" t="s">
        <v>105</v>
      </c>
      <c r="AE344" s="110">
        <v>12</v>
      </c>
      <c r="AF344" s="110"/>
      <c r="AG344" s="110" t="s">
        <v>1351</v>
      </c>
      <c r="AH344" s="110" t="s">
        <v>29</v>
      </c>
      <c r="AI344" s="110" t="s">
        <v>29</v>
      </c>
      <c r="AJ344" s="110"/>
      <c r="AK344" s="110"/>
      <c r="AL344" s="110"/>
      <c r="AM344" s="110"/>
      <c r="AN344" s="110">
        <v>2</v>
      </c>
      <c r="AO344" s="110"/>
      <c r="AP344" s="110"/>
    </row>
    <row r="345" spans="1:48" ht="16.5" customHeight="1" x14ac:dyDescent="0.2">
      <c r="A345" s="109">
        <f t="shared" si="23"/>
        <v>18</v>
      </c>
      <c r="B345" s="109" t="s">
        <v>851</v>
      </c>
      <c r="C345" s="109" t="s">
        <v>96</v>
      </c>
      <c r="D345" s="109"/>
      <c r="E345" s="109" t="s">
        <v>810</v>
      </c>
      <c r="F345" s="109"/>
      <c r="G345" s="109" t="s">
        <v>1154</v>
      </c>
      <c r="H345" s="109">
        <v>1</v>
      </c>
      <c r="I345" s="109"/>
      <c r="J345" s="109" t="b">
        <f t="shared" ref="J345:J392" si="24">$E$4</f>
        <v>1</v>
      </c>
      <c r="K345" s="109" t="b">
        <v>1</v>
      </c>
      <c r="L345" s="109"/>
      <c r="M345" s="109"/>
      <c r="N345" s="109"/>
      <c r="O345" s="109" t="str">
        <f>"$D$"&amp;A345</f>
        <v>$D$18</v>
      </c>
      <c r="P345" s="109" t="str">
        <f>"$I$"&amp;A345</f>
        <v>$I$18</v>
      </c>
      <c r="Q345" s="109"/>
      <c r="R345" s="109"/>
      <c r="S345" s="109"/>
      <c r="T345" s="109">
        <v>25</v>
      </c>
      <c r="U345" s="109" t="b">
        <v>1</v>
      </c>
      <c r="V345" s="109" t="s">
        <v>1342</v>
      </c>
      <c r="W345" s="109" t="s">
        <v>1342</v>
      </c>
      <c r="X345" s="109"/>
      <c r="Y345" s="109"/>
      <c r="Z345" s="109"/>
      <c r="AA345" s="109"/>
      <c r="AB345" s="109"/>
      <c r="AC345" s="109">
        <v>5</v>
      </c>
      <c r="AD345" s="109" t="s">
        <v>105</v>
      </c>
      <c r="AE345" s="109">
        <v>14</v>
      </c>
      <c r="AF345" s="109"/>
      <c r="AG345" s="109" t="s">
        <v>1360</v>
      </c>
      <c r="AH345" s="109" t="s">
        <v>29</v>
      </c>
      <c r="AI345" s="109" t="s">
        <v>28</v>
      </c>
      <c r="AJ345" s="109"/>
      <c r="AK345" s="109" t="s">
        <v>1342</v>
      </c>
      <c r="AL345" s="109">
        <v>5</v>
      </c>
      <c r="AM345" s="109"/>
      <c r="AN345" s="109"/>
      <c r="AO345" s="109"/>
      <c r="AP345" s="109" t="b">
        <v>1</v>
      </c>
      <c r="AQ345" s="296" t="s">
        <v>179</v>
      </c>
      <c r="AR345" s="296"/>
      <c r="AS345" s="296"/>
      <c r="AT345" s="296"/>
      <c r="AU345" s="296"/>
      <c r="AV345" s="296"/>
    </row>
    <row r="346" spans="1:48" ht="16.5" customHeight="1" x14ac:dyDescent="0.2">
      <c r="A346" s="110">
        <f t="shared" si="23"/>
        <v>18</v>
      </c>
      <c r="B346" s="110" t="str">
        <f>D346&amp;"Red"</f>
        <v>FP_StamdataT3_1Red</v>
      </c>
      <c r="C346" s="110" t="s">
        <v>656</v>
      </c>
      <c r="D346" s="110" t="s">
        <v>851</v>
      </c>
      <c r="E346" s="110" t="s">
        <v>810</v>
      </c>
      <c r="F346" s="110"/>
      <c r="G346" s="110" t="s">
        <v>1154</v>
      </c>
      <c r="H346" s="110">
        <v>1</v>
      </c>
      <c r="I346" s="110" t="s">
        <v>1247</v>
      </c>
      <c r="J346" s="110" t="b">
        <f t="shared" si="24"/>
        <v>1</v>
      </c>
      <c r="K346" s="110" t="b">
        <v>1</v>
      </c>
      <c r="L346" s="110"/>
      <c r="M346" s="110" t="str">
        <f>"'editNorm """&amp;D346&amp;""","""&amp;B346&amp;""","""&amp;E346&amp;"""'"</f>
        <v>'editNorm "FP_StamdataT3_1","FP_StamdataT3_1Red","FP_StamdataT3Rep"'</v>
      </c>
      <c r="N346" s="110" t="s">
        <v>59</v>
      </c>
      <c r="O346" s="110" t="str">
        <f>"$L$"&amp;A346</f>
        <v>$L$18</v>
      </c>
      <c r="P346" s="110" t="str">
        <f>"$M$"&amp;A346</f>
        <v>$M$18</v>
      </c>
      <c r="Q346" s="110">
        <v>5</v>
      </c>
      <c r="R346" s="110">
        <v>1</v>
      </c>
      <c r="S346" s="110"/>
      <c r="T346" s="110">
        <v>22</v>
      </c>
      <c r="U346" s="110" t="b">
        <v>1</v>
      </c>
      <c r="V346" s="110" t="s">
        <v>1344</v>
      </c>
      <c r="W346" s="110" t="s">
        <v>1343</v>
      </c>
      <c r="X346" s="110"/>
      <c r="Y346" s="110"/>
      <c r="Z346" s="110"/>
      <c r="AA346" s="110"/>
      <c r="AB346" s="110">
        <v>3</v>
      </c>
      <c r="AC346" s="110">
        <v>5</v>
      </c>
      <c r="AD346" s="110" t="s">
        <v>105</v>
      </c>
      <c r="AE346" s="110">
        <v>12</v>
      </c>
      <c r="AF346" s="110"/>
      <c r="AG346" s="110" t="s">
        <v>1351</v>
      </c>
      <c r="AH346" s="110" t="s">
        <v>29</v>
      </c>
      <c r="AI346" s="110" t="s">
        <v>29</v>
      </c>
      <c r="AJ346" s="110"/>
      <c r="AK346" s="110"/>
      <c r="AL346" s="110"/>
      <c r="AM346" s="110"/>
      <c r="AN346" s="110">
        <v>2</v>
      </c>
      <c r="AO346" s="110"/>
      <c r="AP346" s="110"/>
    </row>
    <row r="347" spans="1:48" ht="16.5" customHeight="1" x14ac:dyDescent="0.2">
      <c r="A347" s="110">
        <f t="shared" si="23"/>
        <v>18</v>
      </c>
      <c r="B347" s="110" t="str">
        <f>D347&amp;"Gem"</f>
        <v>FP_StamdataT3_1Gem</v>
      </c>
      <c r="C347" s="110" t="s">
        <v>656</v>
      </c>
      <c r="D347" s="110" t="s">
        <v>851</v>
      </c>
      <c r="E347" s="110" t="s">
        <v>810</v>
      </c>
      <c r="F347" s="110"/>
      <c r="G347" s="110" t="s">
        <v>1154</v>
      </c>
      <c r="H347" s="110">
        <v>1</v>
      </c>
      <c r="I347" s="110" t="s">
        <v>238</v>
      </c>
      <c r="J347" s="110" t="b">
        <f t="shared" si="24"/>
        <v>1</v>
      </c>
      <c r="K347" s="110"/>
      <c r="L347" s="110"/>
      <c r="M347" s="110" t="str">
        <f>"'editNorm """&amp;D347&amp;""","""&amp;B347&amp;""","""&amp;E347&amp;"""'"</f>
        <v>'editNorm "FP_StamdataT3_1","FP_StamdataT3_1Gem","FP_StamdataT3Rep"'</v>
      </c>
      <c r="N347" s="110" t="s">
        <v>59</v>
      </c>
      <c r="O347" s="110" t="str">
        <f>"$L$"&amp;A347</f>
        <v>$L$18</v>
      </c>
      <c r="P347" s="110" t="str">
        <f>"$L$"&amp;A347</f>
        <v>$L$18</v>
      </c>
      <c r="Q347" s="110">
        <v>5</v>
      </c>
      <c r="R347" s="110">
        <v>1</v>
      </c>
      <c r="S347" s="110"/>
      <c r="T347" s="110">
        <v>22</v>
      </c>
      <c r="U347" s="110" t="b">
        <v>1</v>
      </c>
      <c r="V347" s="110" t="s">
        <v>1345</v>
      </c>
      <c r="W347" s="110" t="s">
        <v>1343</v>
      </c>
      <c r="X347" s="110"/>
      <c r="Y347" s="110"/>
      <c r="Z347" s="110"/>
      <c r="AA347" s="110"/>
      <c r="AB347" s="110">
        <v>3</v>
      </c>
      <c r="AC347" s="110">
        <v>5</v>
      </c>
      <c r="AD347" s="110" t="s">
        <v>105</v>
      </c>
      <c r="AE347" s="110">
        <v>12</v>
      </c>
      <c r="AF347" s="110"/>
      <c r="AG347" s="110" t="s">
        <v>1351</v>
      </c>
      <c r="AH347" s="110" t="s">
        <v>29</v>
      </c>
      <c r="AI347" s="110" t="s">
        <v>29</v>
      </c>
      <c r="AJ347" s="110"/>
      <c r="AK347" s="110"/>
      <c r="AL347" s="110"/>
      <c r="AM347" s="110"/>
      <c r="AN347" s="110">
        <v>2</v>
      </c>
      <c r="AO347" s="110"/>
      <c r="AP347" s="110"/>
    </row>
    <row r="348" spans="1:48" ht="16.5" customHeight="1" x14ac:dyDescent="0.2">
      <c r="A348" s="110">
        <f t="shared" si="23"/>
        <v>18</v>
      </c>
      <c r="B348" s="110" t="str">
        <f>D348&amp;"Cancel"</f>
        <v>FP_StamdataT3_1Cancel</v>
      </c>
      <c r="C348" s="110" t="s">
        <v>656</v>
      </c>
      <c r="D348" s="110" t="s">
        <v>851</v>
      </c>
      <c r="E348" s="110" t="s">
        <v>810</v>
      </c>
      <c r="F348" s="110"/>
      <c r="G348" s="110" t="s">
        <v>1154</v>
      </c>
      <c r="H348" s="110">
        <v>1</v>
      </c>
      <c r="I348" s="110" t="s">
        <v>838</v>
      </c>
      <c r="J348" s="110" t="b">
        <f t="shared" si="24"/>
        <v>1</v>
      </c>
      <c r="K348" s="110"/>
      <c r="L348" s="110"/>
      <c r="M348" s="110" t="str">
        <f>"'editNorm """&amp;D348&amp;""","""&amp;B348&amp;""","""&amp;E348&amp;"""'"</f>
        <v>'editNorm "FP_StamdataT3_1","FP_StamdataT3_1Cancel","FP_StamdataT3Rep"'</v>
      </c>
      <c r="N348" s="110" t="s">
        <v>59</v>
      </c>
      <c r="O348" s="110" t="str">
        <f>"$M$"&amp;A348</f>
        <v>$M$18</v>
      </c>
      <c r="P348" s="110" t="str">
        <f>"$M$"&amp;A348</f>
        <v>$M$18</v>
      </c>
      <c r="Q348" s="110">
        <v>7</v>
      </c>
      <c r="R348" s="110">
        <v>1</v>
      </c>
      <c r="S348" s="110"/>
      <c r="T348" s="110">
        <v>22</v>
      </c>
      <c r="U348" s="110" t="b">
        <v>1</v>
      </c>
      <c r="V348" s="110" t="s">
        <v>1344</v>
      </c>
      <c r="W348" s="110" t="s">
        <v>1343</v>
      </c>
      <c r="X348" s="110"/>
      <c r="Y348" s="110"/>
      <c r="Z348" s="110"/>
      <c r="AA348" s="110"/>
      <c r="AB348" s="110">
        <v>3</v>
      </c>
      <c r="AC348" s="110">
        <v>5</v>
      </c>
      <c r="AD348" s="110" t="s">
        <v>105</v>
      </c>
      <c r="AE348" s="110">
        <v>12</v>
      </c>
      <c r="AF348" s="110"/>
      <c r="AG348" s="110" t="s">
        <v>1351</v>
      </c>
      <c r="AH348" s="110" t="s">
        <v>29</v>
      </c>
      <c r="AI348" s="110" t="s">
        <v>29</v>
      </c>
      <c r="AJ348" s="110"/>
      <c r="AK348" s="110"/>
      <c r="AL348" s="110"/>
      <c r="AM348" s="110"/>
      <c r="AN348" s="110">
        <v>2</v>
      </c>
      <c r="AO348" s="110"/>
      <c r="AP348" s="110"/>
    </row>
    <row r="349" spans="1:48" ht="16.5" customHeight="1" x14ac:dyDescent="0.2">
      <c r="A349" s="110">
        <f t="shared" si="23"/>
        <v>18</v>
      </c>
      <c r="B349" s="110" t="str">
        <f>D349&amp;"Delete"</f>
        <v>FP_StamdataT3_1Delete</v>
      </c>
      <c r="C349" s="110" t="s">
        <v>656</v>
      </c>
      <c r="D349" s="110" t="s">
        <v>851</v>
      </c>
      <c r="E349" s="110" t="s">
        <v>810</v>
      </c>
      <c r="F349" s="110"/>
      <c r="G349" s="110" t="s">
        <v>1154</v>
      </c>
      <c r="H349" s="110">
        <v>1</v>
      </c>
      <c r="I349" s="110" t="s">
        <v>1266</v>
      </c>
      <c r="J349" s="110" t="b">
        <f t="shared" si="24"/>
        <v>1</v>
      </c>
      <c r="K349" s="110"/>
      <c r="L349" s="110"/>
      <c r="M349" s="110" t="str">
        <f>"'editNorm """&amp;D349&amp;""","""&amp;B349&amp;""","""&amp;E349&amp;"""'"</f>
        <v>'editNorm "FP_StamdataT3_1","FP_StamdataT3_1Delete","FP_StamdataT3Rep"'</v>
      </c>
      <c r="N349" s="110" t="s">
        <v>59</v>
      </c>
      <c r="O349" s="110" t="str">
        <f>"$N$"&amp;A349</f>
        <v>$N$18</v>
      </c>
      <c r="P349" s="110" t="str">
        <f>"$N$"&amp;A349</f>
        <v>$N$18</v>
      </c>
      <c r="Q349" s="110">
        <v>7</v>
      </c>
      <c r="R349" s="110">
        <v>1</v>
      </c>
      <c r="S349" s="110"/>
      <c r="T349" s="110">
        <v>22</v>
      </c>
      <c r="U349" s="110" t="b">
        <v>1</v>
      </c>
      <c r="V349" s="110" t="s">
        <v>1346</v>
      </c>
      <c r="W349" s="110" t="s">
        <v>1343</v>
      </c>
      <c r="X349" s="110"/>
      <c r="Y349" s="110"/>
      <c r="Z349" s="110"/>
      <c r="AA349" s="110"/>
      <c r="AB349" s="110">
        <v>3</v>
      </c>
      <c r="AC349" s="110">
        <v>5</v>
      </c>
      <c r="AD349" s="110" t="s">
        <v>105</v>
      </c>
      <c r="AE349" s="110">
        <v>12</v>
      </c>
      <c r="AF349" s="110"/>
      <c r="AG349" s="110" t="s">
        <v>1351</v>
      </c>
      <c r="AH349" s="110" t="s">
        <v>29</v>
      </c>
      <c r="AI349" s="110" t="s">
        <v>29</v>
      </c>
      <c r="AJ349" s="110"/>
      <c r="AK349" s="110"/>
      <c r="AL349" s="110"/>
      <c r="AM349" s="110"/>
      <c r="AN349" s="110">
        <v>2</v>
      </c>
      <c r="AO349" s="110"/>
      <c r="AP349" s="110"/>
    </row>
    <row r="350" spans="1:48" ht="16.5" customHeight="1" x14ac:dyDescent="0.2">
      <c r="A350" s="107">
        <f>$O$339+(P339-O339+1)*(H339-1)-1</f>
        <v>18</v>
      </c>
      <c r="B350" s="107" t="s">
        <v>810</v>
      </c>
      <c r="C350" s="107" t="s">
        <v>663</v>
      </c>
      <c r="D350" s="107"/>
      <c r="E350" s="107"/>
      <c r="F350" s="107"/>
      <c r="G350" s="107" t="s">
        <v>1154</v>
      </c>
      <c r="H350" s="107"/>
      <c r="I350" s="107"/>
      <c r="J350" s="107" t="b">
        <f t="shared" si="24"/>
        <v>1</v>
      </c>
      <c r="K350" s="107"/>
      <c r="L350" s="107"/>
      <c r="M350" s="107"/>
      <c r="N350" s="107"/>
      <c r="O350" s="107"/>
      <c r="P350" s="107"/>
      <c r="Q350" s="107"/>
      <c r="R350" s="107"/>
      <c r="S350" s="107"/>
      <c r="T350" s="107"/>
      <c r="U350" s="107"/>
      <c r="V350" s="107"/>
      <c r="W350" s="107"/>
      <c r="X350" s="107"/>
      <c r="Y350" s="107"/>
      <c r="Z350" s="107"/>
      <c r="AA350" s="107"/>
      <c r="AB350" s="107"/>
      <c r="AC350" s="107"/>
      <c r="AD350" s="107"/>
      <c r="AE350" s="107"/>
      <c r="AF350" s="107"/>
      <c r="AG350" s="107"/>
      <c r="AH350" s="107"/>
      <c r="AI350" s="107"/>
      <c r="AJ350" s="107"/>
      <c r="AK350" s="107"/>
      <c r="AL350" s="107"/>
      <c r="AM350" s="107"/>
      <c r="AN350" s="107"/>
      <c r="AO350" s="107"/>
      <c r="AP350" s="107"/>
    </row>
    <row r="351" spans="1:48" ht="16.5" customHeight="1" x14ac:dyDescent="0.2">
      <c r="A351" s="106">
        <f>$A$350+1</f>
        <v>19</v>
      </c>
      <c r="B351" s="106" t="s">
        <v>207</v>
      </c>
      <c r="C351" s="106" t="s">
        <v>655</v>
      </c>
      <c r="D351" s="106"/>
      <c r="E351" s="106"/>
      <c r="F351" s="106"/>
      <c r="G351" s="106" t="s">
        <v>1154</v>
      </c>
      <c r="H351" s="106"/>
      <c r="I351" s="106"/>
      <c r="J351" s="106" t="b">
        <f t="shared" si="24"/>
        <v>1</v>
      </c>
      <c r="K351" s="106" t="b">
        <v>1</v>
      </c>
      <c r="L351" s="106"/>
      <c r="M351" s="106"/>
      <c r="N351" s="106" t="s">
        <v>59</v>
      </c>
      <c r="O351" s="106" t="str">
        <f>"$D$"&amp;A351</f>
        <v>$D$19</v>
      </c>
      <c r="P351" s="106" t="str">
        <f>"$M$"&amp;A351</f>
        <v>$M$19</v>
      </c>
      <c r="Q351" s="106"/>
      <c r="R351" s="106">
        <v>2</v>
      </c>
      <c r="S351" s="106"/>
      <c r="T351" s="106">
        <v>2</v>
      </c>
      <c r="U351" s="106" t="b">
        <v>1</v>
      </c>
      <c r="V351" s="106" t="s">
        <v>1344</v>
      </c>
      <c r="W351" s="106" t="s">
        <v>1343</v>
      </c>
      <c r="X351" s="106"/>
      <c r="Y351" s="106"/>
      <c r="Z351" s="106"/>
      <c r="AA351" s="106"/>
      <c r="AB351" s="106"/>
      <c r="AC351" s="106"/>
      <c r="AD351" s="106"/>
      <c r="AE351" s="106"/>
      <c r="AF351" s="106"/>
      <c r="AG351" s="106"/>
      <c r="AH351" s="106"/>
      <c r="AI351" s="106"/>
      <c r="AJ351" s="106"/>
      <c r="AK351" s="106"/>
      <c r="AL351" s="106"/>
      <c r="AM351" s="106"/>
      <c r="AN351" s="106"/>
      <c r="AO351" s="106"/>
      <c r="AP351" s="106"/>
    </row>
    <row r="352" spans="1:48" ht="16.5" customHeight="1" x14ac:dyDescent="0.2">
      <c r="A352" s="100">
        <f>$A$351+2</f>
        <v>21</v>
      </c>
      <c r="B352" s="100" t="s">
        <v>208</v>
      </c>
      <c r="C352" s="100" t="s">
        <v>649</v>
      </c>
      <c r="D352" s="100"/>
      <c r="E352" s="100"/>
      <c r="F352" s="100"/>
      <c r="G352" s="100" t="s">
        <v>1154</v>
      </c>
      <c r="H352" s="100"/>
      <c r="I352" s="100" t="s">
        <v>177</v>
      </c>
      <c r="J352" s="100" t="b">
        <f t="shared" si="24"/>
        <v>1</v>
      </c>
      <c r="K352" s="100" t="b">
        <v>1</v>
      </c>
      <c r="L352" s="100"/>
      <c r="M352" s="100"/>
      <c r="N352" s="100" t="s">
        <v>59</v>
      </c>
      <c r="O352" s="100" t="str">
        <f>"$B$"&amp;A352</f>
        <v>$B$21</v>
      </c>
      <c r="P352" s="100" t="str">
        <f>"$G$"&amp;A352</f>
        <v>$G$21</v>
      </c>
      <c r="Q352" s="100"/>
      <c r="R352" s="100"/>
      <c r="S352" s="100"/>
      <c r="T352" s="100">
        <v>30</v>
      </c>
      <c r="U352" s="100" t="b">
        <v>1</v>
      </c>
      <c r="V352" s="100" t="s">
        <v>1342</v>
      </c>
      <c r="W352" s="100" t="s">
        <v>1342</v>
      </c>
      <c r="X352" s="100"/>
      <c r="Y352" s="100"/>
      <c r="Z352" s="100"/>
      <c r="AA352" s="100"/>
      <c r="AB352" s="100">
        <v>3</v>
      </c>
      <c r="AC352" s="100">
        <v>5</v>
      </c>
      <c r="AD352" s="100" t="s">
        <v>105</v>
      </c>
      <c r="AE352" s="100">
        <v>14</v>
      </c>
      <c r="AF352" s="100" t="b">
        <v>1</v>
      </c>
      <c r="AG352" s="100" t="s">
        <v>1355</v>
      </c>
      <c r="AH352" s="100" t="s">
        <v>29</v>
      </c>
      <c r="AI352" s="100" t="s">
        <v>28</v>
      </c>
      <c r="AJ352" s="100"/>
      <c r="AK352" s="100"/>
      <c r="AL352" s="100">
        <v>0</v>
      </c>
      <c r="AM352" s="100"/>
      <c r="AN352" s="100"/>
      <c r="AO352" s="100"/>
      <c r="AP352" s="100"/>
      <c r="AQ352" s="93" t="s">
        <v>177</v>
      </c>
    </row>
    <row r="353" spans="1:43" ht="16.5" customHeight="1" x14ac:dyDescent="0.2">
      <c r="A353" s="104">
        <f>$A$351+4</f>
        <v>23</v>
      </c>
      <c r="B353" s="104" t="s">
        <v>857</v>
      </c>
      <c r="C353" s="104" t="s">
        <v>657</v>
      </c>
      <c r="D353" s="104" t="s">
        <v>857</v>
      </c>
      <c r="E353" s="104"/>
      <c r="F353" s="104"/>
      <c r="G353" s="104" t="s">
        <v>1154</v>
      </c>
      <c r="H353" s="104" t="str">
        <f>VLOOKUP(TRUE,H354:I356,2,FALSE)</f>
        <v>Effektivisering</v>
      </c>
      <c r="I353" s="104" t="s">
        <v>181</v>
      </c>
      <c r="J353" s="104" t="b">
        <f t="shared" si="24"/>
        <v>1</v>
      </c>
      <c r="K353" s="104" t="b">
        <f>$C$3</f>
        <v>0</v>
      </c>
      <c r="L353" s="104"/>
      <c r="M353" s="104"/>
      <c r="N353" s="104" t="s">
        <v>59</v>
      </c>
      <c r="O353" s="104" t="str">
        <f>"$D$"&amp;A353</f>
        <v>$D$23</v>
      </c>
      <c r="P353" s="104" t="str">
        <f>"$H$"&amp;A353+2</f>
        <v>$H$25</v>
      </c>
      <c r="Q353" s="104">
        <v>-5</v>
      </c>
      <c r="R353" s="104">
        <v>3</v>
      </c>
      <c r="S353" s="104"/>
      <c r="T353" s="104"/>
      <c r="U353" s="104"/>
      <c r="V353" s="104"/>
      <c r="W353" s="104"/>
      <c r="X353" s="104"/>
      <c r="Y353" s="104"/>
      <c r="Z353" s="104"/>
      <c r="AA353" s="104"/>
      <c r="AB353" s="104"/>
      <c r="AC353" s="104">
        <v>16</v>
      </c>
      <c r="AD353" s="104"/>
      <c r="AE353" s="104"/>
      <c r="AF353" s="104"/>
      <c r="AG353" s="104"/>
      <c r="AH353" s="104" t="s">
        <v>29</v>
      </c>
      <c r="AI353" s="104" t="s">
        <v>28</v>
      </c>
      <c r="AJ353" s="104"/>
      <c r="AK353" s="104"/>
      <c r="AL353" s="104"/>
      <c r="AM353" s="104"/>
      <c r="AN353" s="104"/>
      <c r="AO353" s="104"/>
      <c r="AP353" s="104"/>
    </row>
    <row r="354" spans="1:43" ht="16.5" customHeight="1" x14ac:dyDescent="0.2">
      <c r="A354" s="105">
        <f>$A$351+4</f>
        <v>23</v>
      </c>
      <c r="B354" s="105" t="s">
        <v>953</v>
      </c>
      <c r="C354" s="105" t="s">
        <v>659</v>
      </c>
      <c r="D354" s="105" t="s">
        <v>857</v>
      </c>
      <c r="E354" s="105"/>
      <c r="F354" s="105"/>
      <c r="G354" s="105" t="s">
        <v>1154</v>
      </c>
      <c r="H354" s="105" t="b">
        <v>1</v>
      </c>
      <c r="I354" s="105" t="s">
        <v>180</v>
      </c>
      <c r="J354" s="105" t="b">
        <f t="shared" si="24"/>
        <v>1</v>
      </c>
      <c r="K354" s="105" t="b">
        <v>1</v>
      </c>
      <c r="L354" s="105"/>
      <c r="M354" s="105" t="str">
        <f>"'setType """&amp;B354&amp;"""'"</f>
        <v>'setType "FP_StamdataG1R1"'</v>
      </c>
      <c r="N354" s="105" t="s">
        <v>59</v>
      </c>
      <c r="O354" s="105" t="str">
        <f>"$D$"&amp;A354</f>
        <v>$D$23</v>
      </c>
      <c r="P354" s="105" t="str">
        <f>"$H$"&amp;A354</f>
        <v>$H$23</v>
      </c>
      <c r="Q354" s="105"/>
      <c r="R354" s="105">
        <v>3</v>
      </c>
      <c r="S354" s="105"/>
      <c r="T354" s="105">
        <v>22</v>
      </c>
      <c r="U354" s="105" t="b">
        <v>1</v>
      </c>
      <c r="V354" s="105" t="s">
        <v>1343</v>
      </c>
      <c r="W354" s="105" t="s">
        <v>1356</v>
      </c>
      <c r="X354" s="105"/>
      <c r="Y354" s="105"/>
      <c r="Z354" s="105"/>
      <c r="AA354" s="105"/>
      <c r="AB354" s="105"/>
      <c r="AC354" s="105">
        <v>16</v>
      </c>
      <c r="AD354" s="105" t="s">
        <v>105</v>
      </c>
      <c r="AE354" s="105">
        <v>12</v>
      </c>
      <c r="AF354" s="105"/>
      <c r="AG354" s="105" t="s">
        <v>1355</v>
      </c>
      <c r="AH354" s="105" t="s">
        <v>27</v>
      </c>
      <c r="AI354" s="105" t="s">
        <v>28</v>
      </c>
      <c r="AJ354" s="105"/>
      <c r="AK354" s="105"/>
      <c r="AL354" s="105">
        <v>0</v>
      </c>
      <c r="AM354" s="105"/>
      <c r="AN354" s="105"/>
      <c r="AO354" s="105"/>
      <c r="AP354" s="105"/>
    </row>
    <row r="355" spans="1:43" ht="16.5" customHeight="1" x14ac:dyDescent="0.2">
      <c r="A355" s="105">
        <f>$A$351+5</f>
        <v>24</v>
      </c>
      <c r="B355" s="105" t="s">
        <v>954</v>
      </c>
      <c r="C355" s="105" t="s">
        <v>659</v>
      </c>
      <c r="D355" s="105" t="s">
        <v>857</v>
      </c>
      <c r="E355" s="105"/>
      <c r="F355" s="105"/>
      <c r="G355" s="105" t="s">
        <v>1154</v>
      </c>
      <c r="H355" s="105" t="b">
        <v>0</v>
      </c>
      <c r="I355" s="105" t="s">
        <v>181</v>
      </c>
      <c r="J355" s="105" t="b">
        <f t="shared" si="24"/>
        <v>1</v>
      </c>
      <c r="K355" s="105" t="b">
        <v>1</v>
      </c>
      <c r="L355" s="105"/>
      <c r="M355" s="105" t="str">
        <f>"'setType """&amp;B355&amp;"""'"</f>
        <v>'setType "FP_StamdataG1R2"'</v>
      </c>
      <c r="N355" s="105" t="s">
        <v>59</v>
      </c>
      <c r="O355" s="105" t="str">
        <f>"$D$"&amp;A355</f>
        <v>$D$24</v>
      </c>
      <c r="P355" s="105" t="str">
        <f>"$H$"&amp;A355</f>
        <v>$H$24</v>
      </c>
      <c r="Q355" s="105"/>
      <c r="R355" s="105">
        <v>3</v>
      </c>
      <c r="S355" s="105"/>
      <c r="T355" s="105">
        <v>22</v>
      </c>
      <c r="U355" s="105" t="b">
        <v>1</v>
      </c>
      <c r="V355" s="105" t="s">
        <v>1343</v>
      </c>
      <c r="W355" s="105" t="s">
        <v>1356</v>
      </c>
      <c r="X355" s="105"/>
      <c r="Y355" s="105"/>
      <c r="Z355" s="105"/>
      <c r="AA355" s="105"/>
      <c r="AB355" s="105"/>
      <c r="AC355" s="105">
        <v>16</v>
      </c>
      <c r="AD355" s="105" t="s">
        <v>105</v>
      </c>
      <c r="AE355" s="105">
        <v>12</v>
      </c>
      <c r="AF355" s="105"/>
      <c r="AG355" s="105" t="s">
        <v>1355</v>
      </c>
      <c r="AH355" s="105" t="s">
        <v>27</v>
      </c>
      <c r="AI355" s="105" t="s">
        <v>28</v>
      </c>
      <c r="AJ355" s="105"/>
      <c r="AK355" s="105"/>
      <c r="AL355" s="105">
        <v>0</v>
      </c>
      <c r="AM355" s="105"/>
      <c r="AN355" s="105"/>
      <c r="AO355" s="105"/>
      <c r="AP355" s="105"/>
    </row>
    <row r="356" spans="1:43" ht="16.5" customHeight="1" x14ac:dyDescent="0.2">
      <c r="A356" s="105">
        <f>$A$351+6</f>
        <v>25</v>
      </c>
      <c r="B356" s="105" t="s">
        <v>955</v>
      </c>
      <c r="C356" s="105" t="s">
        <v>659</v>
      </c>
      <c r="D356" s="105" t="s">
        <v>857</v>
      </c>
      <c r="E356" s="105"/>
      <c r="F356" s="105"/>
      <c r="G356" s="105" t="s">
        <v>1154</v>
      </c>
      <c r="H356" s="105" t="b">
        <v>0</v>
      </c>
      <c r="I356" s="105" t="s">
        <v>182</v>
      </c>
      <c r="J356" s="105" t="b">
        <f t="shared" si="24"/>
        <v>1</v>
      </c>
      <c r="K356" s="105" t="b">
        <v>1</v>
      </c>
      <c r="L356" s="105"/>
      <c r="M356" s="105" t="str">
        <f>"'setType """&amp;B356&amp;"""'"</f>
        <v>'setType "FP_StamdataG1R3"'</v>
      </c>
      <c r="N356" s="105" t="s">
        <v>59</v>
      </c>
      <c r="O356" s="105" t="str">
        <f>"$D$"&amp;A356</f>
        <v>$D$25</v>
      </c>
      <c r="P356" s="105" t="str">
        <f>"$H$"&amp;A356</f>
        <v>$H$25</v>
      </c>
      <c r="Q356" s="105"/>
      <c r="R356" s="105">
        <v>3</v>
      </c>
      <c r="S356" s="105"/>
      <c r="T356" s="105">
        <v>22</v>
      </c>
      <c r="U356" s="105" t="b">
        <v>1</v>
      </c>
      <c r="V356" s="105" t="s">
        <v>1343</v>
      </c>
      <c r="W356" s="105" t="s">
        <v>1356</v>
      </c>
      <c r="X356" s="105"/>
      <c r="Y356" s="105"/>
      <c r="Z356" s="105"/>
      <c r="AA356" s="105"/>
      <c r="AB356" s="105"/>
      <c r="AC356" s="105">
        <v>16</v>
      </c>
      <c r="AD356" s="105" t="s">
        <v>105</v>
      </c>
      <c r="AE356" s="105">
        <v>12</v>
      </c>
      <c r="AF356" s="105"/>
      <c r="AG356" s="105" t="s">
        <v>1355</v>
      </c>
      <c r="AH356" s="105" t="s">
        <v>27</v>
      </c>
      <c r="AI356" s="105" t="s">
        <v>28</v>
      </c>
      <c r="AJ356" s="105"/>
      <c r="AK356" s="105"/>
      <c r="AL356" s="105">
        <v>0</v>
      </c>
      <c r="AM356" s="105"/>
      <c r="AN356" s="105"/>
      <c r="AO356" s="105"/>
      <c r="AP356" s="105"/>
    </row>
    <row r="357" spans="1:43" ht="16.5" customHeight="1" x14ac:dyDescent="0.2">
      <c r="A357" s="106">
        <f>$A$351+8</f>
        <v>27</v>
      </c>
      <c r="B357" s="106" t="s">
        <v>210</v>
      </c>
      <c r="C357" s="106" t="s">
        <v>655</v>
      </c>
      <c r="D357" s="106"/>
      <c r="E357" s="106"/>
      <c r="F357" s="106"/>
      <c r="G357" s="106" t="s">
        <v>1154</v>
      </c>
      <c r="H357" s="106"/>
      <c r="I357" s="106"/>
      <c r="J357" s="106" t="b">
        <f t="shared" si="24"/>
        <v>1</v>
      </c>
      <c r="K357" s="106" t="b">
        <v>1</v>
      </c>
      <c r="L357" s="106"/>
      <c r="M357" s="106"/>
      <c r="N357" s="106" t="s">
        <v>59</v>
      </c>
      <c r="O357" s="106" t="str">
        <f>"$B$"&amp;A357</f>
        <v>$B$27</v>
      </c>
      <c r="P357" s="106" t="str">
        <f>"$M$"&amp;A357</f>
        <v>$M$27</v>
      </c>
      <c r="Q357" s="106"/>
      <c r="R357" s="106">
        <v>2</v>
      </c>
      <c r="S357" s="106"/>
      <c r="T357" s="106">
        <v>2</v>
      </c>
      <c r="U357" s="106" t="b">
        <v>1</v>
      </c>
      <c r="V357" s="106" t="s">
        <v>1344</v>
      </c>
      <c r="W357" s="106" t="s">
        <v>1343</v>
      </c>
      <c r="X357" s="106"/>
      <c r="Y357" s="106"/>
      <c r="Z357" s="106"/>
      <c r="AA357" s="106"/>
      <c r="AB357" s="106"/>
      <c r="AC357" s="106"/>
      <c r="AD357" s="106"/>
      <c r="AE357" s="106"/>
      <c r="AF357" s="106"/>
      <c r="AG357" s="106"/>
      <c r="AH357" s="106"/>
      <c r="AI357" s="106"/>
      <c r="AJ357" s="106"/>
      <c r="AK357" s="106"/>
      <c r="AL357" s="106"/>
      <c r="AM357" s="106"/>
      <c r="AN357" s="106"/>
      <c r="AO357" s="106"/>
      <c r="AP357" s="106"/>
    </row>
    <row r="358" spans="1:43" ht="16.5" customHeight="1" x14ac:dyDescent="0.2">
      <c r="A358" s="100">
        <f>$A$357+2</f>
        <v>29</v>
      </c>
      <c r="B358" s="100" t="s">
        <v>211</v>
      </c>
      <c r="C358" s="100" t="s">
        <v>649</v>
      </c>
      <c r="D358" s="100"/>
      <c r="E358" s="100"/>
      <c r="F358" s="100"/>
      <c r="G358" s="100" t="s">
        <v>1154</v>
      </c>
      <c r="H358" s="100"/>
      <c r="I358" s="100" t="s">
        <v>71</v>
      </c>
      <c r="J358" s="100" t="b">
        <f t="shared" si="24"/>
        <v>1</v>
      </c>
      <c r="K358" s="100" t="b">
        <v>1</v>
      </c>
      <c r="L358" s="100"/>
      <c r="M358" s="100"/>
      <c r="N358" s="100" t="s">
        <v>59</v>
      </c>
      <c r="O358" s="100" t="str">
        <f>"$B$"&amp;A358</f>
        <v>$B$29</v>
      </c>
      <c r="P358" s="100" t="str">
        <f>"$G$"&amp;A358</f>
        <v>$G$29</v>
      </c>
      <c r="Q358" s="100"/>
      <c r="R358" s="100"/>
      <c r="S358" s="100"/>
      <c r="T358" s="100">
        <v>30</v>
      </c>
      <c r="U358" s="100" t="b">
        <v>1</v>
      </c>
      <c r="V358" s="100" t="s">
        <v>1342</v>
      </c>
      <c r="W358" s="100" t="s">
        <v>1342</v>
      </c>
      <c r="X358" s="100"/>
      <c r="Y358" s="100"/>
      <c r="Z358" s="100"/>
      <c r="AA358" s="100"/>
      <c r="AB358" s="100">
        <v>3</v>
      </c>
      <c r="AC358" s="100">
        <v>5</v>
      </c>
      <c r="AD358" s="100" t="s">
        <v>105</v>
      </c>
      <c r="AE358" s="100">
        <v>14</v>
      </c>
      <c r="AF358" s="100" t="b">
        <v>1</v>
      </c>
      <c r="AG358" s="100" t="s">
        <v>1355</v>
      </c>
      <c r="AH358" s="100" t="s">
        <v>29</v>
      </c>
      <c r="AI358" s="100" t="s">
        <v>28</v>
      </c>
      <c r="AJ358" s="100"/>
      <c r="AK358" s="100"/>
      <c r="AL358" s="100">
        <v>0</v>
      </c>
      <c r="AM358" s="100"/>
      <c r="AN358" s="100"/>
      <c r="AO358" s="100"/>
      <c r="AP358" s="100"/>
      <c r="AQ358" s="93" t="s">
        <v>71</v>
      </c>
    </row>
    <row r="359" spans="1:43" ht="16.5" customHeight="1" x14ac:dyDescent="0.2">
      <c r="A359" s="100">
        <f>$A$357+2</f>
        <v>29</v>
      </c>
      <c r="B359" s="100" t="s">
        <v>1281</v>
      </c>
      <c r="C359" s="100" t="s">
        <v>649</v>
      </c>
      <c r="D359" s="100"/>
      <c r="E359" s="100"/>
      <c r="F359" s="100"/>
      <c r="G359" s="100" t="s">
        <v>1154</v>
      </c>
      <c r="H359" s="100"/>
      <c r="I359" s="100" t="s">
        <v>1282</v>
      </c>
      <c r="J359" s="100" t="b">
        <f t="shared" si="24"/>
        <v>1</v>
      </c>
      <c r="K359" s="100" t="b">
        <v>1</v>
      </c>
      <c r="L359" s="100"/>
      <c r="M359" s="100"/>
      <c r="N359" s="100" t="s">
        <v>59</v>
      </c>
      <c r="O359" s="100" t="str">
        <f>"$J$"&amp;A359</f>
        <v>$J$29</v>
      </c>
      <c r="P359" s="100" t="str">
        <f>"$M$"&amp;A359</f>
        <v>$M$29</v>
      </c>
      <c r="Q359" s="100">
        <v>2</v>
      </c>
      <c r="R359" s="100"/>
      <c r="S359" s="100"/>
      <c r="T359" s="100">
        <v>30</v>
      </c>
      <c r="U359" s="100" t="b">
        <v>1</v>
      </c>
      <c r="V359" s="100" t="s">
        <v>1342</v>
      </c>
      <c r="W359" s="100" t="s">
        <v>1342</v>
      </c>
      <c r="X359" s="100"/>
      <c r="Y359" s="100"/>
      <c r="Z359" s="100"/>
      <c r="AA359" s="100"/>
      <c r="AB359" s="100"/>
      <c r="AC359" s="100"/>
      <c r="AD359" s="100" t="s">
        <v>105</v>
      </c>
      <c r="AE359" s="100">
        <v>10</v>
      </c>
      <c r="AF359" s="100"/>
      <c r="AG359" s="100" t="s">
        <v>1360</v>
      </c>
      <c r="AH359" s="100" t="s">
        <v>29</v>
      </c>
      <c r="AI359" s="100" t="s">
        <v>28</v>
      </c>
      <c r="AJ359" s="100"/>
      <c r="AK359" s="100"/>
      <c r="AL359" s="100">
        <v>0</v>
      </c>
      <c r="AM359" s="100"/>
      <c r="AN359" s="100"/>
      <c r="AO359" s="100"/>
      <c r="AP359" s="100"/>
    </row>
    <row r="360" spans="1:43" ht="16.5" customHeight="1" x14ac:dyDescent="0.2">
      <c r="A360" s="104">
        <f>$A$357+4</f>
        <v>31</v>
      </c>
      <c r="B360" s="104" t="s">
        <v>858</v>
      </c>
      <c r="C360" s="104" t="s">
        <v>657</v>
      </c>
      <c r="D360" s="104" t="s">
        <v>858</v>
      </c>
      <c r="E360" s="104"/>
      <c r="F360" s="104"/>
      <c r="G360" s="104" t="s">
        <v>1154</v>
      </c>
      <c r="H360" s="104" t="str">
        <f>VLOOKUP(TRUE,H361:I365,2,FALSE)</f>
        <v>Analyse</v>
      </c>
      <c r="I360" s="104" t="s">
        <v>858</v>
      </c>
      <c r="J360" s="104" t="b">
        <f t="shared" si="24"/>
        <v>1</v>
      </c>
      <c r="K360" s="104" t="b">
        <f>$C$3</f>
        <v>0</v>
      </c>
      <c r="L360" s="104"/>
      <c r="M360" s="104"/>
      <c r="N360" s="104" t="s">
        <v>59</v>
      </c>
      <c r="O360" s="104" t="str">
        <f t="shared" ref="O360:O365" si="25">"$D$"&amp;A360</f>
        <v>$D$31</v>
      </c>
      <c r="P360" s="104" t="str">
        <f>"$H$"&amp;A360+5</f>
        <v>$H$36</v>
      </c>
      <c r="Q360" s="104">
        <v>-5</v>
      </c>
      <c r="R360" s="104">
        <v>3</v>
      </c>
      <c r="S360" s="104"/>
      <c r="T360" s="104"/>
      <c r="U360" s="104"/>
      <c r="V360" s="104"/>
      <c r="W360" s="104"/>
      <c r="X360" s="104"/>
      <c r="Y360" s="104"/>
      <c r="Z360" s="104"/>
      <c r="AA360" s="104"/>
      <c r="AB360" s="104"/>
      <c r="AC360" s="104">
        <v>16</v>
      </c>
      <c r="AD360" s="104"/>
      <c r="AE360" s="104"/>
      <c r="AF360" s="104"/>
      <c r="AG360" s="104"/>
      <c r="AH360" s="104" t="s">
        <v>29</v>
      </c>
      <c r="AI360" s="104" t="s">
        <v>28</v>
      </c>
      <c r="AJ360" s="104"/>
      <c r="AK360" s="104"/>
      <c r="AL360" s="104"/>
      <c r="AM360" s="104"/>
      <c r="AN360" s="104"/>
      <c r="AO360" s="104"/>
      <c r="AP360" s="104"/>
    </row>
    <row r="361" spans="1:43" ht="16.5" customHeight="1" x14ac:dyDescent="0.2">
      <c r="A361" s="105">
        <f>$A$357+4</f>
        <v>31</v>
      </c>
      <c r="B361" s="105" t="s">
        <v>956</v>
      </c>
      <c r="C361" s="105" t="s">
        <v>659</v>
      </c>
      <c r="D361" s="105" t="s">
        <v>858</v>
      </c>
      <c r="E361" s="105"/>
      <c r="F361" s="105"/>
      <c r="G361" s="105" t="s">
        <v>1154</v>
      </c>
      <c r="H361" s="105" t="b">
        <v>0</v>
      </c>
      <c r="I361" s="105" t="s">
        <v>183</v>
      </c>
      <c r="J361" s="105" t="b">
        <f t="shared" si="24"/>
        <v>1</v>
      </c>
      <c r="K361" s="105" t="b">
        <v>1</v>
      </c>
      <c r="L361" s="105"/>
      <c r="M361" s="105" t="str">
        <f>"'setType """&amp;B361&amp;"""'"</f>
        <v>'setType "FP_StamdataG2R1"'</v>
      </c>
      <c r="N361" s="105" t="s">
        <v>59</v>
      </c>
      <c r="O361" s="105" t="str">
        <f t="shared" si="25"/>
        <v>$D$31</v>
      </c>
      <c r="P361" s="105" t="str">
        <f>"$H$"&amp;A361</f>
        <v>$H$31</v>
      </c>
      <c r="Q361" s="105"/>
      <c r="R361" s="105">
        <v>3</v>
      </c>
      <c r="S361" s="105"/>
      <c r="T361" s="105">
        <v>22</v>
      </c>
      <c r="U361" s="105" t="b">
        <v>1</v>
      </c>
      <c r="V361" s="105" t="s">
        <v>1343</v>
      </c>
      <c r="W361" s="105" t="s">
        <v>1356</v>
      </c>
      <c r="X361" s="105"/>
      <c r="Y361" s="105"/>
      <c r="Z361" s="105"/>
      <c r="AA361" s="105"/>
      <c r="AB361" s="105"/>
      <c r="AC361" s="105">
        <v>16</v>
      </c>
      <c r="AD361" s="105" t="s">
        <v>105</v>
      </c>
      <c r="AE361" s="105">
        <v>12</v>
      </c>
      <c r="AF361" s="105"/>
      <c r="AG361" s="105" t="s">
        <v>1355</v>
      </c>
      <c r="AH361" s="105" t="s">
        <v>27</v>
      </c>
      <c r="AI361" s="105" t="s">
        <v>28</v>
      </c>
      <c r="AJ361" s="105"/>
      <c r="AK361" s="105"/>
      <c r="AL361" s="105">
        <v>0</v>
      </c>
      <c r="AM361" s="105"/>
      <c r="AN361" s="105"/>
      <c r="AO361" s="105"/>
      <c r="AP361" s="105"/>
    </row>
    <row r="362" spans="1:43" ht="16.5" customHeight="1" x14ac:dyDescent="0.2">
      <c r="A362" s="105">
        <f>$A$357+5</f>
        <v>32</v>
      </c>
      <c r="B362" s="105" t="s">
        <v>957</v>
      </c>
      <c r="C362" s="105" t="s">
        <v>659</v>
      </c>
      <c r="D362" s="105" t="s">
        <v>858</v>
      </c>
      <c r="E362" s="105"/>
      <c r="F362" s="105"/>
      <c r="G362" s="105" t="s">
        <v>1154</v>
      </c>
      <c r="H362" s="105" t="b">
        <v>1</v>
      </c>
      <c r="I362" s="105" t="s">
        <v>184</v>
      </c>
      <c r="J362" s="105" t="b">
        <f t="shared" si="24"/>
        <v>1</v>
      </c>
      <c r="K362" s="105" t="b">
        <v>1</v>
      </c>
      <c r="L362" s="105"/>
      <c r="M362" s="105" t="str">
        <f>"'setType """&amp;B362&amp;"""'"</f>
        <v>'setType "FP_StamdataG2R2"'</v>
      </c>
      <c r="N362" s="105" t="s">
        <v>59</v>
      </c>
      <c r="O362" s="105" t="str">
        <f t="shared" si="25"/>
        <v>$D$32</v>
      </c>
      <c r="P362" s="105" t="str">
        <f>"$H$"&amp;A362</f>
        <v>$H$32</v>
      </c>
      <c r="Q362" s="105"/>
      <c r="R362" s="105">
        <v>3</v>
      </c>
      <c r="S362" s="105"/>
      <c r="T362" s="105">
        <v>22</v>
      </c>
      <c r="U362" s="105" t="b">
        <v>1</v>
      </c>
      <c r="V362" s="105" t="s">
        <v>1343</v>
      </c>
      <c r="W362" s="105" t="s">
        <v>1356</v>
      </c>
      <c r="X362" s="105"/>
      <c r="Y362" s="105"/>
      <c r="Z362" s="105"/>
      <c r="AA362" s="105"/>
      <c r="AB362" s="105"/>
      <c r="AC362" s="105">
        <v>16</v>
      </c>
      <c r="AD362" s="105" t="s">
        <v>105</v>
      </c>
      <c r="AE362" s="105">
        <v>12</v>
      </c>
      <c r="AF362" s="105"/>
      <c r="AG362" s="105" t="s">
        <v>1355</v>
      </c>
      <c r="AH362" s="105" t="s">
        <v>27</v>
      </c>
      <c r="AI362" s="105" t="s">
        <v>28</v>
      </c>
      <c r="AJ362" s="105"/>
      <c r="AK362" s="105"/>
      <c r="AL362" s="105">
        <v>0</v>
      </c>
      <c r="AM362" s="105"/>
      <c r="AN362" s="105"/>
      <c r="AO362" s="105"/>
      <c r="AP362" s="105"/>
    </row>
    <row r="363" spans="1:43" ht="16.5" customHeight="1" x14ac:dyDescent="0.2">
      <c r="A363" s="105">
        <f>$A$357+6</f>
        <v>33</v>
      </c>
      <c r="B363" s="105" t="s">
        <v>958</v>
      </c>
      <c r="C363" s="105" t="s">
        <v>659</v>
      </c>
      <c r="D363" s="105" t="s">
        <v>858</v>
      </c>
      <c r="E363" s="105"/>
      <c r="F363" s="105"/>
      <c r="G363" s="105" t="s">
        <v>1154</v>
      </c>
      <c r="H363" s="105" t="b">
        <v>0</v>
      </c>
      <c r="I363" s="105" t="s">
        <v>185</v>
      </c>
      <c r="J363" s="105" t="b">
        <f t="shared" si="24"/>
        <v>1</v>
      </c>
      <c r="K363" s="105" t="b">
        <v>1</v>
      </c>
      <c r="L363" s="105"/>
      <c r="M363" s="105" t="str">
        <f>"'setType """&amp;B363&amp;"""'"</f>
        <v>'setType "FP_StamdataG2R3"'</v>
      </c>
      <c r="N363" s="105" t="s">
        <v>59</v>
      </c>
      <c r="O363" s="105" t="str">
        <f t="shared" si="25"/>
        <v>$D$33</v>
      </c>
      <c r="P363" s="105" t="str">
        <f>"$H$"&amp;A363</f>
        <v>$H$33</v>
      </c>
      <c r="Q363" s="105"/>
      <c r="R363" s="105">
        <v>3</v>
      </c>
      <c r="S363" s="105"/>
      <c r="T363" s="105">
        <v>22</v>
      </c>
      <c r="U363" s="105" t="b">
        <v>1</v>
      </c>
      <c r="V363" s="105" t="s">
        <v>1343</v>
      </c>
      <c r="W363" s="105" t="s">
        <v>1356</v>
      </c>
      <c r="X363" s="105"/>
      <c r="Y363" s="105"/>
      <c r="Z363" s="105"/>
      <c r="AA363" s="105"/>
      <c r="AB363" s="105"/>
      <c r="AC363" s="105">
        <v>16</v>
      </c>
      <c r="AD363" s="105" t="s">
        <v>105</v>
      </c>
      <c r="AE363" s="105">
        <v>12</v>
      </c>
      <c r="AF363" s="105"/>
      <c r="AG363" s="105" t="s">
        <v>1355</v>
      </c>
      <c r="AH363" s="105" t="s">
        <v>27</v>
      </c>
      <c r="AI363" s="105" t="s">
        <v>28</v>
      </c>
      <c r="AJ363" s="105"/>
      <c r="AK363" s="105"/>
      <c r="AL363" s="105">
        <v>0</v>
      </c>
      <c r="AM363" s="105"/>
      <c r="AN363" s="105"/>
      <c r="AO363" s="105"/>
      <c r="AP363" s="105"/>
    </row>
    <row r="364" spans="1:43" ht="16.5" customHeight="1" x14ac:dyDescent="0.2">
      <c r="A364" s="105">
        <f>$A$357+7</f>
        <v>34</v>
      </c>
      <c r="B364" s="105" t="s">
        <v>959</v>
      </c>
      <c r="C364" s="105" t="s">
        <v>659</v>
      </c>
      <c r="D364" s="105" t="s">
        <v>858</v>
      </c>
      <c r="E364" s="105"/>
      <c r="F364" s="105"/>
      <c r="G364" s="105" t="s">
        <v>1154</v>
      </c>
      <c r="H364" s="105" t="b">
        <v>0</v>
      </c>
      <c r="I364" s="105" t="s">
        <v>229</v>
      </c>
      <c r="J364" s="105" t="b">
        <f t="shared" si="24"/>
        <v>1</v>
      </c>
      <c r="K364" s="105" t="b">
        <v>1</v>
      </c>
      <c r="L364" s="105"/>
      <c r="M364" s="105" t="str">
        <f>"'setType """&amp;B364&amp;"""'"</f>
        <v>'setType "FP_StamdataG2R4"'</v>
      </c>
      <c r="N364" s="105" t="s">
        <v>59</v>
      </c>
      <c r="O364" s="105" t="str">
        <f t="shared" si="25"/>
        <v>$D$34</v>
      </c>
      <c r="P364" s="105" t="str">
        <f>"$H$"&amp;A364</f>
        <v>$H$34</v>
      </c>
      <c r="Q364" s="105"/>
      <c r="R364" s="105">
        <v>3</v>
      </c>
      <c r="S364" s="105"/>
      <c r="T364" s="105">
        <v>22</v>
      </c>
      <c r="U364" s="105" t="b">
        <v>1</v>
      </c>
      <c r="V364" s="105" t="s">
        <v>1343</v>
      </c>
      <c r="W364" s="105" t="s">
        <v>1356</v>
      </c>
      <c r="X364" s="105"/>
      <c r="Y364" s="105"/>
      <c r="Z364" s="105"/>
      <c r="AA364" s="105"/>
      <c r="AB364" s="105"/>
      <c r="AC364" s="105">
        <v>16</v>
      </c>
      <c r="AD364" s="105" t="s">
        <v>105</v>
      </c>
      <c r="AE364" s="105">
        <v>12</v>
      </c>
      <c r="AF364" s="105"/>
      <c r="AG364" s="105" t="s">
        <v>1355</v>
      </c>
      <c r="AH364" s="105" t="s">
        <v>27</v>
      </c>
      <c r="AI364" s="105" t="s">
        <v>28</v>
      </c>
      <c r="AJ364" s="105"/>
      <c r="AK364" s="105"/>
      <c r="AL364" s="105">
        <v>0</v>
      </c>
      <c r="AM364" s="105"/>
      <c r="AN364" s="105"/>
      <c r="AO364" s="105"/>
      <c r="AP364" s="105"/>
    </row>
    <row r="365" spans="1:43" ht="16.5" customHeight="1" x14ac:dyDescent="0.2">
      <c r="A365" s="105">
        <f>$A$357+8</f>
        <v>35</v>
      </c>
      <c r="B365" s="105" t="s">
        <v>960</v>
      </c>
      <c r="C365" s="105" t="s">
        <v>659</v>
      </c>
      <c r="D365" s="105" t="s">
        <v>858</v>
      </c>
      <c r="E365" s="105"/>
      <c r="F365" s="105"/>
      <c r="G365" s="105" t="s">
        <v>1154</v>
      </c>
      <c r="H365" s="105" t="b">
        <v>0</v>
      </c>
      <c r="I365" s="105" t="s">
        <v>186</v>
      </c>
      <c r="J365" s="105" t="b">
        <f t="shared" si="24"/>
        <v>1</v>
      </c>
      <c r="K365" s="105" t="b">
        <v>1</v>
      </c>
      <c r="L365" s="105"/>
      <c r="M365" s="105" t="str">
        <f>"'setType """&amp;B365&amp;"""'"</f>
        <v>'setType "FP_StamdataG2R5"'</v>
      </c>
      <c r="N365" s="105" t="s">
        <v>59</v>
      </c>
      <c r="O365" s="105" t="str">
        <f t="shared" si="25"/>
        <v>$D$35</v>
      </c>
      <c r="P365" s="105" t="str">
        <f>"$H$"&amp;A365</f>
        <v>$H$35</v>
      </c>
      <c r="Q365" s="105"/>
      <c r="R365" s="105">
        <v>3</v>
      </c>
      <c r="S365" s="105"/>
      <c r="T365" s="105">
        <v>22</v>
      </c>
      <c r="U365" s="105" t="b">
        <v>1</v>
      </c>
      <c r="V365" s="105" t="s">
        <v>1343</v>
      </c>
      <c r="W365" s="105" t="s">
        <v>1356</v>
      </c>
      <c r="X365" s="105"/>
      <c r="Y365" s="105"/>
      <c r="Z365" s="105"/>
      <c r="AA365" s="105"/>
      <c r="AB365" s="105"/>
      <c r="AC365" s="105">
        <v>16</v>
      </c>
      <c r="AD365" s="105" t="s">
        <v>105</v>
      </c>
      <c r="AE365" s="105">
        <v>12</v>
      </c>
      <c r="AF365" s="105"/>
      <c r="AG365" s="105" t="s">
        <v>1355</v>
      </c>
      <c r="AH365" s="105" t="s">
        <v>27</v>
      </c>
      <c r="AI365" s="105" t="s">
        <v>28</v>
      </c>
      <c r="AJ365" s="105"/>
      <c r="AK365" s="105"/>
      <c r="AL365" s="105">
        <v>0</v>
      </c>
      <c r="AM365" s="105"/>
      <c r="AN365" s="105"/>
      <c r="AO365" s="105"/>
      <c r="AP365" s="105"/>
    </row>
    <row r="366" spans="1:43" ht="16.5" customHeight="1" x14ac:dyDescent="0.2">
      <c r="A366" s="103">
        <f>$A$357+12</f>
        <v>39</v>
      </c>
      <c r="B366" s="103" t="s">
        <v>213</v>
      </c>
      <c r="C366" s="103" t="s">
        <v>654</v>
      </c>
      <c r="D366" s="103"/>
      <c r="E366" s="103"/>
      <c r="F366" s="103"/>
      <c r="G366" s="103" t="s">
        <v>1154</v>
      </c>
      <c r="H366" s="103" t="s">
        <v>1510</v>
      </c>
      <c r="I366" s="103" t="s">
        <v>1595</v>
      </c>
      <c r="J366" s="103" t="b">
        <f t="shared" si="24"/>
        <v>1</v>
      </c>
      <c r="K366" s="103" t="b">
        <v>1</v>
      </c>
      <c r="L366" s="103" t="b">
        <v>0</v>
      </c>
      <c r="M366" s="103" t="str">
        <f>"'expand """&amp;B366&amp;""","""&amp;G366&amp;""",TRUE'"</f>
        <v>'expand "FP_Main1BCtype","Forside",TRUE'</v>
      </c>
      <c r="N366" s="103" t="s">
        <v>59</v>
      </c>
      <c r="O366" s="103" t="str">
        <f>"$B$"&amp;A366</f>
        <v>$B$39</v>
      </c>
      <c r="P366" s="103" t="str">
        <f>"$M$" &amp;A455-1</f>
        <v>$M$105</v>
      </c>
      <c r="Q366" s="103"/>
      <c r="R366" s="103">
        <v>1</v>
      </c>
      <c r="S366" s="103"/>
      <c r="T366" s="103">
        <v>40</v>
      </c>
      <c r="U366" s="103" t="b">
        <v>1</v>
      </c>
      <c r="V366" s="103" t="s">
        <v>1344</v>
      </c>
      <c r="W366" s="103" t="s">
        <v>1343</v>
      </c>
      <c r="X366" s="103"/>
      <c r="Y366" s="103"/>
      <c r="Z366" s="103"/>
      <c r="AA366" s="103"/>
      <c r="AB366" s="103"/>
      <c r="AC366" s="103">
        <v>30</v>
      </c>
      <c r="AD366" s="103"/>
      <c r="AE366" s="103">
        <v>18</v>
      </c>
      <c r="AF366" s="103" t="b">
        <v>0</v>
      </c>
      <c r="AG366" s="103" t="s">
        <v>1351</v>
      </c>
      <c r="AH366" s="103" t="s">
        <v>29</v>
      </c>
      <c r="AI366" s="103" t="s">
        <v>28</v>
      </c>
      <c r="AJ366" s="103"/>
      <c r="AK366" s="103"/>
      <c r="AL366" s="103"/>
      <c r="AM366" s="103"/>
      <c r="AN366" s="103">
        <v>8</v>
      </c>
      <c r="AO366" s="103">
        <v>225</v>
      </c>
      <c r="AP366" s="103"/>
    </row>
    <row r="367" spans="1:43" ht="16.5" customHeight="1" x14ac:dyDescent="0.2">
      <c r="A367" s="100">
        <f>$A$366+2</f>
        <v>41</v>
      </c>
      <c r="B367" s="100" t="s">
        <v>884</v>
      </c>
      <c r="C367" s="100" t="s">
        <v>649</v>
      </c>
      <c r="D367" s="100"/>
      <c r="E367" s="100"/>
      <c r="F367" s="100"/>
      <c r="G367" s="100" t="s">
        <v>1154</v>
      </c>
      <c r="H367" s="100"/>
      <c r="I367" s="100" t="s">
        <v>141</v>
      </c>
      <c r="J367" s="100" t="b">
        <f t="shared" si="24"/>
        <v>1</v>
      </c>
      <c r="K367" s="100" t="b">
        <v>1</v>
      </c>
      <c r="L367" s="100"/>
      <c r="M367" s="100"/>
      <c r="N367" s="100" t="s">
        <v>59</v>
      </c>
      <c r="O367" s="100" t="str">
        <f>"$B$"&amp;A367</f>
        <v>$B$41</v>
      </c>
      <c r="P367" s="100" t="str">
        <f>"$E$"&amp;A367</f>
        <v>$E$41</v>
      </c>
      <c r="Q367" s="100"/>
      <c r="R367" s="100"/>
      <c r="S367" s="100"/>
      <c r="T367" s="100">
        <v>30</v>
      </c>
      <c r="U367" s="100" t="b">
        <v>1</v>
      </c>
      <c r="V367" s="100" t="s">
        <v>1342</v>
      </c>
      <c r="W367" s="100" t="s">
        <v>1342</v>
      </c>
      <c r="X367" s="100"/>
      <c r="Y367" s="100"/>
      <c r="Z367" s="100"/>
      <c r="AA367" s="100"/>
      <c r="AB367" s="100">
        <v>3</v>
      </c>
      <c r="AC367" s="100">
        <v>5</v>
      </c>
      <c r="AD367" s="100" t="s">
        <v>105</v>
      </c>
      <c r="AE367" s="100">
        <v>14</v>
      </c>
      <c r="AF367" s="100" t="b">
        <v>1</v>
      </c>
      <c r="AG367" s="100" t="s">
        <v>1355</v>
      </c>
      <c r="AH367" s="100" t="s">
        <v>29</v>
      </c>
      <c r="AI367" s="100" t="s">
        <v>28</v>
      </c>
      <c r="AJ367" s="100"/>
      <c r="AK367" s="100"/>
      <c r="AL367" s="100">
        <v>0</v>
      </c>
      <c r="AM367" s="100"/>
      <c r="AN367" s="100"/>
      <c r="AO367" s="100"/>
      <c r="AP367" s="100"/>
    </row>
    <row r="368" spans="1:43" ht="16.5" customHeight="1" x14ac:dyDescent="0.2">
      <c r="A368" s="110">
        <f>$A$366+2</f>
        <v>41</v>
      </c>
      <c r="B368" s="110" t="s">
        <v>864</v>
      </c>
      <c r="C368" s="110" t="s">
        <v>656</v>
      </c>
      <c r="D368" s="110"/>
      <c r="E368" s="110"/>
      <c r="F368" s="110"/>
      <c r="G368" s="110" t="s">
        <v>1154</v>
      </c>
      <c r="H368" s="110"/>
      <c r="I368" s="110" t="str">
        <f>IF(L368,"Luk","Hjælp")</f>
        <v>Hjælp</v>
      </c>
      <c r="J368" s="110" t="b">
        <f t="shared" si="24"/>
        <v>1</v>
      </c>
      <c r="K368" s="110" t="b">
        <v>1</v>
      </c>
      <c r="L368" s="110" t="b">
        <v>0</v>
      </c>
      <c r="M368" s="110" t="str">
        <f>"'readMore """&amp;B368&amp;""","""&amp;G368&amp;""","""&amp;B369&amp;""",TRUE'"</f>
        <v>'readMore "FP_CfgGroup1Btn1","Forside","FP_CfgText1b",TRUE'</v>
      </c>
      <c r="N368" s="110" t="s">
        <v>59</v>
      </c>
      <c r="O368" s="110" t="str">
        <f>"$L$"&amp;A368</f>
        <v>$L$41</v>
      </c>
      <c r="P368" s="110" t="str">
        <f>"$M$"&amp;A368</f>
        <v>$M$41</v>
      </c>
      <c r="Q368" s="110">
        <v>5</v>
      </c>
      <c r="R368" s="110">
        <v>1</v>
      </c>
      <c r="S368" s="110"/>
      <c r="T368" s="110">
        <v>22</v>
      </c>
      <c r="U368" s="110" t="b">
        <v>1</v>
      </c>
      <c r="V368" s="110" t="s">
        <v>1344</v>
      </c>
      <c r="W368" s="110" t="s">
        <v>1343</v>
      </c>
      <c r="X368" s="110"/>
      <c r="Y368" s="110"/>
      <c r="Z368" s="110"/>
      <c r="AA368" s="110"/>
      <c r="AB368" s="110"/>
      <c r="AC368" s="110">
        <v>5</v>
      </c>
      <c r="AD368" s="110" t="s">
        <v>105</v>
      </c>
      <c r="AE368" s="110">
        <v>12</v>
      </c>
      <c r="AF368" s="110"/>
      <c r="AG368" s="110" t="s">
        <v>1351</v>
      </c>
      <c r="AH368" s="110" t="s">
        <v>29</v>
      </c>
      <c r="AI368" s="110" t="s">
        <v>29</v>
      </c>
      <c r="AJ368" s="110"/>
      <c r="AK368" s="110"/>
      <c r="AL368" s="110"/>
      <c r="AM368" s="110"/>
      <c r="AN368" s="110">
        <v>2</v>
      </c>
      <c r="AO368" s="110"/>
      <c r="AP368" s="110"/>
    </row>
    <row r="369" spans="1:42" ht="16.5" customHeight="1" x14ac:dyDescent="0.2">
      <c r="A369" s="100">
        <f>$A$366+4</f>
        <v>43</v>
      </c>
      <c r="B369" s="100" t="s">
        <v>866</v>
      </c>
      <c r="C369" s="100" t="s">
        <v>649</v>
      </c>
      <c r="D369" s="100"/>
      <c r="E369" s="100"/>
      <c r="F369" s="100"/>
      <c r="G369" s="100" t="s">
        <v>1154</v>
      </c>
      <c r="H369" s="100"/>
      <c r="I369" s="100" t="s">
        <v>196</v>
      </c>
      <c r="J369" s="100" t="b">
        <f t="shared" si="24"/>
        <v>1</v>
      </c>
      <c r="K369" s="100" t="b">
        <v>1</v>
      </c>
      <c r="L369" s="100" t="b">
        <v>1</v>
      </c>
      <c r="M369" s="100"/>
      <c r="N369" s="100" t="s">
        <v>59</v>
      </c>
      <c r="O369" s="100" t="str">
        <f>"$D$"&amp;A369</f>
        <v>$D$43</v>
      </c>
      <c r="P369" s="100" t="str">
        <f>"$M$"&amp;A369</f>
        <v>$M$43</v>
      </c>
      <c r="Q369" s="100"/>
      <c r="R369" s="100"/>
      <c r="S369" s="100"/>
      <c r="T369" s="100">
        <v>172</v>
      </c>
      <c r="U369" s="100" t="b">
        <v>1</v>
      </c>
      <c r="V369" s="100" t="s">
        <v>1341</v>
      </c>
      <c r="W369" s="100" t="s">
        <v>1341</v>
      </c>
      <c r="X369" s="100"/>
      <c r="Y369" s="100"/>
      <c r="Z369" s="100"/>
      <c r="AA369" s="100"/>
      <c r="AB369" s="100">
        <v>3</v>
      </c>
      <c r="AC369" s="100">
        <v>5</v>
      </c>
      <c r="AD369" s="100" t="s">
        <v>105</v>
      </c>
      <c r="AE369" s="100">
        <v>12</v>
      </c>
      <c r="AF369" s="100" t="b">
        <v>0</v>
      </c>
      <c r="AG369" s="100" t="s">
        <v>1355</v>
      </c>
      <c r="AH369" s="100" t="s">
        <v>27</v>
      </c>
      <c r="AI369" s="100" t="s">
        <v>28</v>
      </c>
      <c r="AJ369" s="100"/>
      <c r="AK369" s="100"/>
      <c r="AL369" s="100">
        <v>0</v>
      </c>
      <c r="AM369" s="100"/>
      <c r="AN369" s="100"/>
      <c r="AO369" s="100"/>
      <c r="AP369" s="100"/>
    </row>
    <row r="370" spans="1:42" ht="16.5" customHeight="1" x14ac:dyDescent="0.2">
      <c r="A370" s="104">
        <f>$A$366+6</f>
        <v>45</v>
      </c>
      <c r="B370" s="104" t="s">
        <v>865</v>
      </c>
      <c r="C370" s="104" t="s">
        <v>657</v>
      </c>
      <c r="D370" s="104" t="s">
        <v>865</v>
      </c>
      <c r="E370" s="104"/>
      <c r="F370" s="104"/>
      <c r="G370" s="104" t="s">
        <v>1154</v>
      </c>
      <c r="H370" s="104"/>
      <c r="I370" s="104" t="str">
        <f>B370</f>
        <v>FP_CfgGroup1</v>
      </c>
      <c r="J370" s="104" t="b">
        <f t="shared" si="24"/>
        <v>1</v>
      </c>
      <c r="K370" s="104" t="b">
        <f>$C$3</f>
        <v>0</v>
      </c>
      <c r="L370" s="104"/>
      <c r="M370" s="104"/>
      <c r="N370" s="104" t="s">
        <v>59</v>
      </c>
      <c r="O370" s="104" t="str">
        <f>"$D$"&amp;A370</f>
        <v>$D$45</v>
      </c>
      <c r="P370" s="104" t="str">
        <f>"$H$"&amp;A370+2</f>
        <v>$H$47</v>
      </c>
      <c r="Q370" s="104">
        <v>-5</v>
      </c>
      <c r="R370" s="104">
        <v>3</v>
      </c>
      <c r="S370" s="104"/>
      <c r="T370" s="104"/>
      <c r="U370" s="104"/>
      <c r="V370" s="104"/>
      <c r="W370" s="104"/>
      <c r="X370" s="104"/>
      <c r="Y370" s="104"/>
      <c r="Z370" s="104"/>
      <c r="AA370" s="104"/>
      <c r="AB370" s="104"/>
      <c r="AC370" s="104">
        <v>16</v>
      </c>
      <c r="AD370" s="104"/>
      <c r="AE370" s="104"/>
      <c r="AF370" s="104"/>
      <c r="AG370" s="104"/>
      <c r="AH370" s="104" t="s">
        <v>27</v>
      </c>
      <c r="AI370" s="104" t="s">
        <v>28</v>
      </c>
      <c r="AJ370" s="104"/>
      <c r="AK370" s="104"/>
      <c r="AL370" s="104"/>
      <c r="AM370" s="104"/>
      <c r="AN370" s="104"/>
      <c r="AO370" s="104"/>
      <c r="AP370" s="104"/>
    </row>
    <row r="371" spans="1:42" ht="16.5" customHeight="1" x14ac:dyDescent="0.2">
      <c r="A371" s="105">
        <f>$A$366+6</f>
        <v>45</v>
      </c>
      <c r="B371" s="105" t="s">
        <v>892</v>
      </c>
      <c r="C371" s="105" t="s">
        <v>659</v>
      </c>
      <c r="D371" s="105" t="s">
        <v>865</v>
      </c>
      <c r="E371" s="105"/>
      <c r="F371" s="105"/>
      <c r="G371" s="105" t="s">
        <v>1154</v>
      </c>
      <c r="H371" s="105" t="b">
        <v>1</v>
      </c>
      <c r="I371" s="105" t="s">
        <v>139</v>
      </c>
      <c r="J371" s="105" t="b">
        <f t="shared" si="24"/>
        <v>1</v>
      </c>
      <c r="K371" s="105" t="b">
        <v>1</v>
      </c>
      <c r="L371" s="105"/>
      <c r="M371" s="105" t="str">
        <f>"'setType """&amp;B371&amp;"""'"</f>
        <v>'setType "FP_CfgGroup1R1"'</v>
      </c>
      <c r="N371" s="105" t="s">
        <v>59</v>
      </c>
      <c r="O371" s="105" t="str">
        <f>"$D$"&amp;A371</f>
        <v>$D$45</v>
      </c>
      <c r="P371" s="105" t="str">
        <f>"$H$"&amp;A371</f>
        <v>$H$45</v>
      </c>
      <c r="Q371" s="105"/>
      <c r="R371" s="105">
        <v>3</v>
      </c>
      <c r="S371" s="105"/>
      <c r="T371" s="105">
        <v>22</v>
      </c>
      <c r="U371" s="105" t="b">
        <v>1</v>
      </c>
      <c r="V371" s="105" t="s">
        <v>1343</v>
      </c>
      <c r="W371" s="105" t="s">
        <v>1356</v>
      </c>
      <c r="X371" s="105"/>
      <c r="Y371" s="105"/>
      <c r="Z371" s="105"/>
      <c r="AA371" s="105"/>
      <c r="AB371" s="105"/>
      <c r="AC371" s="105">
        <v>16</v>
      </c>
      <c r="AD371" s="105"/>
      <c r="AE371" s="105">
        <v>12</v>
      </c>
      <c r="AF371" s="105" t="b">
        <v>0</v>
      </c>
      <c r="AG371" s="105" t="s">
        <v>1355</v>
      </c>
      <c r="AH371" s="105" t="s">
        <v>27</v>
      </c>
      <c r="AI371" s="105" t="s">
        <v>28</v>
      </c>
      <c r="AJ371" s="105"/>
      <c r="AK371" s="105"/>
      <c r="AL371" s="105">
        <v>0</v>
      </c>
      <c r="AM371" s="105"/>
      <c r="AN371" s="105"/>
      <c r="AO371" s="105"/>
      <c r="AP371" s="105"/>
    </row>
    <row r="372" spans="1:42" ht="16.5" customHeight="1" x14ac:dyDescent="0.2">
      <c r="A372" s="105">
        <f>$A$366+7</f>
        <v>46</v>
      </c>
      <c r="B372" s="105" t="s">
        <v>893</v>
      </c>
      <c r="C372" s="105" t="s">
        <v>659</v>
      </c>
      <c r="D372" s="105" t="s">
        <v>865</v>
      </c>
      <c r="E372" s="105"/>
      <c r="F372" s="105"/>
      <c r="G372" s="105" t="s">
        <v>1154</v>
      </c>
      <c r="H372" s="105" t="b">
        <v>0</v>
      </c>
      <c r="I372" s="105" t="s">
        <v>187</v>
      </c>
      <c r="J372" s="105" t="b">
        <f t="shared" si="24"/>
        <v>1</v>
      </c>
      <c r="K372" s="105" t="b">
        <v>1</v>
      </c>
      <c r="L372" s="105"/>
      <c r="M372" s="105" t="str">
        <f>"'setType """&amp;B372&amp;"""'"</f>
        <v>'setType "FP_CfgGroup1R2"'</v>
      </c>
      <c r="N372" s="105" t="s">
        <v>59</v>
      </c>
      <c r="O372" s="105" t="str">
        <f>"$D$"&amp;A372</f>
        <v>$D$46</v>
      </c>
      <c r="P372" s="105" t="str">
        <f>"$H$"&amp;A372</f>
        <v>$H$46</v>
      </c>
      <c r="Q372" s="105"/>
      <c r="R372" s="105">
        <v>3</v>
      </c>
      <c r="S372" s="105"/>
      <c r="T372" s="105">
        <v>22</v>
      </c>
      <c r="U372" s="105" t="b">
        <v>1</v>
      </c>
      <c r="V372" s="105" t="s">
        <v>1343</v>
      </c>
      <c r="W372" s="105" t="s">
        <v>1356</v>
      </c>
      <c r="X372" s="105"/>
      <c r="Y372" s="105"/>
      <c r="Z372" s="105"/>
      <c r="AA372" s="105"/>
      <c r="AB372" s="105"/>
      <c r="AC372" s="105">
        <v>16</v>
      </c>
      <c r="AD372" s="105"/>
      <c r="AE372" s="105">
        <v>12</v>
      </c>
      <c r="AF372" s="105" t="b">
        <v>0</v>
      </c>
      <c r="AG372" s="105" t="s">
        <v>1355</v>
      </c>
      <c r="AH372" s="105" t="s">
        <v>27</v>
      </c>
      <c r="AI372" s="105" t="s">
        <v>28</v>
      </c>
      <c r="AJ372" s="105"/>
      <c r="AK372" s="105"/>
      <c r="AL372" s="105">
        <v>0</v>
      </c>
      <c r="AM372" s="105"/>
      <c r="AN372" s="105"/>
      <c r="AO372" s="105"/>
      <c r="AP372" s="105"/>
    </row>
    <row r="373" spans="1:42" ht="16.5" customHeight="1" x14ac:dyDescent="0.2">
      <c r="A373" s="105">
        <f>$A$366+8</f>
        <v>47</v>
      </c>
      <c r="B373" s="105" t="s">
        <v>894</v>
      </c>
      <c r="C373" s="105" t="s">
        <v>659</v>
      </c>
      <c r="D373" s="105" t="s">
        <v>865</v>
      </c>
      <c r="E373" s="105"/>
      <c r="F373" s="105"/>
      <c r="G373" s="105" t="s">
        <v>1154</v>
      </c>
      <c r="H373" s="105" t="b">
        <v>0</v>
      </c>
      <c r="I373" s="105" t="s">
        <v>140</v>
      </c>
      <c r="J373" s="105" t="b">
        <f t="shared" si="24"/>
        <v>1</v>
      </c>
      <c r="K373" s="105" t="b">
        <v>1</v>
      </c>
      <c r="L373" s="105"/>
      <c r="M373" s="105" t="str">
        <f>"'setType """&amp;B373&amp;"""'"</f>
        <v>'setType "FP_CfgGroup1R3"'</v>
      </c>
      <c r="N373" s="105" t="s">
        <v>59</v>
      </c>
      <c r="O373" s="105" t="str">
        <f>"$D$"&amp;A373</f>
        <v>$D$47</v>
      </c>
      <c r="P373" s="105" t="str">
        <f>"$H$"&amp;A373</f>
        <v>$H$47</v>
      </c>
      <c r="Q373" s="105"/>
      <c r="R373" s="105">
        <v>3</v>
      </c>
      <c r="S373" s="105"/>
      <c r="T373" s="105">
        <v>22</v>
      </c>
      <c r="U373" s="105" t="b">
        <v>1</v>
      </c>
      <c r="V373" s="105" t="s">
        <v>1343</v>
      </c>
      <c r="W373" s="105" t="s">
        <v>1356</v>
      </c>
      <c r="X373" s="105"/>
      <c r="Y373" s="105"/>
      <c r="Z373" s="105"/>
      <c r="AA373" s="105"/>
      <c r="AB373" s="105"/>
      <c r="AC373" s="105">
        <v>16</v>
      </c>
      <c r="AD373" s="105"/>
      <c r="AE373" s="105">
        <v>12</v>
      </c>
      <c r="AF373" s="105" t="b">
        <v>0</v>
      </c>
      <c r="AG373" s="105" t="s">
        <v>1355</v>
      </c>
      <c r="AH373" s="105" t="s">
        <v>27</v>
      </c>
      <c r="AI373" s="105" t="s">
        <v>28</v>
      </c>
      <c r="AJ373" s="105"/>
      <c r="AK373" s="105"/>
      <c r="AL373" s="105">
        <v>0</v>
      </c>
      <c r="AM373" s="105"/>
      <c r="AN373" s="105"/>
      <c r="AO373" s="105"/>
      <c r="AP373" s="105"/>
    </row>
    <row r="374" spans="1:42" ht="16.5" customHeight="1" x14ac:dyDescent="0.2">
      <c r="A374" s="106">
        <f>$A$366+11</f>
        <v>50</v>
      </c>
      <c r="B374" s="106" t="s">
        <v>867</v>
      </c>
      <c r="C374" s="106" t="s">
        <v>655</v>
      </c>
      <c r="D374" s="106"/>
      <c r="E374" s="106"/>
      <c r="F374" s="106"/>
      <c r="G374" s="106" t="s">
        <v>1154</v>
      </c>
      <c r="H374" s="106"/>
      <c r="I374" s="106"/>
      <c r="J374" s="106" t="b">
        <f t="shared" si="24"/>
        <v>1</v>
      </c>
      <c r="K374" s="106" t="b">
        <v>1</v>
      </c>
      <c r="L374" s="106"/>
      <c r="M374" s="106"/>
      <c r="N374" s="106" t="s">
        <v>59</v>
      </c>
      <c r="O374" s="106" t="str">
        <f>"$B$"&amp;A374</f>
        <v>$B$50</v>
      </c>
      <c r="P374" s="106" t="str">
        <f>"$M$"&amp;A374</f>
        <v>$M$50</v>
      </c>
      <c r="Q374" s="106"/>
      <c r="R374" s="106">
        <v>2</v>
      </c>
      <c r="S374" s="106"/>
      <c r="T374" s="106">
        <v>2</v>
      </c>
      <c r="U374" s="106" t="b">
        <v>1</v>
      </c>
      <c r="V374" s="106" t="s">
        <v>1344</v>
      </c>
      <c r="W374" s="106" t="s">
        <v>1343</v>
      </c>
      <c r="X374" s="106"/>
      <c r="Y374" s="106"/>
      <c r="Z374" s="106"/>
      <c r="AA374" s="106"/>
      <c r="AB374" s="106"/>
      <c r="AC374" s="106"/>
      <c r="AD374" s="106"/>
      <c r="AE374" s="106"/>
      <c r="AF374" s="106"/>
      <c r="AG374" s="106"/>
      <c r="AH374" s="106"/>
      <c r="AI374" s="106"/>
      <c r="AJ374" s="106"/>
      <c r="AK374" s="106"/>
      <c r="AL374" s="106"/>
      <c r="AM374" s="106"/>
      <c r="AN374" s="106"/>
      <c r="AO374" s="106"/>
      <c r="AP374" s="106"/>
    </row>
    <row r="375" spans="1:42" ht="16.5" customHeight="1" x14ac:dyDescent="0.2">
      <c r="A375" s="100">
        <f>$A$374+3</f>
        <v>53</v>
      </c>
      <c r="B375" s="100" t="s">
        <v>868</v>
      </c>
      <c r="C375" s="100" t="s">
        <v>649</v>
      </c>
      <c r="D375" s="100"/>
      <c r="E375" s="100"/>
      <c r="F375" s="100"/>
      <c r="G375" s="100" t="s">
        <v>1154</v>
      </c>
      <c r="H375" s="100"/>
      <c r="I375" s="100" t="s">
        <v>188</v>
      </c>
      <c r="J375" s="100" t="b">
        <f t="shared" si="24"/>
        <v>1</v>
      </c>
      <c r="K375" s="100" t="b">
        <v>1</v>
      </c>
      <c r="L375" s="100"/>
      <c r="M375" s="100"/>
      <c r="N375" s="100" t="s">
        <v>59</v>
      </c>
      <c r="O375" s="100" t="str">
        <f>"$B$"&amp;A375</f>
        <v>$B$53</v>
      </c>
      <c r="P375" s="100" t="str">
        <f>"$E$"&amp;A375</f>
        <v>$E$53</v>
      </c>
      <c r="Q375" s="100"/>
      <c r="R375" s="100"/>
      <c r="S375" s="100"/>
      <c r="T375" s="100">
        <v>30</v>
      </c>
      <c r="U375" s="100" t="b">
        <v>1</v>
      </c>
      <c r="V375" s="100" t="s">
        <v>1342</v>
      </c>
      <c r="W375" s="100" t="s">
        <v>1342</v>
      </c>
      <c r="X375" s="100"/>
      <c r="Y375" s="100"/>
      <c r="Z375" s="100"/>
      <c r="AA375" s="100"/>
      <c r="AB375" s="100">
        <v>3</v>
      </c>
      <c r="AC375" s="100">
        <v>5</v>
      </c>
      <c r="AD375" s="100" t="s">
        <v>105</v>
      </c>
      <c r="AE375" s="100">
        <v>14</v>
      </c>
      <c r="AF375" s="100" t="b">
        <v>1</v>
      </c>
      <c r="AG375" s="100" t="s">
        <v>1355</v>
      </c>
      <c r="AH375" s="100" t="s">
        <v>29</v>
      </c>
      <c r="AI375" s="100" t="s">
        <v>28</v>
      </c>
      <c r="AJ375" s="100"/>
      <c r="AK375" s="100"/>
      <c r="AL375" s="100">
        <v>0</v>
      </c>
      <c r="AM375" s="100"/>
      <c r="AN375" s="100"/>
      <c r="AO375" s="100"/>
      <c r="AP375" s="100"/>
    </row>
    <row r="376" spans="1:42" ht="16.5" customHeight="1" x14ac:dyDescent="0.2">
      <c r="A376" s="110">
        <f>$A$374+3</f>
        <v>53</v>
      </c>
      <c r="B376" s="110" t="s">
        <v>869</v>
      </c>
      <c r="C376" s="110" t="s">
        <v>656</v>
      </c>
      <c r="D376" s="110"/>
      <c r="E376" s="110"/>
      <c r="F376" s="110"/>
      <c r="G376" s="110" t="s">
        <v>1154</v>
      </c>
      <c r="H376" s="110"/>
      <c r="I376" s="110" t="str">
        <f>IF(L376,"Luk","Hjælp")</f>
        <v>Hjælp</v>
      </c>
      <c r="J376" s="110" t="b">
        <f t="shared" si="24"/>
        <v>1</v>
      </c>
      <c r="K376" s="110" t="b">
        <v>1</v>
      </c>
      <c r="L376" s="110" t="b">
        <v>0</v>
      </c>
      <c r="M376" s="110" t="str">
        <f>"'readMore """&amp;B376&amp;""","""&amp;G376&amp;""","""&amp;B377&amp;""",TRUE'"</f>
        <v>'readMore "FP_CfgGroup2Btn2","Forside","FP_CfgText2b",TRUE'</v>
      </c>
      <c r="N376" s="110" t="s">
        <v>59</v>
      </c>
      <c r="O376" s="110" t="str">
        <f>"$L$"&amp;A376</f>
        <v>$L$53</v>
      </c>
      <c r="P376" s="110" t="str">
        <f>"$M$"&amp;A376</f>
        <v>$M$53</v>
      </c>
      <c r="Q376" s="110">
        <v>5</v>
      </c>
      <c r="R376" s="110">
        <v>1</v>
      </c>
      <c r="S376" s="110"/>
      <c r="T376" s="110">
        <v>22</v>
      </c>
      <c r="U376" s="110" t="b">
        <v>1</v>
      </c>
      <c r="V376" s="110" t="s">
        <v>1344</v>
      </c>
      <c r="W376" s="110" t="s">
        <v>1343</v>
      </c>
      <c r="X376" s="110"/>
      <c r="Y376" s="110"/>
      <c r="Z376" s="110"/>
      <c r="AA376" s="110"/>
      <c r="AB376" s="110"/>
      <c r="AC376" s="110">
        <v>5</v>
      </c>
      <c r="AD376" s="110" t="s">
        <v>105</v>
      </c>
      <c r="AE376" s="110">
        <v>12</v>
      </c>
      <c r="AF376" s="110"/>
      <c r="AG376" s="110" t="s">
        <v>1351</v>
      </c>
      <c r="AH376" s="110" t="s">
        <v>29</v>
      </c>
      <c r="AI376" s="110" t="s">
        <v>29</v>
      </c>
      <c r="AJ376" s="110"/>
      <c r="AK376" s="110"/>
      <c r="AL376" s="110"/>
      <c r="AM376" s="110"/>
      <c r="AN376" s="110">
        <v>2</v>
      </c>
      <c r="AO376" s="110"/>
      <c r="AP376" s="110"/>
    </row>
    <row r="377" spans="1:42" ht="16.5" customHeight="1" x14ac:dyDescent="0.2">
      <c r="A377" s="100">
        <f>$A$374+5</f>
        <v>55</v>
      </c>
      <c r="B377" s="100" t="s">
        <v>882</v>
      </c>
      <c r="C377" s="100" t="s">
        <v>649</v>
      </c>
      <c r="D377" s="100"/>
      <c r="E377" s="100"/>
      <c r="F377" s="100"/>
      <c r="G377" s="100" t="s">
        <v>1154</v>
      </c>
      <c r="H377" s="100"/>
      <c r="I377" s="100" t="s">
        <v>1268</v>
      </c>
      <c r="J377" s="100" t="b">
        <f t="shared" si="24"/>
        <v>1</v>
      </c>
      <c r="K377" s="100" t="b">
        <v>1</v>
      </c>
      <c r="L377" s="100" t="b">
        <v>1</v>
      </c>
      <c r="M377" s="100"/>
      <c r="N377" s="100" t="s">
        <v>59</v>
      </c>
      <c r="O377" s="100" t="str">
        <f>"$D$"&amp;A377</f>
        <v>$D$55</v>
      </c>
      <c r="P377" s="100" t="str">
        <f>"$M$"&amp;A377</f>
        <v>$M$55</v>
      </c>
      <c r="Q377" s="100"/>
      <c r="R377" s="100"/>
      <c r="S377" s="100"/>
      <c r="T377" s="100">
        <v>166</v>
      </c>
      <c r="U377" s="100" t="b">
        <v>1</v>
      </c>
      <c r="V377" s="100" t="s">
        <v>1341</v>
      </c>
      <c r="W377" s="100" t="s">
        <v>1341</v>
      </c>
      <c r="X377" s="100"/>
      <c r="Y377" s="100"/>
      <c r="Z377" s="100"/>
      <c r="AA377" s="100"/>
      <c r="AB377" s="100">
        <v>3</v>
      </c>
      <c r="AC377" s="100">
        <v>5</v>
      </c>
      <c r="AD377" s="100" t="s">
        <v>105</v>
      </c>
      <c r="AE377" s="100">
        <v>12</v>
      </c>
      <c r="AF377" s="100" t="b">
        <v>0</v>
      </c>
      <c r="AG377" s="100" t="s">
        <v>1355</v>
      </c>
      <c r="AH377" s="100" t="s">
        <v>27</v>
      </c>
      <c r="AI377" s="100" t="s">
        <v>28</v>
      </c>
      <c r="AJ377" s="100"/>
      <c r="AK377" s="100"/>
      <c r="AL377" s="100">
        <v>0</v>
      </c>
      <c r="AM377" s="100"/>
      <c r="AN377" s="100"/>
      <c r="AO377" s="100"/>
      <c r="AP377" s="100"/>
    </row>
    <row r="378" spans="1:42" ht="16.5" customHeight="1" x14ac:dyDescent="0.2">
      <c r="A378" s="104">
        <f>$A$374+7</f>
        <v>57</v>
      </c>
      <c r="B378" s="104" t="s">
        <v>870</v>
      </c>
      <c r="C378" s="104" t="s">
        <v>657</v>
      </c>
      <c r="D378" s="104" t="s">
        <v>870</v>
      </c>
      <c r="E378" s="104"/>
      <c r="F378" s="104"/>
      <c r="G378" s="104" t="s">
        <v>1154</v>
      </c>
      <c r="H378" s="104"/>
      <c r="I378" s="104" t="str">
        <f>B378</f>
        <v>FP_CfgGroup2</v>
      </c>
      <c r="J378" s="104" t="b">
        <f t="shared" si="24"/>
        <v>1</v>
      </c>
      <c r="K378" s="104" t="b">
        <f>$C$3</f>
        <v>0</v>
      </c>
      <c r="L378" s="104"/>
      <c r="M378" s="104"/>
      <c r="N378" s="104" t="s">
        <v>59</v>
      </c>
      <c r="O378" s="104" t="str">
        <f>"$D$"&amp;A378</f>
        <v>$D$57</v>
      </c>
      <c r="P378" s="104" t="str">
        <f>"$H$"&amp;A378+1</f>
        <v>$H$58</v>
      </c>
      <c r="Q378" s="104">
        <v>-5</v>
      </c>
      <c r="R378" s="104">
        <v>3</v>
      </c>
      <c r="S378" s="104"/>
      <c r="T378" s="104"/>
      <c r="U378" s="104"/>
      <c r="V378" s="104"/>
      <c r="W378" s="104"/>
      <c r="X378" s="104"/>
      <c r="Y378" s="104"/>
      <c r="Z378" s="104"/>
      <c r="AA378" s="104"/>
      <c r="AB378" s="104"/>
      <c r="AC378" s="104">
        <v>16</v>
      </c>
      <c r="AD378" s="104"/>
      <c r="AE378" s="104"/>
      <c r="AF378" s="104"/>
      <c r="AG378" s="104"/>
      <c r="AH378" s="104" t="s">
        <v>27</v>
      </c>
      <c r="AI378" s="104" t="s">
        <v>28</v>
      </c>
      <c r="AJ378" s="104"/>
      <c r="AK378" s="104"/>
      <c r="AL378" s="104"/>
      <c r="AM378" s="104"/>
      <c r="AN378" s="104"/>
      <c r="AO378" s="104"/>
      <c r="AP378" s="104"/>
    </row>
    <row r="379" spans="1:42" ht="16.5" customHeight="1" x14ac:dyDescent="0.2">
      <c r="A379" s="105">
        <f>$A$374+7</f>
        <v>57</v>
      </c>
      <c r="B379" s="105" t="s">
        <v>871</v>
      </c>
      <c r="C379" s="105" t="s">
        <v>659</v>
      </c>
      <c r="D379" s="105" t="s">
        <v>870</v>
      </c>
      <c r="E379" s="105"/>
      <c r="F379" s="105"/>
      <c r="G379" s="105" t="s">
        <v>1154</v>
      </c>
      <c r="H379" s="105" t="b">
        <v>1</v>
      </c>
      <c r="I379" s="105" t="s">
        <v>189</v>
      </c>
      <c r="J379" s="105" t="b">
        <f t="shared" si="24"/>
        <v>1</v>
      </c>
      <c r="K379" s="105" t="b">
        <v>1</v>
      </c>
      <c r="L379" s="105"/>
      <c r="M379" s="105" t="str">
        <f>"'setType """&amp;B379&amp;"""'"</f>
        <v>'setType "FP_CfgGroup2R1"'</v>
      </c>
      <c r="N379" s="105" t="s">
        <v>59</v>
      </c>
      <c r="O379" s="105" t="str">
        <f>"$D$"&amp;A379</f>
        <v>$D$57</v>
      </c>
      <c r="P379" s="105" t="str">
        <f>"$H$"&amp;A379</f>
        <v>$H$57</v>
      </c>
      <c r="Q379" s="105"/>
      <c r="R379" s="105">
        <v>3</v>
      </c>
      <c r="S379" s="105"/>
      <c r="T379" s="105">
        <v>22</v>
      </c>
      <c r="U379" s="105" t="b">
        <v>1</v>
      </c>
      <c r="V379" s="105" t="s">
        <v>1343</v>
      </c>
      <c r="W379" s="105" t="s">
        <v>1356</v>
      </c>
      <c r="X379" s="105"/>
      <c r="Y379" s="105"/>
      <c r="Z379" s="105"/>
      <c r="AA379" s="105"/>
      <c r="AB379" s="105"/>
      <c r="AC379" s="105">
        <v>16</v>
      </c>
      <c r="AD379" s="105"/>
      <c r="AE379" s="105">
        <v>12</v>
      </c>
      <c r="AF379" s="105" t="b">
        <v>0</v>
      </c>
      <c r="AG379" s="105" t="s">
        <v>1355</v>
      </c>
      <c r="AH379" s="105" t="s">
        <v>27</v>
      </c>
      <c r="AI379" s="105" t="s">
        <v>28</v>
      </c>
      <c r="AJ379" s="105"/>
      <c r="AK379" s="105"/>
      <c r="AL379" s="105">
        <v>0</v>
      </c>
      <c r="AM379" s="105"/>
      <c r="AN379" s="105"/>
      <c r="AO379" s="105"/>
      <c r="AP379" s="105"/>
    </row>
    <row r="380" spans="1:42" ht="16.5" customHeight="1" x14ac:dyDescent="0.2">
      <c r="A380" s="105">
        <f>$A$374+8</f>
        <v>58</v>
      </c>
      <c r="B380" s="105" t="s">
        <v>872</v>
      </c>
      <c r="C380" s="105" t="s">
        <v>659</v>
      </c>
      <c r="D380" s="105" t="s">
        <v>870</v>
      </c>
      <c r="E380" s="105"/>
      <c r="F380" s="105"/>
      <c r="G380" s="105" t="s">
        <v>1154</v>
      </c>
      <c r="H380" s="105" t="b">
        <v>0</v>
      </c>
      <c r="I380" s="105" t="s">
        <v>190</v>
      </c>
      <c r="J380" s="105" t="b">
        <f t="shared" si="24"/>
        <v>1</v>
      </c>
      <c r="K380" s="105" t="b">
        <v>1</v>
      </c>
      <c r="L380" s="105"/>
      <c r="M380" s="105" t="str">
        <f>"'setType """&amp;B380&amp;"""'"</f>
        <v>'setType "FP_CfgGroup2R2"'</v>
      </c>
      <c r="N380" s="105" t="s">
        <v>59</v>
      </c>
      <c r="O380" s="105" t="str">
        <f>"$D$"&amp;A380</f>
        <v>$D$58</v>
      </c>
      <c r="P380" s="105" t="str">
        <f>"$H$"&amp;A380</f>
        <v>$H$58</v>
      </c>
      <c r="Q380" s="105"/>
      <c r="R380" s="105">
        <v>3</v>
      </c>
      <c r="S380" s="105"/>
      <c r="T380" s="105">
        <v>22</v>
      </c>
      <c r="U380" s="105" t="b">
        <v>1</v>
      </c>
      <c r="V380" s="105" t="s">
        <v>1343</v>
      </c>
      <c r="W380" s="105" t="s">
        <v>1356</v>
      </c>
      <c r="X380" s="105"/>
      <c r="Y380" s="105"/>
      <c r="Z380" s="105"/>
      <c r="AA380" s="105"/>
      <c r="AB380" s="105"/>
      <c r="AC380" s="105">
        <v>16</v>
      </c>
      <c r="AD380" s="105"/>
      <c r="AE380" s="105">
        <v>12</v>
      </c>
      <c r="AF380" s="105" t="b">
        <v>0</v>
      </c>
      <c r="AG380" s="105" t="s">
        <v>1355</v>
      </c>
      <c r="AH380" s="105" t="s">
        <v>27</v>
      </c>
      <c r="AI380" s="105" t="s">
        <v>28</v>
      </c>
      <c r="AJ380" s="105"/>
      <c r="AK380" s="105"/>
      <c r="AL380" s="105">
        <v>0</v>
      </c>
      <c r="AM380" s="105"/>
      <c r="AN380" s="105"/>
      <c r="AO380" s="105"/>
      <c r="AP380" s="105"/>
    </row>
    <row r="381" spans="1:42" ht="16.5" customHeight="1" x14ac:dyDescent="0.2">
      <c r="A381" s="106">
        <f>$A$374+11</f>
        <v>61</v>
      </c>
      <c r="B381" s="106" t="s">
        <v>883</v>
      </c>
      <c r="C381" s="106" t="s">
        <v>655</v>
      </c>
      <c r="D381" s="106"/>
      <c r="E381" s="106"/>
      <c r="F381" s="106"/>
      <c r="G381" s="106" t="s">
        <v>1154</v>
      </c>
      <c r="H381" s="106"/>
      <c r="I381" s="106"/>
      <c r="J381" s="106" t="b">
        <f t="shared" si="24"/>
        <v>1</v>
      </c>
      <c r="K381" s="106" t="b">
        <v>1</v>
      </c>
      <c r="L381" s="106"/>
      <c r="M381" s="106"/>
      <c r="N381" s="106" t="s">
        <v>59</v>
      </c>
      <c r="O381" s="106" t="str">
        <f>"$B$"&amp;A381</f>
        <v>$B$61</v>
      </c>
      <c r="P381" s="106" t="str">
        <f>"$M$"&amp;A381</f>
        <v>$M$61</v>
      </c>
      <c r="Q381" s="106"/>
      <c r="R381" s="106">
        <v>2</v>
      </c>
      <c r="S381" s="106"/>
      <c r="T381" s="106">
        <v>2</v>
      </c>
      <c r="U381" s="106" t="b">
        <v>1</v>
      </c>
      <c r="V381" s="106" t="s">
        <v>1344</v>
      </c>
      <c r="W381" s="106" t="s">
        <v>1343</v>
      </c>
      <c r="X381" s="106"/>
      <c r="Y381" s="106"/>
      <c r="Z381" s="106"/>
      <c r="AA381" s="106"/>
      <c r="AB381" s="106"/>
      <c r="AC381" s="106"/>
      <c r="AD381" s="106"/>
      <c r="AE381" s="106"/>
      <c r="AF381" s="106"/>
      <c r="AG381" s="106"/>
      <c r="AH381" s="106"/>
      <c r="AI381" s="106"/>
      <c r="AJ381" s="106"/>
      <c r="AK381" s="106"/>
      <c r="AL381" s="106"/>
      <c r="AM381" s="106"/>
      <c r="AN381" s="106"/>
      <c r="AO381" s="106"/>
      <c r="AP381" s="106"/>
    </row>
    <row r="382" spans="1:42" ht="16.5" customHeight="1" x14ac:dyDescent="0.2">
      <c r="A382" s="100">
        <f>$A$381+2</f>
        <v>63</v>
      </c>
      <c r="B382" s="100" t="s">
        <v>877</v>
      </c>
      <c r="C382" s="100" t="s">
        <v>649</v>
      </c>
      <c r="D382" s="100"/>
      <c r="E382" s="100"/>
      <c r="F382" s="100"/>
      <c r="G382" s="100" t="s">
        <v>1154</v>
      </c>
      <c r="H382" s="100"/>
      <c r="I382" s="100" t="s">
        <v>193</v>
      </c>
      <c r="J382" s="100" t="b">
        <f t="shared" si="24"/>
        <v>1</v>
      </c>
      <c r="K382" s="100" t="b">
        <v>1</v>
      </c>
      <c r="L382" s="100"/>
      <c r="M382" s="100"/>
      <c r="N382" s="100" t="s">
        <v>59</v>
      </c>
      <c r="O382" s="100" t="str">
        <f>"$B$"&amp;A382</f>
        <v>$B$63</v>
      </c>
      <c r="P382" s="100" t="str">
        <f>"$E$"&amp;A382</f>
        <v>$E$63</v>
      </c>
      <c r="Q382" s="100"/>
      <c r="R382" s="100"/>
      <c r="S382" s="100"/>
      <c r="T382" s="100">
        <v>30</v>
      </c>
      <c r="U382" s="100" t="b">
        <v>1</v>
      </c>
      <c r="V382" s="100" t="s">
        <v>1342</v>
      </c>
      <c r="W382" s="100" t="s">
        <v>1342</v>
      </c>
      <c r="X382" s="100"/>
      <c r="Y382" s="100"/>
      <c r="Z382" s="100"/>
      <c r="AA382" s="100"/>
      <c r="AB382" s="100"/>
      <c r="AC382" s="100">
        <v>5</v>
      </c>
      <c r="AD382" s="100" t="s">
        <v>105</v>
      </c>
      <c r="AE382" s="100">
        <v>14</v>
      </c>
      <c r="AF382" s="100" t="b">
        <v>1</v>
      </c>
      <c r="AG382" s="100" t="s">
        <v>1355</v>
      </c>
      <c r="AH382" s="100" t="s">
        <v>29</v>
      </c>
      <c r="AI382" s="100" t="s">
        <v>28</v>
      </c>
      <c r="AJ382" s="100"/>
      <c r="AK382" s="100"/>
      <c r="AL382" s="100">
        <v>0</v>
      </c>
      <c r="AM382" s="100"/>
      <c r="AN382" s="100"/>
      <c r="AO382" s="100"/>
      <c r="AP382" s="100"/>
    </row>
    <row r="383" spans="1:42" ht="16.5" customHeight="1" x14ac:dyDescent="0.2">
      <c r="A383" s="110">
        <f>$A$381+2</f>
        <v>63</v>
      </c>
      <c r="B383" s="110" t="s">
        <v>875</v>
      </c>
      <c r="C383" s="110" t="s">
        <v>656</v>
      </c>
      <c r="D383" s="110"/>
      <c r="E383" s="110"/>
      <c r="F383" s="110"/>
      <c r="G383" s="110" t="s">
        <v>1154</v>
      </c>
      <c r="H383" s="110"/>
      <c r="I383" s="110" t="str">
        <f>IF(L383,"Luk","Hjælp")</f>
        <v>Hjælp</v>
      </c>
      <c r="J383" s="110" t="b">
        <f t="shared" si="24"/>
        <v>1</v>
      </c>
      <c r="K383" s="110" t="b">
        <v>1</v>
      </c>
      <c r="L383" s="110" t="b">
        <v>0</v>
      </c>
      <c r="M383" s="110" t="str">
        <f>"'readMore """&amp;B383&amp;""","""&amp;G383&amp;""","""&amp;B384&amp;""",TRUE'"</f>
        <v>'readMore "FP_CfgGroup3Btn3","Forside","FP_CfgText3b",TRUE'</v>
      </c>
      <c r="N383" s="110" t="s">
        <v>59</v>
      </c>
      <c r="O383" s="110" t="str">
        <f>"$L$"&amp;A383</f>
        <v>$L$63</v>
      </c>
      <c r="P383" s="110" t="str">
        <f>"$M$"&amp;A383</f>
        <v>$M$63</v>
      </c>
      <c r="Q383" s="110">
        <v>5</v>
      </c>
      <c r="R383" s="110">
        <v>1</v>
      </c>
      <c r="S383" s="110"/>
      <c r="T383" s="110">
        <v>22</v>
      </c>
      <c r="U383" s="110" t="b">
        <v>1</v>
      </c>
      <c r="V383" s="110" t="s">
        <v>1344</v>
      </c>
      <c r="W383" s="110" t="s">
        <v>1343</v>
      </c>
      <c r="X383" s="110"/>
      <c r="Y383" s="110"/>
      <c r="Z383" s="110"/>
      <c r="AA383" s="110"/>
      <c r="AB383" s="110">
        <v>3</v>
      </c>
      <c r="AC383" s="110">
        <v>5</v>
      </c>
      <c r="AD383" s="110" t="s">
        <v>105</v>
      </c>
      <c r="AE383" s="110">
        <v>12</v>
      </c>
      <c r="AF383" s="110"/>
      <c r="AG383" s="110" t="s">
        <v>1351</v>
      </c>
      <c r="AH383" s="110" t="s">
        <v>29</v>
      </c>
      <c r="AI383" s="110" t="s">
        <v>29</v>
      </c>
      <c r="AJ383" s="110"/>
      <c r="AK383" s="110"/>
      <c r="AL383" s="110"/>
      <c r="AM383" s="110"/>
      <c r="AN383" s="110">
        <v>2</v>
      </c>
      <c r="AO383" s="110"/>
      <c r="AP383" s="110"/>
    </row>
    <row r="384" spans="1:42" ht="16.5" customHeight="1" x14ac:dyDescent="0.2">
      <c r="A384" s="100">
        <f>$A$381+4</f>
        <v>65</v>
      </c>
      <c r="B384" s="100" t="s">
        <v>878</v>
      </c>
      <c r="C384" s="100" t="s">
        <v>649</v>
      </c>
      <c r="D384" s="100"/>
      <c r="E384" s="100"/>
      <c r="F384" s="100"/>
      <c r="G384" s="100" t="s">
        <v>1154</v>
      </c>
      <c r="H384" s="100"/>
      <c r="I384" s="100" t="s">
        <v>197</v>
      </c>
      <c r="J384" s="100" t="b">
        <f t="shared" si="24"/>
        <v>1</v>
      </c>
      <c r="K384" s="100" t="b">
        <v>1</v>
      </c>
      <c r="L384" s="100" t="b">
        <v>1</v>
      </c>
      <c r="M384" s="100"/>
      <c r="N384" s="100" t="s">
        <v>59</v>
      </c>
      <c r="O384" s="100" t="str">
        <f>"$D$"&amp;A384</f>
        <v>$D$65</v>
      </c>
      <c r="P384" s="100" t="str">
        <f>"$M$"&amp;A384</f>
        <v>$M$65</v>
      </c>
      <c r="Q384" s="100"/>
      <c r="R384" s="100"/>
      <c r="S384" s="100"/>
      <c r="T384" s="100">
        <v>120</v>
      </c>
      <c r="U384" s="100" t="b">
        <v>1</v>
      </c>
      <c r="V384" s="100" t="s">
        <v>1341</v>
      </c>
      <c r="W384" s="100" t="s">
        <v>1341</v>
      </c>
      <c r="X384" s="100"/>
      <c r="Y384" s="100"/>
      <c r="Z384" s="100"/>
      <c r="AA384" s="100"/>
      <c r="AB384" s="100">
        <v>3</v>
      </c>
      <c r="AC384" s="100">
        <v>5</v>
      </c>
      <c r="AD384" s="100" t="s">
        <v>105</v>
      </c>
      <c r="AE384" s="100">
        <v>12</v>
      </c>
      <c r="AF384" s="100" t="b">
        <v>0</v>
      </c>
      <c r="AG384" s="100" t="s">
        <v>1355</v>
      </c>
      <c r="AH384" s="100" t="s">
        <v>27</v>
      </c>
      <c r="AI384" s="100" t="s">
        <v>28</v>
      </c>
      <c r="AJ384" s="100"/>
      <c r="AK384" s="100"/>
      <c r="AL384" s="100">
        <v>0</v>
      </c>
      <c r="AM384" s="100"/>
      <c r="AN384" s="100"/>
      <c r="AO384" s="100"/>
      <c r="AP384" s="100"/>
    </row>
    <row r="385" spans="1:51" ht="16.5" customHeight="1" x14ac:dyDescent="0.2">
      <c r="A385" s="104">
        <f>$A$381+6</f>
        <v>67</v>
      </c>
      <c r="B385" s="104" t="s">
        <v>876</v>
      </c>
      <c r="C385" s="104" t="s">
        <v>657</v>
      </c>
      <c r="D385" s="104" t="s">
        <v>876</v>
      </c>
      <c r="E385" s="104"/>
      <c r="F385" s="104"/>
      <c r="G385" s="104" t="s">
        <v>1154</v>
      </c>
      <c r="H385" s="104"/>
      <c r="I385" s="104" t="str">
        <f>B385</f>
        <v>FP_CfgGroup3</v>
      </c>
      <c r="J385" s="104" t="b">
        <f t="shared" si="24"/>
        <v>1</v>
      </c>
      <c r="K385" s="104" t="b">
        <f>$C$3</f>
        <v>0</v>
      </c>
      <c r="L385" s="104"/>
      <c r="M385" s="104"/>
      <c r="N385" s="104" t="s">
        <v>59</v>
      </c>
      <c r="O385" s="104" t="str">
        <f>"$D$"&amp;A385</f>
        <v>$D$67</v>
      </c>
      <c r="P385" s="104" t="str">
        <f>"$H$"&amp;A385+1</f>
        <v>$H$68</v>
      </c>
      <c r="Q385" s="104">
        <v>-5</v>
      </c>
      <c r="R385" s="104">
        <v>3</v>
      </c>
      <c r="S385" s="104"/>
      <c r="T385" s="104"/>
      <c r="U385" s="104"/>
      <c r="V385" s="104"/>
      <c r="W385" s="104"/>
      <c r="X385" s="104"/>
      <c r="Y385" s="104"/>
      <c r="Z385" s="104"/>
      <c r="AA385" s="104"/>
      <c r="AB385" s="104"/>
      <c r="AC385" s="104">
        <v>16</v>
      </c>
      <c r="AD385" s="104"/>
      <c r="AE385" s="104"/>
      <c r="AF385" s="104"/>
      <c r="AG385" s="104"/>
      <c r="AH385" s="104" t="s">
        <v>27</v>
      </c>
      <c r="AI385" s="104" t="s">
        <v>28</v>
      </c>
      <c r="AJ385" s="104"/>
      <c r="AK385" s="104"/>
      <c r="AL385" s="104"/>
      <c r="AM385" s="104"/>
      <c r="AN385" s="104"/>
      <c r="AO385" s="104"/>
      <c r="AP385" s="104"/>
    </row>
    <row r="386" spans="1:51" ht="16.5" customHeight="1" x14ac:dyDescent="0.2">
      <c r="A386" s="105">
        <f>$A$381+6</f>
        <v>67</v>
      </c>
      <c r="B386" s="105" t="s">
        <v>873</v>
      </c>
      <c r="C386" s="105" t="s">
        <v>659</v>
      </c>
      <c r="D386" s="105" t="s">
        <v>876</v>
      </c>
      <c r="E386" s="105"/>
      <c r="F386" s="105"/>
      <c r="G386" s="105" t="s">
        <v>1154</v>
      </c>
      <c r="H386" s="105" t="b">
        <v>0</v>
      </c>
      <c r="I386" s="105" t="s">
        <v>191</v>
      </c>
      <c r="J386" s="105" t="b">
        <f t="shared" si="24"/>
        <v>1</v>
      </c>
      <c r="K386" s="105" t="b">
        <v>1</v>
      </c>
      <c r="L386" s="105"/>
      <c r="M386" s="105" t="str">
        <f>"'setType """&amp;B386&amp;"""'"</f>
        <v>'setType "FP_CfgGroup3R1"'</v>
      </c>
      <c r="N386" s="105" t="s">
        <v>59</v>
      </c>
      <c r="O386" s="105" t="str">
        <f>"$D$"&amp;A386</f>
        <v>$D$67</v>
      </c>
      <c r="P386" s="105" t="str">
        <f>"$H$"&amp;A386</f>
        <v>$H$67</v>
      </c>
      <c r="Q386" s="105"/>
      <c r="R386" s="105">
        <v>3</v>
      </c>
      <c r="S386" s="105"/>
      <c r="T386" s="105">
        <v>22</v>
      </c>
      <c r="U386" s="105" t="b">
        <v>1</v>
      </c>
      <c r="V386" s="105" t="s">
        <v>1343</v>
      </c>
      <c r="W386" s="105" t="s">
        <v>1356</v>
      </c>
      <c r="X386" s="105"/>
      <c r="Y386" s="105"/>
      <c r="Z386" s="105"/>
      <c r="AA386" s="105"/>
      <c r="AB386" s="105"/>
      <c r="AC386" s="105">
        <v>16</v>
      </c>
      <c r="AD386" s="105"/>
      <c r="AE386" s="105">
        <v>12</v>
      </c>
      <c r="AF386" s="105" t="b">
        <v>0</v>
      </c>
      <c r="AG386" s="105" t="s">
        <v>1355</v>
      </c>
      <c r="AH386" s="105" t="s">
        <v>27</v>
      </c>
      <c r="AI386" s="105" t="s">
        <v>28</v>
      </c>
      <c r="AJ386" s="105"/>
      <c r="AK386" s="105"/>
      <c r="AL386" s="105">
        <v>0</v>
      </c>
      <c r="AM386" s="105"/>
      <c r="AN386" s="105"/>
      <c r="AO386" s="105"/>
      <c r="AP386" s="105"/>
    </row>
    <row r="387" spans="1:51" ht="16.5" customHeight="1" x14ac:dyDescent="0.2">
      <c r="A387" s="105">
        <f>$A$381+7</f>
        <v>68</v>
      </c>
      <c r="B387" s="105" t="s">
        <v>874</v>
      </c>
      <c r="C387" s="105" t="s">
        <v>659</v>
      </c>
      <c r="D387" s="105" t="s">
        <v>876</v>
      </c>
      <c r="E387" s="105"/>
      <c r="F387" s="105"/>
      <c r="G387" s="105" t="s">
        <v>1154</v>
      </c>
      <c r="H387" s="105" t="b">
        <v>1</v>
      </c>
      <c r="I387" s="105" t="s">
        <v>192</v>
      </c>
      <c r="J387" s="105" t="b">
        <f t="shared" si="24"/>
        <v>1</v>
      </c>
      <c r="K387" s="105" t="b">
        <v>1</v>
      </c>
      <c r="L387" s="105"/>
      <c r="M387" s="105" t="str">
        <f>"'setType """&amp;B387&amp;"""'"</f>
        <v>'setType "FP_CfgGroup3R2"'</v>
      </c>
      <c r="N387" s="105" t="s">
        <v>59</v>
      </c>
      <c r="O387" s="105" t="str">
        <f>"$D$"&amp;A387</f>
        <v>$D$68</v>
      </c>
      <c r="P387" s="105" t="str">
        <f>"$H$"&amp;A387</f>
        <v>$H$68</v>
      </c>
      <c r="Q387" s="105"/>
      <c r="R387" s="105">
        <v>3</v>
      </c>
      <c r="S387" s="105"/>
      <c r="T387" s="105">
        <v>22</v>
      </c>
      <c r="U387" s="105" t="b">
        <v>1</v>
      </c>
      <c r="V387" s="105" t="s">
        <v>1343</v>
      </c>
      <c r="W387" s="105" t="s">
        <v>1356</v>
      </c>
      <c r="X387" s="105"/>
      <c r="Y387" s="105"/>
      <c r="Z387" s="105"/>
      <c r="AA387" s="105"/>
      <c r="AB387" s="105"/>
      <c r="AC387" s="105">
        <v>16</v>
      </c>
      <c r="AD387" s="105"/>
      <c r="AE387" s="105">
        <v>12</v>
      </c>
      <c r="AF387" s="105" t="b">
        <v>0</v>
      </c>
      <c r="AG387" s="105" t="s">
        <v>1355</v>
      </c>
      <c r="AH387" s="105" t="s">
        <v>27</v>
      </c>
      <c r="AI387" s="105" t="s">
        <v>28</v>
      </c>
      <c r="AJ387" s="105"/>
      <c r="AK387" s="105"/>
      <c r="AL387" s="105">
        <v>0</v>
      </c>
      <c r="AM387" s="105"/>
      <c r="AN387" s="105"/>
      <c r="AO387" s="105"/>
      <c r="AP387" s="105"/>
    </row>
    <row r="388" spans="1:51" ht="16.5" customHeight="1" x14ac:dyDescent="0.2">
      <c r="A388" s="106">
        <f>$A$381+10</f>
        <v>71</v>
      </c>
      <c r="B388" s="106" t="s">
        <v>879</v>
      </c>
      <c r="C388" s="106" t="s">
        <v>655</v>
      </c>
      <c r="D388" s="106"/>
      <c r="E388" s="106"/>
      <c r="F388" s="106"/>
      <c r="G388" s="106" t="s">
        <v>1154</v>
      </c>
      <c r="H388" s="106"/>
      <c r="I388" s="106"/>
      <c r="J388" s="106" t="b">
        <f t="shared" si="24"/>
        <v>1</v>
      </c>
      <c r="K388" s="106" t="b">
        <v>1</v>
      </c>
      <c r="L388" s="106"/>
      <c r="M388" s="106"/>
      <c r="N388" s="106" t="s">
        <v>59</v>
      </c>
      <c r="O388" s="106" t="str">
        <f>"$B$"&amp;A388</f>
        <v>$B$71</v>
      </c>
      <c r="P388" s="106" t="str">
        <f>"$M$"&amp;A388</f>
        <v>$M$71</v>
      </c>
      <c r="Q388" s="106"/>
      <c r="R388" s="106">
        <v>2</v>
      </c>
      <c r="S388" s="106"/>
      <c r="T388" s="106">
        <v>2</v>
      </c>
      <c r="U388" s="106" t="b">
        <v>1</v>
      </c>
      <c r="V388" s="106" t="s">
        <v>1344</v>
      </c>
      <c r="W388" s="106" t="s">
        <v>1343</v>
      </c>
      <c r="X388" s="106"/>
      <c r="Y388" s="106"/>
      <c r="Z388" s="106"/>
      <c r="AA388" s="106"/>
      <c r="AB388" s="106"/>
      <c r="AC388" s="106"/>
      <c r="AD388" s="106"/>
      <c r="AE388" s="106"/>
      <c r="AF388" s="106"/>
      <c r="AG388" s="106"/>
      <c r="AH388" s="106"/>
      <c r="AI388" s="106"/>
      <c r="AJ388" s="106"/>
      <c r="AK388" s="106"/>
      <c r="AL388" s="106"/>
      <c r="AM388" s="106"/>
      <c r="AN388" s="106"/>
      <c r="AO388" s="106"/>
      <c r="AP388" s="106"/>
    </row>
    <row r="389" spans="1:51" ht="16.5" customHeight="1" x14ac:dyDescent="0.2">
      <c r="A389" s="100">
        <f>$A$388+2</f>
        <v>73</v>
      </c>
      <c r="B389" s="100" t="s">
        <v>880</v>
      </c>
      <c r="C389" s="100" t="s">
        <v>649</v>
      </c>
      <c r="D389" s="100"/>
      <c r="E389" s="100"/>
      <c r="F389" s="100"/>
      <c r="G389" s="100" t="s">
        <v>1154</v>
      </c>
      <c r="H389" s="100"/>
      <c r="I389" s="100" t="s">
        <v>194</v>
      </c>
      <c r="J389" s="100" t="b">
        <f t="shared" si="24"/>
        <v>1</v>
      </c>
      <c r="K389" s="100" t="b">
        <v>1</v>
      </c>
      <c r="L389" s="100"/>
      <c r="M389" s="100"/>
      <c r="N389" s="100" t="s">
        <v>59</v>
      </c>
      <c r="O389" s="100" t="str">
        <f>"$B$"&amp;A389</f>
        <v>$B$73</v>
      </c>
      <c r="P389" s="100" t="str">
        <f>"$E$"&amp;A389</f>
        <v>$E$73</v>
      </c>
      <c r="Q389" s="100"/>
      <c r="R389" s="100"/>
      <c r="S389" s="100"/>
      <c r="T389" s="100">
        <v>30</v>
      </c>
      <c r="U389" s="100" t="b">
        <v>1</v>
      </c>
      <c r="V389" s="100" t="s">
        <v>1342</v>
      </c>
      <c r="W389" s="100" t="s">
        <v>1342</v>
      </c>
      <c r="X389" s="100"/>
      <c r="Y389" s="100"/>
      <c r="Z389" s="100"/>
      <c r="AA389" s="100"/>
      <c r="AB389" s="100"/>
      <c r="AC389" s="100">
        <v>5</v>
      </c>
      <c r="AD389" s="100" t="s">
        <v>105</v>
      </c>
      <c r="AE389" s="100">
        <v>14</v>
      </c>
      <c r="AF389" s="100" t="b">
        <v>1</v>
      </c>
      <c r="AG389" s="100" t="s">
        <v>1355</v>
      </c>
      <c r="AH389" s="100" t="s">
        <v>29</v>
      </c>
      <c r="AI389" s="100" t="s">
        <v>28</v>
      </c>
      <c r="AJ389" s="100"/>
      <c r="AK389" s="100"/>
      <c r="AL389" s="100">
        <v>0</v>
      </c>
      <c r="AM389" s="100"/>
      <c r="AN389" s="100"/>
      <c r="AO389" s="100"/>
      <c r="AP389" s="100"/>
    </row>
    <row r="390" spans="1:51" ht="16.5" customHeight="1" x14ac:dyDescent="0.2">
      <c r="A390" s="110">
        <f>$A$388+2</f>
        <v>73</v>
      </c>
      <c r="B390" s="110" t="s">
        <v>881</v>
      </c>
      <c r="C390" s="110" t="s">
        <v>656</v>
      </c>
      <c r="D390" s="110"/>
      <c r="E390" s="110"/>
      <c r="F390" s="110"/>
      <c r="G390" s="110" t="s">
        <v>1154</v>
      </c>
      <c r="H390" s="110"/>
      <c r="I390" s="110" t="str">
        <f>IF(L390,"Luk","Hjælp")</f>
        <v>Hjælp</v>
      </c>
      <c r="J390" s="110" t="b">
        <f t="shared" si="24"/>
        <v>1</v>
      </c>
      <c r="K390" s="110" t="b">
        <v>1</v>
      </c>
      <c r="L390" s="110" t="b">
        <v>0</v>
      </c>
      <c r="M390" s="110" t="str">
        <f>"'readMore """&amp;B390&amp;""","""&amp;G390&amp;""","""&amp;B391&amp;""",TRUE'"</f>
        <v>'readMore "FP_CfgGroup4Btn4","Forside","FP_Cfg1Text4b",TRUE'</v>
      </c>
      <c r="N390" s="110" t="s">
        <v>59</v>
      </c>
      <c r="O390" s="110" t="str">
        <f>"$L$"&amp;A390</f>
        <v>$L$73</v>
      </c>
      <c r="P390" s="110" t="str">
        <f>"$M$"&amp;A390</f>
        <v>$M$73</v>
      </c>
      <c r="Q390" s="110">
        <v>5</v>
      </c>
      <c r="R390" s="110">
        <v>1</v>
      </c>
      <c r="S390" s="110"/>
      <c r="T390" s="110">
        <v>22</v>
      </c>
      <c r="U390" s="110" t="b">
        <v>1</v>
      </c>
      <c r="V390" s="110" t="s">
        <v>1344</v>
      </c>
      <c r="W390" s="110" t="s">
        <v>1343</v>
      </c>
      <c r="X390" s="110"/>
      <c r="Y390" s="110"/>
      <c r="Z390" s="110"/>
      <c r="AA390" s="110"/>
      <c r="AB390" s="110">
        <v>3</v>
      </c>
      <c r="AC390" s="110">
        <v>5</v>
      </c>
      <c r="AD390" s="110" t="s">
        <v>105</v>
      </c>
      <c r="AE390" s="110">
        <v>12</v>
      </c>
      <c r="AF390" s="110"/>
      <c r="AG390" s="110" t="s">
        <v>1351</v>
      </c>
      <c r="AH390" s="110" t="s">
        <v>29</v>
      </c>
      <c r="AI390" s="110" t="s">
        <v>29</v>
      </c>
      <c r="AJ390" s="110"/>
      <c r="AK390" s="110"/>
      <c r="AL390" s="110"/>
      <c r="AM390" s="110"/>
      <c r="AN390" s="110">
        <v>2</v>
      </c>
      <c r="AO390" s="110"/>
      <c r="AP390" s="110"/>
    </row>
    <row r="391" spans="1:51" ht="16.5" customHeight="1" x14ac:dyDescent="0.2">
      <c r="A391" s="100">
        <f>$A$388+4</f>
        <v>75</v>
      </c>
      <c r="B391" s="100" t="s">
        <v>676</v>
      </c>
      <c r="C391" s="100" t="s">
        <v>649</v>
      </c>
      <c r="D391" s="100"/>
      <c r="E391" s="100"/>
      <c r="F391" s="100"/>
      <c r="G391" s="100" t="s">
        <v>1154</v>
      </c>
      <c r="H391" s="100"/>
      <c r="I391" s="100" t="s">
        <v>198</v>
      </c>
      <c r="J391" s="100" t="b">
        <f t="shared" si="24"/>
        <v>1</v>
      </c>
      <c r="K391" s="100" t="b">
        <v>1</v>
      </c>
      <c r="L391" s="100" t="b">
        <v>1</v>
      </c>
      <c r="M391" s="100"/>
      <c r="N391" s="100" t="s">
        <v>59</v>
      </c>
      <c r="O391" s="100" t="str">
        <f>"$D$"&amp;A391</f>
        <v>$D$75</v>
      </c>
      <c r="P391" s="100" t="str">
        <f>"$M$"&amp;A391</f>
        <v>$M$75</v>
      </c>
      <c r="Q391" s="100"/>
      <c r="R391" s="100"/>
      <c r="S391" s="100"/>
      <c r="T391" s="100">
        <v>60</v>
      </c>
      <c r="U391" s="100" t="b">
        <v>1</v>
      </c>
      <c r="V391" s="100" t="s">
        <v>1341</v>
      </c>
      <c r="W391" s="100" t="s">
        <v>1341</v>
      </c>
      <c r="X391" s="100"/>
      <c r="Y391" s="100"/>
      <c r="Z391" s="100"/>
      <c r="AA391" s="100"/>
      <c r="AB391" s="100">
        <v>3</v>
      </c>
      <c r="AC391" s="100">
        <v>5</v>
      </c>
      <c r="AD391" s="100" t="s">
        <v>105</v>
      </c>
      <c r="AE391" s="100">
        <v>12</v>
      </c>
      <c r="AF391" s="100" t="b">
        <v>0</v>
      </c>
      <c r="AG391" s="100" t="s">
        <v>1355</v>
      </c>
      <c r="AH391" s="100" t="s">
        <v>27</v>
      </c>
      <c r="AI391" s="100" t="s">
        <v>28</v>
      </c>
      <c r="AJ391" s="100"/>
      <c r="AK391" s="100"/>
      <c r="AL391" s="100">
        <v>0</v>
      </c>
      <c r="AM391" s="100"/>
      <c r="AN391" s="100"/>
      <c r="AO391" s="100"/>
      <c r="AP391" s="100"/>
    </row>
    <row r="392" spans="1:51" ht="16.5" customHeight="1" x14ac:dyDescent="0.2">
      <c r="A392" s="107">
        <f>$A$388+6</f>
        <v>77</v>
      </c>
      <c r="B392" s="107" t="s">
        <v>194</v>
      </c>
      <c r="C392" s="107" t="s">
        <v>663</v>
      </c>
      <c r="D392" s="107"/>
      <c r="E392" s="107"/>
      <c r="F392" s="107"/>
      <c r="G392" s="107" t="s">
        <v>1154</v>
      </c>
      <c r="H392" s="107">
        <v>10</v>
      </c>
      <c r="I392" s="107">
        <v>6</v>
      </c>
      <c r="J392" s="107" t="b">
        <f t="shared" si="24"/>
        <v>1</v>
      </c>
      <c r="K392" s="107"/>
      <c r="L392" s="107"/>
      <c r="M392" s="107"/>
      <c r="N392" s="107"/>
      <c r="O392" s="107">
        <f>A392</f>
        <v>77</v>
      </c>
      <c r="P392" s="107">
        <f>O392+2</f>
        <v>79</v>
      </c>
      <c r="Q392" s="107"/>
      <c r="R392" s="107"/>
      <c r="S392" s="107"/>
      <c r="T392" s="107"/>
      <c r="U392" s="107"/>
      <c r="V392" s="107"/>
      <c r="W392" s="107"/>
      <c r="X392" s="107"/>
      <c r="Y392" s="107"/>
      <c r="Z392" s="107"/>
      <c r="AA392" s="107"/>
      <c r="AB392" s="107"/>
      <c r="AC392" s="107"/>
      <c r="AD392" s="107"/>
      <c r="AE392" s="107"/>
      <c r="AF392" s="107"/>
      <c r="AG392" s="107"/>
      <c r="AH392" s="107"/>
      <c r="AI392" s="107"/>
      <c r="AJ392" s="107"/>
      <c r="AK392" s="107"/>
      <c r="AL392" s="107"/>
      <c r="AM392" s="107"/>
      <c r="AN392" s="107"/>
      <c r="AO392" s="107"/>
      <c r="AP392" s="107"/>
      <c r="AQ392" s="93" t="str">
        <f>AQ399</f>
        <v>Personaleomkostninger</v>
      </c>
      <c r="AR392" s="93" t="str">
        <f>AQ405</f>
        <v>Køb af IT-tjenesteydelser</v>
      </c>
      <c r="AS392" s="93" t="str">
        <f>AQ411</f>
        <v>Køb af tjenesteydelser i øvrigt</v>
      </c>
      <c r="AT392" s="93" t="str">
        <f>AQ417</f>
        <v>Andre ordinære driftsomkostninger</v>
      </c>
      <c r="AU392" s="93" t="str">
        <f>AQ423</f>
        <v>Personaleomkostninger, der kan aktiveres</v>
      </c>
      <c r="AV392" s="93" t="str">
        <f>AQ429</f>
        <v>Immaterielle anlægsaktiver</v>
      </c>
      <c r="AW392" s="93" t="str">
        <f>AQ435</f>
        <v>Materielle anlægsaktiver</v>
      </c>
      <c r="AX392" s="93" t="str">
        <f>AQ441</f>
        <v>Omsætningsaktiver</v>
      </c>
      <c r="AY392" s="93" t="str">
        <f>AQ447</f>
        <v>Indtægter</v>
      </c>
    </row>
    <row r="393" spans="1:51" ht="16.5" customHeight="1" x14ac:dyDescent="0.2">
      <c r="A393" s="108">
        <f>$A$392+0</f>
        <v>77</v>
      </c>
      <c r="B393" s="109" t="s">
        <v>687</v>
      </c>
      <c r="C393" s="109" t="s">
        <v>96</v>
      </c>
      <c r="D393" s="109"/>
      <c r="E393" s="109" t="s">
        <v>194</v>
      </c>
      <c r="F393" s="109"/>
      <c r="G393" s="109" t="s">
        <v>1154</v>
      </c>
      <c r="H393" s="109"/>
      <c r="I393" s="109"/>
      <c r="J393" s="109"/>
      <c r="K393" s="109" t="b">
        <v>1</v>
      </c>
      <c r="L393" s="109"/>
      <c r="M393" s="109"/>
      <c r="N393" s="109"/>
      <c r="O393" s="109" t="str">
        <f>"$D$"&amp;A393</f>
        <v>$D$77</v>
      </c>
      <c r="P393" s="109" t="str">
        <f>"$I$"&amp;A393</f>
        <v>$I$77</v>
      </c>
      <c r="Q393" s="109"/>
      <c r="R393" s="109"/>
      <c r="S393" s="109"/>
      <c r="T393" s="109">
        <v>25</v>
      </c>
      <c r="U393" s="109" t="b">
        <v>1</v>
      </c>
      <c r="V393" s="109" t="s">
        <v>1342</v>
      </c>
      <c r="W393" s="109" t="s">
        <v>1342</v>
      </c>
      <c r="X393" s="109"/>
      <c r="Y393" s="109"/>
      <c r="Z393" s="109"/>
      <c r="AA393" s="109"/>
      <c r="AB393" s="109"/>
      <c r="AC393" s="109">
        <v>5</v>
      </c>
      <c r="AD393" s="109" t="s">
        <v>105</v>
      </c>
      <c r="AE393" s="109">
        <v>14</v>
      </c>
      <c r="AF393" s="109"/>
      <c r="AG393" s="109" t="s">
        <v>1360</v>
      </c>
      <c r="AH393" s="109" t="s">
        <v>29</v>
      </c>
      <c r="AI393" s="109" t="s">
        <v>28</v>
      </c>
      <c r="AJ393" s="109"/>
      <c r="AK393" s="109" t="s">
        <v>1342</v>
      </c>
      <c r="AL393" s="109">
        <v>5</v>
      </c>
      <c r="AM393" s="109"/>
      <c r="AN393" s="109"/>
      <c r="AO393" s="109"/>
      <c r="AP393" s="109" t="b">
        <v>1</v>
      </c>
      <c r="AQ393" s="296" t="s">
        <v>1267</v>
      </c>
      <c r="AR393" s="296"/>
      <c r="AS393" s="296"/>
      <c r="AT393" s="296"/>
      <c r="AU393" s="296"/>
      <c r="AV393" s="296"/>
    </row>
    <row r="394" spans="1:51" ht="16.5" customHeight="1" x14ac:dyDescent="0.2">
      <c r="A394" s="108">
        <f>$A$392+0</f>
        <v>77</v>
      </c>
      <c r="B394" s="110" t="str">
        <f>D394&amp;"Red"</f>
        <v>FP_FinanskontiRed</v>
      </c>
      <c r="C394" s="110" t="s">
        <v>656</v>
      </c>
      <c r="D394" s="110" t="s">
        <v>687</v>
      </c>
      <c r="E394" s="110" t="s">
        <v>194</v>
      </c>
      <c r="F394" s="110"/>
      <c r="G394" s="110" t="s">
        <v>1154</v>
      </c>
      <c r="H394" s="110"/>
      <c r="I394" s="110" t="s">
        <v>1247</v>
      </c>
      <c r="J394" s="110"/>
      <c r="K394" s="110" t="b">
        <v>1</v>
      </c>
      <c r="L394" s="110"/>
      <c r="M394" s="110" t="str">
        <f>"'editNorm """&amp;D394&amp;""","""&amp;B394&amp;""","""&amp;E394&amp;"""'"</f>
        <v>'editNorm "FP_Finanskonti","FP_FinanskontiRed","Finanskonti"'</v>
      </c>
      <c r="N394" s="110" t="s">
        <v>59</v>
      </c>
      <c r="O394" s="110" t="str">
        <f>"$L$"&amp;A394</f>
        <v>$L$77</v>
      </c>
      <c r="P394" s="110" t="str">
        <f>"$M$"&amp;A394</f>
        <v>$M$77</v>
      </c>
      <c r="Q394" s="110">
        <v>5</v>
      </c>
      <c r="R394" s="110">
        <v>1</v>
      </c>
      <c r="S394" s="110"/>
      <c r="T394" s="110">
        <v>22</v>
      </c>
      <c r="U394" s="110" t="b">
        <v>1</v>
      </c>
      <c r="V394" s="110" t="s">
        <v>1344</v>
      </c>
      <c r="W394" s="110" t="s">
        <v>1343</v>
      </c>
      <c r="X394" s="110"/>
      <c r="Y394" s="110"/>
      <c r="Z394" s="110"/>
      <c r="AA394" s="110"/>
      <c r="AB394" s="110">
        <v>3</v>
      </c>
      <c r="AC394" s="110">
        <v>5</v>
      </c>
      <c r="AD394" s="110" t="s">
        <v>105</v>
      </c>
      <c r="AE394" s="110">
        <v>12</v>
      </c>
      <c r="AF394" s="110"/>
      <c r="AG394" s="110" t="s">
        <v>1351</v>
      </c>
      <c r="AH394" s="110" t="s">
        <v>29</v>
      </c>
      <c r="AI394" s="110" t="s">
        <v>29</v>
      </c>
      <c r="AJ394" s="110"/>
      <c r="AK394" s="110"/>
      <c r="AL394" s="110"/>
      <c r="AM394" s="110"/>
      <c r="AN394" s="110">
        <v>2</v>
      </c>
      <c r="AO394" s="110"/>
      <c r="AP394" s="110"/>
    </row>
    <row r="395" spans="1:51" ht="16.5" customHeight="1" x14ac:dyDescent="0.2">
      <c r="A395" s="108">
        <f>$A$392+0</f>
        <v>77</v>
      </c>
      <c r="B395" s="110" t="str">
        <f>D395&amp;"Gem"</f>
        <v>FP_FinanskontiGem</v>
      </c>
      <c r="C395" s="110" t="s">
        <v>656</v>
      </c>
      <c r="D395" s="110" t="s">
        <v>687</v>
      </c>
      <c r="E395" s="110" t="s">
        <v>194</v>
      </c>
      <c r="F395" s="110"/>
      <c r="G395" s="110" t="s">
        <v>1154</v>
      </c>
      <c r="H395" s="110"/>
      <c r="I395" s="110" t="s">
        <v>238</v>
      </c>
      <c r="J395" s="110"/>
      <c r="K395" s="110"/>
      <c r="L395" s="110"/>
      <c r="M395" s="110" t="str">
        <f>"'editNorm """&amp;D395&amp;""","""&amp;B395&amp;""","""&amp;E395&amp;"""'"</f>
        <v>'editNorm "FP_Finanskonti","FP_FinanskontiGem","Finanskonti"'</v>
      </c>
      <c r="N395" s="110" t="s">
        <v>59</v>
      </c>
      <c r="O395" s="110" t="str">
        <f>"$L$"&amp;A395</f>
        <v>$L$77</v>
      </c>
      <c r="P395" s="110" t="str">
        <f>"$L$"&amp;A395</f>
        <v>$L$77</v>
      </c>
      <c r="Q395" s="110">
        <v>5</v>
      </c>
      <c r="R395" s="110">
        <v>1</v>
      </c>
      <c r="S395" s="110"/>
      <c r="T395" s="110">
        <v>22</v>
      </c>
      <c r="U395" s="110" t="b">
        <v>1</v>
      </c>
      <c r="V395" s="110" t="s">
        <v>1345</v>
      </c>
      <c r="W395" s="110" t="s">
        <v>1343</v>
      </c>
      <c r="X395" s="110"/>
      <c r="Y395" s="110"/>
      <c r="Z395" s="110"/>
      <c r="AA395" s="110"/>
      <c r="AB395" s="110">
        <v>3</v>
      </c>
      <c r="AC395" s="110">
        <v>5</v>
      </c>
      <c r="AD395" s="110" t="s">
        <v>105</v>
      </c>
      <c r="AE395" s="110">
        <v>12</v>
      </c>
      <c r="AF395" s="110"/>
      <c r="AG395" s="110" t="s">
        <v>1351</v>
      </c>
      <c r="AH395" s="110" t="s">
        <v>29</v>
      </c>
      <c r="AI395" s="110" t="s">
        <v>29</v>
      </c>
      <c r="AJ395" s="110"/>
      <c r="AK395" s="110"/>
      <c r="AL395" s="110"/>
      <c r="AM395" s="110"/>
      <c r="AN395" s="110">
        <v>2</v>
      </c>
      <c r="AO395" s="110"/>
      <c r="AP395" s="110"/>
    </row>
    <row r="396" spans="1:51" ht="16.5" customHeight="1" x14ac:dyDescent="0.2">
      <c r="A396" s="108">
        <f>$A$392+0</f>
        <v>77</v>
      </c>
      <c r="B396" s="110" t="str">
        <f>D396&amp;"Cancel"</f>
        <v>FP_FinanskontiCancel</v>
      </c>
      <c r="C396" s="110" t="s">
        <v>656</v>
      </c>
      <c r="D396" s="110" t="s">
        <v>687</v>
      </c>
      <c r="E396" s="110" t="s">
        <v>194</v>
      </c>
      <c r="F396" s="110"/>
      <c r="G396" s="110" t="s">
        <v>1154</v>
      </c>
      <c r="H396" s="110"/>
      <c r="I396" s="110" t="s">
        <v>838</v>
      </c>
      <c r="J396" s="110"/>
      <c r="K396" s="110"/>
      <c r="L396" s="110"/>
      <c r="M396" s="110" t="str">
        <f>"'editNorm """&amp;D396&amp;""","""&amp;B396&amp;""","""&amp;E396&amp;"""'"</f>
        <v>'editNorm "FP_Finanskonti","FP_FinanskontiCancel","Finanskonti"'</v>
      </c>
      <c r="N396" s="110" t="s">
        <v>59</v>
      </c>
      <c r="O396" s="110" t="str">
        <f>"$M$"&amp;A396</f>
        <v>$M$77</v>
      </c>
      <c r="P396" s="110" t="str">
        <f>"$M$"&amp;A396</f>
        <v>$M$77</v>
      </c>
      <c r="Q396" s="110">
        <v>7</v>
      </c>
      <c r="R396" s="110">
        <v>1</v>
      </c>
      <c r="S396" s="110"/>
      <c r="T396" s="110">
        <v>22</v>
      </c>
      <c r="U396" s="110" t="b">
        <v>1</v>
      </c>
      <c r="V396" s="110" t="s">
        <v>1344</v>
      </c>
      <c r="W396" s="110" t="s">
        <v>1343</v>
      </c>
      <c r="X396" s="110"/>
      <c r="Y396" s="110"/>
      <c r="Z396" s="110"/>
      <c r="AA396" s="110"/>
      <c r="AB396" s="110">
        <v>3</v>
      </c>
      <c r="AC396" s="110">
        <v>5</v>
      </c>
      <c r="AD396" s="110" t="s">
        <v>105</v>
      </c>
      <c r="AE396" s="110">
        <v>12</v>
      </c>
      <c r="AF396" s="110"/>
      <c r="AG396" s="110" t="s">
        <v>1351</v>
      </c>
      <c r="AH396" s="110" t="s">
        <v>29</v>
      </c>
      <c r="AI396" s="110" t="s">
        <v>29</v>
      </c>
      <c r="AJ396" s="110"/>
      <c r="AK396" s="110"/>
      <c r="AL396" s="110"/>
      <c r="AM396" s="110"/>
      <c r="AN396" s="110">
        <v>2</v>
      </c>
      <c r="AO396" s="110"/>
      <c r="AP396" s="110"/>
    </row>
    <row r="397" spans="1:51" ht="16.5" customHeight="1" x14ac:dyDescent="0.2">
      <c r="A397" s="108">
        <f>$A$392+0</f>
        <v>77</v>
      </c>
      <c r="B397" s="110" t="str">
        <f>D397&amp;"Delete"</f>
        <v>FP_FinanskontiDelete</v>
      </c>
      <c r="C397" s="110" t="s">
        <v>656</v>
      </c>
      <c r="D397" s="110" t="s">
        <v>687</v>
      </c>
      <c r="E397" s="110" t="s">
        <v>194</v>
      </c>
      <c r="F397" s="110"/>
      <c r="G397" s="110" t="s">
        <v>1154</v>
      </c>
      <c r="H397" s="110"/>
      <c r="I397" s="110" t="s">
        <v>839</v>
      </c>
      <c r="J397" s="110"/>
      <c r="K397" s="110"/>
      <c r="L397" s="110"/>
      <c r="M397" s="110" t="str">
        <f>"'editNorm """&amp;D397&amp;""","""&amp;B397&amp;""","""&amp;E397&amp;"""'"</f>
        <v>'editNorm "FP_Finanskonti","FP_FinanskontiDelete","Finanskonti"'</v>
      </c>
      <c r="N397" s="110" t="s">
        <v>59</v>
      </c>
      <c r="O397" s="110" t="str">
        <f>"$N$"&amp;A397</f>
        <v>$N$77</v>
      </c>
      <c r="P397" s="110" t="str">
        <f>"$N$"&amp;A397</f>
        <v>$N$77</v>
      </c>
      <c r="Q397" s="110">
        <v>7</v>
      </c>
      <c r="R397" s="110">
        <v>1</v>
      </c>
      <c r="S397" s="110"/>
      <c r="T397" s="110">
        <v>22</v>
      </c>
      <c r="U397" s="110" t="b">
        <v>1</v>
      </c>
      <c r="V397" s="110" t="s">
        <v>1346</v>
      </c>
      <c r="W397" s="110" t="s">
        <v>1343</v>
      </c>
      <c r="X397" s="110"/>
      <c r="Y397" s="110"/>
      <c r="Z397" s="110"/>
      <c r="AA397" s="110"/>
      <c r="AB397" s="110">
        <v>3</v>
      </c>
      <c r="AC397" s="110">
        <v>5</v>
      </c>
      <c r="AD397" s="110" t="s">
        <v>105</v>
      </c>
      <c r="AE397" s="110">
        <v>12</v>
      </c>
      <c r="AF397" s="110"/>
      <c r="AG397" s="110" t="s">
        <v>1351</v>
      </c>
      <c r="AH397" s="110" t="s">
        <v>29</v>
      </c>
      <c r="AI397" s="110" t="s">
        <v>29</v>
      </c>
      <c r="AJ397" s="110"/>
      <c r="AK397" s="110"/>
      <c r="AL397" s="110"/>
      <c r="AM397" s="110"/>
      <c r="AN397" s="110">
        <v>2</v>
      </c>
      <c r="AO397" s="110"/>
      <c r="AP397" s="110"/>
    </row>
    <row r="398" spans="1:51" ht="16.5" customHeight="1" x14ac:dyDescent="0.2">
      <c r="A398" s="108">
        <f>$A$392+1</f>
        <v>78</v>
      </c>
      <c r="B398" s="106" t="s">
        <v>688</v>
      </c>
      <c r="C398" s="106" t="s">
        <v>655</v>
      </c>
      <c r="D398" s="106"/>
      <c r="E398" s="106" t="s">
        <v>194</v>
      </c>
      <c r="F398" s="106"/>
      <c r="G398" s="106" t="s">
        <v>1154</v>
      </c>
      <c r="H398" s="106"/>
      <c r="I398" s="106"/>
      <c r="J398" s="106"/>
      <c r="K398" s="106" t="b">
        <v>1</v>
      </c>
      <c r="L398" s="106"/>
      <c r="M398" s="106"/>
      <c r="N398" s="106" t="s">
        <v>59</v>
      </c>
      <c r="O398" s="106" t="str">
        <f>"$D$"&amp;A398</f>
        <v>$D$78</v>
      </c>
      <c r="P398" s="106" t="str">
        <f>"$M$"&amp;A398+1</f>
        <v>$M$79</v>
      </c>
      <c r="Q398" s="106"/>
      <c r="R398" s="106">
        <v>2</v>
      </c>
      <c r="S398" s="106"/>
      <c r="T398" s="106">
        <v>2</v>
      </c>
      <c r="U398" s="106" t="b">
        <v>1</v>
      </c>
      <c r="V398" s="106" t="s">
        <v>1344</v>
      </c>
      <c r="W398" s="106" t="s">
        <v>1343</v>
      </c>
      <c r="X398" s="106"/>
      <c r="Y398" s="106"/>
      <c r="Z398" s="106"/>
      <c r="AA398" s="106"/>
      <c r="AB398" s="106"/>
      <c r="AC398" s="106"/>
      <c r="AD398" s="106"/>
      <c r="AE398" s="106"/>
      <c r="AF398" s="106"/>
      <c r="AG398" s="106"/>
      <c r="AH398" s="106"/>
      <c r="AI398" s="106"/>
      <c r="AJ398" s="106"/>
      <c r="AK398" s="106"/>
      <c r="AL398" s="106"/>
      <c r="AM398" s="106"/>
      <c r="AN398" s="106"/>
      <c r="AO398" s="106"/>
      <c r="AP398" s="106"/>
    </row>
    <row r="399" spans="1:51" ht="16.5" customHeight="1" x14ac:dyDescent="0.2">
      <c r="A399" s="109">
        <f>$A$398+-1</f>
        <v>77</v>
      </c>
      <c r="B399" s="109" t="s">
        <v>846</v>
      </c>
      <c r="C399" s="109" t="s">
        <v>96</v>
      </c>
      <c r="D399" s="109"/>
      <c r="E399" s="109" t="s">
        <v>194</v>
      </c>
      <c r="F399" s="109"/>
      <c r="G399" s="109" t="s">
        <v>1154</v>
      </c>
      <c r="H399" s="109">
        <v>1</v>
      </c>
      <c r="I399" s="109"/>
      <c r="J399" s="109" t="b">
        <f t="shared" ref="J399:J456" si="26">$E$4</f>
        <v>1</v>
      </c>
      <c r="K399" s="109" t="b">
        <v>1</v>
      </c>
      <c r="L399" s="109"/>
      <c r="M399" s="109"/>
      <c r="N399" s="109"/>
      <c r="O399" s="109" t="str">
        <f>"$D$"&amp;A399</f>
        <v>$D$77</v>
      </c>
      <c r="P399" s="109" t="str">
        <f>"$I$"&amp;A399</f>
        <v>$I$77</v>
      </c>
      <c r="Q399" s="109"/>
      <c r="R399" s="109"/>
      <c r="S399" s="109"/>
      <c r="T399" s="109">
        <v>25</v>
      </c>
      <c r="U399" s="109" t="b">
        <v>1</v>
      </c>
      <c r="V399" s="109" t="s">
        <v>1342</v>
      </c>
      <c r="W399" s="109" t="s">
        <v>1342</v>
      </c>
      <c r="X399" s="109"/>
      <c r="Y399" s="109"/>
      <c r="Z399" s="109"/>
      <c r="AA399" s="109"/>
      <c r="AB399" s="109"/>
      <c r="AC399" s="109">
        <v>5</v>
      </c>
      <c r="AD399" s="109" t="s">
        <v>105</v>
      </c>
      <c r="AE399" s="109">
        <v>14</v>
      </c>
      <c r="AF399" s="109"/>
      <c r="AG399" s="109" t="s">
        <v>1360</v>
      </c>
      <c r="AH399" s="109" t="s">
        <v>29</v>
      </c>
      <c r="AI399" s="109" t="s">
        <v>28</v>
      </c>
      <c r="AJ399" s="109"/>
      <c r="AK399" s="109" t="s">
        <v>1342</v>
      </c>
      <c r="AL399" s="109">
        <v>5</v>
      </c>
      <c r="AM399" s="109"/>
      <c r="AN399" s="109"/>
      <c r="AO399" s="109"/>
      <c r="AP399" s="109" t="b">
        <v>1</v>
      </c>
      <c r="AQ399" s="296" t="s">
        <v>1179</v>
      </c>
      <c r="AR399" s="296"/>
      <c r="AS399" s="296"/>
      <c r="AT399" s="296"/>
      <c r="AU399" s="296"/>
      <c r="AV399" s="296"/>
    </row>
    <row r="400" spans="1:51" ht="16.5" customHeight="1" x14ac:dyDescent="0.2">
      <c r="A400" s="110">
        <f>$A$398+-1</f>
        <v>77</v>
      </c>
      <c r="B400" s="110" t="str">
        <f>D400&amp;"Red"</f>
        <v>FP_Finanskonti_1Red</v>
      </c>
      <c r="C400" s="110" t="s">
        <v>656</v>
      </c>
      <c r="D400" s="110" t="s">
        <v>846</v>
      </c>
      <c r="E400" s="110" t="s">
        <v>194</v>
      </c>
      <c r="F400" s="110"/>
      <c r="G400" s="110" t="s">
        <v>1154</v>
      </c>
      <c r="H400" s="110">
        <v>1</v>
      </c>
      <c r="I400" s="110" t="s">
        <v>1247</v>
      </c>
      <c r="J400" s="110" t="b">
        <f t="shared" si="26"/>
        <v>1</v>
      </c>
      <c r="K400" s="110" t="b">
        <v>1</v>
      </c>
      <c r="L400" s="110"/>
      <c r="M400" s="110" t="str">
        <f>"'editNorm """&amp;D400&amp;""","""&amp;B400&amp;""","""&amp;E400&amp;"""'"</f>
        <v>'editNorm "FP_Finanskonti_1","FP_Finanskonti_1Red","Finanskonti"'</v>
      </c>
      <c r="N400" s="110" t="s">
        <v>59</v>
      </c>
      <c r="O400" s="110" t="str">
        <f>"$L$"&amp;A400</f>
        <v>$L$77</v>
      </c>
      <c r="P400" s="110" t="str">
        <f>"$M$"&amp;A400</f>
        <v>$M$77</v>
      </c>
      <c r="Q400" s="110">
        <v>5</v>
      </c>
      <c r="R400" s="110">
        <v>1</v>
      </c>
      <c r="S400" s="110"/>
      <c r="T400" s="110">
        <v>22</v>
      </c>
      <c r="U400" s="110" t="b">
        <v>1</v>
      </c>
      <c r="V400" s="110" t="s">
        <v>1344</v>
      </c>
      <c r="W400" s="110" t="s">
        <v>1343</v>
      </c>
      <c r="X400" s="110"/>
      <c r="Y400" s="110"/>
      <c r="Z400" s="110"/>
      <c r="AA400" s="110"/>
      <c r="AB400" s="110">
        <v>3</v>
      </c>
      <c r="AC400" s="110">
        <v>5</v>
      </c>
      <c r="AD400" s="110" t="s">
        <v>105</v>
      </c>
      <c r="AE400" s="110">
        <v>12</v>
      </c>
      <c r="AF400" s="110"/>
      <c r="AG400" s="110" t="s">
        <v>1351</v>
      </c>
      <c r="AH400" s="110" t="s">
        <v>29</v>
      </c>
      <c r="AI400" s="110" t="s">
        <v>29</v>
      </c>
      <c r="AJ400" s="110"/>
      <c r="AK400" s="110"/>
      <c r="AL400" s="110"/>
      <c r="AM400" s="110"/>
      <c r="AN400" s="110">
        <v>2</v>
      </c>
      <c r="AO400" s="110"/>
      <c r="AP400" s="110"/>
    </row>
    <row r="401" spans="1:48" ht="16.5" customHeight="1" x14ac:dyDescent="0.2">
      <c r="A401" s="110">
        <f>$A$398+-1</f>
        <v>77</v>
      </c>
      <c r="B401" s="110" t="str">
        <f>D401&amp;"Gem"</f>
        <v>FP_Finanskonti_1Gem</v>
      </c>
      <c r="C401" s="110" t="s">
        <v>656</v>
      </c>
      <c r="D401" s="110" t="s">
        <v>846</v>
      </c>
      <c r="E401" s="110" t="s">
        <v>194</v>
      </c>
      <c r="F401" s="110"/>
      <c r="G401" s="110" t="s">
        <v>1154</v>
      </c>
      <c r="H401" s="110">
        <v>1</v>
      </c>
      <c r="I401" s="110" t="s">
        <v>238</v>
      </c>
      <c r="J401" s="110" t="b">
        <f t="shared" si="26"/>
        <v>1</v>
      </c>
      <c r="K401" s="110"/>
      <c r="L401" s="110"/>
      <c r="M401" s="110" t="str">
        <f>"'editNorm """&amp;D401&amp;""","""&amp;B401&amp;""","""&amp;E401&amp;"""'"</f>
        <v>'editNorm "FP_Finanskonti_1","FP_Finanskonti_1Gem","Finanskonti"'</v>
      </c>
      <c r="N401" s="110" t="s">
        <v>59</v>
      </c>
      <c r="O401" s="110" t="str">
        <f>"$L$"&amp;A401</f>
        <v>$L$77</v>
      </c>
      <c r="P401" s="110" t="str">
        <f>"$L$"&amp;A401</f>
        <v>$L$77</v>
      </c>
      <c r="Q401" s="110">
        <v>5</v>
      </c>
      <c r="R401" s="110">
        <v>1</v>
      </c>
      <c r="S401" s="110"/>
      <c r="T401" s="110">
        <v>22</v>
      </c>
      <c r="U401" s="110" t="b">
        <v>1</v>
      </c>
      <c r="V401" s="110" t="s">
        <v>1345</v>
      </c>
      <c r="W401" s="110" t="s">
        <v>1343</v>
      </c>
      <c r="X401" s="110"/>
      <c r="Y401" s="110"/>
      <c r="Z401" s="110"/>
      <c r="AA401" s="110"/>
      <c r="AB401" s="110">
        <v>3</v>
      </c>
      <c r="AC401" s="110">
        <v>5</v>
      </c>
      <c r="AD401" s="110" t="s">
        <v>105</v>
      </c>
      <c r="AE401" s="110">
        <v>12</v>
      </c>
      <c r="AF401" s="110"/>
      <c r="AG401" s="110" t="s">
        <v>1351</v>
      </c>
      <c r="AH401" s="110" t="s">
        <v>29</v>
      </c>
      <c r="AI401" s="110" t="s">
        <v>29</v>
      </c>
      <c r="AJ401" s="110"/>
      <c r="AK401" s="110"/>
      <c r="AL401" s="110"/>
      <c r="AM401" s="110"/>
      <c r="AN401" s="110">
        <v>2</v>
      </c>
      <c r="AO401" s="110"/>
      <c r="AP401" s="110"/>
    </row>
    <row r="402" spans="1:48" ht="16.5" customHeight="1" x14ac:dyDescent="0.2">
      <c r="A402" s="110">
        <f>$A$398+-1</f>
        <v>77</v>
      </c>
      <c r="B402" s="110" t="str">
        <f>D402&amp;"Cancel"</f>
        <v>FP_Finanskonti_1Cancel</v>
      </c>
      <c r="C402" s="110" t="s">
        <v>656</v>
      </c>
      <c r="D402" s="110" t="s">
        <v>846</v>
      </c>
      <c r="E402" s="110" t="s">
        <v>194</v>
      </c>
      <c r="F402" s="110"/>
      <c r="G402" s="110" t="s">
        <v>1154</v>
      </c>
      <c r="H402" s="110">
        <v>1</v>
      </c>
      <c r="I402" s="110" t="s">
        <v>838</v>
      </c>
      <c r="J402" s="110" t="b">
        <f t="shared" si="26"/>
        <v>1</v>
      </c>
      <c r="K402" s="110"/>
      <c r="L402" s="110"/>
      <c r="M402" s="110" t="str">
        <f>"'editNorm """&amp;D402&amp;""","""&amp;B402&amp;""","""&amp;E402&amp;"""'"</f>
        <v>'editNorm "FP_Finanskonti_1","FP_Finanskonti_1Cancel","Finanskonti"'</v>
      </c>
      <c r="N402" s="110" t="s">
        <v>59</v>
      </c>
      <c r="O402" s="110" t="str">
        <f>"$M$"&amp;A402</f>
        <v>$M$77</v>
      </c>
      <c r="P402" s="110" t="str">
        <f>"$M$"&amp;A402</f>
        <v>$M$77</v>
      </c>
      <c r="Q402" s="110">
        <v>7</v>
      </c>
      <c r="R402" s="110">
        <v>1</v>
      </c>
      <c r="S402" s="110"/>
      <c r="T402" s="110">
        <v>22</v>
      </c>
      <c r="U402" s="110" t="b">
        <v>1</v>
      </c>
      <c r="V402" s="110" t="s">
        <v>1344</v>
      </c>
      <c r="W402" s="110" t="s">
        <v>1343</v>
      </c>
      <c r="X402" s="110"/>
      <c r="Y402" s="110"/>
      <c r="Z402" s="110"/>
      <c r="AA402" s="110"/>
      <c r="AB402" s="110">
        <v>3</v>
      </c>
      <c r="AC402" s="110">
        <v>5</v>
      </c>
      <c r="AD402" s="110" t="s">
        <v>105</v>
      </c>
      <c r="AE402" s="110">
        <v>12</v>
      </c>
      <c r="AF402" s="110"/>
      <c r="AG402" s="110" t="s">
        <v>1351</v>
      </c>
      <c r="AH402" s="110" t="s">
        <v>29</v>
      </c>
      <c r="AI402" s="110" t="s">
        <v>29</v>
      </c>
      <c r="AJ402" s="110"/>
      <c r="AK402" s="110"/>
      <c r="AL402" s="110"/>
      <c r="AM402" s="110"/>
      <c r="AN402" s="110">
        <v>2</v>
      </c>
      <c r="AO402" s="110"/>
      <c r="AP402" s="110"/>
    </row>
    <row r="403" spans="1:48" ht="16.5" customHeight="1" x14ac:dyDescent="0.2">
      <c r="A403" s="110">
        <f>$A$398+-1</f>
        <v>77</v>
      </c>
      <c r="B403" s="110" t="str">
        <f>D403&amp;"Delete"</f>
        <v>FP_Finanskonti_1Delete</v>
      </c>
      <c r="C403" s="110" t="s">
        <v>656</v>
      </c>
      <c r="D403" s="110" t="s">
        <v>846</v>
      </c>
      <c r="E403" s="110" t="s">
        <v>194</v>
      </c>
      <c r="F403" s="110"/>
      <c r="G403" s="110" t="s">
        <v>1154</v>
      </c>
      <c r="H403" s="110">
        <v>1</v>
      </c>
      <c r="I403" s="110" t="s">
        <v>839</v>
      </c>
      <c r="J403" s="110" t="b">
        <f t="shared" si="26"/>
        <v>1</v>
      </c>
      <c r="K403" s="110"/>
      <c r="L403" s="110"/>
      <c r="M403" s="110" t="str">
        <f>"'editNorm """&amp;D403&amp;""","""&amp;B403&amp;""","""&amp;E403&amp;"""'"</f>
        <v>'editNorm "FP_Finanskonti_1","FP_Finanskonti_1Delete","Finanskonti"'</v>
      </c>
      <c r="N403" s="110" t="s">
        <v>59</v>
      </c>
      <c r="O403" s="110" t="str">
        <f>"$N$"&amp;A403</f>
        <v>$N$77</v>
      </c>
      <c r="P403" s="110" t="str">
        <f>"$N$"&amp;A403</f>
        <v>$N$77</v>
      </c>
      <c r="Q403" s="110">
        <v>7</v>
      </c>
      <c r="R403" s="110">
        <v>1</v>
      </c>
      <c r="S403" s="110"/>
      <c r="T403" s="110">
        <v>22</v>
      </c>
      <c r="U403" s="110" t="b">
        <v>1</v>
      </c>
      <c r="V403" s="110" t="s">
        <v>1346</v>
      </c>
      <c r="W403" s="110" t="s">
        <v>1343</v>
      </c>
      <c r="X403" s="110"/>
      <c r="Y403" s="110"/>
      <c r="Z403" s="110"/>
      <c r="AA403" s="110"/>
      <c r="AB403" s="110">
        <v>3</v>
      </c>
      <c r="AC403" s="110">
        <v>5</v>
      </c>
      <c r="AD403" s="110" t="s">
        <v>105</v>
      </c>
      <c r="AE403" s="110">
        <v>12</v>
      </c>
      <c r="AF403" s="110"/>
      <c r="AG403" s="110" t="s">
        <v>1351</v>
      </c>
      <c r="AH403" s="110" t="s">
        <v>29</v>
      </c>
      <c r="AI403" s="110" t="s">
        <v>29</v>
      </c>
      <c r="AJ403" s="110"/>
      <c r="AK403" s="110"/>
      <c r="AL403" s="110"/>
      <c r="AM403" s="110"/>
      <c r="AN403" s="110">
        <v>2</v>
      </c>
      <c r="AO403" s="110"/>
      <c r="AP403" s="110"/>
    </row>
    <row r="404" spans="1:48" ht="16.5" customHeight="1" x14ac:dyDescent="0.2">
      <c r="A404" s="106">
        <f>$A$398+0</f>
        <v>78</v>
      </c>
      <c r="B404" s="106" t="s">
        <v>847</v>
      </c>
      <c r="C404" s="106" t="s">
        <v>655</v>
      </c>
      <c r="D404" s="106"/>
      <c r="E404" s="106" t="s">
        <v>194</v>
      </c>
      <c r="F404" s="106"/>
      <c r="G404" s="106" t="s">
        <v>1154</v>
      </c>
      <c r="H404" s="106">
        <v>1</v>
      </c>
      <c r="I404" s="106"/>
      <c r="J404" s="106" t="b">
        <f t="shared" si="26"/>
        <v>1</v>
      </c>
      <c r="K404" s="106" t="b">
        <v>1</v>
      </c>
      <c r="L404" s="106"/>
      <c r="M404" s="106"/>
      <c r="N404" s="106" t="s">
        <v>59</v>
      </c>
      <c r="O404" s="106" t="str">
        <f>"$D$"&amp;A404</f>
        <v>$D$78</v>
      </c>
      <c r="P404" s="106" t="str">
        <f>"$M$"&amp;A404+1</f>
        <v>$M$79</v>
      </c>
      <c r="Q404" s="106"/>
      <c r="R404" s="106">
        <v>2</v>
      </c>
      <c r="S404" s="106"/>
      <c r="T404" s="106">
        <v>2</v>
      </c>
      <c r="U404" s="106" t="b">
        <v>1</v>
      </c>
      <c r="V404" s="106" t="s">
        <v>1344</v>
      </c>
      <c r="W404" s="106" t="s">
        <v>1343</v>
      </c>
      <c r="X404" s="106"/>
      <c r="Y404" s="106"/>
      <c r="Z404" s="106"/>
      <c r="AA404" s="106"/>
      <c r="AB404" s="106"/>
      <c r="AC404" s="106"/>
      <c r="AD404" s="106"/>
      <c r="AE404" s="106"/>
      <c r="AF404" s="106"/>
      <c r="AG404" s="106"/>
      <c r="AH404" s="106"/>
      <c r="AI404" s="106"/>
      <c r="AJ404" s="106"/>
      <c r="AK404" s="106"/>
      <c r="AL404" s="106"/>
      <c r="AM404" s="106"/>
      <c r="AN404" s="106"/>
      <c r="AO404" s="106"/>
      <c r="AP404" s="106"/>
    </row>
    <row r="405" spans="1:48" ht="16.5" customHeight="1" x14ac:dyDescent="0.2">
      <c r="A405" s="109">
        <f>$A$404+2</f>
        <v>80</v>
      </c>
      <c r="B405" s="109" t="s">
        <v>1161</v>
      </c>
      <c r="C405" s="109" t="s">
        <v>96</v>
      </c>
      <c r="D405" s="109"/>
      <c r="E405" s="109" t="s">
        <v>194</v>
      </c>
      <c r="F405" s="109"/>
      <c r="G405" s="109" t="s">
        <v>1154</v>
      </c>
      <c r="H405" s="109">
        <v>2</v>
      </c>
      <c r="I405" s="109"/>
      <c r="J405" s="109" t="b">
        <f t="shared" si="26"/>
        <v>1</v>
      </c>
      <c r="K405" s="109" t="b">
        <v>1</v>
      </c>
      <c r="L405" s="109"/>
      <c r="M405" s="109"/>
      <c r="N405" s="109"/>
      <c r="O405" s="109" t="str">
        <f>"$D$"&amp;A405</f>
        <v>$D$80</v>
      </c>
      <c r="P405" s="109" t="str">
        <f>"$I$"&amp;A405</f>
        <v>$I$80</v>
      </c>
      <c r="Q405" s="109"/>
      <c r="R405" s="109"/>
      <c r="S405" s="109"/>
      <c r="T405" s="109">
        <v>25</v>
      </c>
      <c r="U405" s="109" t="b">
        <v>1</v>
      </c>
      <c r="V405" s="109" t="s">
        <v>1342</v>
      </c>
      <c r="W405" s="109" t="s">
        <v>1342</v>
      </c>
      <c r="X405" s="109"/>
      <c r="Y405" s="109"/>
      <c r="Z405" s="109"/>
      <c r="AA405" s="109"/>
      <c r="AB405" s="109"/>
      <c r="AC405" s="109">
        <v>5</v>
      </c>
      <c r="AD405" s="109" t="s">
        <v>105</v>
      </c>
      <c r="AE405" s="109">
        <v>14</v>
      </c>
      <c r="AF405" s="109"/>
      <c r="AG405" s="109" t="s">
        <v>1360</v>
      </c>
      <c r="AH405" s="109" t="s">
        <v>29</v>
      </c>
      <c r="AI405" s="109" t="s">
        <v>28</v>
      </c>
      <c r="AJ405" s="109"/>
      <c r="AK405" s="109" t="s">
        <v>1342</v>
      </c>
      <c r="AL405" s="109">
        <v>5</v>
      </c>
      <c r="AM405" s="109"/>
      <c r="AN405" s="109"/>
      <c r="AO405" s="109"/>
      <c r="AP405" s="109" t="b">
        <v>1</v>
      </c>
      <c r="AQ405" s="296" t="s">
        <v>1180</v>
      </c>
      <c r="AR405" s="296"/>
      <c r="AS405" s="296"/>
      <c r="AT405" s="296"/>
      <c r="AU405" s="296"/>
      <c r="AV405" s="296"/>
    </row>
    <row r="406" spans="1:48" ht="16.5" customHeight="1" x14ac:dyDescent="0.2">
      <c r="A406" s="110">
        <f>$A$404+2</f>
        <v>80</v>
      </c>
      <c r="B406" s="110" t="str">
        <f>D406&amp;"Red"</f>
        <v>FP_Finanskonti_2Red</v>
      </c>
      <c r="C406" s="110" t="s">
        <v>656</v>
      </c>
      <c r="D406" s="110" t="s">
        <v>1161</v>
      </c>
      <c r="E406" s="110" t="s">
        <v>194</v>
      </c>
      <c r="F406" s="110"/>
      <c r="G406" s="110" t="s">
        <v>1154</v>
      </c>
      <c r="H406" s="110">
        <v>2</v>
      </c>
      <c r="I406" s="110" t="s">
        <v>1247</v>
      </c>
      <c r="J406" s="110" t="b">
        <f t="shared" si="26"/>
        <v>1</v>
      </c>
      <c r="K406" s="110" t="b">
        <v>1</v>
      </c>
      <c r="L406" s="110"/>
      <c r="M406" s="110" t="str">
        <f>"'editNorm """&amp;D406&amp;""","""&amp;B406&amp;""","""&amp;E406&amp;"""'"</f>
        <v>'editNorm "FP_Finanskonti_2","FP_Finanskonti_2Red","Finanskonti"'</v>
      </c>
      <c r="N406" s="110" t="s">
        <v>59</v>
      </c>
      <c r="O406" s="110" t="str">
        <f>"$L$"&amp;A406</f>
        <v>$L$80</v>
      </c>
      <c r="P406" s="110" t="str">
        <f>"$M$"&amp;A406</f>
        <v>$M$80</v>
      </c>
      <c r="Q406" s="110">
        <v>5</v>
      </c>
      <c r="R406" s="110">
        <v>1</v>
      </c>
      <c r="S406" s="110"/>
      <c r="T406" s="110">
        <v>22</v>
      </c>
      <c r="U406" s="110" t="b">
        <v>1</v>
      </c>
      <c r="V406" s="110" t="s">
        <v>1344</v>
      </c>
      <c r="W406" s="110" t="s">
        <v>1343</v>
      </c>
      <c r="X406" s="110"/>
      <c r="Y406" s="110"/>
      <c r="Z406" s="110"/>
      <c r="AA406" s="110"/>
      <c r="AB406" s="110">
        <v>3</v>
      </c>
      <c r="AC406" s="110">
        <v>5</v>
      </c>
      <c r="AD406" s="110" t="s">
        <v>105</v>
      </c>
      <c r="AE406" s="110">
        <v>12</v>
      </c>
      <c r="AF406" s="110"/>
      <c r="AG406" s="110" t="s">
        <v>1351</v>
      </c>
      <c r="AH406" s="110" t="s">
        <v>29</v>
      </c>
      <c r="AI406" s="110" t="s">
        <v>29</v>
      </c>
      <c r="AJ406" s="110"/>
      <c r="AK406" s="110"/>
      <c r="AL406" s="110"/>
      <c r="AM406" s="110"/>
      <c r="AN406" s="110">
        <v>2</v>
      </c>
      <c r="AO406" s="110"/>
      <c r="AP406" s="110"/>
    </row>
    <row r="407" spans="1:48" ht="16.5" customHeight="1" x14ac:dyDescent="0.2">
      <c r="A407" s="110">
        <f>$A$404+2</f>
        <v>80</v>
      </c>
      <c r="B407" s="110" t="str">
        <f>D407&amp;"Gem"</f>
        <v>FP_Finanskonti_2Gem</v>
      </c>
      <c r="C407" s="110" t="s">
        <v>656</v>
      </c>
      <c r="D407" s="110" t="s">
        <v>1161</v>
      </c>
      <c r="E407" s="110" t="s">
        <v>194</v>
      </c>
      <c r="F407" s="110"/>
      <c r="G407" s="110" t="s">
        <v>1154</v>
      </c>
      <c r="H407" s="110">
        <v>2</v>
      </c>
      <c r="I407" s="110" t="s">
        <v>238</v>
      </c>
      <c r="J407" s="110" t="b">
        <f t="shared" si="26"/>
        <v>1</v>
      </c>
      <c r="K407" s="110"/>
      <c r="L407" s="110"/>
      <c r="M407" s="110" t="str">
        <f>"'editNorm """&amp;D407&amp;""","""&amp;B407&amp;""","""&amp;E407&amp;"""'"</f>
        <v>'editNorm "FP_Finanskonti_2","FP_Finanskonti_2Gem","Finanskonti"'</v>
      </c>
      <c r="N407" s="110" t="s">
        <v>59</v>
      </c>
      <c r="O407" s="110" t="str">
        <f>"$L$"&amp;A407</f>
        <v>$L$80</v>
      </c>
      <c r="P407" s="110" t="str">
        <f>"$L$"&amp;A407</f>
        <v>$L$80</v>
      </c>
      <c r="Q407" s="110">
        <v>5</v>
      </c>
      <c r="R407" s="110">
        <v>1</v>
      </c>
      <c r="S407" s="110"/>
      <c r="T407" s="110">
        <v>22</v>
      </c>
      <c r="U407" s="110" t="b">
        <v>1</v>
      </c>
      <c r="V407" s="110" t="s">
        <v>1345</v>
      </c>
      <c r="W407" s="110" t="s">
        <v>1343</v>
      </c>
      <c r="X407" s="110"/>
      <c r="Y407" s="110"/>
      <c r="Z407" s="110"/>
      <c r="AA407" s="110"/>
      <c r="AB407" s="110">
        <v>3</v>
      </c>
      <c r="AC407" s="110">
        <v>5</v>
      </c>
      <c r="AD407" s="110" t="s">
        <v>105</v>
      </c>
      <c r="AE407" s="110">
        <v>12</v>
      </c>
      <c r="AF407" s="110"/>
      <c r="AG407" s="110" t="s">
        <v>1351</v>
      </c>
      <c r="AH407" s="110" t="s">
        <v>29</v>
      </c>
      <c r="AI407" s="110" t="s">
        <v>29</v>
      </c>
      <c r="AJ407" s="110"/>
      <c r="AK407" s="110"/>
      <c r="AL407" s="110"/>
      <c r="AM407" s="110"/>
      <c r="AN407" s="110">
        <v>2</v>
      </c>
      <c r="AO407" s="110"/>
      <c r="AP407" s="110"/>
    </row>
    <row r="408" spans="1:48" ht="16.5" customHeight="1" x14ac:dyDescent="0.2">
      <c r="A408" s="110">
        <f>$A$404+2</f>
        <v>80</v>
      </c>
      <c r="B408" s="110" t="str">
        <f>D408&amp;"Cancel"</f>
        <v>FP_Finanskonti_2Cancel</v>
      </c>
      <c r="C408" s="110" t="s">
        <v>656</v>
      </c>
      <c r="D408" s="110" t="s">
        <v>1161</v>
      </c>
      <c r="E408" s="110" t="s">
        <v>194</v>
      </c>
      <c r="F408" s="110"/>
      <c r="G408" s="110" t="s">
        <v>1154</v>
      </c>
      <c r="H408" s="110">
        <v>2</v>
      </c>
      <c r="I408" s="110" t="s">
        <v>838</v>
      </c>
      <c r="J408" s="110" t="b">
        <f t="shared" si="26"/>
        <v>1</v>
      </c>
      <c r="K408" s="110"/>
      <c r="L408" s="110"/>
      <c r="M408" s="110" t="str">
        <f>"'editNorm """&amp;D408&amp;""","""&amp;B408&amp;""","""&amp;E408&amp;"""'"</f>
        <v>'editNorm "FP_Finanskonti_2","FP_Finanskonti_2Cancel","Finanskonti"'</v>
      </c>
      <c r="N408" s="110" t="s">
        <v>59</v>
      </c>
      <c r="O408" s="110" t="str">
        <f>"$M$"&amp;A408</f>
        <v>$M$80</v>
      </c>
      <c r="P408" s="110" t="str">
        <f>"$M$"&amp;A408</f>
        <v>$M$80</v>
      </c>
      <c r="Q408" s="110">
        <v>7</v>
      </c>
      <c r="R408" s="110">
        <v>1</v>
      </c>
      <c r="S408" s="110"/>
      <c r="T408" s="110">
        <v>22</v>
      </c>
      <c r="U408" s="110" t="b">
        <v>1</v>
      </c>
      <c r="V408" s="110" t="s">
        <v>1344</v>
      </c>
      <c r="W408" s="110" t="s">
        <v>1343</v>
      </c>
      <c r="X408" s="110"/>
      <c r="Y408" s="110"/>
      <c r="Z408" s="110"/>
      <c r="AA408" s="110"/>
      <c r="AB408" s="110">
        <v>3</v>
      </c>
      <c r="AC408" s="110">
        <v>5</v>
      </c>
      <c r="AD408" s="110" t="s">
        <v>105</v>
      </c>
      <c r="AE408" s="110">
        <v>12</v>
      </c>
      <c r="AF408" s="110"/>
      <c r="AG408" s="110" t="s">
        <v>1351</v>
      </c>
      <c r="AH408" s="110" t="s">
        <v>29</v>
      </c>
      <c r="AI408" s="110" t="s">
        <v>29</v>
      </c>
      <c r="AJ408" s="110"/>
      <c r="AK408" s="110"/>
      <c r="AL408" s="110"/>
      <c r="AM408" s="110"/>
      <c r="AN408" s="110">
        <v>2</v>
      </c>
      <c r="AO408" s="110"/>
      <c r="AP408" s="110"/>
    </row>
    <row r="409" spans="1:48" ht="16.5" customHeight="1" x14ac:dyDescent="0.2">
      <c r="A409" s="110">
        <f>$A$404+2</f>
        <v>80</v>
      </c>
      <c r="B409" s="110" t="str">
        <f>D409&amp;"Delete"</f>
        <v>FP_Finanskonti_2Delete</v>
      </c>
      <c r="C409" s="110" t="s">
        <v>656</v>
      </c>
      <c r="D409" s="110" t="s">
        <v>1161</v>
      </c>
      <c r="E409" s="110" t="s">
        <v>194</v>
      </c>
      <c r="F409" s="110"/>
      <c r="G409" s="110" t="s">
        <v>1154</v>
      </c>
      <c r="H409" s="110">
        <v>2</v>
      </c>
      <c r="I409" s="110" t="s">
        <v>839</v>
      </c>
      <c r="J409" s="110" t="b">
        <f t="shared" si="26"/>
        <v>1</v>
      </c>
      <c r="K409" s="110"/>
      <c r="L409" s="110"/>
      <c r="M409" s="110" t="str">
        <f>"'editNorm """&amp;D409&amp;""","""&amp;B409&amp;""","""&amp;E409&amp;"""'"</f>
        <v>'editNorm "FP_Finanskonti_2","FP_Finanskonti_2Delete","Finanskonti"'</v>
      </c>
      <c r="N409" s="110" t="s">
        <v>59</v>
      </c>
      <c r="O409" s="110" t="str">
        <f>"$N$"&amp;A409</f>
        <v>$N$80</v>
      </c>
      <c r="P409" s="110" t="str">
        <f>"$N$"&amp;A409</f>
        <v>$N$80</v>
      </c>
      <c r="Q409" s="110">
        <v>7</v>
      </c>
      <c r="R409" s="110">
        <v>1</v>
      </c>
      <c r="S409" s="110"/>
      <c r="T409" s="110">
        <v>22</v>
      </c>
      <c r="U409" s="110" t="b">
        <v>1</v>
      </c>
      <c r="V409" s="110" t="s">
        <v>1346</v>
      </c>
      <c r="W409" s="110" t="s">
        <v>1343</v>
      </c>
      <c r="X409" s="110"/>
      <c r="Y409" s="110"/>
      <c r="Z409" s="110"/>
      <c r="AA409" s="110"/>
      <c r="AB409" s="110">
        <v>3</v>
      </c>
      <c r="AC409" s="110">
        <v>5</v>
      </c>
      <c r="AD409" s="110" t="s">
        <v>105</v>
      </c>
      <c r="AE409" s="110">
        <v>12</v>
      </c>
      <c r="AF409" s="110"/>
      <c r="AG409" s="110" t="s">
        <v>1351</v>
      </c>
      <c r="AH409" s="110" t="s">
        <v>29</v>
      </c>
      <c r="AI409" s="110" t="s">
        <v>29</v>
      </c>
      <c r="AJ409" s="110"/>
      <c r="AK409" s="110"/>
      <c r="AL409" s="110"/>
      <c r="AM409" s="110"/>
      <c r="AN409" s="110">
        <v>2</v>
      </c>
      <c r="AO409" s="110"/>
      <c r="AP409" s="110"/>
    </row>
    <row r="410" spans="1:48" ht="16.5" customHeight="1" x14ac:dyDescent="0.2">
      <c r="A410" s="106">
        <f>$A$404+3</f>
        <v>81</v>
      </c>
      <c r="B410" s="106" t="s">
        <v>1162</v>
      </c>
      <c r="C410" s="106" t="s">
        <v>655</v>
      </c>
      <c r="D410" s="106"/>
      <c r="E410" s="106" t="s">
        <v>194</v>
      </c>
      <c r="F410" s="106"/>
      <c r="G410" s="106" t="s">
        <v>1154</v>
      </c>
      <c r="H410" s="106">
        <v>2</v>
      </c>
      <c r="I410" s="106"/>
      <c r="J410" s="106" t="b">
        <f t="shared" si="26"/>
        <v>1</v>
      </c>
      <c r="K410" s="106" t="b">
        <v>1</v>
      </c>
      <c r="L410" s="106"/>
      <c r="M410" s="106"/>
      <c r="N410" s="106" t="s">
        <v>59</v>
      </c>
      <c r="O410" s="106" t="str">
        <f>"$D$"&amp;A410</f>
        <v>$D$81</v>
      </c>
      <c r="P410" s="106" t="str">
        <f>"$M$"&amp;A410+1</f>
        <v>$M$82</v>
      </c>
      <c r="Q410" s="106"/>
      <c r="R410" s="106">
        <v>2</v>
      </c>
      <c r="S410" s="106"/>
      <c r="T410" s="106">
        <v>2</v>
      </c>
      <c r="U410" s="106" t="b">
        <v>1</v>
      </c>
      <c r="V410" s="106" t="s">
        <v>1344</v>
      </c>
      <c r="W410" s="106" t="s">
        <v>1343</v>
      </c>
      <c r="X410" s="106"/>
      <c r="Y410" s="106"/>
      <c r="Z410" s="106"/>
      <c r="AA410" s="106"/>
      <c r="AB410" s="106"/>
      <c r="AC410" s="106"/>
      <c r="AD410" s="106"/>
      <c r="AE410" s="106"/>
      <c r="AF410" s="106"/>
      <c r="AG410" s="106"/>
      <c r="AH410" s="106"/>
      <c r="AI410" s="106"/>
      <c r="AJ410" s="106"/>
      <c r="AK410" s="106"/>
      <c r="AL410" s="106"/>
      <c r="AM410" s="106"/>
      <c r="AN410" s="106"/>
      <c r="AO410" s="106"/>
      <c r="AP410" s="106"/>
    </row>
    <row r="411" spans="1:48" ht="16.5" customHeight="1" x14ac:dyDescent="0.2">
      <c r="A411" s="109">
        <f>$A$410+2</f>
        <v>83</v>
      </c>
      <c r="B411" s="109" t="s">
        <v>1165</v>
      </c>
      <c r="C411" s="109" t="s">
        <v>96</v>
      </c>
      <c r="D411" s="109"/>
      <c r="E411" s="109" t="s">
        <v>194</v>
      </c>
      <c r="F411" s="109"/>
      <c r="G411" s="109" t="s">
        <v>1154</v>
      </c>
      <c r="H411" s="109">
        <v>3</v>
      </c>
      <c r="I411" s="109"/>
      <c r="J411" s="109" t="b">
        <f t="shared" si="26"/>
        <v>1</v>
      </c>
      <c r="K411" s="109" t="b">
        <v>1</v>
      </c>
      <c r="L411" s="109"/>
      <c r="M411" s="109"/>
      <c r="N411" s="109"/>
      <c r="O411" s="109" t="str">
        <f>"$D$"&amp;A411</f>
        <v>$D$83</v>
      </c>
      <c r="P411" s="109" t="str">
        <f>"$I$"&amp;A411</f>
        <v>$I$83</v>
      </c>
      <c r="Q411" s="109"/>
      <c r="R411" s="109"/>
      <c r="S411" s="109"/>
      <c r="T411" s="109">
        <v>25</v>
      </c>
      <c r="U411" s="109" t="b">
        <v>1</v>
      </c>
      <c r="V411" s="109" t="s">
        <v>1342</v>
      </c>
      <c r="W411" s="109" t="s">
        <v>1342</v>
      </c>
      <c r="X411" s="109"/>
      <c r="Y411" s="109"/>
      <c r="Z411" s="109"/>
      <c r="AA411" s="109"/>
      <c r="AB411" s="109"/>
      <c r="AC411" s="109">
        <v>5</v>
      </c>
      <c r="AD411" s="109" t="s">
        <v>105</v>
      </c>
      <c r="AE411" s="109">
        <v>14</v>
      </c>
      <c r="AF411" s="109"/>
      <c r="AG411" s="109" t="s">
        <v>1360</v>
      </c>
      <c r="AH411" s="109" t="s">
        <v>29</v>
      </c>
      <c r="AI411" s="109" t="s">
        <v>28</v>
      </c>
      <c r="AJ411" s="109"/>
      <c r="AK411" s="109" t="s">
        <v>1342</v>
      </c>
      <c r="AL411" s="109">
        <v>5</v>
      </c>
      <c r="AM411" s="109"/>
      <c r="AN411" s="109"/>
      <c r="AO411" s="109"/>
      <c r="AP411" s="109" t="b">
        <v>1</v>
      </c>
      <c r="AQ411" s="296" t="s">
        <v>1181</v>
      </c>
      <c r="AR411" s="296"/>
      <c r="AS411" s="296"/>
      <c r="AT411" s="296"/>
      <c r="AU411" s="296"/>
      <c r="AV411" s="296"/>
    </row>
    <row r="412" spans="1:48" ht="16.5" customHeight="1" x14ac:dyDescent="0.2">
      <c r="A412" s="110">
        <f>$A$410+2</f>
        <v>83</v>
      </c>
      <c r="B412" s="110" t="str">
        <f>D412&amp;"Red"</f>
        <v>FP_Finanskonti_3Red</v>
      </c>
      <c r="C412" s="110" t="s">
        <v>656</v>
      </c>
      <c r="D412" s="110" t="s">
        <v>1165</v>
      </c>
      <c r="E412" s="110" t="s">
        <v>194</v>
      </c>
      <c r="F412" s="110"/>
      <c r="G412" s="110" t="s">
        <v>1154</v>
      </c>
      <c r="H412" s="110">
        <v>3</v>
      </c>
      <c r="I412" s="110" t="s">
        <v>1247</v>
      </c>
      <c r="J412" s="110" t="b">
        <f t="shared" si="26"/>
        <v>1</v>
      </c>
      <c r="K412" s="110" t="b">
        <v>1</v>
      </c>
      <c r="L412" s="110"/>
      <c r="M412" s="110" t="str">
        <f>"'editNorm """&amp;D412&amp;""","""&amp;B412&amp;""","""&amp;E412&amp;"""'"</f>
        <v>'editNorm "FP_Finanskonti_3","FP_Finanskonti_3Red","Finanskonti"'</v>
      </c>
      <c r="N412" s="110" t="s">
        <v>59</v>
      </c>
      <c r="O412" s="110" t="str">
        <f>"$L$"&amp;A412</f>
        <v>$L$83</v>
      </c>
      <c r="P412" s="110" t="str">
        <f>"$M$"&amp;A412</f>
        <v>$M$83</v>
      </c>
      <c r="Q412" s="110">
        <v>5</v>
      </c>
      <c r="R412" s="110">
        <v>1</v>
      </c>
      <c r="S412" s="110"/>
      <c r="T412" s="110">
        <v>22</v>
      </c>
      <c r="U412" s="110" t="b">
        <v>1</v>
      </c>
      <c r="V412" s="110" t="s">
        <v>1344</v>
      </c>
      <c r="W412" s="110" t="s">
        <v>1343</v>
      </c>
      <c r="X412" s="110"/>
      <c r="Y412" s="110"/>
      <c r="Z412" s="110"/>
      <c r="AA412" s="110"/>
      <c r="AB412" s="110">
        <v>3</v>
      </c>
      <c r="AC412" s="110">
        <v>5</v>
      </c>
      <c r="AD412" s="110" t="s">
        <v>105</v>
      </c>
      <c r="AE412" s="110">
        <v>12</v>
      </c>
      <c r="AF412" s="110"/>
      <c r="AG412" s="110" t="s">
        <v>1351</v>
      </c>
      <c r="AH412" s="110" t="s">
        <v>29</v>
      </c>
      <c r="AI412" s="110" t="s">
        <v>29</v>
      </c>
      <c r="AJ412" s="110"/>
      <c r="AK412" s="110"/>
      <c r="AL412" s="110"/>
      <c r="AM412" s="110"/>
      <c r="AN412" s="110">
        <v>2</v>
      </c>
      <c r="AO412" s="110"/>
      <c r="AP412" s="110"/>
    </row>
    <row r="413" spans="1:48" ht="16.5" customHeight="1" x14ac:dyDescent="0.2">
      <c r="A413" s="110">
        <f>$A$410+2</f>
        <v>83</v>
      </c>
      <c r="B413" s="110" t="str">
        <f>D413&amp;"Gem"</f>
        <v>FP_Finanskonti_3Gem</v>
      </c>
      <c r="C413" s="110" t="s">
        <v>656</v>
      </c>
      <c r="D413" s="110" t="s">
        <v>1165</v>
      </c>
      <c r="E413" s="110" t="s">
        <v>194</v>
      </c>
      <c r="F413" s="110"/>
      <c r="G413" s="110" t="s">
        <v>1154</v>
      </c>
      <c r="H413" s="110">
        <v>3</v>
      </c>
      <c r="I413" s="110" t="s">
        <v>238</v>
      </c>
      <c r="J413" s="110" t="b">
        <f t="shared" si="26"/>
        <v>1</v>
      </c>
      <c r="K413" s="110"/>
      <c r="L413" s="110"/>
      <c r="M413" s="110" t="str">
        <f>"'editNorm """&amp;D413&amp;""","""&amp;B413&amp;""","""&amp;E413&amp;"""'"</f>
        <v>'editNorm "FP_Finanskonti_3","FP_Finanskonti_3Gem","Finanskonti"'</v>
      </c>
      <c r="N413" s="110" t="s">
        <v>59</v>
      </c>
      <c r="O413" s="110" t="str">
        <f>"$L$"&amp;A413</f>
        <v>$L$83</v>
      </c>
      <c r="P413" s="110" t="str">
        <f>"$L$"&amp;A413</f>
        <v>$L$83</v>
      </c>
      <c r="Q413" s="110">
        <v>5</v>
      </c>
      <c r="R413" s="110">
        <v>1</v>
      </c>
      <c r="S413" s="110"/>
      <c r="T413" s="110">
        <v>22</v>
      </c>
      <c r="U413" s="110" t="b">
        <v>1</v>
      </c>
      <c r="V413" s="110" t="s">
        <v>1345</v>
      </c>
      <c r="W413" s="110" t="s">
        <v>1343</v>
      </c>
      <c r="X413" s="110"/>
      <c r="Y413" s="110"/>
      <c r="Z413" s="110"/>
      <c r="AA413" s="110"/>
      <c r="AB413" s="110">
        <v>3</v>
      </c>
      <c r="AC413" s="110">
        <v>5</v>
      </c>
      <c r="AD413" s="110" t="s">
        <v>105</v>
      </c>
      <c r="AE413" s="110">
        <v>12</v>
      </c>
      <c r="AF413" s="110"/>
      <c r="AG413" s="110" t="s">
        <v>1351</v>
      </c>
      <c r="AH413" s="110" t="s">
        <v>29</v>
      </c>
      <c r="AI413" s="110" t="s">
        <v>29</v>
      </c>
      <c r="AJ413" s="110"/>
      <c r="AK413" s="110"/>
      <c r="AL413" s="110"/>
      <c r="AM413" s="110"/>
      <c r="AN413" s="110">
        <v>2</v>
      </c>
      <c r="AO413" s="110"/>
      <c r="AP413" s="110"/>
    </row>
    <row r="414" spans="1:48" ht="16.5" customHeight="1" x14ac:dyDescent="0.2">
      <c r="A414" s="110">
        <f>$A$410+2</f>
        <v>83</v>
      </c>
      <c r="B414" s="110" t="str">
        <f>D414&amp;"Cancel"</f>
        <v>FP_Finanskonti_3Cancel</v>
      </c>
      <c r="C414" s="110" t="s">
        <v>656</v>
      </c>
      <c r="D414" s="110" t="s">
        <v>1165</v>
      </c>
      <c r="E414" s="110" t="s">
        <v>194</v>
      </c>
      <c r="F414" s="110"/>
      <c r="G414" s="110" t="s">
        <v>1154</v>
      </c>
      <c r="H414" s="110">
        <v>3</v>
      </c>
      <c r="I414" s="110" t="s">
        <v>838</v>
      </c>
      <c r="J414" s="110" t="b">
        <f t="shared" si="26"/>
        <v>1</v>
      </c>
      <c r="K414" s="110"/>
      <c r="L414" s="110"/>
      <c r="M414" s="110" t="str">
        <f>"'editNorm """&amp;D414&amp;""","""&amp;B414&amp;""","""&amp;E414&amp;"""'"</f>
        <v>'editNorm "FP_Finanskonti_3","FP_Finanskonti_3Cancel","Finanskonti"'</v>
      </c>
      <c r="N414" s="110" t="s">
        <v>59</v>
      </c>
      <c r="O414" s="110" t="str">
        <f>"$M$"&amp;A414</f>
        <v>$M$83</v>
      </c>
      <c r="P414" s="110" t="str">
        <f>"$M$"&amp;A414</f>
        <v>$M$83</v>
      </c>
      <c r="Q414" s="110">
        <v>7</v>
      </c>
      <c r="R414" s="110">
        <v>1</v>
      </c>
      <c r="S414" s="110"/>
      <c r="T414" s="110">
        <v>22</v>
      </c>
      <c r="U414" s="110" t="b">
        <v>1</v>
      </c>
      <c r="V414" s="110" t="s">
        <v>1344</v>
      </c>
      <c r="W414" s="110" t="s">
        <v>1343</v>
      </c>
      <c r="X414" s="110"/>
      <c r="Y414" s="110"/>
      <c r="Z414" s="110"/>
      <c r="AA414" s="110"/>
      <c r="AB414" s="110">
        <v>3</v>
      </c>
      <c r="AC414" s="110">
        <v>5</v>
      </c>
      <c r="AD414" s="110" t="s">
        <v>105</v>
      </c>
      <c r="AE414" s="110">
        <v>12</v>
      </c>
      <c r="AF414" s="110"/>
      <c r="AG414" s="110" t="s">
        <v>1351</v>
      </c>
      <c r="AH414" s="110" t="s">
        <v>29</v>
      </c>
      <c r="AI414" s="110" t="s">
        <v>29</v>
      </c>
      <c r="AJ414" s="110"/>
      <c r="AK414" s="110"/>
      <c r="AL414" s="110"/>
      <c r="AM414" s="110"/>
      <c r="AN414" s="110">
        <v>2</v>
      </c>
      <c r="AO414" s="110"/>
      <c r="AP414" s="110"/>
    </row>
    <row r="415" spans="1:48" ht="16.5" customHeight="1" x14ac:dyDescent="0.2">
      <c r="A415" s="110">
        <f>$A$410+2</f>
        <v>83</v>
      </c>
      <c r="B415" s="110" t="str">
        <f>D415&amp;"Delete"</f>
        <v>FP_Finanskonti_3Delete</v>
      </c>
      <c r="C415" s="110" t="s">
        <v>656</v>
      </c>
      <c r="D415" s="110" t="s">
        <v>1165</v>
      </c>
      <c r="E415" s="110" t="s">
        <v>194</v>
      </c>
      <c r="F415" s="110"/>
      <c r="G415" s="110" t="s">
        <v>1154</v>
      </c>
      <c r="H415" s="110">
        <v>3</v>
      </c>
      <c r="I415" s="110" t="s">
        <v>839</v>
      </c>
      <c r="J415" s="110" t="b">
        <f t="shared" si="26"/>
        <v>1</v>
      </c>
      <c r="K415" s="110"/>
      <c r="L415" s="110"/>
      <c r="M415" s="110" t="str">
        <f>"'editNorm """&amp;D415&amp;""","""&amp;B415&amp;""","""&amp;E415&amp;"""'"</f>
        <v>'editNorm "FP_Finanskonti_3","FP_Finanskonti_3Delete","Finanskonti"'</v>
      </c>
      <c r="N415" s="110" t="s">
        <v>59</v>
      </c>
      <c r="O415" s="110" t="str">
        <f>"$N$"&amp;A415</f>
        <v>$N$83</v>
      </c>
      <c r="P415" s="110" t="str">
        <f>"$N$"&amp;A415</f>
        <v>$N$83</v>
      </c>
      <c r="Q415" s="110">
        <v>7</v>
      </c>
      <c r="R415" s="110">
        <v>1</v>
      </c>
      <c r="S415" s="110"/>
      <c r="T415" s="110">
        <v>22</v>
      </c>
      <c r="U415" s="110" t="b">
        <v>1</v>
      </c>
      <c r="V415" s="110" t="s">
        <v>1346</v>
      </c>
      <c r="W415" s="110" t="s">
        <v>1343</v>
      </c>
      <c r="X415" s="110"/>
      <c r="Y415" s="110"/>
      <c r="Z415" s="110"/>
      <c r="AA415" s="110"/>
      <c r="AB415" s="110">
        <v>3</v>
      </c>
      <c r="AC415" s="110">
        <v>5</v>
      </c>
      <c r="AD415" s="110" t="s">
        <v>105</v>
      </c>
      <c r="AE415" s="110">
        <v>12</v>
      </c>
      <c r="AF415" s="110"/>
      <c r="AG415" s="110" t="s">
        <v>1351</v>
      </c>
      <c r="AH415" s="110" t="s">
        <v>29</v>
      </c>
      <c r="AI415" s="110" t="s">
        <v>29</v>
      </c>
      <c r="AJ415" s="110"/>
      <c r="AK415" s="110"/>
      <c r="AL415" s="110"/>
      <c r="AM415" s="110"/>
      <c r="AN415" s="110">
        <v>2</v>
      </c>
      <c r="AO415" s="110"/>
      <c r="AP415" s="110"/>
    </row>
    <row r="416" spans="1:48" ht="16.5" customHeight="1" x14ac:dyDescent="0.2">
      <c r="A416" s="106">
        <f>$A$410+3</f>
        <v>84</v>
      </c>
      <c r="B416" s="106" t="s">
        <v>1166</v>
      </c>
      <c r="C416" s="106" t="s">
        <v>655</v>
      </c>
      <c r="D416" s="106"/>
      <c r="E416" s="106" t="s">
        <v>194</v>
      </c>
      <c r="F416" s="106"/>
      <c r="G416" s="106" t="s">
        <v>1154</v>
      </c>
      <c r="H416" s="106">
        <v>3</v>
      </c>
      <c r="I416" s="106"/>
      <c r="J416" s="106" t="b">
        <f t="shared" si="26"/>
        <v>1</v>
      </c>
      <c r="K416" s="106" t="b">
        <v>1</v>
      </c>
      <c r="L416" s="106"/>
      <c r="M416" s="106"/>
      <c r="N416" s="106" t="s">
        <v>59</v>
      </c>
      <c r="O416" s="106" t="str">
        <f>"$D$"&amp;A416</f>
        <v>$D$84</v>
      </c>
      <c r="P416" s="106" t="str">
        <f>"$M$"&amp;A416+1</f>
        <v>$M$85</v>
      </c>
      <c r="Q416" s="106"/>
      <c r="R416" s="106">
        <v>2</v>
      </c>
      <c r="S416" s="106"/>
      <c r="T416" s="106">
        <v>2</v>
      </c>
      <c r="U416" s="106" t="b">
        <v>1</v>
      </c>
      <c r="V416" s="106" t="s">
        <v>1344</v>
      </c>
      <c r="W416" s="106" t="s">
        <v>1343</v>
      </c>
      <c r="X416" s="106"/>
      <c r="Y416" s="106"/>
      <c r="Z416" s="106"/>
      <c r="AA416" s="106"/>
      <c r="AB416" s="106"/>
      <c r="AC416" s="106"/>
      <c r="AD416" s="106"/>
      <c r="AE416" s="106"/>
      <c r="AF416" s="106"/>
      <c r="AG416" s="106"/>
      <c r="AH416" s="106"/>
      <c r="AI416" s="106"/>
      <c r="AJ416" s="106"/>
      <c r="AK416" s="106"/>
      <c r="AL416" s="106"/>
      <c r="AM416" s="106"/>
      <c r="AN416" s="106"/>
      <c r="AO416" s="106"/>
      <c r="AP416" s="106"/>
    </row>
    <row r="417" spans="1:48" ht="16.5" customHeight="1" x14ac:dyDescent="0.2">
      <c r="A417" s="109">
        <f>$A$416+2</f>
        <v>86</v>
      </c>
      <c r="B417" s="109" t="s">
        <v>1169</v>
      </c>
      <c r="C417" s="109" t="s">
        <v>96</v>
      </c>
      <c r="D417" s="109"/>
      <c r="E417" s="109" t="s">
        <v>194</v>
      </c>
      <c r="F417" s="109"/>
      <c r="G417" s="109" t="s">
        <v>1154</v>
      </c>
      <c r="H417" s="109">
        <v>4</v>
      </c>
      <c r="I417" s="109"/>
      <c r="J417" s="109" t="b">
        <f t="shared" si="26"/>
        <v>1</v>
      </c>
      <c r="K417" s="109" t="b">
        <v>1</v>
      </c>
      <c r="L417" s="109"/>
      <c r="M417" s="109"/>
      <c r="N417" s="109"/>
      <c r="O417" s="109" t="str">
        <f>"$D$"&amp;A417</f>
        <v>$D$86</v>
      </c>
      <c r="P417" s="109" t="str">
        <f>"$I$"&amp;A417</f>
        <v>$I$86</v>
      </c>
      <c r="Q417" s="109"/>
      <c r="R417" s="109"/>
      <c r="S417" s="109"/>
      <c r="T417" s="109">
        <v>25</v>
      </c>
      <c r="U417" s="109" t="b">
        <v>1</v>
      </c>
      <c r="V417" s="109" t="s">
        <v>1342</v>
      </c>
      <c r="W417" s="109" t="s">
        <v>1342</v>
      </c>
      <c r="X417" s="109"/>
      <c r="Y417" s="109"/>
      <c r="Z417" s="109"/>
      <c r="AA417" s="109"/>
      <c r="AB417" s="109"/>
      <c r="AC417" s="109">
        <v>5</v>
      </c>
      <c r="AD417" s="109" t="s">
        <v>105</v>
      </c>
      <c r="AE417" s="109">
        <v>14</v>
      </c>
      <c r="AF417" s="109"/>
      <c r="AG417" s="109" t="s">
        <v>1360</v>
      </c>
      <c r="AH417" s="109" t="s">
        <v>29</v>
      </c>
      <c r="AI417" s="109" t="s">
        <v>28</v>
      </c>
      <c r="AJ417" s="109"/>
      <c r="AK417" s="109" t="s">
        <v>1342</v>
      </c>
      <c r="AL417" s="109">
        <v>5</v>
      </c>
      <c r="AM417" s="109"/>
      <c r="AN417" s="109"/>
      <c r="AO417" s="109"/>
      <c r="AP417" s="109" t="b">
        <v>1</v>
      </c>
      <c r="AQ417" s="296" t="s">
        <v>1182</v>
      </c>
      <c r="AR417" s="296"/>
      <c r="AS417" s="296"/>
      <c r="AT417" s="296"/>
      <c r="AU417" s="296"/>
      <c r="AV417" s="296"/>
    </row>
    <row r="418" spans="1:48" ht="16.5" customHeight="1" x14ac:dyDescent="0.2">
      <c r="A418" s="110">
        <f>$A$416+2</f>
        <v>86</v>
      </c>
      <c r="B418" s="110" t="str">
        <f>D418&amp;"Red"</f>
        <v>FP_Finanskonti_4Red</v>
      </c>
      <c r="C418" s="110" t="s">
        <v>656</v>
      </c>
      <c r="D418" s="110" t="s">
        <v>1169</v>
      </c>
      <c r="E418" s="110" t="s">
        <v>194</v>
      </c>
      <c r="F418" s="110"/>
      <c r="G418" s="110" t="s">
        <v>1154</v>
      </c>
      <c r="H418" s="110">
        <v>4</v>
      </c>
      <c r="I418" s="110" t="s">
        <v>1247</v>
      </c>
      <c r="J418" s="110" t="b">
        <f t="shared" si="26"/>
        <v>1</v>
      </c>
      <c r="K418" s="110" t="b">
        <v>1</v>
      </c>
      <c r="L418" s="110"/>
      <c r="M418" s="110" t="str">
        <f>"'editNorm """&amp;D418&amp;""","""&amp;B418&amp;""","""&amp;E418&amp;"""'"</f>
        <v>'editNorm "FP_Finanskonti_4","FP_Finanskonti_4Red","Finanskonti"'</v>
      </c>
      <c r="N418" s="110" t="s">
        <v>59</v>
      </c>
      <c r="O418" s="110" t="str">
        <f>"$L$"&amp;A418</f>
        <v>$L$86</v>
      </c>
      <c r="P418" s="110" t="str">
        <f>"$M$"&amp;A418</f>
        <v>$M$86</v>
      </c>
      <c r="Q418" s="110">
        <v>5</v>
      </c>
      <c r="R418" s="110">
        <v>1</v>
      </c>
      <c r="S418" s="110"/>
      <c r="T418" s="110">
        <v>22</v>
      </c>
      <c r="U418" s="110" t="b">
        <v>1</v>
      </c>
      <c r="V418" s="110" t="s">
        <v>1344</v>
      </c>
      <c r="W418" s="110" t="s">
        <v>1343</v>
      </c>
      <c r="X418" s="110"/>
      <c r="Y418" s="110"/>
      <c r="Z418" s="110"/>
      <c r="AA418" s="110"/>
      <c r="AB418" s="110">
        <v>3</v>
      </c>
      <c r="AC418" s="110">
        <v>5</v>
      </c>
      <c r="AD418" s="110" t="s">
        <v>105</v>
      </c>
      <c r="AE418" s="110">
        <v>12</v>
      </c>
      <c r="AF418" s="110"/>
      <c r="AG418" s="110" t="s">
        <v>1351</v>
      </c>
      <c r="AH418" s="110" t="s">
        <v>29</v>
      </c>
      <c r="AI418" s="110" t="s">
        <v>29</v>
      </c>
      <c r="AJ418" s="110"/>
      <c r="AK418" s="110"/>
      <c r="AL418" s="110"/>
      <c r="AM418" s="110"/>
      <c r="AN418" s="110">
        <v>2</v>
      </c>
      <c r="AO418" s="110"/>
      <c r="AP418" s="110"/>
    </row>
    <row r="419" spans="1:48" ht="16.5" customHeight="1" x14ac:dyDescent="0.2">
      <c r="A419" s="110">
        <f>$A$416+2</f>
        <v>86</v>
      </c>
      <c r="B419" s="110" t="str">
        <f>D419&amp;"Gem"</f>
        <v>FP_Finanskonti_4Gem</v>
      </c>
      <c r="C419" s="110" t="s">
        <v>656</v>
      </c>
      <c r="D419" s="110" t="s">
        <v>1169</v>
      </c>
      <c r="E419" s="110" t="s">
        <v>194</v>
      </c>
      <c r="F419" s="110"/>
      <c r="G419" s="110" t="s">
        <v>1154</v>
      </c>
      <c r="H419" s="110">
        <v>4</v>
      </c>
      <c r="I419" s="110" t="s">
        <v>238</v>
      </c>
      <c r="J419" s="110" t="b">
        <f t="shared" si="26"/>
        <v>1</v>
      </c>
      <c r="K419" s="110"/>
      <c r="L419" s="110"/>
      <c r="M419" s="110" t="str">
        <f>"'editNorm """&amp;D419&amp;""","""&amp;B419&amp;""","""&amp;E419&amp;"""'"</f>
        <v>'editNorm "FP_Finanskonti_4","FP_Finanskonti_4Gem","Finanskonti"'</v>
      </c>
      <c r="N419" s="110" t="s">
        <v>59</v>
      </c>
      <c r="O419" s="110" t="str">
        <f>"$L$"&amp;A419</f>
        <v>$L$86</v>
      </c>
      <c r="P419" s="110" t="str">
        <f>"$L$"&amp;A419</f>
        <v>$L$86</v>
      </c>
      <c r="Q419" s="110">
        <v>5</v>
      </c>
      <c r="R419" s="110">
        <v>1</v>
      </c>
      <c r="S419" s="110"/>
      <c r="T419" s="110">
        <v>22</v>
      </c>
      <c r="U419" s="110" t="b">
        <v>1</v>
      </c>
      <c r="V419" s="110" t="s">
        <v>1345</v>
      </c>
      <c r="W419" s="110" t="s">
        <v>1343</v>
      </c>
      <c r="X419" s="110"/>
      <c r="Y419" s="110"/>
      <c r="Z419" s="110"/>
      <c r="AA419" s="110"/>
      <c r="AB419" s="110">
        <v>3</v>
      </c>
      <c r="AC419" s="110">
        <v>5</v>
      </c>
      <c r="AD419" s="110" t="s">
        <v>105</v>
      </c>
      <c r="AE419" s="110">
        <v>12</v>
      </c>
      <c r="AF419" s="110"/>
      <c r="AG419" s="110" t="s">
        <v>1351</v>
      </c>
      <c r="AH419" s="110" t="s">
        <v>29</v>
      </c>
      <c r="AI419" s="110" t="s">
        <v>29</v>
      </c>
      <c r="AJ419" s="110"/>
      <c r="AK419" s="110"/>
      <c r="AL419" s="110"/>
      <c r="AM419" s="110"/>
      <c r="AN419" s="110">
        <v>2</v>
      </c>
      <c r="AO419" s="110"/>
      <c r="AP419" s="110"/>
    </row>
    <row r="420" spans="1:48" ht="16.5" customHeight="1" x14ac:dyDescent="0.2">
      <c r="A420" s="110">
        <f>$A$416+2</f>
        <v>86</v>
      </c>
      <c r="B420" s="110" t="str">
        <f>D420&amp;"Cancel"</f>
        <v>FP_Finanskonti_4Cancel</v>
      </c>
      <c r="C420" s="110" t="s">
        <v>656</v>
      </c>
      <c r="D420" s="110" t="s">
        <v>1169</v>
      </c>
      <c r="E420" s="110" t="s">
        <v>194</v>
      </c>
      <c r="F420" s="110"/>
      <c r="G420" s="110" t="s">
        <v>1154</v>
      </c>
      <c r="H420" s="110">
        <v>4</v>
      </c>
      <c r="I420" s="110" t="s">
        <v>838</v>
      </c>
      <c r="J420" s="110" t="b">
        <f t="shared" si="26"/>
        <v>1</v>
      </c>
      <c r="K420" s="110"/>
      <c r="L420" s="110"/>
      <c r="M420" s="110" t="str">
        <f>"'editNorm """&amp;D420&amp;""","""&amp;B420&amp;""","""&amp;E420&amp;"""'"</f>
        <v>'editNorm "FP_Finanskonti_4","FP_Finanskonti_4Cancel","Finanskonti"'</v>
      </c>
      <c r="N420" s="110" t="s">
        <v>59</v>
      </c>
      <c r="O420" s="110" t="str">
        <f>"$M$"&amp;A420</f>
        <v>$M$86</v>
      </c>
      <c r="P420" s="110" t="str">
        <f>"$M$"&amp;A420</f>
        <v>$M$86</v>
      </c>
      <c r="Q420" s="110">
        <v>7</v>
      </c>
      <c r="R420" s="110">
        <v>1</v>
      </c>
      <c r="S420" s="110"/>
      <c r="T420" s="110">
        <v>22</v>
      </c>
      <c r="U420" s="110" t="b">
        <v>1</v>
      </c>
      <c r="V420" s="110" t="s">
        <v>1344</v>
      </c>
      <c r="W420" s="110" t="s">
        <v>1343</v>
      </c>
      <c r="X420" s="110"/>
      <c r="Y420" s="110"/>
      <c r="Z420" s="110"/>
      <c r="AA420" s="110"/>
      <c r="AB420" s="110">
        <v>3</v>
      </c>
      <c r="AC420" s="110">
        <v>5</v>
      </c>
      <c r="AD420" s="110" t="s">
        <v>105</v>
      </c>
      <c r="AE420" s="110">
        <v>12</v>
      </c>
      <c r="AF420" s="110"/>
      <c r="AG420" s="110" t="s">
        <v>1351</v>
      </c>
      <c r="AH420" s="110" t="s">
        <v>29</v>
      </c>
      <c r="AI420" s="110" t="s">
        <v>29</v>
      </c>
      <c r="AJ420" s="110"/>
      <c r="AK420" s="110"/>
      <c r="AL420" s="110"/>
      <c r="AM420" s="110"/>
      <c r="AN420" s="110">
        <v>2</v>
      </c>
      <c r="AO420" s="110"/>
      <c r="AP420" s="110"/>
    </row>
    <row r="421" spans="1:48" ht="16.5" customHeight="1" x14ac:dyDescent="0.2">
      <c r="A421" s="110">
        <f>$A$416+2</f>
        <v>86</v>
      </c>
      <c r="B421" s="110" t="str">
        <f>D421&amp;"Delete"</f>
        <v>FP_Finanskonti_4Delete</v>
      </c>
      <c r="C421" s="110" t="s">
        <v>656</v>
      </c>
      <c r="D421" s="110" t="s">
        <v>1169</v>
      </c>
      <c r="E421" s="110" t="s">
        <v>194</v>
      </c>
      <c r="F421" s="110"/>
      <c r="G421" s="110" t="s">
        <v>1154</v>
      </c>
      <c r="H421" s="110">
        <v>4</v>
      </c>
      <c r="I421" s="110" t="s">
        <v>839</v>
      </c>
      <c r="J421" s="110" t="b">
        <f t="shared" si="26"/>
        <v>1</v>
      </c>
      <c r="K421" s="110"/>
      <c r="L421" s="110"/>
      <c r="M421" s="110" t="str">
        <f>"'editNorm """&amp;D421&amp;""","""&amp;B421&amp;""","""&amp;E421&amp;"""'"</f>
        <v>'editNorm "FP_Finanskonti_4","FP_Finanskonti_4Delete","Finanskonti"'</v>
      </c>
      <c r="N421" s="110" t="s">
        <v>59</v>
      </c>
      <c r="O421" s="110" t="str">
        <f>"$N$"&amp;A421</f>
        <v>$N$86</v>
      </c>
      <c r="P421" s="110" t="str">
        <f>"$N$"&amp;A421</f>
        <v>$N$86</v>
      </c>
      <c r="Q421" s="110">
        <v>7</v>
      </c>
      <c r="R421" s="110">
        <v>1</v>
      </c>
      <c r="S421" s="110"/>
      <c r="T421" s="110">
        <v>22</v>
      </c>
      <c r="U421" s="110" t="b">
        <v>1</v>
      </c>
      <c r="V421" s="110" t="s">
        <v>1346</v>
      </c>
      <c r="W421" s="110" t="s">
        <v>1343</v>
      </c>
      <c r="X421" s="110"/>
      <c r="Y421" s="110"/>
      <c r="Z421" s="110"/>
      <c r="AA421" s="110"/>
      <c r="AB421" s="110">
        <v>3</v>
      </c>
      <c r="AC421" s="110">
        <v>5</v>
      </c>
      <c r="AD421" s="110" t="s">
        <v>105</v>
      </c>
      <c r="AE421" s="110">
        <v>12</v>
      </c>
      <c r="AF421" s="110"/>
      <c r="AG421" s="110" t="s">
        <v>1351</v>
      </c>
      <c r="AH421" s="110" t="s">
        <v>29</v>
      </c>
      <c r="AI421" s="110" t="s">
        <v>29</v>
      </c>
      <c r="AJ421" s="110"/>
      <c r="AK421" s="110"/>
      <c r="AL421" s="110"/>
      <c r="AM421" s="110"/>
      <c r="AN421" s="110">
        <v>2</v>
      </c>
      <c r="AO421" s="110"/>
      <c r="AP421" s="110"/>
    </row>
    <row r="422" spans="1:48" ht="16.5" customHeight="1" x14ac:dyDescent="0.2">
      <c r="A422" s="106">
        <f>$A$416+3</f>
        <v>87</v>
      </c>
      <c r="B422" s="106" t="s">
        <v>1170</v>
      </c>
      <c r="C422" s="106" t="s">
        <v>655</v>
      </c>
      <c r="D422" s="106"/>
      <c r="E422" s="106" t="s">
        <v>194</v>
      </c>
      <c r="F422" s="106"/>
      <c r="G422" s="106" t="s">
        <v>1154</v>
      </c>
      <c r="H422" s="106">
        <v>4</v>
      </c>
      <c r="I422" s="106"/>
      <c r="J422" s="106" t="b">
        <f t="shared" si="26"/>
        <v>1</v>
      </c>
      <c r="K422" s="106" t="b">
        <v>1</v>
      </c>
      <c r="L422" s="106"/>
      <c r="M422" s="106"/>
      <c r="N422" s="106" t="s">
        <v>59</v>
      </c>
      <c r="O422" s="106" t="str">
        <f>"$D$"&amp;A422</f>
        <v>$D$87</v>
      </c>
      <c r="P422" s="106" t="str">
        <f>"$M$"&amp;A422+1</f>
        <v>$M$88</v>
      </c>
      <c r="Q422" s="106"/>
      <c r="R422" s="106">
        <v>2</v>
      </c>
      <c r="S422" s="106"/>
      <c r="T422" s="106">
        <v>2</v>
      </c>
      <c r="U422" s="106" t="b">
        <v>1</v>
      </c>
      <c r="V422" s="106" t="s">
        <v>1344</v>
      </c>
      <c r="W422" s="106" t="s">
        <v>1343</v>
      </c>
      <c r="X422" s="106"/>
      <c r="Y422" s="106"/>
      <c r="Z422" s="106"/>
      <c r="AA422" s="106"/>
      <c r="AB422" s="106"/>
      <c r="AC422" s="106"/>
      <c r="AD422" s="106"/>
      <c r="AE422" s="106"/>
      <c r="AF422" s="106"/>
      <c r="AG422" s="106"/>
      <c r="AH422" s="106"/>
      <c r="AI422" s="106"/>
      <c r="AJ422" s="106"/>
      <c r="AK422" s="106"/>
      <c r="AL422" s="106"/>
      <c r="AM422" s="106"/>
      <c r="AN422" s="106"/>
      <c r="AO422" s="106"/>
      <c r="AP422" s="106"/>
    </row>
    <row r="423" spans="1:48" ht="16.5" customHeight="1" x14ac:dyDescent="0.2">
      <c r="A423" s="109">
        <f>$A$422+2</f>
        <v>89</v>
      </c>
      <c r="B423" s="109" t="s">
        <v>1173</v>
      </c>
      <c r="C423" s="109" t="s">
        <v>96</v>
      </c>
      <c r="D423" s="109"/>
      <c r="E423" s="109" t="s">
        <v>194</v>
      </c>
      <c r="F423" s="109"/>
      <c r="G423" s="109" t="s">
        <v>1154</v>
      </c>
      <c r="H423" s="109">
        <v>5</v>
      </c>
      <c r="I423" s="109"/>
      <c r="J423" s="109" t="b">
        <f t="shared" si="26"/>
        <v>1</v>
      </c>
      <c r="K423" s="109" t="b">
        <v>1</v>
      </c>
      <c r="L423" s="109"/>
      <c r="M423" s="109"/>
      <c r="N423" s="109"/>
      <c r="O423" s="109" t="str">
        <f>"$D$"&amp;A423</f>
        <v>$D$89</v>
      </c>
      <c r="P423" s="109" t="str">
        <f>"$I$"&amp;A423</f>
        <v>$I$89</v>
      </c>
      <c r="Q423" s="109"/>
      <c r="R423" s="109"/>
      <c r="S423" s="109"/>
      <c r="T423" s="109">
        <v>25</v>
      </c>
      <c r="U423" s="109" t="b">
        <v>1</v>
      </c>
      <c r="V423" s="109" t="s">
        <v>1342</v>
      </c>
      <c r="W423" s="109" t="s">
        <v>1342</v>
      </c>
      <c r="X423" s="109"/>
      <c r="Y423" s="109"/>
      <c r="Z423" s="109"/>
      <c r="AA423" s="109"/>
      <c r="AB423" s="109"/>
      <c r="AC423" s="109">
        <v>5</v>
      </c>
      <c r="AD423" s="109" t="s">
        <v>105</v>
      </c>
      <c r="AE423" s="109">
        <v>14</v>
      </c>
      <c r="AF423" s="109"/>
      <c r="AG423" s="109" t="s">
        <v>1360</v>
      </c>
      <c r="AH423" s="109" t="s">
        <v>29</v>
      </c>
      <c r="AI423" s="109" t="s">
        <v>28</v>
      </c>
      <c r="AJ423" s="109"/>
      <c r="AK423" s="109" t="s">
        <v>1342</v>
      </c>
      <c r="AL423" s="109">
        <v>5</v>
      </c>
      <c r="AM423" s="109"/>
      <c r="AN423" s="109"/>
      <c r="AO423" s="109"/>
      <c r="AP423" s="109" t="b">
        <v>1</v>
      </c>
      <c r="AQ423" s="296" t="s">
        <v>1183</v>
      </c>
      <c r="AR423" s="296"/>
      <c r="AS423" s="296"/>
      <c r="AT423" s="296"/>
      <c r="AU423" s="296"/>
      <c r="AV423" s="296"/>
    </row>
    <row r="424" spans="1:48" ht="16.5" customHeight="1" x14ac:dyDescent="0.2">
      <c r="A424" s="110">
        <f>$A$422+2</f>
        <v>89</v>
      </c>
      <c r="B424" s="110" t="str">
        <f>D424&amp;"Red"</f>
        <v>FP_Finanskonti_5Red</v>
      </c>
      <c r="C424" s="110" t="s">
        <v>656</v>
      </c>
      <c r="D424" s="110" t="s">
        <v>1173</v>
      </c>
      <c r="E424" s="110" t="s">
        <v>194</v>
      </c>
      <c r="F424" s="110"/>
      <c r="G424" s="110" t="s">
        <v>1154</v>
      </c>
      <c r="H424" s="110">
        <v>5</v>
      </c>
      <c r="I424" s="110" t="s">
        <v>1247</v>
      </c>
      <c r="J424" s="110" t="b">
        <f t="shared" si="26"/>
        <v>1</v>
      </c>
      <c r="K424" s="110" t="b">
        <v>1</v>
      </c>
      <c r="L424" s="110"/>
      <c r="M424" s="110" t="str">
        <f>"'editNorm """&amp;D424&amp;""","""&amp;B424&amp;""","""&amp;E424&amp;"""'"</f>
        <v>'editNorm "FP_Finanskonti_5","FP_Finanskonti_5Red","Finanskonti"'</v>
      </c>
      <c r="N424" s="110" t="s">
        <v>59</v>
      </c>
      <c r="O424" s="110" t="str">
        <f>"$L$"&amp;A424</f>
        <v>$L$89</v>
      </c>
      <c r="P424" s="110" t="str">
        <f>"$M$"&amp;A424</f>
        <v>$M$89</v>
      </c>
      <c r="Q424" s="110">
        <v>5</v>
      </c>
      <c r="R424" s="110">
        <v>1</v>
      </c>
      <c r="S424" s="110"/>
      <c r="T424" s="110">
        <v>22</v>
      </c>
      <c r="U424" s="110" t="b">
        <v>1</v>
      </c>
      <c r="V424" s="110" t="s">
        <v>1344</v>
      </c>
      <c r="W424" s="110" t="s">
        <v>1343</v>
      </c>
      <c r="X424" s="110"/>
      <c r="Y424" s="110"/>
      <c r="Z424" s="110"/>
      <c r="AA424" s="110"/>
      <c r="AB424" s="110">
        <v>3</v>
      </c>
      <c r="AC424" s="110">
        <v>5</v>
      </c>
      <c r="AD424" s="110" t="s">
        <v>105</v>
      </c>
      <c r="AE424" s="110">
        <v>12</v>
      </c>
      <c r="AF424" s="110"/>
      <c r="AG424" s="110" t="s">
        <v>1351</v>
      </c>
      <c r="AH424" s="110" t="s">
        <v>29</v>
      </c>
      <c r="AI424" s="110" t="s">
        <v>29</v>
      </c>
      <c r="AJ424" s="110"/>
      <c r="AK424" s="110"/>
      <c r="AL424" s="110"/>
      <c r="AM424" s="110"/>
      <c r="AN424" s="110">
        <v>2</v>
      </c>
      <c r="AO424" s="110"/>
      <c r="AP424" s="110"/>
    </row>
    <row r="425" spans="1:48" ht="16.5" customHeight="1" x14ac:dyDescent="0.2">
      <c r="A425" s="110">
        <f>$A$422+2</f>
        <v>89</v>
      </c>
      <c r="B425" s="110" t="str">
        <f>D425&amp;"Gem"</f>
        <v>FP_Finanskonti_5Gem</v>
      </c>
      <c r="C425" s="110" t="s">
        <v>656</v>
      </c>
      <c r="D425" s="110" t="s">
        <v>1173</v>
      </c>
      <c r="E425" s="110" t="s">
        <v>194</v>
      </c>
      <c r="F425" s="110"/>
      <c r="G425" s="110" t="s">
        <v>1154</v>
      </c>
      <c r="H425" s="110">
        <v>5</v>
      </c>
      <c r="I425" s="110" t="s">
        <v>238</v>
      </c>
      <c r="J425" s="110" t="b">
        <f t="shared" si="26"/>
        <v>1</v>
      </c>
      <c r="K425" s="110"/>
      <c r="L425" s="110"/>
      <c r="M425" s="110" t="str">
        <f>"'editNorm """&amp;D425&amp;""","""&amp;B425&amp;""","""&amp;E425&amp;"""'"</f>
        <v>'editNorm "FP_Finanskonti_5","FP_Finanskonti_5Gem","Finanskonti"'</v>
      </c>
      <c r="N425" s="110" t="s">
        <v>59</v>
      </c>
      <c r="O425" s="110" t="str">
        <f>"$L$"&amp;A425</f>
        <v>$L$89</v>
      </c>
      <c r="P425" s="110" t="str">
        <f>"$L$"&amp;A425</f>
        <v>$L$89</v>
      </c>
      <c r="Q425" s="110">
        <v>5</v>
      </c>
      <c r="R425" s="110">
        <v>1</v>
      </c>
      <c r="S425" s="110"/>
      <c r="T425" s="110">
        <v>22</v>
      </c>
      <c r="U425" s="110" t="b">
        <v>1</v>
      </c>
      <c r="V425" s="110" t="s">
        <v>1345</v>
      </c>
      <c r="W425" s="110" t="s">
        <v>1343</v>
      </c>
      <c r="X425" s="110"/>
      <c r="Y425" s="110"/>
      <c r="Z425" s="110"/>
      <c r="AA425" s="110"/>
      <c r="AB425" s="110">
        <v>3</v>
      </c>
      <c r="AC425" s="110">
        <v>5</v>
      </c>
      <c r="AD425" s="110" t="s">
        <v>105</v>
      </c>
      <c r="AE425" s="110">
        <v>12</v>
      </c>
      <c r="AF425" s="110"/>
      <c r="AG425" s="110" t="s">
        <v>1351</v>
      </c>
      <c r="AH425" s="110" t="s">
        <v>29</v>
      </c>
      <c r="AI425" s="110" t="s">
        <v>29</v>
      </c>
      <c r="AJ425" s="110"/>
      <c r="AK425" s="110"/>
      <c r="AL425" s="110"/>
      <c r="AM425" s="110"/>
      <c r="AN425" s="110">
        <v>2</v>
      </c>
      <c r="AO425" s="110"/>
      <c r="AP425" s="110"/>
    </row>
    <row r="426" spans="1:48" ht="16.5" customHeight="1" x14ac:dyDescent="0.2">
      <c r="A426" s="110">
        <f>$A$422+2</f>
        <v>89</v>
      </c>
      <c r="B426" s="110" t="str">
        <f>D426&amp;"Cancel"</f>
        <v>FP_Finanskonti_5Cancel</v>
      </c>
      <c r="C426" s="110" t="s">
        <v>656</v>
      </c>
      <c r="D426" s="110" t="s">
        <v>1173</v>
      </c>
      <c r="E426" s="110" t="s">
        <v>194</v>
      </c>
      <c r="F426" s="110"/>
      <c r="G426" s="110" t="s">
        <v>1154</v>
      </c>
      <c r="H426" s="110">
        <v>5</v>
      </c>
      <c r="I426" s="110" t="s">
        <v>838</v>
      </c>
      <c r="J426" s="110" t="b">
        <f t="shared" si="26"/>
        <v>1</v>
      </c>
      <c r="K426" s="110"/>
      <c r="L426" s="110"/>
      <c r="M426" s="110" t="str">
        <f>"'editNorm """&amp;D426&amp;""","""&amp;B426&amp;""","""&amp;E426&amp;"""'"</f>
        <v>'editNorm "FP_Finanskonti_5","FP_Finanskonti_5Cancel","Finanskonti"'</v>
      </c>
      <c r="N426" s="110" t="s">
        <v>59</v>
      </c>
      <c r="O426" s="110" t="str">
        <f>"$M$"&amp;A426</f>
        <v>$M$89</v>
      </c>
      <c r="P426" s="110" t="str">
        <f>"$M$"&amp;A426</f>
        <v>$M$89</v>
      </c>
      <c r="Q426" s="110">
        <v>7</v>
      </c>
      <c r="R426" s="110">
        <v>1</v>
      </c>
      <c r="S426" s="110"/>
      <c r="T426" s="110">
        <v>22</v>
      </c>
      <c r="U426" s="110" t="b">
        <v>1</v>
      </c>
      <c r="V426" s="110" t="s">
        <v>1344</v>
      </c>
      <c r="W426" s="110" t="s">
        <v>1343</v>
      </c>
      <c r="X426" s="110"/>
      <c r="Y426" s="110"/>
      <c r="Z426" s="110"/>
      <c r="AA426" s="110"/>
      <c r="AB426" s="110">
        <v>3</v>
      </c>
      <c r="AC426" s="110">
        <v>5</v>
      </c>
      <c r="AD426" s="110" t="s">
        <v>105</v>
      </c>
      <c r="AE426" s="110">
        <v>12</v>
      </c>
      <c r="AF426" s="110"/>
      <c r="AG426" s="110" t="s">
        <v>1351</v>
      </c>
      <c r="AH426" s="110" t="s">
        <v>29</v>
      </c>
      <c r="AI426" s="110" t="s">
        <v>29</v>
      </c>
      <c r="AJ426" s="110"/>
      <c r="AK426" s="110"/>
      <c r="AL426" s="110"/>
      <c r="AM426" s="110"/>
      <c r="AN426" s="110">
        <v>2</v>
      </c>
      <c r="AO426" s="110"/>
      <c r="AP426" s="110"/>
    </row>
    <row r="427" spans="1:48" ht="16.5" customHeight="1" x14ac:dyDescent="0.2">
      <c r="A427" s="110">
        <f>$A$422+2</f>
        <v>89</v>
      </c>
      <c r="B427" s="110" t="str">
        <f>D427&amp;"Delete"</f>
        <v>FP_Finanskonti_5Delete</v>
      </c>
      <c r="C427" s="110" t="s">
        <v>656</v>
      </c>
      <c r="D427" s="110" t="s">
        <v>1173</v>
      </c>
      <c r="E427" s="110" t="s">
        <v>194</v>
      </c>
      <c r="F427" s="110"/>
      <c r="G427" s="110" t="s">
        <v>1154</v>
      </c>
      <c r="H427" s="110">
        <v>5</v>
      </c>
      <c r="I427" s="110" t="s">
        <v>839</v>
      </c>
      <c r="J427" s="110" t="b">
        <f t="shared" si="26"/>
        <v>1</v>
      </c>
      <c r="K427" s="110"/>
      <c r="L427" s="110"/>
      <c r="M427" s="110" t="str">
        <f>"'editNorm """&amp;D427&amp;""","""&amp;B427&amp;""","""&amp;E427&amp;"""'"</f>
        <v>'editNorm "FP_Finanskonti_5","FP_Finanskonti_5Delete","Finanskonti"'</v>
      </c>
      <c r="N427" s="110" t="s">
        <v>59</v>
      </c>
      <c r="O427" s="110" t="str">
        <f>"$N$"&amp;A427</f>
        <v>$N$89</v>
      </c>
      <c r="P427" s="110" t="str">
        <f>"$N$"&amp;A427</f>
        <v>$N$89</v>
      </c>
      <c r="Q427" s="110">
        <v>7</v>
      </c>
      <c r="R427" s="110">
        <v>1</v>
      </c>
      <c r="S427" s="110"/>
      <c r="T427" s="110">
        <v>22</v>
      </c>
      <c r="U427" s="110" t="b">
        <v>1</v>
      </c>
      <c r="V427" s="110" t="s">
        <v>1346</v>
      </c>
      <c r="W427" s="110" t="s">
        <v>1343</v>
      </c>
      <c r="X427" s="110"/>
      <c r="Y427" s="110"/>
      <c r="Z427" s="110"/>
      <c r="AA427" s="110"/>
      <c r="AB427" s="110">
        <v>3</v>
      </c>
      <c r="AC427" s="110">
        <v>5</v>
      </c>
      <c r="AD427" s="110" t="s">
        <v>105</v>
      </c>
      <c r="AE427" s="110">
        <v>12</v>
      </c>
      <c r="AF427" s="110"/>
      <c r="AG427" s="110" t="s">
        <v>1351</v>
      </c>
      <c r="AH427" s="110" t="s">
        <v>29</v>
      </c>
      <c r="AI427" s="110" t="s">
        <v>29</v>
      </c>
      <c r="AJ427" s="110"/>
      <c r="AK427" s="110"/>
      <c r="AL427" s="110"/>
      <c r="AM427" s="110"/>
      <c r="AN427" s="110">
        <v>2</v>
      </c>
      <c r="AO427" s="110"/>
      <c r="AP427" s="110"/>
    </row>
    <row r="428" spans="1:48" ht="16.5" customHeight="1" x14ac:dyDescent="0.2">
      <c r="A428" s="106">
        <f>$A$422+3</f>
        <v>90</v>
      </c>
      <c r="B428" s="106" t="s">
        <v>1174</v>
      </c>
      <c r="C428" s="106" t="s">
        <v>655</v>
      </c>
      <c r="D428" s="106"/>
      <c r="E428" s="106" t="s">
        <v>194</v>
      </c>
      <c r="F428" s="106"/>
      <c r="G428" s="106" t="s">
        <v>1154</v>
      </c>
      <c r="H428" s="106">
        <v>5</v>
      </c>
      <c r="I428" s="106"/>
      <c r="J428" s="106" t="b">
        <f t="shared" si="26"/>
        <v>1</v>
      </c>
      <c r="K428" s="106" t="b">
        <v>1</v>
      </c>
      <c r="L428" s="106"/>
      <c r="M428" s="106"/>
      <c r="N428" s="106" t="s">
        <v>59</v>
      </c>
      <c r="O428" s="106" t="str">
        <f>"$D$"&amp;A428</f>
        <v>$D$90</v>
      </c>
      <c r="P428" s="106" t="str">
        <f>"$M$"&amp;A428+1</f>
        <v>$M$91</v>
      </c>
      <c r="Q428" s="106"/>
      <c r="R428" s="106">
        <v>2</v>
      </c>
      <c r="S428" s="106"/>
      <c r="T428" s="106">
        <v>2</v>
      </c>
      <c r="U428" s="106" t="b">
        <v>1</v>
      </c>
      <c r="V428" s="106" t="s">
        <v>1344</v>
      </c>
      <c r="W428" s="106" t="s">
        <v>1343</v>
      </c>
      <c r="X428" s="106"/>
      <c r="Y428" s="106"/>
      <c r="Z428" s="106"/>
      <c r="AA428" s="106"/>
      <c r="AB428" s="106"/>
      <c r="AC428" s="106"/>
      <c r="AD428" s="106"/>
      <c r="AE428" s="106"/>
      <c r="AF428" s="106"/>
      <c r="AG428" s="106"/>
      <c r="AH428" s="106"/>
      <c r="AI428" s="106"/>
      <c r="AJ428" s="106"/>
      <c r="AK428" s="106"/>
      <c r="AL428" s="106"/>
      <c r="AM428" s="106"/>
      <c r="AN428" s="106"/>
      <c r="AO428" s="106"/>
      <c r="AP428" s="106"/>
    </row>
    <row r="429" spans="1:48" ht="16.5" customHeight="1" x14ac:dyDescent="0.2">
      <c r="A429" s="109">
        <f>$A$428+2</f>
        <v>92</v>
      </c>
      <c r="B429" s="109" t="s">
        <v>1177</v>
      </c>
      <c r="C429" s="109" t="s">
        <v>96</v>
      </c>
      <c r="D429" s="109"/>
      <c r="E429" s="109" t="s">
        <v>194</v>
      </c>
      <c r="F429" s="109"/>
      <c r="G429" s="109" t="s">
        <v>1154</v>
      </c>
      <c r="H429" s="109">
        <v>6</v>
      </c>
      <c r="I429" s="109"/>
      <c r="J429" s="109" t="b">
        <f t="shared" si="26"/>
        <v>1</v>
      </c>
      <c r="K429" s="109" t="b">
        <v>1</v>
      </c>
      <c r="L429" s="109"/>
      <c r="M429" s="109"/>
      <c r="N429" s="109"/>
      <c r="O429" s="109" t="str">
        <f>"$D$"&amp;A429</f>
        <v>$D$92</v>
      </c>
      <c r="P429" s="109" t="str">
        <f>"$I$"&amp;A429</f>
        <v>$I$92</v>
      </c>
      <c r="Q429" s="109"/>
      <c r="R429" s="109"/>
      <c r="S429" s="109"/>
      <c r="T429" s="109">
        <v>25</v>
      </c>
      <c r="U429" s="109" t="b">
        <v>1</v>
      </c>
      <c r="V429" s="109" t="s">
        <v>1342</v>
      </c>
      <c r="W429" s="109" t="s">
        <v>1342</v>
      </c>
      <c r="X429" s="109"/>
      <c r="Y429" s="109"/>
      <c r="Z429" s="109"/>
      <c r="AA429" s="109"/>
      <c r="AB429" s="109"/>
      <c r="AC429" s="109">
        <v>5</v>
      </c>
      <c r="AD429" s="109" t="s">
        <v>105</v>
      </c>
      <c r="AE429" s="109">
        <v>14</v>
      </c>
      <c r="AF429" s="109"/>
      <c r="AG429" s="109" t="s">
        <v>1360</v>
      </c>
      <c r="AH429" s="109" t="s">
        <v>29</v>
      </c>
      <c r="AI429" s="109" t="s">
        <v>28</v>
      </c>
      <c r="AJ429" s="109"/>
      <c r="AK429" s="109" t="s">
        <v>1342</v>
      </c>
      <c r="AL429" s="109">
        <v>5</v>
      </c>
      <c r="AM429" s="109"/>
      <c r="AN429" s="109"/>
      <c r="AO429" s="109"/>
      <c r="AP429" s="109" t="b">
        <v>1</v>
      </c>
      <c r="AQ429" s="296" t="s">
        <v>84</v>
      </c>
      <c r="AR429" s="296"/>
      <c r="AS429" s="296"/>
      <c r="AT429" s="296"/>
      <c r="AU429" s="296"/>
      <c r="AV429" s="296"/>
    </row>
    <row r="430" spans="1:48" ht="16.5" customHeight="1" x14ac:dyDescent="0.2">
      <c r="A430" s="110">
        <f>$A$428+2</f>
        <v>92</v>
      </c>
      <c r="B430" s="110" t="str">
        <f>D430&amp;"Red"</f>
        <v>FP_Finanskonti_6Red</v>
      </c>
      <c r="C430" s="110" t="s">
        <v>656</v>
      </c>
      <c r="D430" s="110" t="s">
        <v>1177</v>
      </c>
      <c r="E430" s="110" t="s">
        <v>194</v>
      </c>
      <c r="F430" s="110"/>
      <c r="G430" s="110" t="s">
        <v>1154</v>
      </c>
      <c r="H430" s="110">
        <v>6</v>
      </c>
      <c r="I430" s="110" t="s">
        <v>1247</v>
      </c>
      <c r="J430" s="110" t="b">
        <f t="shared" si="26"/>
        <v>1</v>
      </c>
      <c r="K430" s="110" t="b">
        <v>1</v>
      </c>
      <c r="L430" s="110"/>
      <c r="M430" s="110" t="str">
        <f>"'editNorm """&amp;D430&amp;""","""&amp;B430&amp;""","""&amp;E430&amp;"""'"</f>
        <v>'editNorm "FP_Finanskonti_6","FP_Finanskonti_6Red","Finanskonti"'</v>
      </c>
      <c r="N430" s="110" t="s">
        <v>59</v>
      </c>
      <c r="O430" s="110" t="str">
        <f>"$L$"&amp;A430</f>
        <v>$L$92</v>
      </c>
      <c r="P430" s="110" t="str">
        <f>"$M$"&amp;A430</f>
        <v>$M$92</v>
      </c>
      <c r="Q430" s="110">
        <v>5</v>
      </c>
      <c r="R430" s="110">
        <v>1</v>
      </c>
      <c r="S430" s="110"/>
      <c r="T430" s="110">
        <v>22</v>
      </c>
      <c r="U430" s="110" t="b">
        <v>1</v>
      </c>
      <c r="V430" s="110" t="s">
        <v>1344</v>
      </c>
      <c r="W430" s="110" t="s">
        <v>1343</v>
      </c>
      <c r="X430" s="110"/>
      <c r="Y430" s="110"/>
      <c r="Z430" s="110"/>
      <c r="AA430" s="110"/>
      <c r="AB430" s="110">
        <v>3</v>
      </c>
      <c r="AC430" s="110">
        <v>5</v>
      </c>
      <c r="AD430" s="110" t="s">
        <v>105</v>
      </c>
      <c r="AE430" s="110">
        <v>12</v>
      </c>
      <c r="AF430" s="110"/>
      <c r="AG430" s="110" t="s">
        <v>1351</v>
      </c>
      <c r="AH430" s="110" t="s">
        <v>29</v>
      </c>
      <c r="AI430" s="110" t="s">
        <v>29</v>
      </c>
      <c r="AJ430" s="110"/>
      <c r="AK430" s="110"/>
      <c r="AL430" s="110"/>
      <c r="AM430" s="110"/>
      <c r="AN430" s="110">
        <v>2</v>
      </c>
      <c r="AO430" s="110"/>
      <c r="AP430" s="110"/>
    </row>
    <row r="431" spans="1:48" ht="16.5" customHeight="1" x14ac:dyDescent="0.2">
      <c r="A431" s="110">
        <f>$A$428+2</f>
        <v>92</v>
      </c>
      <c r="B431" s="110" t="str">
        <f>D431&amp;"Gem"</f>
        <v>FP_Finanskonti_6Gem</v>
      </c>
      <c r="C431" s="110" t="s">
        <v>656</v>
      </c>
      <c r="D431" s="110" t="s">
        <v>1177</v>
      </c>
      <c r="E431" s="110" t="s">
        <v>194</v>
      </c>
      <c r="F431" s="110"/>
      <c r="G431" s="110" t="s">
        <v>1154</v>
      </c>
      <c r="H431" s="110">
        <v>6</v>
      </c>
      <c r="I431" s="110" t="s">
        <v>238</v>
      </c>
      <c r="J431" s="110" t="b">
        <f t="shared" si="26"/>
        <v>1</v>
      </c>
      <c r="K431" s="110"/>
      <c r="L431" s="110"/>
      <c r="M431" s="110" t="str">
        <f>"'editNorm """&amp;D431&amp;""","""&amp;B431&amp;""","""&amp;E431&amp;"""'"</f>
        <v>'editNorm "FP_Finanskonti_6","FP_Finanskonti_6Gem","Finanskonti"'</v>
      </c>
      <c r="N431" s="110" t="s">
        <v>59</v>
      </c>
      <c r="O431" s="110" t="str">
        <f>"$L$"&amp;A431</f>
        <v>$L$92</v>
      </c>
      <c r="P431" s="110" t="str">
        <f>"$L$"&amp;A431</f>
        <v>$L$92</v>
      </c>
      <c r="Q431" s="110">
        <v>5</v>
      </c>
      <c r="R431" s="110">
        <v>1</v>
      </c>
      <c r="S431" s="110"/>
      <c r="T431" s="110">
        <v>22</v>
      </c>
      <c r="U431" s="110" t="b">
        <v>1</v>
      </c>
      <c r="V431" s="110" t="s">
        <v>1345</v>
      </c>
      <c r="W431" s="110" t="s">
        <v>1343</v>
      </c>
      <c r="X431" s="110"/>
      <c r="Y431" s="110"/>
      <c r="Z431" s="110"/>
      <c r="AA431" s="110"/>
      <c r="AB431" s="110">
        <v>3</v>
      </c>
      <c r="AC431" s="110">
        <v>5</v>
      </c>
      <c r="AD431" s="110" t="s">
        <v>105</v>
      </c>
      <c r="AE431" s="110">
        <v>12</v>
      </c>
      <c r="AF431" s="110"/>
      <c r="AG431" s="110" t="s">
        <v>1351</v>
      </c>
      <c r="AH431" s="110" t="s">
        <v>29</v>
      </c>
      <c r="AI431" s="110" t="s">
        <v>29</v>
      </c>
      <c r="AJ431" s="110"/>
      <c r="AK431" s="110"/>
      <c r="AL431" s="110"/>
      <c r="AM431" s="110"/>
      <c r="AN431" s="110">
        <v>2</v>
      </c>
      <c r="AO431" s="110"/>
      <c r="AP431" s="110"/>
    </row>
    <row r="432" spans="1:48" ht="16.5" customHeight="1" x14ac:dyDescent="0.2">
      <c r="A432" s="110">
        <f>$A$428+2</f>
        <v>92</v>
      </c>
      <c r="B432" s="110" t="str">
        <f>D432&amp;"Cancel"</f>
        <v>FP_Finanskonti_6Cancel</v>
      </c>
      <c r="C432" s="110" t="s">
        <v>656</v>
      </c>
      <c r="D432" s="110" t="s">
        <v>1177</v>
      </c>
      <c r="E432" s="110" t="s">
        <v>194</v>
      </c>
      <c r="F432" s="110"/>
      <c r="G432" s="110" t="s">
        <v>1154</v>
      </c>
      <c r="H432" s="110">
        <v>6</v>
      </c>
      <c r="I432" s="110" t="s">
        <v>838</v>
      </c>
      <c r="J432" s="110" t="b">
        <f t="shared" si="26"/>
        <v>1</v>
      </c>
      <c r="K432" s="110"/>
      <c r="L432" s="110"/>
      <c r="M432" s="110" t="str">
        <f>"'editNorm """&amp;D432&amp;""","""&amp;B432&amp;""","""&amp;E432&amp;"""'"</f>
        <v>'editNorm "FP_Finanskonti_6","FP_Finanskonti_6Cancel","Finanskonti"'</v>
      </c>
      <c r="N432" s="110" t="s">
        <v>59</v>
      </c>
      <c r="O432" s="110" t="str">
        <f>"$M$"&amp;A432</f>
        <v>$M$92</v>
      </c>
      <c r="P432" s="110" t="str">
        <f>"$M$"&amp;A432</f>
        <v>$M$92</v>
      </c>
      <c r="Q432" s="110">
        <v>7</v>
      </c>
      <c r="R432" s="110">
        <v>1</v>
      </c>
      <c r="S432" s="110"/>
      <c r="T432" s="110">
        <v>22</v>
      </c>
      <c r="U432" s="110" t="b">
        <v>1</v>
      </c>
      <c r="V432" s="110" t="s">
        <v>1344</v>
      </c>
      <c r="W432" s="110" t="s">
        <v>1343</v>
      </c>
      <c r="X432" s="110"/>
      <c r="Y432" s="110"/>
      <c r="Z432" s="110"/>
      <c r="AA432" s="110"/>
      <c r="AB432" s="110">
        <v>3</v>
      </c>
      <c r="AC432" s="110">
        <v>5</v>
      </c>
      <c r="AD432" s="110" t="s">
        <v>105</v>
      </c>
      <c r="AE432" s="110">
        <v>12</v>
      </c>
      <c r="AF432" s="110"/>
      <c r="AG432" s="110" t="s">
        <v>1351</v>
      </c>
      <c r="AH432" s="110" t="s">
        <v>29</v>
      </c>
      <c r="AI432" s="110" t="s">
        <v>29</v>
      </c>
      <c r="AJ432" s="110"/>
      <c r="AK432" s="110"/>
      <c r="AL432" s="110"/>
      <c r="AM432" s="110"/>
      <c r="AN432" s="110">
        <v>2</v>
      </c>
      <c r="AO432" s="110"/>
      <c r="AP432" s="110"/>
    </row>
    <row r="433" spans="1:48" ht="16.5" customHeight="1" x14ac:dyDescent="0.2">
      <c r="A433" s="110">
        <f>$A$428+2</f>
        <v>92</v>
      </c>
      <c r="B433" s="110" t="str">
        <f>D433&amp;"Delete"</f>
        <v>FP_Finanskonti_6Delete</v>
      </c>
      <c r="C433" s="110" t="s">
        <v>656</v>
      </c>
      <c r="D433" s="110" t="s">
        <v>1177</v>
      </c>
      <c r="E433" s="110" t="s">
        <v>194</v>
      </c>
      <c r="F433" s="110"/>
      <c r="G433" s="110" t="s">
        <v>1154</v>
      </c>
      <c r="H433" s="110">
        <v>6</v>
      </c>
      <c r="I433" s="110" t="s">
        <v>839</v>
      </c>
      <c r="J433" s="110" t="b">
        <f t="shared" si="26"/>
        <v>1</v>
      </c>
      <c r="K433" s="110"/>
      <c r="L433" s="110"/>
      <c r="M433" s="110" t="str">
        <f>"'editNorm """&amp;D433&amp;""","""&amp;B433&amp;""","""&amp;E433&amp;"""'"</f>
        <v>'editNorm "FP_Finanskonti_6","FP_Finanskonti_6Delete","Finanskonti"'</v>
      </c>
      <c r="N433" s="110" t="s">
        <v>59</v>
      </c>
      <c r="O433" s="110" t="str">
        <f>"$N$"&amp;A433</f>
        <v>$N$92</v>
      </c>
      <c r="P433" s="110" t="str">
        <f>"$N$"&amp;A433</f>
        <v>$N$92</v>
      </c>
      <c r="Q433" s="110">
        <v>7</v>
      </c>
      <c r="R433" s="110">
        <v>1</v>
      </c>
      <c r="S433" s="110"/>
      <c r="T433" s="110">
        <v>22</v>
      </c>
      <c r="U433" s="110" t="b">
        <v>1</v>
      </c>
      <c r="V433" s="110" t="s">
        <v>1346</v>
      </c>
      <c r="W433" s="110" t="s">
        <v>1343</v>
      </c>
      <c r="X433" s="110"/>
      <c r="Y433" s="110"/>
      <c r="Z433" s="110"/>
      <c r="AA433" s="110"/>
      <c r="AB433" s="110">
        <v>3</v>
      </c>
      <c r="AC433" s="110">
        <v>5</v>
      </c>
      <c r="AD433" s="110" t="s">
        <v>105</v>
      </c>
      <c r="AE433" s="110">
        <v>12</v>
      </c>
      <c r="AF433" s="110"/>
      <c r="AG433" s="110" t="s">
        <v>1351</v>
      </c>
      <c r="AH433" s="110" t="s">
        <v>29</v>
      </c>
      <c r="AI433" s="110" t="s">
        <v>29</v>
      </c>
      <c r="AJ433" s="110"/>
      <c r="AK433" s="110"/>
      <c r="AL433" s="110"/>
      <c r="AM433" s="110"/>
      <c r="AN433" s="110">
        <v>2</v>
      </c>
      <c r="AO433" s="110"/>
      <c r="AP433" s="110"/>
    </row>
    <row r="434" spans="1:48" ht="16.5" customHeight="1" x14ac:dyDescent="0.2">
      <c r="A434" s="106">
        <f>$A$428+3</f>
        <v>93</v>
      </c>
      <c r="B434" s="106" t="s">
        <v>1178</v>
      </c>
      <c r="C434" s="106" t="s">
        <v>655</v>
      </c>
      <c r="D434" s="106"/>
      <c r="E434" s="106" t="s">
        <v>194</v>
      </c>
      <c r="F434" s="106"/>
      <c r="G434" s="106" t="s">
        <v>1154</v>
      </c>
      <c r="H434" s="106">
        <v>6</v>
      </c>
      <c r="I434" s="106"/>
      <c r="J434" s="106" t="b">
        <f t="shared" si="26"/>
        <v>1</v>
      </c>
      <c r="K434" s="106" t="b">
        <v>1</v>
      </c>
      <c r="L434" s="106"/>
      <c r="M434" s="106"/>
      <c r="N434" s="106" t="s">
        <v>59</v>
      </c>
      <c r="O434" s="106" t="str">
        <f>"$D$"&amp;A434</f>
        <v>$D$93</v>
      </c>
      <c r="P434" s="106" t="str">
        <f>"$M$"&amp;A434+1</f>
        <v>$M$94</v>
      </c>
      <c r="Q434" s="106"/>
      <c r="R434" s="106">
        <v>2</v>
      </c>
      <c r="S434" s="106"/>
      <c r="T434" s="106">
        <v>2</v>
      </c>
      <c r="U434" s="106" t="b">
        <v>1</v>
      </c>
      <c r="V434" s="106" t="s">
        <v>1344</v>
      </c>
      <c r="W434" s="106" t="s">
        <v>1343</v>
      </c>
      <c r="X434" s="106"/>
      <c r="Y434" s="106"/>
      <c r="Z434" s="106"/>
      <c r="AA434" s="106"/>
      <c r="AB434" s="106"/>
      <c r="AC434" s="106"/>
      <c r="AD434" s="106"/>
      <c r="AE434" s="106"/>
      <c r="AF434" s="106"/>
      <c r="AG434" s="106"/>
      <c r="AH434" s="106"/>
      <c r="AI434" s="106"/>
      <c r="AJ434" s="106"/>
      <c r="AK434" s="106"/>
      <c r="AL434" s="106"/>
      <c r="AM434" s="106"/>
      <c r="AN434" s="106"/>
      <c r="AO434" s="106"/>
      <c r="AP434" s="106"/>
    </row>
    <row r="435" spans="1:48" ht="16.5" customHeight="1" x14ac:dyDescent="0.2">
      <c r="A435" s="109">
        <f>$A$434+2</f>
        <v>95</v>
      </c>
      <c r="B435" s="109" t="s">
        <v>1186</v>
      </c>
      <c r="C435" s="109" t="s">
        <v>96</v>
      </c>
      <c r="D435" s="109"/>
      <c r="E435" s="109" t="s">
        <v>194</v>
      </c>
      <c r="F435" s="109"/>
      <c r="G435" s="109" t="s">
        <v>1154</v>
      </c>
      <c r="H435" s="109">
        <v>7</v>
      </c>
      <c r="I435" s="109"/>
      <c r="J435" s="109" t="b">
        <f t="shared" si="26"/>
        <v>1</v>
      </c>
      <c r="K435" s="109" t="b">
        <v>1</v>
      </c>
      <c r="L435" s="109"/>
      <c r="M435" s="109"/>
      <c r="N435" s="109"/>
      <c r="O435" s="109" t="str">
        <f>"$D$"&amp;A435</f>
        <v>$D$95</v>
      </c>
      <c r="P435" s="109" t="str">
        <f>"$I$"&amp;A435</f>
        <v>$I$95</v>
      </c>
      <c r="Q435" s="109"/>
      <c r="R435" s="109"/>
      <c r="S435" s="109"/>
      <c r="T435" s="109">
        <v>25</v>
      </c>
      <c r="U435" s="109" t="b">
        <v>1</v>
      </c>
      <c r="V435" s="109" t="s">
        <v>1342</v>
      </c>
      <c r="W435" s="109" t="s">
        <v>1342</v>
      </c>
      <c r="X435" s="109"/>
      <c r="Y435" s="109"/>
      <c r="Z435" s="109"/>
      <c r="AA435" s="109"/>
      <c r="AB435" s="109"/>
      <c r="AC435" s="109">
        <v>5</v>
      </c>
      <c r="AD435" s="109" t="s">
        <v>105</v>
      </c>
      <c r="AE435" s="109">
        <v>14</v>
      </c>
      <c r="AF435" s="109"/>
      <c r="AG435" s="109" t="s">
        <v>1360</v>
      </c>
      <c r="AH435" s="109" t="s">
        <v>29</v>
      </c>
      <c r="AI435" s="109" t="s">
        <v>28</v>
      </c>
      <c r="AJ435" s="109"/>
      <c r="AK435" s="109" t="s">
        <v>1342</v>
      </c>
      <c r="AL435" s="109">
        <v>5</v>
      </c>
      <c r="AM435" s="109"/>
      <c r="AN435" s="109"/>
      <c r="AO435" s="109"/>
      <c r="AP435" s="109" t="b">
        <v>1</v>
      </c>
      <c r="AQ435" s="296" t="s">
        <v>85</v>
      </c>
      <c r="AR435" s="296"/>
      <c r="AS435" s="296"/>
      <c r="AT435" s="296"/>
      <c r="AU435" s="296"/>
      <c r="AV435" s="296"/>
    </row>
    <row r="436" spans="1:48" ht="16.5" customHeight="1" x14ac:dyDescent="0.2">
      <c r="A436" s="110">
        <f>$A$434+2</f>
        <v>95</v>
      </c>
      <c r="B436" s="110" t="str">
        <f>D436&amp;"Red"</f>
        <v>FP_Finanskonti_7Red</v>
      </c>
      <c r="C436" s="110" t="s">
        <v>656</v>
      </c>
      <c r="D436" s="110" t="s">
        <v>1186</v>
      </c>
      <c r="E436" s="110" t="s">
        <v>194</v>
      </c>
      <c r="F436" s="110"/>
      <c r="G436" s="110" t="s">
        <v>1154</v>
      </c>
      <c r="H436" s="110">
        <v>7</v>
      </c>
      <c r="I436" s="110" t="s">
        <v>1247</v>
      </c>
      <c r="J436" s="110" t="b">
        <f t="shared" si="26"/>
        <v>1</v>
      </c>
      <c r="K436" s="110" t="b">
        <v>1</v>
      </c>
      <c r="L436" s="110"/>
      <c r="M436" s="110" t="str">
        <f>"'editNorm """&amp;D436&amp;""","""&amp;B436&amp;""","""&amp;E436&amp;"""'"</f>
        <v>'editNorm "FP_Finanskonti_7","FP_Finanskonti_7Red","Finanskonti"'</v>
      </c>
      <c r="N436" s="110" t="s">
        <v>59</v>
      </c>
      <c r="O436" s="110" t="str">
        <f>"$L$"&amp;A436</f>
        <v>$L$95</v>
      </c>
      <c r="P436" s="110" t="str">
        <f>"$M$"&amp;A436</f>
        <v>$M$95</v>
      </c>
      <c r="Q436" s="110">
        <v>5</v>
      </c>
      <c r="R436" s="110">
        <v>1</v>
      </c>
      <c r="S436" s="110"/>
      <c r="T436" s="110">
        <v>22</v>
      </c>
      <c r="U436" s="110" t="b">
        <v>1</v>
      </c>
      <c r="V436" s="110" t="s">
        <v>1344</v>
      </c>
      <c r="W436" s="110" t="s">
        <v>1343</v>
      </c>
      <c r="X436" s="110"/>
      <c r="Y436" s="110"/>
      <c r="Z436" s="110"/>
      <c r="AA436" s="110"/>
      <c r="AB436" s="110">
        <v>3</v>
      </c>
      <c r="AC436" s="110">
        <v>5</v>
      </c>
      <c r="AD436" s="110" t="s">
        <v>105</v>
      </c>
      <c r="AE436" s="110">
        <v>12</v>
      </c>
      <c r="AF436" s="110"/>
      <c r="AG436" s="110" t="s">
        <v>1351</v>
      </c>
      <c r="AH436" s="110" t="s">
        <v>29</v>
      </c>
      <c r="AI436" s="110" t="s">
        <v>29</v>
      </c>
      <c r="AJ436" s="110"/>
      <c r="AK436" s="110"/>
      <c r="AL436" s="110"/>
      <c r="AM436" s="110"/>
      <c r="AN436" s="110">
        <v>2</v>
      </c>
      <c r="AO436" s="110"/>
      <c r="AP436" s="110"/>
    </row>
    <row r="437" spans="1:48" ht="16.5" customHeight="1" x14ac:dyDescent="0.2">
      <c r="A437" s="110">
        <f>$A$434+2</f>
        <v>95</v>
      </c>
      <c r="B437" s="110" t="str">
        <f>D437&amp;"Gem"</f>
        <v>FP_Finanskonti_7Gem</v>
      </c>
      <c r="C437" s="110" t="s">
        <v>656</v>
      </c>
      <c r="D437" s="110" t="s">
        <v>1186</v>
      </c>
      <c r="E437" s="110" t="s">
        <v>194</v>
      </c>
      <c r="F437" s="110"/>
      <c r="G437" s="110" t="s">
        <v>1154</v>
      </c>
      <c r="H437" s="110">
        <v>7</v>
      </c>
      <c r="I437" s="110" t="s">
        <v>238</v>
      </c>
      <c r="J437" s="110" t="b">
        <f t="shared" si="26"/>
        <v>1</v>
      </c>
      <c r="K437" s="110"/>
      <c r="L437" s="110"/>
      <c r="M437" s="110" t="str">
        <f>"'editNorm """&amp;D437&amp;""","""&amp;B437&amp;""","""&amp;E437&amp;"""'"</f>
        <v>'editNorm "FP_Finanskonti_7","FP_Finanskonti_7Gem","Finanskonti"'</v>
      </c>
      <c r="N437" s="110" t="s">
        <v>59</v>
      </c>
      <c r="O437" s="110" t="str">
        <f>"$L$"&amp;A437</f>
        <v>$L$95</v>
      </c>
      <c r="P437" s="110" t="str">
        <f>"$L$"&amp;A437</f>
        <v>$L$95</v>
      </c>
      <c r="Q437" s="110">
        <v>5</v>
      </c>
      <c r="R437" s="110">
        <v>1</v>
      </c>
      <c r="S437" s="110"/>
      <c r="T437" s="110">
        <v>22</v>
      </c>
      <c r="U437" s="110" t="b">
        <v>1</v>
      </c>
      <c r="V437" s="110" t="s">
        <v>1345</v>
      </c>
      <c r="W437" s="110" t="s">
        <v>1343</v>
      </c>
      <c r="X437" s="110"/>
      <c r="Y437" s="110"/>
      <c r="Z437" s="110"/>
      <c r="AA437" s="110"/>
      <c r="AB437" s="110">
        <v>3</v>
      </c>
      <c r="AC437" s="110">
        <v>5</v>
      </c>
      <c r="AD437" s="110" t="s">
        <v>105</v>
      </c>
      <c r="AE437" s="110">
        <v>12</v>
      </c>
      <c r="AF437" s="110"/>
      <c r="AG437" s="110" t="s">
        <v>1351</v>
      </c>
      <c r="AH437" s="110" t="s">
        <v>29</v>
      </c>
      <c r="AI437" s="110" t="s">
        <v>29</v>
      </c>
      <c r="AJ437" s="110"/>
      <c r="AK437" s="110"/>
      <c r="AL437" s="110"/>
      <c r="AM437" s="110"/>
      <c r="AN437" s="110">
        <v>2</v>
      </c>
      <c r="AO437" s="110"/>
      <c r="AP437" s="110"/>
    </row>
    <row r="438" spans="1:48" ht="16.5" customHeight="1" x14ac:dyDescent="0.2">
      <c r="A438" s="110">
        <f>$A$434+2</f>
        <v>95</v>
      </c>
      <c r="B438" s="110" t="str">
        <f>D438&amp;"Cancel"</f>
        <v>FP_Finanskonti_7Cancel</v>
      </c>
      <c r="C438" s="110" t="s">
        <v>656</v>
      </c>
      <c r="D438" s="110" t="s">
        <v>1186</v>
      </c>
      <c r="E438" s="110" t="s">
        <v>194</v>
      </c>
      <c r="F438" s="110"/>
      <c r="G438" s="110" t="s">
        <v>1154</v>
      </c>
      <c r="H438" s="110">
        <v>7</v>
      </c>
      <c r="I438" s="110" t="s">
        <v>838</v>
      </c>
      <c r="J438" s="110" t="b">
        <f t="shared" si="26"/>
        <v>1</v>
      </c>
      <c r="K438" s="110"/>
      <c r="L438" s="110"/>
      <c r="M438" s="110" t="str">
        <f>"'editNorm """&amp;D438&amp;""","""&amp;B438&amp;""","""&amp;E438&amp;"""'"</f>
        <v>'editNorm "FP_Finanskonti_7","FP_Finanskonti_7Cancel","Finanskonti"'</v>
      </c>
      <c r="N438" s="110" t="s">
        <v>59</v>
      </c>
      <c r="O438" s="110" t="str">
        <f>"$M$"&amp;A438</f>
        <v>$M$95</v>
      </c>
      <c r="P438" s="110" t="str">
        <f>"$M$"&amp;A438</f>
        <v>$M$95</v>
      </c>
      <c r="Q438" s="110">
        <v>7</v>
      </c>
      <c r="R438" s="110">
        <v>1</v>
      </c>
      <c r="S438" s="110"/>
      <c r="T438" s="110">
        <v>22</v>
      </c>
      <c r="U438" s="110" t="b">
        <v>1</v>
      </c>
      <c r="V438" s="110" t="s">
        <v>1344</v>
      </c>
      <c r="W438" s="110" t="s">
        <v>1343</v>
      </c>
      <c r="X438" s="110"/>
      <c r="Y438" s="110"/>
      <c r="Z438" s="110"/>
      <c r="AA438" s="110"/>
      <c r="AB438" s="110">
        <v>3</v>
      </c>
      <c r="AC438" s="110">
        <v>5</v>
      </c>
      <c r="AD438" s="110" t="s">
        <v>105</v>
      </c>
      <c r="AE438" s="110">
        <v>12</v>
      </c>
      <c r="AF438" s="110"/>
      <c r="AG438" s="110" t="s">
        <v>1351</v>
      </c>
      <c r="AH438" s="110" t="s">
        <v>29</v>
      </c>
      <c r="AI438" s="110" t="s">
        <v>29</v>
      </c>
      <c r="AJ438" s="110"/>
      <c r="AK438" s="110"/>
      <c r="AL438" s="110"/>
      <c r="AM438" s="110"/>
      <c r="AN438" s="110">
        <v>2</v>
      </c>
      <c r="AO438" s="110"/>
      <c r="AP438" s="110"/>
    </row>
    <row r="439" spans="1:48" ht="16.5" customHeight="1" x14ac:dyDescent="0.2">
      <c r="A439" s="110">
        <f>$A$434+2</f>
        <v>95</v>
      </c>
      <c r="B439" s="110" t="str">
        <f>D439&amp;"Delete"</f>
        <v>FP_Finanskonti_7Delete</v>
      </c>
      <c r="C439" s="110" t="s">
        <v>656</v>
      </c>
      <c r="D439" s="110" t="s">
        <v>1186</v>
      </c>
      <c r="E439" s="110" t="s">
        <v>194</v>
      </c>
      <c r="F439" s="110"/>
      <c r="G439" s="110" t="s">
        <v>1154</v>
      </c>
      <c r="H439" s="110">
        <v>7</v>
      </c>
      <c r="I439" s="110" t="s">
        <v>839</v>
      </c>
      <c r="J439" s="110" t="b">
        <f t="shared" si="26"/>
        <v>1</v>
      </c>
      <c r="K439" s="110"/>
      <c r="L439" s="110"/>
      <c r="M439" s="110" t="str">
        <f>"'editNorm """&amp;D439&amp;""","""&amp;B439&amp;""","""&amp;E439&amp;"""'"</f>
        <v>'editNorm "FP_Finanskonti_7","FP_Finanskonti_7Delete","Finanskonti"'</v>
      </c>
      <c r="N439" s="110" t="s">
        <v>59</v>
      </c>
      <c r="O439" s="110" t="str">
        <f>"$N$"&amp;A439</f>
        <v>$N$95</v>
      </c>
      <c r="P439" s="110" t="str">
        <f>"$N$"&amp;A439</f>
        <v>$N$95</v>
      </c>
      <c r="Q439" s="110">
        <v>7</v>
      </c>
      <c r="R439" s="110">
        <v>1</v>
      </c>
      <c r="S439" s="110"/>
      <c r="T439" s="110">
        <v>22</v>
      </c>
      <c r="U439" s="110" t="b">
        <v>1</v>
      </c>
      <c r="V439" s="110" t="s">
        <v>1346</v>
      </c>
      <c r="W439" s="110" t="s">
        <v>1343</v>
      </c>
      <c r="X439" s="110"/>
      <c r="Y439" s="110"/>
      <c r="Z439" s="110"/>
      <c r="AA439" s="110"/>
      <c r="AB439" s="110">
        <v>3</v>
      </c>
      <c r="AC439" s="110">
        <v>5</v>
      </c>
      <c r="AD439" s="110" t="s">
        <v>105</v>
      </c>
      <c r="AE439" s="110">
        <v>12</v>
      </c>
      <c r="AF439" s="110"/>
      <c r="AG439" s="110" t="s">
        <v>1351</v>
      </c>
      <c r="AH439" s="110" t="s">
        <v>29</v>
      </c>
      <c r="AI439" s="110" t="s">
        <v>29</v>
      </c>
      <c r="AJ439" s="110"/>
      <c r="AK439" s="110"/>
      <c r="AL439" s="110"/>
      <c r="AM439" s="110"/>
      <c r="AN439" s="110">
        <v>2</v>
      </c>
      <c r="AO439" s="110"/>
      <c r="AP439" s="110"/>
    </row>
    <row r="440" spans="1:48" ht="16.5" customHeight="1" x14ac:dyDescent="0.2">
      <c r="A440" s="106">
        <f>$A$434+3</f>
        <v>96</v>
      </c>
      <c r="B440" s="106" t="s">
        <v>1187</v>
      </c>
      <c r="C440" s="106" t="s">
        <v>655</v>
      </c>
      <c r="D440" s="106"/>
      <c r="E440" s="106" t="s">
        <v>194</v>
      </c>
      <c r="F440" s="106"/>
      <c r="G440" s="106" t="s">
        <v>1154</v>
      </c>
      <c r="H440" s="106">
        <v>7</v>
      </c>
      <c r="I440" s="106"/>
      <c r="J440" s="106" t="b">
        <f t="shared" si="26"/>
        <v>1</v>
      </c>
      <c r="K440" s="106" t="b">
        <v>1</v>
      </c>
      <c r="L440" s="106"/>
      <c r="M440" s="106"/>
      <c r="N440" s="106" t="s">
        <v>59</v>
      </c>
      <c r="O440" s="106" t="str">
        <f>"$D$"&amp;A440</f>
        <v>$D$96</v>
      </c>
      <c r="P440" s="106" t="str">
        <f>"$M$"&amp;A440+1</f>
        <v>$M$97</v>
      </c>
      <c r="Q440" s="106"/>
      <c r="R440" s="106">
        <v>2</v>
      </c>
      <c r="S440" s="106"/>
      <c r="T440" s="106">
        <v>2</v>
      </c>
      <c r="U440" s="106" t="b">
        <v>1</v>
      </c>
      <c r="V440" s="106" t="s">
        <v>1344</v>
      </c>
      <c r="W440" s="106" t="s">
        <v>1343</v>
      </c>
      <c r="X440" s="106"/>
      <c r="Y440" s="106"/>
      <c r="Z440" s="106"/>
      <c r="AA440" s="106"/>
      <c r="AB440" s="106"/>
      <c r="AC440" s="106"/>
      <c r="AD440" s="106"/>
      <c r="AE440" s="106"/>
      <c r="AF440" s="106"/>
      <c r="AG440" s="106"/>
      <c r="AH440" s="106"/>
      <c r="AI440" s="106"/>
      <c r="AJ440" s="106"/>
      <c r="AK440" s="106"/>
      <c r="AL440" s="106"/>
      <c r="AM440" s="106"/>
      <c r="AN440" s="106"/>
      <c r="AO440" s="106"/>
      <c r="AP440" s="106"/>
    </row>
    <row r="441" spans="1:48" ht="16.5" customHeight="1" x14ac:dyDescent="0.2">
      <c r="A441" s="109">
        <f>$A$440+2</f>
        <v>98</v>
      </c>
      <c r="B441" s="109" t="s">
        <v>1190</v>
      </c>
      <c r="C441" s="109" t="s">
        <v>96</v>
      </c>
      <c r="D441" s="109"/>
      <c r="E441" s="109" t="s">
        <v>194</v>
      </c>
      <c r="F441" s="109"/>
      <c r="G441" s="109" t="s">
        <v>1154</v>
      </c>
      <c r="H441" s="109">
        <v>8</v>
      </c>
      <c r="I441" s="109"/>
      <c r="J441" s="109" t="b">
        <f t="shared" si="26"/>
        <v>1</v>
      </c>
      <c r="K441" s="109" t="b">
        <v>1</v>
      </c>
      <c r="L441" s="109"/>
      <c r="M441" s="109"/>
      <c r="N441" s="109"/>
      <c r="O441" s="109" t="str">
        <f>"$D$"&amp;A441</f>
        <v>$D$98</v>
      </c>
      <c r="P441" s="109" t="str">
        <f>"$I$"&amp;A441</f>
        <v>$I$98</v>
      </c>
      <c r="Q441" s="109"/>
      <c r="R441" s="109"/>
      <c r="S441" s="109"/>
      <c r="T441" s="109">
        <v>25</v>
      </c>
      <c r="U441" s="109" t="b">
        <v>1</v>
      </c>
      <c r="V441" s="109" t="s">
        <v>1342</v>
      </c>
      <c r="W441" s="109" t="s">
        <v>1342</v>
      </c>
      <c r="X441" s="109"/>
      <c r="Y441" s="109"/>
      <c r="Z441" s="109"/>
      <c r="AA441" s="109"/>
      <c r="AB441" s="109"/>
      <c r="AC441" s="109">
        <v>5</v>
      </c>
      <c r="AD441" s="109" t="s">
        <v>105</v>
      </c>
      <c r="AE441" s="109">
        <v>14</v>
      </c>
      <c r="AF441" s="109"/>
      <c r="AG441" s="109" t="s">
        <v>1360</v>
      </c>
      <c r="AH441" s="109" t="s">
        <v>29</v>
      </c>
      <c r="AI441" s="109" t="s">
        <v>28</v>
      </c>
      <c r="AJ441" s="109"/>
      <c r="AK441" s="109" t="s">
        <v>1342</v>
      </c>
      <c r="AL441" s="109">
        <v>5</v>
      </c>
      <c r="AM441" s="109"/>
      <c r="AN441" s="109"/>
      <c r="AO441" s="109"/>
      <c r="AP441" s="109" t="b">
        <v>1</v>
      </c>
      <c r="AQ441" s="296" t="s">
        <v>86</v>
      </c>
      <c r="AR441" s="296"/>
      <c r="AS441" s="296"/>
      <c r="AT441" s="296"/>
      <c r="AU441" s="296"/>
      <c r="AV441" s="296"/>
    </row>
    <row r="442" spans="1:48" ht="16.5" customHeight="1" x14ac:dyDescent="0.2">
      <c r="A442" s="110">
        <f>$A$440+2</f>
        <v>98</v>
      </c>
      <c r="B442" s="110" t="str">
        <f>D442&amp;"Red"</f>
        <v>FP_Finanskonti_8Red</v>
      </c>
      <c r="C442" s="110" t="s">
        <v>656</v>
      </c>
      <c r="D442" s="110" t="s">
        <v>1190</v>
      </c>
      <c r="E442" s="110" t="s">
        <v>194</v>
      </c>
      <c r="F442" s="110"/>
      <c r="G442" s="110" t="s">
        <v>1154</v>
      </c>
      <c r="H442" s="110">
        <v>8</v>
      </c>
      <c r="I442" s="110" t="s">
        <v>1247</v>
      </c>
      <c r="J442" s="110" t="b">
        <f t="shared" si="26"/>
        <v>1</v>
      </c>
      <c r="K442" s="110" t="b">
        <v>1</v>
      </c>
      <c r="L442" s="110"/>
      <c r="M442" s="110" t="str">
        <f>"'editNorm """&amp;D442&amp;""","""&amp;B442&amp;""","""&amp;E442&amp;"""'"</f>
        <v>'editNorm "FP_Finanskonti_8","FP_Finanskonti_8Red","Finanskonti"'</v>
      </c>
      <c r="N442" s="110" t="s">
        <v>59</v>
      </c>
      <c r="O442" s="110" t="str">
        <f>"$L$"&amp;A442</f>
        <v>$L$98</v>
      </c>
      <c r="P442" s="110" t="str">
        <f>"$M$"&amp;A442</f>
        <v>$M$98</v>
      </c>
      <c r="Q442" s="110">
        <v>5</v>
      </c>
      <c r="R442" s="110">
        <v>1</v>
      </c>
      <c r="S442" s="110"/>
      <c r="T442" s="110">
        <v>22</v>
      </c>
      <c r="U442" s="110" t="b">
        <v>1</v>
      </c>
      <c r="V442" s="110" t="s">
        <v>1344</v>
      </c>
      <c r="W442" s="110" t="s">
        <v>1343</v>
      </c>
      <c r="X442" s="110"/>
      <c r="Y442" s="110"/>
      <c r="Z442" s="110"/>
      <c r="AA442" s="110"/>
      <c r="AB442" s="110">
        <v>3</v>
      </c>
      <c r="AC442" s="110">
        <v>5</v>
      </c>
      <c r="AD442" s="110" t="s">
        <v>105</v>
      </c>
      <c r="AE442" s="110">
        <v>12</v>
      </c>
      <c r="AF442" s="110"/>
      <c r="AG442" s="110" t="s">
        <v>1351</v>
      </c>
      <c r="AH442" s="110" t="s">
        <v>29</v>
      </c>
      <c r="AI442" s="110" t="s">
        <v>29</v>
      </c>
      <c r="AJ442" s="110"/>
      <c r="AK442" s="110"/>
      <c r="AL442" s="110"/>
      <c r="AM442" s="110"/>
      <c r="AN442" s="110">
        <v>2</v>
      </c>
      <c r="AO442" s="110"/>
      <c r="AP442" s="110"/>
    </row>
    <row r="443" spans="1:48" ht="16.5" customHeight="1" x14ac:dyDescent="0.2">
      <c r="A443" s="110">
        <f>$A$440+2</f>
        <v>98</v>
      </c>
      <c r="B443" s="110" t="str">
        <f>D443&amp;"Gem"</f>
        <v>FP_Finanskonti_8Gem</v>
      </c>
      <c r="C443" s="110" t="s">
        <v>656</v>
      </c>
      <c r="D443" s="110" t="s">
        <v>1190</v>
      </c>
      <c r="E443" s="110" t="s">
        <v>194</v>
      </c>
      <c r="F443" s="110"/>
      <c r="G443" s="110" t="s">
        <v>1154</v>
      </c>
      <c r="H443" s="110">
        <v>8</v>
      </c>
      <c r="I443" s="110" t="s">
        <v>238</v>
      </c>
      <c r="J443" s="110" t="b">
        <f t="shared" si="26"/>
        <v>1</v>
      </c>
      <c r="K443" s="110"/>
      <c r="L443" s="110"/>
      <c r="M443" s="110" t="str">
        <f>"'editNorm """&amp;D443&amp;""","""&amp;B443&amp;""","""&amp;E443&amp;"""'"</f>
        <v>'editNorm "FP_Finanskonti_8","FP_Finanskonti_8Gem","Finanskonti"'</v>
      </c>
      <c r="N443" s="110" t="s">
        <v>59</v>
      </c>
      <c r="O443" s="110" t="str">
        <f>"$L$"&amp;A443</f>
        <v>$L$98</v>
      </c>
      <c r="P443" s="110" t="str">
        <f>"$L$"&amp;A443</f>
        <v>$L$98</v>
      </c>
      <c r="Q443" s="110">
        <v>5</v>
      </c>
      <c r="R443" s="110">
        <v>1</v>
      </c>
      <c r="S443" s="110"/>
      <c r="T443" s="110">
        <v>22</v>
      </c>
      <c r="U443" s="110" t="b">
        <v>1</v>
      </c>
      <c r="V443" s="110" t="s">
        <v>1345</v>
      </c>
      <c r="W443" s="110" t="s">
        <v>1343</v>
      </c>
      <c r="X443" s="110"/>
      <c r="Y443" s="110"/>
      <c r="Z443" s="110"/>
      <c r="AA443" s="110"/>
      <c r="AB443" s="110">
        <v>3</v>
      </c>
      <c r="AC443" s="110">
        <v>5</v>
      </c>
      <c r="AD443" s="110" t="s">
        <v>105</v>
      </c>
      <c r="AE443" s="110">
        <v>12</v>
      </c>
      <c r="AF443" s="110"/>
      <c r="AG443" s="110" t="s">
        <v>1351</v>
      </c>
      <c r="AH443" s="110" t="s">
        <v>29</v>
      </c>
      <c r="AI443" s="110" t="s">
        <v>29</v>
      </c>
      <c r="AJ443" s="110"/>
      <c r="AK443" s="110"/>
      <c r="AL443" s="110"/>
      <c r="AM443" s="110"/>
      <c r="AN443" s="110">
        <v>2</v>
      </c>
      <c r="AO443" s="110"/>
      <c r="AP443" s="110"/>
    </row>
    <row r="444" spans="1:48" ht="16.5" customHeight="1" x14ac:dyDescent="0.2">
      <c r="A444" s="110">
        <f>$A$440+2</f>
        <v>98</v>
      </c>
      <c r="B444" s="110" t="str">
        <f>D444&amp;"Cancel"</f>
        <v>FP_Finanskonti_8Cancel</v>
      </c>
      <c r="C444" s="110" t="s">
        <v>656</v>
      </c>
      <c r="D444" s="110" t="s">
        <v>1190</v>
      </c>
      <c r="E444" s="110" t="s">
        <v>194</v>
      </c>
      <c r="F444" s="110"/>
      <c r="G444" s="110" t="s">
        <v>1154</v>
      </c>
      <c r="H444" s="110">
        <v>8</v>
      </c>
      <c r="I444" s="110" t="s">
        <v>838</v>
      </c>
      <c r="J444" s="110" t="b">
        <f t="shared" si="26"/>
        <v>1</v>
      </c>
      <c r="K444" s="110"/>
      <c r="L444" s="110"/>
      <c r="M444" s="110" t="str">
        <f>"'editNorm """&amp;D444&amp;""","""&amp;B444&amp;""","""&amp;E444&amp;"""'"</f>
        <v>'editNorm "FP_Finanskonti_8","FP_Finanskonti_8Cancel","Finanskonti"'</v>
      </c>
      <c r="N444" s="110" t="s">
        <v>59</v>
      </c>
      <c r="O444" s="110" t="str">
        <f>"$M$"&amp;A444</f>
        <v>$M$98</v>
      </c>
      <c r="P444" s="110" t="str">
        <f>"$M$"&amp;A444</f>
        <v>$M$98</v>
      </c>
      <c r="Q444" s="110">
        <v>7</v>
      </c>
      <c r="R444" s="110">
        <v>1</v>
      </c>
      <c r="S444" s="110"/>
      <c r="T444" s="110">
        <v>22</v>
      </c>
      <c r="U444" s="110" t="b">
        <v>1</v>
      </c>
      <c r="V444" s="110" t="s">
        <v>1344</v>
      </c>
      <c r="W444" s="110" t="s">
        <v>1343</v>
      </c>
      <c r="X444" s="110"/>
      <c r="Y444" s="110"/>
      <c r="Z444" s="110"/>
      <c r="AA444" s="110"/>
      <c r="AB444" s="110">
        <v>3</v>
      </c>
      <c r="AC444" s="110">
        <v>5</v>
      </c>
      <c r="AD444" s="110" t="s">
        <v>105</v>
      </c>
      <c r="AE444" s="110">
        <v>12</v>
      </c>
      <c r="AF444" s="110"/>
      <c r="AG444" s="110" t="s">
        <v>1351</v>
      </c>
      <c r="AH444" s="110" t="s">
        <v>29</v>
      </c>
      <c r="AI444" s="110" t="s">
        <v>29</v>
      </c>
      <c r="AJ444" s="110"/>
      <c r="AK444" s="110"/>
      <c r="AL444" s="110"/>
      <c r="AM444" s="110"/>
      <c r="AN444" s="110">
        <v>2</v>
      </c>
      <c r="AO444" s="110"/>
      <c r="AP444" s="110"/>
    </row>
    <row r="445" spans="1:48" ht="16.5" customHeight="1" x14ac:dyDescent="0.2">
      <c r="A445" s="110">
        <f>$A$440+2</f>
        <v>98</v>
      </c>
      <c r="B445" s="110" t="str">
        <f>D445&amp;"Delete"</f>
        <v>FP_Finanskonti_8Delete</v>
      </c>
      <c r="C445" s="110" t="s">
        <v>656</v>
      </c>
      <c r="D445" s="110" t="s">
        <v>1190</v>
      </c>
      <c r="E445" s="110" t="s">
        <v>194</v>
      </c>
      <c r="F445" s="110"/>
      <c r="G445" s="110" t="s">
        <v>1154</v>
      </c>
      <c r="H445" s="110">
        <v>8</v>
      </c>
      <c r="I445" s="110" t="s">
        <v>839</v>
      </c>
      <c r="J445" s="110" t="b">
        <f t="shared" si="26"/>
        <v>1</v>
      </c>
      <c r="K445" s="110"/>
      <c r="L445" s="110"/>
      <c r="M445" s="110" t="str">
        <f>"'editNorm """&amp;D445&amp;""","""&amp;B445&amp;""","""&amp;E445&amp;"""'"</f>
        <v>'editNorm "FP_Finanskonti_8","FP_Finanskonti_8Delete","Finanskonti"'</v>
      </c>
      <c r="N445" s="110" t="s">
        <v>59</v>
      </c>
      <c r="O445" s="110" t="str">
        <f>"$N$"&amp;A445</f>
        <v>$N$98</v>
      </c>
      <c r="P445" s="110" t="str">
        <f>"$N$"&amp;A445</f>
        <v>$N$98</v>
      </c>
      <c r="Q445" s="110">
        <v>7</v>
      </c>
      <c r="R445" s="110">
        <v>1</v>
      </c>
      <c r="S445" s="110"/>
      <c r="T445" s="110">
        <v>22</v>
      </c>
      <c r="U445" s="110" t="b">
        <v>1</v>
      </c>
      <c r="V445" s="110" t="s">
        <v>1346</v>
      </c>
      <c r="W445" s="110" t="s">
        <v>1343</v>
      </c>
      <c r="X445" s="110"/>
      <c r="Y445" s="110"/>
      <c r="Z445" s="110"/>
      <c r="AA445" s="110"/>
      <c r="AB445" s="110">
        <v>3</v>
      </c>
      <c r="AC445" s="110">
        <v>5</v>
      </c>
      <c r="AD445" s="110" t="s">
        <v>105</v>
      </c>
      <c r="AE445" s="110">
        <v>12</v>
      </c>
      <c r="AF445" s="110"/>
      <c r="AG445" s="110" t="s">
        <v>1351</v>
      </c>
      <c r="AH445" s="110" t="s">
        <v>29</v>
      </c>
      <c r="AI445" s="110" t="s">
        <v>29</v>
      </c>
      <c r="AJ445" s="110"/>
      <c r="AK445" s="110"/>
      <c r="AL445" s="110"/>
      <c r="AM445" s="110"/>
      <c r="AN445" s="110">
        <v>2</v>
      </c>
      <c r="AO445" s="110"/>
      <c r="AP445" s="110"/>
    </row>
    <row r="446" spans="1:48" ht="16.5" customHeight="1" x14ac:dyDescent="0.2">
      <c r="A446" s="106">
        <f>$A$440+3</f>
        <v>99</v>
      </c>
      <c r="B446" s="106" t="s">
        <v>1191</v>
      </c>
      <c r="C446" s="106" t="s">
        <v>655</v>
      </c>
      <c r="D446" s="106"/>
      <c r="E446" s="106" t="s">
        <v>194</v>
      </c>
      <c r="F446" s="106"/>
      <c r="G446" s="106" t="s">
        <v>1154</v>
      </c>
      <c r="H446" s="106">
        <v>8</v>
      </c>
      <c r="I446" s="106"/>
      <c r="J446" s="106" t="b">
        <f t="shared" si="26"/>
        <v>1</v>
      </c>
      <c r="K446" s="106" t="b">
        <v>1</v>
      </c>
      <c r="L446" s="106"/>
      <c r="M446" s="106"/>
      <c r="N446" s="106" t="s">
        <v>59</v>
      </c>
      <c r="O446" s="106" t="str">
        <f>"$D$"&amp;A446</f>
        <v>$D$99</v>
      </c>
      <c r="P446" s="106" t="str">
        <f>"$M$"&amp;A446+1</f>
        <v>$M$100</v>
      </c>
      <c r="Q446" s="106"/>
      <c r="R446" s="106">
        <v>2</v>
      </c>
      <c r="S446" s="106"/>
      <c r="T446" s="106">
        <v>2</v>
      </c>
      <c r="U446" s="106" t="b">
        <v>1</v>
      </c>
      <c r="V446" s="106" t="s">
        <v>1344</v>
      </c>
      <c r="W446" s="106" t="s">
        <v>1343</v>
      </c>
      <c r="X446" s="106"/>
      <c r="Y446" s="106"/>
      <c r="Z446" s="106"/>
      <c r="AA446" s="106"/>
      <c r="AB446" s="106"/>
      <c r="AC446" s="106"/>
      <c r="AD446" s="106"/>
      <c r="AE446" s="106"/>
      <c r="AF446" s="106"/>
      <c r="AG446" s="106"/>
      <c r="AH446" s="106"/>
      <c r="AI446" s="106"/>
      <c r="AJ446" s="106"/>
      <c r="AK446" s="106"/>
      <c r="AL446" s="106"/>
      <c r="AM446" s="106"/>
      <c r="AN446" s="106"/>
      <c r="AO446" s="106"/>
      <c r="AP446" s="106"/>
    </row>
    <row r="447" spans="1:48" ht="16.5" customHeight="1" x14ac:dyDescent="0.2">
      <c r="A447" s="109">
        <f>$A$446+2</f>
        <v>101</v>
      </c>
      <c r="B447" s="109" t="s">
        <v>1484</v>
      </c>
      <c r="C447" s="109" t="s">
        <v>96</v>
      </c>
      <c r="D447" s="109"/>
      <c r="E447" s="109" t="s">
        <v>194</v>
      </c>
      <c r="F447" s="109"/>
      <c r="G447" s="109" t="s">
        <v>1154</v>
      </c>
      <c r="H447" s="109">
        <v>9</v>
      </c>
      <c r="I447" s="109"/>
      <c r="J447" s="109" t="b">
        <f t="shared" si="26"/>
        <v>1</v>
      </c>
      <c r="K447" s="109" t="b">
        <v>1</v>
      </c>
      <c r="L447" s="109"/>
      <c r="M447" s="109"/>
      <c r="N447" s="109"/>
      <c r="O447" s="109" t="str">
        <f>"$D$"&amp;A447</f>
        <v>$D$101</v>
      </c>
      <c r="P447" s="109" t="str">
        <f>"$I$"&amp;A447</f>
        <v>$I$101</v>
      </c>
      <c r="Q447" s="109"/>
      <c r="R447" s="109"/>
      <c r="S447" s="109"/>
      <c r="T447" s="109">
        <v>25</v>
      </c>
      <c r="U447" s="109" t="b">
        <v>1</v>
      </c>
      <c r="V447" s="109" t="s">
        <v>1342</v>
      </c>
      <c r="W447" s="109" t="s">
        <v>1342</v>
      </c>
      <c r="X447" s="109"/>
      <c r="Y447" s="109"/>
      <c r="Z447" s="109"/>
      <c r="AA447" s="109"/>
      <c r="AB447" s="109"/>
      <c r="AC447" s="109">
        <v>5</v>
      </c>
      <c r="AD447" s="109" t="s">
        <v>105</v>
      </c>
      <c r="AE447" s="109">
        <v>14</v>
      </c>
      <c r="AF447" s="109"/>
      <c r="AG447" s="109" t="s">
        <v>1360</v>
      </c>
      <c r="AH447" s="109" t="s">
        <v>29</v>
      </c>
      <c r="AI447" s="109" t="s">
        <v>28</v>
      </c>
      <c r="AJ447" s="109"/>
      <c r="AK447" s="109" t="s">
        <v>1342</v>
      </c>
      <c r="AL447" s="109">
        <v>5</v>
      </c>
      <c r="AM447" s="109"/>
      <c r="AN447" s="109"/>
      <c r="AO447" s="109"/>
      <c r="AP447" s="109" t="b">
        <v>1</v>
      </c>
      <c r="AQ447" s="296" t="s">
        <v>1486</v>
      </c>
      <c r="AR447" s="296"/>
      <c r="AS447" s="296"/>
      <c r="AT447" s="296"/>
      <c r="AU447" s="296"/>
      <c r="AV447" s="296"/>
    </row>
    <row r="448" spans="1:48" ht="16.5" customHeight="1" x14ac:dyDescent="0.2">
      <c r="A448" s="110">
        <f>$A$446+2</f>
        <v>101</v>
      </c>
      <c r="B448" s="110" t="str">
        <f>D448&amp;"Red"</f>
        <v>FP_Finanskonti_9Red</v>
      </c>
      <c r="C448" s="110" t="s">
        <v>656</v>
      </c>
      <c r="D448" s="110" t="s">
        <v>1484</v>
      </c>
      <c r="E448" s="110" t="s">
        <v>194</v>
      </c>
      <c r="F448" s="110"/>
      <c r="G448" s="110" t="s">
        <v>1154</v>
      </c>
      <c r="H448" s="110">
        <v>9</v>
      </c>
      <c r="I448" s="110" t="s">
        <v>1247</v>
      </c>
      <c r="J448" s="110" t="b">
        <f t="shared" si="26"/>
        <v>1</v>
      </c>
      <c r="K448" s="110" t="b">
        <v>1</v>
      </c>
      <c r="L448" s="110"/>
      <c r="M448" s="110" t="str">
        <f>"'editNorm """&amp;D448&amp;""","""&amp;B448&amp;""","""&amp;E448&amp;"""'"</f>
        <v>'editNorm "FP_Finanskonti_9","FP_Finanskonti_9Red","Finanskonti"'</v>
      </c>
      <c r="N448" s="110" t="s">
        <v>59</v>
      </c>
      <c r="O448" s="110" t="str">
        <f>"$L$"&amp;A448</f>
        <v>$L$101</v>
      </c>
      <c r="P448" s="110" t="str">
        <f>"$M$"&amp;A448</f>
        <v>$M$101</v>
      </c>
      <c r="Q448" s="110">
        <v>5</v>
      </c>
      <c r="R448" s="110">
        <v>1</v>
      </c>
      <c r="S448" s="110"/>
      <c r="T448" s="110">
        <v>22</v>
      </c>
      <c r="U448" s="110" t="b">
        <v>1</v>
      </c>
      <c r="V448" s="110" t="s">
        <v>1344</v>
      </c>
      <c r="W448" s="110" t="s">
        <v>1343</v>
      </c>
      <c r="X448" s="110"/>
      <c r="Y448" s="110"/>
      <c r="Z448" s="110"/>
      <c r="AA448" s="110"/>
      <c r="AB448" s="110">
        <v>3</v>
      </c>
      <c r="AC448" s="110">
        <v>5</v>
      </c>
      <c r="AD448" s="110" t="s">
        <v>105</v>
      </c>
      <c r="AE448" s="110">
        <v>12</v>
      </c>
      <c r="AF448" s="110"/>
      <c r="AG448" s="110" t="s">
        <v>1351</v>
      </c>
      <c r="AH448" s="110" t="s">
        <v>29</v>
      </c>
      <c r="AI448" s="110" t="s">
        <v>29</v>
      </c>
      <c r="AJ448" s="110"/>
      <c r="AK448" s="110"/>
      <c r="AL448" s="110"/>
      <c r="AM448" s="110"/>
      <c r="AN448" s="110">
        <v>2</v>
      </c>
      <c r="AO448" s="110"/>
      <c r="AP448" s="110"/>
    </row>
    <row r="449" spans="1:54" ht="16.5" customHeight="1" x14ac:dyDescent="0.2">
      <c r="A449" s="110">
        <f>$A$446+2</f>
        <v>101</v>
      </c>
      <c r="B449" s="110" t="str">
        <f>D449&amp;"Gem"</f>
        <v>FP_Finanskonti_9Gem</v>
      </c>
      <c r="C449" s="110" t="s">
        <v>656</v>
      </c>
      <c r="D449" s="110" t="s">
        <v>1484</v>
      </c>
      <c r="E449" s="110" t="s">
        <v>194</v>
      </c>
      <c r="F449" s="110"/>
      <c r="G449" s="110" t="s">
        <v>1154</v>
      </c>
      <c r="H449" s="110">
        <v>9</v>
      </c>
      <c r="I449" s="110" t="s">
        <v>238</v>
      </c>
      <c r="J449" s="110" t="b">
        <f t="shared" si="26"/>
        <v>1</v>
      </c>
      <c r="K449" s="110"/>
      <c r="L449" s="110"/>
      <c r="M449" s="110" t="str">
        <f>"'editNorm """&amp;D449&amp;""","""&amp;B449&amp;""","""&amp;E449&amp;"""'"</f>
        <v>'editNorm "FP_Finanskonti_9","FP_Finanskonti_9Gem","Finanskonti"'</v>
      </c>
      <c r="N449" s="110" t="s">
        <v>59</v>
      </c>
      <c r="O449" s="110" t="str">
        <f>"$L$"&amp;A449</f>
        <v>$L$101</v>
      </c>
      <c r="P449" s="110" t="str">
        <f>"$L$"&amp;A449</f>
        <v>$L$101</v>
      </c>
      <c r="Q449" s="110">
        <v>5</v>
      </c>
      <c r="R449" s="110">
        <v>1</v>
      </c>
      <c r="S449" s="110"/>
      <c r="T449" s="110">
        <v>22</v>
      </c>
      <c r="U449" s="110" t="b">
        <v>1</v>
      </c>
      <c r="V449" s="110" t="s">
        <v>1345</v>
      </c>
      <c r="W449" s="110" t="s">
        <v>1343</v>
      </c>
      <c r="X449" s="110"/>
      <c r="Y449" s="110"/>
      <c r="Z449" s="110"/>
      <c r="AA449" s="110"/>
      <c r="AB449" s="110">
        <v>3</v>
      </c>
      <c r="AC449" s="110">
        <v>5</v>
      </c>
      <c r="AD449" s="110" t="s">
        <v>105</v>
      </c>
      <c r="AE449" s="110">
        <v>12</v>
      </c>
      <c r="AF449" s="110"/>
      <c r="AG449" s="110" t="s">
        <v>1351</v>
      </c>
      <c r="AH449" s="110" t="s">
        <v>29</v>
      </c>
      <c r="AI449" s="110" t="s">
        <v>29</v>
      </c>
      <c r="AJ449" s="110"/>
      <c r="AK449" s="110"/>
      <c r="AL449" s="110"/>
      <c r="AM449" s="110"/>
      <c r="AN449" s="110">
        <v>2</v>
      </c>
      <c r="AO449" s="110"/>
      <c r="AP449" s="110"/>
    </row>
    <row r="450" spans="1:54" ht="16.5" customHeight="1" x14ac:dyDescent="0.2">
      <c r="A450" s="110">
        <f>$A$446+2</f>
        <v>101</v>
      </c>
      <c r="B450" s="110" t="str">
        <f>D450&amp;"Cancel"</f>
        <v>FP_Finanskonti_9Cancel</v>
      </c>
      <c r="C450" s="110" t="s">
        <v>656</v>
      </c>
      <c r="D450" s="110" t="s">
        <v>1484</v>
      </c>
      <c r="E450" s="110" t="s">
        <v>194</v>
      </c>
      <c r="F450" s="110"/>
      <c r="G450" s="110" t="s">
        <v>1154</v>
      </c>
      <c r="H450" s="110">
        <v>9</v>
      </c>
      <c r="I450" s="110" t="s">
        <v>838</v>
      </c>
      <c r="J450" s="110" t="b">
        <f t="shared" si="26"/>
        <v>1</v>
      </c>
      <c r="K450" s="110"/>
      <c r="L450" s="110"/>
      <c r="M450" s="110" t="str">
        <f>"'editNorm """&amp;D450&amp;""","""&amp;B450&amp;""","""&amp;E450&amp;"""'"</f>
        <v>'editNorm "FP_Finanskonti_9","FP_Finanskonti_9Cancel","Finanskonti"'</v>
      </c>
      <c r="N450" s="110" t="s">
        <v>59</v>
      </c>
      <c r="O450" s="110" t="str">
        <f>"$M$"&amp;A450</f>
        <v>$M$101</v>
      </c>
      <c r="P450" s="110" t="str">
        <f>"$M$"&amp;A450</f>
        <v>$M$101</v>
      </c>
      <c r="Q450" s="110">
        <v>7</v>
      </c>
      <c r="R450" s="110">
        <v>1</v>
      </c>
      <c r="S450" s="110"/>
      <c r="T450" s="110">
        <v>22</v>
      </c>
      <c r="U450" s="110" t="b">
        <v>1</v>
      </c>
      <c r="V450" s="110" t="s">
        <v>1344</v>
      </c>
      <c r="W450" s="110" t="s">
        <v>1343</v>
      </c>
      <c r="X450" s="110"/>
      <c r="Y450" s="110"/>
      <c r="Z450" s="110"/>
      <c r="AA450" s="110"/>
      <c r="AB450" s="110">
        <v>3</v>
      </c>
      <c r="AC450" s="110">
        <v>5</v>
      </c>
      <c r="AD450" s="110" t="s">
        <v>105</v>
      </c>
      <c r="AE450" s="110">
        <v>12</v>
      </c>
      <c r="AF450" s="110"/>
      <c r="AG450" s="110" t="s">
        <v>1351</v>
      </c>
      <c r="AH450" s="110" t="s">
        <v>29</v>
      </c>
      <c r="AI450" s="110" t="s">
        <v>29</v>
      </c>
      <c r="AJ450" s="110"/>
      <c r="AK450" s="110"/>
      <c r="AL450" s="110"/>
      <c r="AM450" s="110"/>
      <c r="AN450" s="110">
        <v>2</v>
      </c>
      <c r="AO450" s="110"/>
      <c r="AP450" s="110"/>
    </row>
    <row r="451" spans="1:54" ht="16.5" customHeight="1" x14ac:dyDescent="0.2">
      <c r="A451" s="110">
        <f>$A$446+2</f>
        <v>101</v>
      </c>
      <c r="B451" s="110" t="str">
        <f>D451&amp;"Delete"</f>
        <v>FP_Finanskonti_9Delete</v>
      </c>
      <c r="C451" s="110" t="s">
        <v>656</v>
      </c>
      <c r="D451" s="110" t="s">
        <v>1484</v>
      </c>
      <c r="E451" s="110" t="s">
        <v>194</v>
      </c>
      <c r="F451" s="110"/>
      <c r="G451" s="110" t="s">
        <v>1154</v>
      </c>
      <c r="H451" s="110">
        <v>9</v>
      </c>
      <c r="I451" s="110" t="s">
        <v>839</v>
      </c>
      <c r="J451" s="110" t="b">
        <f t="shared" si="26"/>
        <v>1</v>
      </c>
      <c r="K451" s="110"/>
      <c r="L451" s="110"/>
      <c r="M451" s="110" t="str">
        <f>"'editNorm """&amp;D451&amp;""","""&amp;B451&amp;""","""&amp;E451&amp;"""'"</f>
        <v>'editNorm "FP_Finanskonti_9","FP_Finanskonti_9Delete","Finanskonti"'</v>
      </c>
      <c r="N451" s="110" t="s">
        <v>59</v>
      </c>
      <c r="O451" s="110" t="str">
        <f>"$N$"&amp;A451</f>
        <v>$N$101</v>
      </c>
      <c r="P451" s="110" t="str">
        <f>"$N$"&amp;A451</f>
        <v>$N$101</v>
      </c>
      <c r="Q451" s="110">
        <v>7</v>
      </c>
      <c r="R451" s="110">
        <v>1</v>
      </c>
      <c r="S451" s="110"/>
      <c r="T451" s="110">
        <v>22</v>
      </c>
      <c r="U451" s="110" t="b">
        <v>1</v>
      </c>
      <c r="V451" s="110" t="s">
        <v>1346</v>
      </c>
      <c r="W451" s="110" t="s">
        <v>1343</v>
      </c>
      <c r="X451" s="110"/>
      <c r="Y451" s="110"/>
      <c r="Z451" s="110"/>
      <c r="AA451" s="110"/>
      <c r="AB451" s="110">
        <v>3</v>
      </c>
      <c r="AC451" s="110">
        <v>5</v>
      </c>
      <c r="AD451" s="110" t="s">
        <v>105</v>
      </c>
      <c r="AE451" s="110">
        <v>12</v>
      </c>
      <c r="AF451" s="110"/>
      <c r="AG451" s="110" t="s">
        <v>1351</v>
      </c>
      <c r="AH451" s="110" t="s">
        <v>29</v>
      </c>
      <c r="AI451" s="110" t="s">
        <v>29</v>
      </c>
      <c r="AJ451" s="110"/>
      <c r="AK451" s="110"/>
      <c r="AL451" s="110"/>
      <c r="AM451" s="110"/>
      <c r="AN451" s="110">
        <v>2</v>
      </c>
      <c r="AO451" s="110"/>
      <c r="AP451" s="110"/>
    </row>
    <row r="452" spans="1:54" ht="16.5" customHeight="1" x14ac:dyDescent="0.2">
      <c r="A452" s="106">
        <f>$A$446+3</f>
        <v>102</v>
      </c>
      <c r="B452" s="106" t="s">
        <v>1485</v>
      </c>
      <c r="C452" s="106" t="s">
        <v>655</v>
      </c>
      <c r="D452" s="106"/>
      <c r="E452" s="106" t="s">
        <v>194</v>
      </c>
      <c r="F452" s="106"/>
      <c r="G452" s="106" t="s">
        <v>1154</v>
      </c>
      <c r="H452" s="106">
        <v>9</v>
      </c>
      <c r="I452" s="106"/>
      <c r="J452" s="106" t="b">
        <f t="shared" si="26"/>
        <v>1</v>
      </c>
      <c r="K452" s="106" t="b">
        <v>1</v>
      </c>
      <c r="L452" s="106"/>
      <c r="M452" s="106"/>
      <c r="N452" s="106" t="s">
        <v>59</v>
      </c>
      <c r="O452" s="106" t="str">
        <f>"$D$"&amp;A452</f>
        <v>$D$102</v>
      </c>
      <c r="P452" s="106" t="str">
        <f>"$M$"&amp;A452+1</f>
        <v>$M$103</v>
      </c>
      <c r="Q452" s="106"/>
      <c r="R452" s="106">
        <v>2</v>
      </c>
      <c r="S452" s="106"/>
      <c r="T452" s="106">
        <v>2</v>
      </c>
      <c r="U452" s="106" t="b">
        <v>1</v>
      </c>
      <c r="V452" s="106" t="s">
        <v>1344</v>
      </c>
      <c r="W452" s="106" t="s">
        <v>1343</v>
      </c>
      <c r="X452" s="106"/>
      <c r="Y452" s="106"/>
      <c r="Z452" s="106"/>
      <c r="AA452" s="106"/>
      <c r="AB452" s="106"/>
      <c r="AC452" s="106"/>
      <c r="AD452" s="106"/>
      <c r="AE452" s="106"/>
      <c r="AF452" s="106"/>
      <c r="AG452" s="106"/>
      <c r="AH452" s="106"/>
      <c r="AI452" s="106"/>
      <c r="AJ452" s="106"/>
      <c r="AK452" s="106"/>
      <c r="AL452" s="106"/>
      <c r="AM452" s="106"/>
      <c r="AN452" s="106"/>
      <c r="AO452" s="106"/>
      <c r="AP452" s="106"/>
    </row>
    <row r="453" spans="1:54" ht="16.5" customHeight="1" x14ac:dyDescent="0.2">
      <c r="A453" s="107">
        <f>$O$392+(P392-O392+1)*(H392-1)-1</f>
        <v>103</v>
      </c>
      <c r="B453" s="107" t="s">
        <v>194</v>
      </c>
      <c r="C453" s="107" t="s">
        <v>663</v>
      </c>
      <c r="D453" s="107"/>
      <c r="E453" s="107" t="s">
        <v>1155</v>
      </c>
      <c r="F453" s="107"/>
      <c r="G453" s="107" t="s">
        <v>1154</v>
      </c>
      <c r="H453" s="107"/>
      <c r="I453" s="107"/>
      <c r="J453" s="107" t="b">
        <f t="shared" si="26"/>
        <v>1</v>
      </c>
      <c r="K453" s="107"/>
      <c r="L453" s="107"/>
      <c r="M453" s="107"/>
      <c r="N453" s="107"/>
      <c r="O453" s="107"/>
      <c r="P453" s="107"/>
      <c r="Q453" s="107"/>
      <c r="R453" s="107"/>
      <c r="S453" s="107"/>
      <c r="T453" s="107"/>
      <c r="U453" s="107"/>
      <c r="V453" s="107"/>
      <c r="W453" s="107"/>
      <c r="X453" s="107"/>
      <c r="Y453" s="107"/>
      <c r="Z453" s="107"/>
      <c r="AA453" s="107"/>
      <c r="AB453" s="107"/>
      <c r="AC453" s="107"/>
      <c r="AD453" s="107"/>
      <c r="AE453" s="107"/>
      <c r="AF453" s="107"/>
      <c r="AG453" s="107"/>
      <c r="AH453" s="107"/>
      <c r="AI453" s="107"/>
      <c r="AJ453" s="107"/>
      <c r="AK453" s="107"/>
      <c r="AL453" s="107"/>
      <c r="AM453" s="107"/>
      <c r="AN453" s="107"/>
      <c r="AO453" s="107"/>
      <c r="AP453" s="107"/>
    </row>
    <row r="454" spans="1:54" ht="16.5" customHeight="1" x14ac:dyDescent="0.2">
      <c r="A454" s="110">
        <f>$A$453+1</f>
        <v>104</v>
      </c>
      <c r="B454" s="110" t="s">
        <v>689</v>
      </c>
      <c r="C454" s="110" t="s">
        <v>656</v>
      </c>
      <c r="D454" s="110"/>
      <c r="E454" s="110" t="s">
        <v>194</v>
      </c>
      <c r="F454" s="110"/>
      <c r="G454" s="110" t="s">
        <v>1154</v>
      </c>
      <c r="H454" s="110"/>
      <c r="I454" s="110" t="s">
        <v>199</v>
      </c>
      <c r="J454" s="110" t="b">
        <f t="shared" si="26"/>
        <v>1</v>
      </c>
      <c r="K454" s="110" t="b">
        <v>1</v>
      </c>
      <c r="L454" s="110"/>
      <c r="M454" s="110" t="str">
        <f>"'groupAdd """&amp;E454&amp;"""'"</f>
        <v>'groupAdd "Finanskonti"'</v>
      </c>
      <c r="N454" s="110" t="s">
        <v>59</v>
      </c>
      <c r="O454" s="110" t="str">
        <f>"$L$"&amp;A454</f>
        <v>$L$104</v>
      </c>
      <c r="P454" s="110" t="str">
        <f>"$M$"&amp;A454</f>
        <v>$M$104</v>
      </c>
      <c r="Q454" s="110">
        <v>5</v>
      </c>
      <c r="R454" s="110">
        <v>1</v>
      </c>
      <c r="S454" s="110"/>
      <c r="T454" s="110">
        <v>22</v>
      </c>
      <c r="U454" s="110" t="b">
        <v>1</v>
      </c>
      <c r="V454" s="110" t="s">
        <v>1344</v>
      </c>
      <c r="W454" s="110" t="s">
        <v>1343</v>
      </c>
      <c r="X454" s="110"/>
      <c r="Y454" s="110"/>
      <c r="Z454" s="110"/>
      <c r="AA454" s="110"/>
      <c r="AB454" s="110">
        <v>3</v>
      </c>
      <c r="AC454" s="110">
        <v>5</v>
      </c>
      <c r="AD454" s="110" t="s">
        <v>105</v>
      </c>
      <c r="AE454" s="110">
        <v>12</v>
      </c>
      <c r="AF454" s="110"/>
      <c r="AG454" s="110" t="s">
        <v>1351</v>
      </c>
      <c r="AH454" s="110" t="s">
        <v>29</v>
      </c>
      <c r="AI454" s="110" t="s">
        <v>29</v>
      </c>
      <c r="AJ454" s="110"/>
      <c r="AK454" s="110"/>
      <c r="AL454" s="110"/>
      <c r="AM454" s="110"/>
      <c r="AN454" s="110">
        <v>2</v>
      </c>
      <c r="AO454" s="110"/>
      <c r="AP454" s="110"/>
    </row>
    <row r="455" spans="1:54" ht="16.5" customHeight="1" x14ac:dyDescent="0.2">
      <c r="A455" s="103">
        <f>$A$453+3</f>
        <v>106</v>
      </c>
      <c r="B455" s="103" t="s">
        <v>214</v>
      </c>
      <c r="C455" s="103" t="s">
        <v>654</v>
      </c>
      <c r="D455" s="103"/>
      <c r="E455" s="103"/>
      <c r="F455" s="103"/>
      <c r="G455" s="103" t="s">
        <v>1154</v>
      </c>
      <c r="H455" s="103" t="s">
        <v>1156</v>
      </c>
      <c r="I455" s="103" t="s">
        <v>79</v>
      </c>
      <c r="J455" s="103" t="b">
        <f t="shared" si="26"/>
        <v>1</v>
      </c>
      <c r="K455" s="103" t="b">
        <v>1</v>
      </c>
      <c r="L455" s="103" t="b">
        <v>0</v>
      </c>
      <c r="M455" s="103" t="str">
        <f>"'expand """&amp;B455&amp;""","""&amp;G455&amp;""",TRUE'"</f>
        <v>'expand "FP_Main1Tidsplan","Forside",TRUE'</v>
      </c>
      <c r="N455" s="103" t="s">
        <v>59</v>
      </c>
      <c r="O455" s="103" t="str">
        <f>"$B$"&amp;A455</f>
        <v>$B$106</v>
      </c>
      <c r="P455" s="103" t="str">
        <f>"$M$" &amp;A484-1</f>
        <v>$M$116</v>
      </c>
      <c r="Q455" s="103"/>
      <c r="R455" s="103">
        <v>1</v>
      </c>
      <c r="S455" s="103"/>
      <c r="T455" s="103">
        <v>40</v>
      </c>
      <c r="U455" s="103" t="b">
        <v>1</v>
      </c>
      <c r="V455" s="103" t="s">
        <v>1344</v>
      </c>
      <c r="W455" s="103" t="s">
        <v>1343</v>
      </c>
      <c r="X455" s="103"/>
      <c r="Y455" s="103"/>
      <c r="Z455" s="103"/>
      <c r="AA455" s="103"/>
      <c r="AB455" s="103"/>
      <c r="AC455" s="103">
        <v>30</v>
      </c>
      <c r="AD455" s="103"/>
      <c r="AE455" s="103">
        <v>18</v>
      </c>
      <c r="AF455" s="103" t="b">
        <v>0</v>
      </c>
      <c r="AG455" s="103" t="s">
        <v>1351</v>
      </c>
      <c r="AH455" s="103" t="s">
        <v>29</v>
      </c>
      <c r="AI455" s="103" t="s">
        <v>28</v>
      </c>
      <c r="AJ455" s="103"/>
      <c r="AK455" s="103"/>
      <c r="AL455" s="103"/>
      <c r="AM455" s="103"/>
      <c r="AN455" s="103">
        <v>8</v>
      </c>
      <c r="AO455" s="103">
        <v>225</v>
      </c>
      <c r="AP455" s="103"/>
      <c r="BB455" s="111"/>
    </row>
    <row r="456" spans="1:54" ht="16.5" customHeight="1" x14ac:dyDescent="0.2">
      <c r="A456" s="107">
        <f>$A$455+2</f>
        <v>108</v>
      </c>
      <c r="B456" s="107" t="s">
        <v>920</v>
      </c>
      <c r="C456" s="107" t="s">
        <v>663</v>
      </c>
      <c r="D456" s="107"/>
      <c r="E456" s="107"/>
      <c r="F456" s="107"/>
      <c r="G456" s="107" t="s">
        <v>1154</v>
      </c>
      <c r="H456" s="107">
        <v>2</v>
      </c>
      <c r="I456" s="107">
        <v>13</v>
      </c>
      <c r="J456" s="107" t="b">
        <f t="shared" si="26"/>
        <v>1</v>
      </c>
      <c r="K456" s="107"/>
      <c r="L456" s="107"/>
      <c r="M456" s="107"/>
      <c r="N456" s="107"/>
      <c r="O456" s="107">
        <f>A456</f>
        <v>108</v>
      </c>
      <c r="P456" s="107">
        <f>O456+7</f>
        <v>115</v>
      </c>
      <c r="Q456" s="107"/>
      <c r="R456" s="107"/>
      <c r="S456" s="107"/>
      <c r="T456" s="107"/>
      <c r="U456" s="107"/>
      <c r="V456" s="107"/>
      <c r="W456" s="107"/>
      <c r="X456" s="107"/>
      <c r="Y456" s="107"/>
      <c r="Z456" s="107"/>
      <c r="AA456" s="107"/>
      <c r="AB456" s="107"/>
      <c r="AC456" s="107"/>
      <c r="AD456" s="107"/>
      <c r="AE456" s="107"/>
      <c r="AF456" s="107"/>
      <c r="AG456" s="107"/>
      <c r="AH456" s="107"/>
      <c r="AI456" s="107"/>
      <c r="AJ456" s="107"/>
      <c r="AK456" s="107"/>
      <c r="AL456" s="107"/>
      <c r="AM456" s="107"/>
      <c r="AN456" s="107"/>
      <c r="AO456" s="107"/>
      <c r="AP456" s="107"/>
      <c r="AQ456" s="93">
        <v>2013</v>
      </c>
      <c r="AR456" s="93">
        <v>2014</v>
      </c>
      <c r="AS456" s="93" t="str">
        <f>AQ473</f>
        <v>Analyse</v>
      </c>
      <c r="AT456" s="93" t="str">
        <f>AQ474</f>
        <v>Anskaffelse</v>
      </c>
      <c r="AU456" s="93" t="str">
        <f>AQ475</f>
        <v xml:space="preserve">    Specificering</v>
      </c>
      <c r="AV456" s="93" t="str">
        <f>AQ476</f>
        <v xml:space="preserve">    Udbud</v>
      </c>
      <c r="AW456" s="93" t="str">
        <f>AQ477</f>
        <v>Gennemførsel</v>
      </c>
      <c r="AX456" s="93" t="str">
        <f>AQ478</f>
        <v>Realisering</v>
      </c>
      <c r="BB456" s="111"/>
    </row>
    <row r="457" spans="1:54" ht="16.5" customHeight="1" x14ac:dyDescent="0.2">
      <c r="A457" s="108">
        <f>$A$456+0</f>
        <v>108</v>
      </c>
      <c r="B457" s="112" t="s">
        <v>215</v>
      </c>
      <c r="C457" s="112" t="s">
        <v>90</v>
      </c>
      <c r="D457" s="112"/>
      <c r="E457" s="112" t="s">
        <v>920</v>
      </c>
      <c r="F457" s="112"/>
      <c r="G457" s="112" t="s">
        <v>1154</v>
      </c>
      <c r="H457" s="112"/>
      <c r="I457" s="112"/>
      <c r="J457" s="112"/>
      <c r="K457" s="112" t="b">
        <v>1</v>
      </c>
      <c r="L457" s="112"/>
      <c r="M457" s="112"/>
      <c r="N457" s="112"/>
      <c r="O457" s="112" t="str">
        <f t="shared" ref="O457:O465" si="27">"$B$"&amp;A457</f>
        <v>$B$108</v>
      </c>
      <c r="P457" s="112" t="str">
        <f>"$K$"&amp;A457+7</f>
        <v>$K$115</v>
      </c>
      <c r="Q457" s="112"/>
      <c r="R457" s="112"/>
      <c r="S457" s="112"/>
      <c r="T457" s="112"/>
      <c r="U457" s="112" t="b">
        <v>1</v>
      </c>
      <c r="V457" s="112" t="s">
        <v>1342</v>
      </c>
      <c r="W457" s="112" t="s">
        <v>1342</v>
      </c>
      <c r="X457" s="112"/>
      <c r="Y457" s="112"/>
      <c r="Z457" s="112"/>
      <c r="AA457" s="112"/>
      <c r="AB457" s="112"/>
      <c r="AC457" s="112"/>
      <c r="AD457" s="112" t="s">
        <v>105</v>
      </c>
      <c r="AE457" s="112">
        <v>12</v>
      </c>
      <c r="AF457" s="112" t="b">
        <v>1</v>
      </c>
      <c r="AG457" s="112" t="s">
        <v>1355</v>
      </c>
      <c r="AH457" s="112" t="s">
        <v>27</v>
      </c>
      <c r="AI457" s="112" t="s">
        <v>28</v>
      </c>
      <c r="AJ457" s="112"/>
      <c r="AK457" s="112" t="s">
        <v>1342</v>
      </c>
      <c r="AL457" s="112"/>
      <c r="AM457" s="112"/>
      <c r="AN457" s="112"/>
      <c r="AO457" s="112"/>
      <c r="AP457" s="112"/>
      <c r="BB457" s="111"/>
    </row>
    <row r="458" spans="1:54" ht="16.5" customHeight="1" thickBot="1" x14ac:dyDescent="0.25">
      <c r="A458" s="108">
        <f>$A$457+0</f>
        <v>108</v>
      </c>
      <c r="B458" s="113" t="s">
        <v>216</v>
      </c>
      <c r="C458" s="113" t="s">
        <v>92</v>
      </c>
      <c r="D458" s="113"/>
      <c r="E458" s="113" t="s">
        <v>920</v>
      </c>
      <c r="F458" s="113"/>
      <c r="G458" s="113" t="s">
        <v>1154</v>
      </c>
      <c r="H458" s="113"/>
      <c r="I458" s="113"/>
      <c r="J458" s="113"/>
      <c r="K458" s="113" t="b">
        <v>1</v>
      </c>
      <c r="L458" s="113"/>
      <c r="M458" s="113"/>
      <c r="N458" s="113"/>
      <c r="O458" s="113" t="str">
        <f t="shared" si="27"/>
        <v>$B$108</v>
      </c>
      <c r="P458" s="113" t="str">
        <f t="shared" ref="P458:P465" si="28">"$K$"&amp;A458</f>
        <v>$K$108</v>
      </c>
      <c r="Q458" s="113"/>
      <c r="R458" s="113"/>
      <c r="S458" s="113"/>
      <c r="T458" s="113">
        <v>34</v>
      </c>
      <c r="U458" s="113" t="b">
        <v>1</v>
      </c>
      <c r="V458" s="113" t="s">
        <v>1342</v>
      </c>
      <c r="W458" s="113" t="s">
        <v>1342</v>
      </c>
      <c r="X458" s="113"/>
      <c r="Y458" s="113"/>
      <c r="Z458" s="113"/>
      <c r="AA458" s="113"/>
      <c r="AB458" s="113"/>
      <c r="AC458" s="113"/>
      <c r="AD458" s="113"/>
      <c r="AE458" s="113"/>
      <c r="AF458" s="113"/>
      <c r="AG458" s="113"/>
      <c r="AH458" s="113" t="s">
        <v>27</v>
      </c>
      <c r="AI458" s="113" t="s">
        <v>28</v>
      </c>
      <c r="AJ458" s="113"/>
      <c r="AK458" s="113"/>
      <c r="AL458" s="113">
        <v>1</v>
      </c>
      <c r="AM458" s="113"/>
      <c r="AN458" s="113"/>
      <c r="AO458" s="113"/>
      <c r="AP458" s="113" t="b">
        <v>1</v>
      </c>
      <c r="AQ458" s="297" t="s">
        <v>660</v>
      </c>
      <c r="AR458" s="297"/>
      <c r="AS458" s="298" t="s">
        <v>222</v>
      </c>
      <c r="AT458" s="299"/>
      <c r="AU458" s="298" t="s">
        <v>223</v>
      </c>
      <c r="AV458" s="299"/>
      <c r="AW458" s="298" t="s">
        <v>224</v>
      </c>
      <c r="AX458" s="299"/>
      <c r="AY458" s="298" t="s">
        <v>225</v>
      </c>
      <c r="AZ458" s="299"/>
      <c r="BB458" s="111"/>
    </row>
    <row r="459" spans="1:54" ht="16.5" customHeight="1" x14ac:dyDescent="0.2">
      <c r="A459" s="108">
        <f>$A$457+1</f>
        <v>109</v>
      </c>
      <c r="B459" s="113" t="s">
        <v>217</v>
      </c>
      <c r="C459" s="113" t="s">
        <v>92</v>
      </c>
      <c r="D459" s="113"/>
      <c r="E459" s="113" t="s">
        <v>920</v>
      </c>
      <c r="F459" s="113"/>
      <c r="G459" s="113" t="s">
        <v>1154</v>
      </c>
      <c r="H459" s="113"/>
      <c r="I459" s="113"/>
      <c r="J459" s="113"/>
      <c r="K459" s="113" t="b">
        <v>1</v>
      </c>
      <c r="L459" s="113"/>
      <c r="M459" s="113"/>
      <c r="N459" s="113"/>
      <c r="O459" s="113" t="str">
        <f t="shared" si="27"/>
        <v>$B$109</v>
      </c>
      <c r="P459" s="113" t="str">
        <f t="shared" si="28"/>
        <v>$K$109</v>
      </c>
      <c r="Q459" s="113"/>
      <c r="R459" s="113"/>
      <c r="S459" s="113"/>
      <c r="T459" s="113">
        <v>25</v>
      </c>
      <c r="U459" s="113" t="b">
        <v>1</v>
      </c>
      <c r="V459" s="113" t="s">
        <v>1342</v>
      </c>
      <c r="W459" s="113" t="s">
        <v>1342</v>
      </c>
      <c r="X459" s="113"/>
      <c r="Y459" s="113"/>
      <c r="Z459" s="113"/>
      <c r="AA459" s="113"/>
      <c r="AB459" s="113"/>
      <c r="AC459" s="113"/>
      <c r="AD459" s="113"/>
      <c r="AE459" s="113"/>
      <c r="AF459" s="113" t="b">
        <v>0</v>
      </c>
      <c r="AG459" s="113"/>
      <c r="AH459" s="113" t="s">
        <v>27</v>
      </c>
      <c r="AI459" s="113" t="s">
        <v>28</v>
      </c>
      <c r="AJ459" s="113"/>
      <c r="AK459" s="113"/>
      <c r="AL459" s="113">
        <v>1</v>
      </c>
      <c r="AM459" s="113"/>
      <c r="AN459" s="113"/>
      <c r="AO459" s="113"/>
      <c r="AP459" s="113" t="b">
        <v>1</v>
      </c>
      <c r="AQ459" s="300" t="s">
        <v>226</v>
      </c>
      <c r="AR459" s="300"/>
      <c r="AS459" s="301"/>
      <c r="AT459" s="302"/>
      <c r="AU459" s="301"/>
      <c r="AV459" s="302"/>
      <c r="AW459" s="303" t="str">
        <f t="shared" ref="AW459:AW465" si="29">IFERROR(IF(AND(((YEAR(AU459)-YEAR(AS459))*12+MONTH(AU459)-MONTH(AS459))&gt;=0,((YEAR(AU459)-YEAR(AS459))*12+MONTH(AU459)-MONTH(AS459))&lt;200,AS459&lt;&gt;"",AU459&lt;&gt;""),(YEAR(AU459)-YEAR(AS459))*12+MONTH(AU459)-MONTH(AS459),"-"),"-")</f>
        <v>-</v>
      </c>
      <c r="AX459" s="304"/>
      <c r="AY459" s="305">
        <f t="shared" ref="AY459" si="30">IFERROR(AW459/SUM(AW459:AX465),0)</f>
        <v>0</v>
      </c>
      <c r="AZ459" s="306"/>
      <c r="BB459" s="111"/>
    </row>
    <row r="460" spans="1:54" ht="16.5" customHeight="1" x14ac:dyDescent="0.2">
      <c r="A460" s="108">
        <f>$A$457+2</f>
        <v>110</v>
      </c>
      <c r="B460" s="113" t="s">
        <v>218</v>
      </c>
      <c r="C460" s="113" t="s">
        <v>92</v>
      </c>
      <c r="D460" s="113"/>
      <c r="E460" s="113" t="s">
        <v>920</v>
      </c>
      <c r="F460" s="113"/>
      <c r="G460" s="113" t="s">
        <v>1154</v>
      </c>
      <c r="H460" s="113"/>
      <c r="I460" s="113"/>
      <c r="J460" s="113"/>
      <c r="K460" s="113" t="b">
        <v>1</v>
      </c>
      <c r="L460" s="113"/>
      <c r="M460" s="113"/>
      <c r="N460" s="113"/>
      <c r="O460" s="113" t="str">
        <f t="shared" si="27"/>
        <v>$B$110</v>
      </c>
      <c r="P460" s="113" t="str">
        <f t="shared" si="28"/>
        <v>$K$110</v>
      </c>
      <c r="Q460" s="113"/>
      <c r="R460" s="113"/>
      <c r="S460" s="113"/>
      <c r="T460" s="113">
        <v>25</v>
      </c>
      <c r="U460" s="113" t="b">
        <v>1</v>
      </c>
      <c r="V460" s="113" t="s">
        <v>1342</v>
      </c>
      <c r="W460" s="113" t="s">
        <v>1342</v>
      </c>
      <c r="X460" s="113"/>
      <c r="Y460" s="113"/>
      <c r="Z460" s="113"/>
      <c r="AA460" s="113"/>
      <c r="AB460" s="113"/>
      <c r="AC460" s="113"/>
      <c r="AD460" s="113"/>
      <c r="AE460" s="113"/>
      <c r="AF460" s="113" t="b">
        <v>0</v>
      </c>
      <c r="AG460" s="113"/>
      <c r="AH460" s="113" t="s">
        <v>27</v>
      </c>
      <c r="AI460" s="113" t="s">
        <v>29</v>
      </c>
      <c r="AJ460" s="113"/>
      <c r="AK460" s="113"/>
      <c r="AL460" s="113">
        <v>1</v>
      </c>
      <c r="AM460" s="113"/>
      <c r="AN460" s="113"/>
      <c r="AO460" s="113"/>
      <c r="AP460" s="113" t="b">
        <v>1</v>
      </c>
      <c r="AQ460" s="307" t="s">
        <v>184</v>
      </c>
      <c r="AR460" s="307"/>
      <c r="AS460" s="308"/>
      <c r="AT460" s="309"/>
      <c r="AU460" s="308"/>
      <c r="AV460" s="309"/>
      <c r="AW460" s="310" t="str">
        <f t="shared" si="29"/>
        <v>-</v>
      </c>
      <c r="AX460" s="311"/>
      <c r="AY460" s="312">
        <f t="shared" ref="AY460" si="31">IFERROR(AW460/SUM(AW459:AX465),0)</f>
        <v>0</v>
      </c>
      <c r="AZ460" s="313"/>
      <c r="BB460" s="111"/>
    </row>
    <row r="461" spans="1:54" ht="16.5" customHeight="1" x14ac:dyDescent="0.2">
      <c r="A461" s="108">
        <f>$A$457+3</f>
        <v>111</v>
      </c>
      <c r="B461" s="113" t="s">
        <v>219</v>
      </c>
      <c r="C461" s="113" t="s">
        <v>92</v>
      </c>
      <c r="D461" s="113"/>
      <c r="E461" s="113" t="s">
        <v>920</v>
      </c>
      <c r="F461" s="113"/>
      <c r="G461" s="113" t="s">
        <v>1154</v>
      </c>
      <c r="H461" s="113"/>
      <c r="I461" s="113"/>
      <c r="J461" s="113"/>
      <c r="K461" s="113" t="b">
        <v>1</v>
      </c>
      <c r="L461" s="113"/>
      <c r="M461" s="113"/>
      <c r="N461" s="113"/>
      <c r="O461" s="113" t="str">
        <f t="shared" si="27"/>
        <v>$B$111</v>
      </c>
      <c r="P461" s="113" t="str">
        <f t="shared" si="28"/>
        <v>$K$111</v>
      </c>
      <c r="Q461" s="113"/>
      <c r="R461" s="113"/>
      <c r="S461" s="113"/>
      <c r="T461" s="113">
        <v>25</v>
      </c>
      <c r="U461" s="113" t="b">
        <v>1</v>
      </c>
      <c r="V461" s="113" t="s">
        <v>1342</v>
      </c>
      <c r="W461" s="113" t="s">
        <v>1342</v>
      </c>
      <c r="X461" s="113"/>
      <c r="Y461" s="113"/>
      <c r="Z461" s="113"/>
      <c r="AA461" s="113"/>
      <c r="AB461" s="113"/>
      <c r="AC461" s="113"/>
      <c r="AD461" s="113"/>
      <c r="AE461" s="113"/>
      <c r="AF461" s="113" t="b">
        <v>0</v>
      </c>
      <c r="AG461" s="113"/>
      <c r="AH461" s="113" t="s">
        <v>27</v>
      </c>
      <c r="AI461" s="113" t="s">
        <v>29</v>
      </c>
      <c r="AJ461" s="113"/>
      <c r="AK461" s="113"/>
      <c r="AL461" s="113">
        <v>1</v>
      </c>
      <c r="AM461" s="113"/>
      <c r="AN461" s="113"/>
      <c r="AO461" s="113"/>
      <c r="AP461" s="113" t="b">
        <v>1</v>
      </c>
      <c r="AQ461" s="307" t="s">
        <v>185</v>
      </c>
      <c r="AR461" s="307"/>
      <c r="AS461" s="314" t="str">
        <f t="shared" ref="AS461" si="32">IF(MIN(AS462:AT463)=0,"-",MIN(AS462:AT463))</f>
        <v>-</v>
      </c>
      <c r="AT461" s="315"/>
      <c r="AU461" s="314" t="str">
        <f t="shared" ref="AU461" si="33">IF(MAX(AU462:AV463)=0,"-",MAX(AU462:AV463))</f>
        <v>-</v>
      </c>
      <c r="AV461" s="315"/>
      <c r="AW461" s="310" t="str">
        <f t="shared" si="29"/>
        <v>-</v>
      </c>
      <c r="AX461" s="311"/>
      <c r="AY461" s="312">
        <f t="shared" ref="AY461" si="34">IFERROR(AW461/SUM(AW459:AX465),0)</f>
        <v>0</v>
      </c>
      <c r="AZ461" s="313"/>
      <c r="BB461" s="111"/>
    </row>
    <row r="462" spans="1:54" ht="16.5" customHeight="1" x14ac:dyDescent="0.2">
      <c r="A462" s="108">
        <f>$A$457+4</f>
        <v>112</v>
      </c>
      <c r="B462" s="113" t="s">
        <v>220</v>
      </c>
      <c r="C462" s="113" t="s">
        <v>92</v>
      </c>
      <c r="D462" s="113"/>
      <c r="E462" s="113" t="s">
        <v>920</v>
      </c>
      <c r="F462" s="113"/>
      <c r="G462" s="113" t="s">
        <v>1154</v>
      </c>
      <c r="H462" s="113"/>
      <c r="I462" s="113"/>
      <c r="J462" s="113"/>
      <c r="K462" s="113" t="b">
        <v>1</v>
      </c>
      <c r="L462" s="113"/>
      <c r="M462" s="113"/>
      <c r="N462" s="113"/>
      <c r="O462" s="113" t="str">
        <f t="shared" si="27"/>
        <v>$B$112</v>
      </c>
      <c r="P462" s="113" t="str">
        <f t="shared" si="28"/>
        <v>$K$112</v>
      </c>
      <c r="Q462" s="113"/>
      <c r="R462" s="113"/>
      <c r="S462" s="113"/>
      <c r="T462" s="113">
        <v>25</v>
      </c>
      <c r="U462" s="113" t="b">
        <v>1</v>
      </c>
      <c r="V462" s="113" t="s">
        <v>1342</v>
      </c>
      <c r="W462" s="113" t="s">
        <v>1342</v>
      </c>
      <c r="X462" s="113"/>
      <c r="Y462" s="113"/>
      <c r="Z462" s="113"/>
      <c r="AA462" s="113"/>
      <c r="AB462" s="113"/>
      <c r="AC462" s="113"/>
      <c r="AD462" s="113"/>
      <c r="AE462" s="113"/>
      <c r="AF462" s="113" t="b">
        <v>0</v>
      </c>
      <c r="AG462" s="113"/>
      <c r="AH462" s="113" t="s">
        <v>27</v>
      </c>
      <c r="AI462" s="113" t="s">
        <v>29</v>
      </c>
      <c r="AJ462" s="113"/>
      <c r="AK462" s="113"/>
      <c r="AL462" s="113">
        <v>1</v>
      </c>
      <c r="AM462" s="113"/>
      <c r="AN462" s="113"/>
      <c r="AO462" s="113"/>
      <c r="AP462" s="113" t="b">
        <v>1</v>
      </c>
      <c r="AQ462" s="307" t="s">
        <v>227</v>
      </c>
      <c r="AR462" s="307"/>
      <c r="AS462" s="308"/>
      <c r="AT462" s="309"/>
      <c r="AU462" s="308"/>
      <c r="AV462" s="309"/>
      <c r="AW462" s="310" t="str">
        <f t="shared" si="29"/>
        <v>-</v>
      </c>
      <c r="AX462" s="311"/>
      <c r="AY462" s="312">
        <f t="shared" ref="AY462" si="35">IFERROR(AW462/SUM(AW459:AX465),0)</f>
        <v>0</v>
      </c>
      <c r="AZ462" s="313"/>
      <c r="BB462" s="111"/>
    </row>
    <row r="463" spans="1:54" ht="16.5" customHeight="1" x14ac:dyDescent="0.2">
      <c r="A463" s="108">
        <f>$A$457+5</f>
        <v>113</v>
      </c>
      <c r="B463" s="113" t="s">
        <v>221</v>
      </c>
      <c r="C463" s="113" t="s">
        <v>92</v>
      </c>
      <c r="D463" s="113"/>
      <c r="E463" s="113" t="s">
        <v>920</v>
      </c>
      <c r="F463" s="113"/>
      <c r="G463" s="113" t="s">
        <v>1154</v>
      </c>
      <c r="H463" s="113"/>
      <c r="I463" s="113"/>
      <c r="J463" s="113"/>
      <c r="K463" s="113" t="b">
        <v>1</v>
      </c>
      <c r="L463" s="113"/>
      <c r="M463" s="113"/>
      <c r="N463" s="113"/>
      <c r="O463" s="113" t="str">
        <f t="shared" si="27"/>
        <v>$B$113</v>
      </c>
      <c r="P463" s="113" t="str">
        <f t="shared" si="28"/>
        <v>$K$113</v>
      </c>
      <c r="Q463" s="113"/>
      <c r="R463" s="113"/>
      <c r="S463" s="113"/>
      <c r="T463" s="113">
        <v>25</v>
      </c>
      <c r="U463" s="113" t="b">
        <v>1</v>
      </c>
      <c r="V463" s="113" t="s">
        <v>1342</v>
      </c>
      <c r="W463" s="113" t="s">
        <v>1342</v>
      </c>
      <c r="X463" s="113"/>
      <c r="Y463" s="113"/>
      <c r="Z463" s="113"/>
      <c r="AA463" s="113"/>
      <c r="AB463" s="113"/>
      <c r="AC463" s="113"/>
      <c r="AD463" s="113"/>
      <c r="AE463" s="113"/>
      <c r="AF463" s="113" t="b">
        <v>0</v>
      </c>
      <c r="AG463" s="113"/>
      <c r="AH463" s="113" t="s">
        <v>27</v>
      </c>
      <c r="AI463" s="113" t="s">
        <v>29</v>
      </c>
      <c r="AJ463" s="113"/>
      <c r="AK463" s="113"/>
      <c r="AL463" s="113">
        <v>1</v>
      </c>
      <c r="AM463" s="113"/>
      <c r="AN463" s="113"/>
      <c r="AO463" s="113"/>
      <c r="AP463" s="113" t="b">
        <v>1</v>
      </c>
      <c r="AQ463" s="307" t="s">
        <v>228</v>
      </c>
      <c r="AR463" s="307"/>
      <c r="AS463" s="308"/>
      <c r="AT463" s="309"/>
      <c r="AU463" s="308"/>
      <c r="AV463" s="309"/>
      <c r="AW463" s="310" t="str">
        <f t="shared" si="29"/>
        <v>-</v>
      </c>
      <c r="AX463" s="311"/>
      <c r="AY463" s="312">
        <f t="shared" ref="AY463" si="36">IFERROR(AW463/SUM(AW459:AX465),0)</f>
        <v>0</v>
      </c>
      <c r="AZ463" s="313"/>
      <c r="BB463" s="111"/>
    </row>
    <row r="464" spans="1:54" ht="16.5" customHeight="1" x14ac:dyDescent="0.2">
      <c r="A464" s="108">
        <f>$A$457+6</f>
        <v>114</v>
      </c>
      <c r="B464" s="113" t="s">
        <v>677</v>
      </c>
      <c r="C464" s="113" t="s">
        <v>92</v>
      </c>
      <c r="D464" s="113"/>
      <c r="E464" s="113" t="s">
        <v>920</v>
      </c>
      <c r="F464" s="113"/>
      <c r="G464" s="113" t="s">
        <v>1154</v>
      </c>
      <c r="H464" s="113"/>
      <c r="I464" s="113"/>
      <c r="J464" s="113"/>
      <c r="K464" s="113" t="b">
        <v>1</v>
      </c>
      <c r="L464" s="113"/>
      <c r="M464" s="113"/>
      <c r="N464" s="113"/>
      <c r="O464" s="113" t="str">
        <f t="shared" si="27"/>
        <v>$B$114</v>
      </c>
      <c r="P464" s="113" t="str">
        <f t="shared" si="28"/>
        <v>$K$114</v>
      </c>
      <c r="Q464" s="113"/>
      <c r="R464" s="113"/>
      <c r="S464" s="113"/>
      <c r="T464" s="113">
        <v>25</v>
      </c>
      <c r="U464" s="113" t="b">
        <v>1</v>
      </c>
      <c r="V464" s="113" t="s">
        <v>1342</v>
      </c>
      <c r="W464" s="113" t="s">
        <v>1342</v>
      </c>
      <c r="X464" s="113"/>
      <c r="Y464" s="113"/>
      <c r="Z464" s="113"/>
      <c r="AA464" s="113"/>
      <c r="AB464" s="113"/>
      <c r="AC464" s="113"/>
      <c r="AD464" s="113"/>
      <c r="AE464" s="113"/>
      <c r="AF464" s="113" t="b">
        <v>0</v>
      </c>
      <c r="AG464" s="113"/>
      <c r="AH464" s="113" t="s">
        <v>27</v>
      </c>
      <c r="AI464" s="113" t="s">
        <v>29</v>
      </c>
      <c r="AJ464" s="113"/>
      <c r="AK464" s="113"/>
      <c r="AL464" s="113">
        <v>1</v>
      </c>
      <c r="AM464" s="113"/>
      <c r="AN464" s="113"/>
      <c r="AO464" s="113"/>
      <c r="AP464" s="113" t="b">
        <v>1</v>
      </c>
      <c r="AQ464" s="307" t="s">
        <v>229</v>
      </c>
      <c r="AR464" s="307"/>
      <c r="AS464" s="308"/>
      <c r="AT464" s="309"/>
      <c r="AU464" s="308"/>
      <c r="AV464" s="309"/>
      <c r="AW464" s="310" t="str">
        <f t="shared" si="29"/>
        <v>-</v>
      </c>
      <c r="AX464" s="311"/>
      <c r="AY464" s="312">
        <f t="shared" ref="AY464" si="37">IFERROR(AW464/SUM(AW459:AX465),0)</f>
        <v>0</v>
      </c>
      <c r="AZ464" s="313"/>
      <c r="BB464" s="111"/>
    </row>
    <row r="465" spans="1:54" ht="16.5" customHeight="1" x14ac:dyDescent="0.2">
      <c r="A465" s="108">
        <f>$A$457+7</f>
        <v>115</v>
      </c>
      <c r="B465" s="113" t="s">
        <v>678</v>
      </c>
      <c r="C465" s="113" t="s">
        <v>92</v>
      </c>
      <c r="D465" s="113"/>
      <c r="E465" s="113" t="s">
        <v>920</v>
      </c>
      <c r="F465" s="113"/>
      <c r="G465" s="113" t="s">
        <v>1154</v>
      </c>
      <c r="H465" s="113"/>
      <c r="I465" s="113"/>
      <c r="J465" s="113"/>
      <c r="K465" s="113" t="b">
        <v>1</v>
      </c>
      <c r="L465" s="113"/>
      <c r="M465" s="113"/>
      <c r="N465" s="113"/>
      <c r="O465" s="113" t="str">
        <f t="shared" si="27"/>
        <v>$B$115</v>
      </c>
      <c r="P465" s="113" t="str">
        <f t="shared" si="28"/>
        <v>$K$115</v>
      </c>
      <c r="Q465" s="113"/>
      <c r="R465" s="113"/>
      <c r="S465" s="113"/>
      <c r="T465" s="113">
        <v>25</v>
      </c>
      <c r="U465" s="113" t="b">
        <v>1</v>
      </c>
      <c r="V465" s="113" t="s">
        <v>1342</v>
      </c>
      <c r="W465" s="113" t="s">
        <v>1342</v>
      </c>
      <c r="X465" s="113"/>
      <c r="Y465" s="113"/>
      <c r="Z465" s="113"/>
      <c r="AA465" s="113"/>
      <c r="AB465" s="113"/>
      <c r="AC465" s="113"/>
      <c r="AD465" s="113"/>
      <c r="AE465" s="113"/>
      <c r="AF465" s="113" t="b">
        <v>0</v>
      </c>
      <c r="AG465" s="113"/>
      <c r="AH465" s="113" t="s">
        <v>27</v>
      </c>
      <c r="AI465" s="113" t="s">
        <v>29</v>
      </c>
      <c r="AJ465" s="113"/>
      <c r="AK465" s="113"/>
      <c r="AL465" s="113">
        <v>1</v>
      </c>
      <c r="AM465" s="113"/>
      <c r="AN465" s="113"/>
      <c r="AO465" s="113"/>
      <c r="AP465" s="113" t="b">
        <v>1</v>
      </c>
      <c r="AQ465" s="316" t="s">
        <v>186</v>
      </c>
      <c r="AR465" s="316"/>
      <c r="AS465" s="317"/>
      <c r="AT465" s="318"/>
      <c r="AU465" s="317"/>
      <c r="AV465" s="318"/>
      <c r="AW465" s="319" t="str">
        <f t="shared" si="29"/>
        <v>-</v>
      </c>
      <c r="AX465" s="320"/>
      <c r="AY465" s="321">
        <f t="shared" ref="AY465" si="38">IFERROR(AW465/SUM(AW459:AX465),0)</f>
        <v>0</v>
      </c>
      <c r="AZ465" s="322"/>
      <c r="BB465" s="111"/>
    </row>
    <row r="466" spans="1:54" ht="16.5" customHeight="1" x14ac:dyDescent="0.2">
      <c r="A466" s="108">
        <f>$A$457+0</f>
        <v>108</v>
      </c>
      <c r="B466" s="110" t="str">
        <f>D466&amp;"Red"</f>
        <v>FP_Main1TidsplanTableRed</v>
      </c>
      <c r="C466" s="110" t="s">
        <v>656</v>
      </c>
      <c r="D466" s="110" t="s">
        <v>215</v>
      </c>
      <c r="E466" s="110" t="s">
        <v>920</v>
      </c>
      <c r="F466" s="110"/>
      <c r="G466" s="110" t="s">
        <v>1154</v>
      </c>
      <c r="H466" s="110"/>
      <c r="I466" s="110" t="s">
        <v>1247</v>
      </c>
      <c r="J466" s="110"/>
      <c r="K466" s="110" t="b">
        <v>1</v>
      </c>
      <c r="L466" s="110"/>
      <c r="M466" s="110" t="str">
        <f>"'editNorm """&amp;D466&amp;""","""&amp;B466&amp;""","""&amp;E466&amp;"""'"</f>
        <v>'editNorm "FP_Main1TidsplanTable","FP_Main1TidsplanTableRed","TidsPlan"'</v>
      </c>
      <c r="N466" s="110" t="s">
        <v>59</v>
      </c>
      <c r="O466" s="110" t="str">
        <f>"$L$"&amp;A466</f>
        <v>$L$108</v>
      </c>
      <c r="P466" s="110" t="str">
        <f>"$M$"&amp;A466</f>
        <v>$M$108</v>
      </c>
      <c r="Q466" s="110">
        <v>5</v>
      </c>
      <c r="R466" s="110">
        <v>12</v>
      </c>
      <c r="S466" s="110"/>
      <c r="T466" s="110">
        <v>22</v>
      </c>
      <c r="U466" s="110" t="b">
        <v>1</v>
      </c>
      <c r="V466" s="110" t="s">
        <v>1344</v>
      </c>
      <c r="W466" s="110" t="s">
        <v>1343</v>
      </c>
      <c r="X466" s="110"/>
      <c r="Y466" s="110"/>
      <c r="Z466" s="110"/>
      <c r="AA466" s="110"/>
      <c r="AB466" s="110">
        <v>3</v>
      </c>
      <c r="AC466" s="110">
        <v>5</v>
      </c>
      <c r="AD466" s="110" t="s">
        <v>105</v>
      </c>
      <c r="AE466" s="110">
        <v>12</v>
      </c>
      <c r="AF466" s="110"/>
      <c r="AG466" s="110" t="s">
        <v>1351</v>
      </c>
      <c r="AH466" s="110" t="s">
        <v>29</v>
      </c>
      <c r="AI466" s="110" t="s">
        <v>29</v>
      </c>
      <c r="AJ466" s="110"/>
      <c r="AK466" s="110"/>
      <c r="AL466" s="110"/>
      <c r="AM466" s="110"/>
      <c r="AN466" s="110">
        <v>2</v>
      </c>
      <c r="AO466" s="110"/>
      <c r="AP466" s="110"/>
      <c r="BB466" s="111"/>
    </row>
    <row r="467" spans="1:54" ht="16.5" customHeight="1" x14ac:dyDescent="0.2">
      <c r="A467" s="108">
        <f>$A$457+0</f>
        <v>108</v>
      </c>
      <c r="B467" s="110" t="str">
        <f>D467&amp;"Gem"</f>
        <v>FP_Main1TidsplanTableGem</v>
      </c>
      <c r="C467" s="110" t="s">
        <v>656</v>
      </c>
      <c r="D467" s="110" t="s">
        <v>215</v>
      </c>
      <c r="E467" s="110" t="s">
        <v>920</v>
      </c>
      <c r="F467" s="110"/>
      <c r="G467" s="110" t="s">
        <v>1154</v>
      </c>
      <c r="H467" s="110"/>
      <c r="I467" s="110" t="s">
        <v>238</v>
      </c>
      <c r="J467" s="110"/>
      <c r="K467" s="110"/>
      <c r="L467" s="110"/>
      <c r="M467" s="110" t="str">
        <f>"'editNorm """&amp;D467&amp;""","""&amp;B467&amp;""","""&amp;E467&amp;"""'"</f>
        <v>'editNorm "FP_Main1TidsplanTable","FP_Main1TidsplanTableGem","TidsPlan"'</v>
      </c>
      <c r="N467" s="110" t="s">
        <v>59</v>
      </c>
      <c r="O467" s="110" t="str">
        <f>"$L$"&amp;A467</f>
        <v>$L$108</v>
      </c>
      <c r="P467" s="110" t="str">
        <f>"$L$"&amp;A467</f>
        <v>$L$108</v>
      </c>
      <c r="Q467" s="110">
        <v>5</v>
      </c>
      <c r="R467" s="110">
        <v>12</v>
      </c>
      <c r="S467" s="110"/>
      <c r="T467" s="110">
        <v>22</v>
      </c>
      <c r="U467" s="110" t="b">
        <v>1</v>
      </c>
      <c r="V467" s="110" t="s">
        <v>1345</v>
      </c>
      <c r="W467" s="110" t="s">
        <v>1343</v>
      </c>
      <c r="X467" s="110"/>
      <c r="Y467" s="110"/>
      <c r="Z467" s="110"/>
      <c r="AA467" s="110"/>
      <c r="AB467" s="110">
        <v>3</v>
      </c>
      <c r="AC467" s="110">
        <v>5</v>
      </c>
      <c r="AD467" s="110" t="s">
        <v>105</v>
      </c>
      <c r="AE467" s="110">
        <v>12</v>
      </c>
      <c r="AF467" s="110"/>
      <c r="AG467" s="110" t="s">
        <v>1351</v>
      </c>
      <c r="AH467" s="110" t="s">
        <v>29</v>
      </c>
      <c r="AI467" s="110" t="s">
        <v>29</v>
      </c>
      <c r="AJ467" s="110"/>
      <c r="AK467" s="110"/>
      <c r="AL467" s="110"/>
      <c r="AM467" s="110"/>
      <c r="AN467" s="110">
        <v>2</v>
      </c>
      <c r="AO467" s="110"/>
      <c r="AP467" s="110"/>
      <c r="BB467" s="111"/>
    </row>
    <row r="468" spans="1:54" ht="16.5" customHeight="1" x14ac:dyDescent="0.2">
      <c r="A468" s="108">
        <f>$A$457+0</f>
        <v>108</v>
      </c>
      <c r="B468" s="110" t="str">
        <f>D468&amp;"Cancel"</f>
        <v>FP_Main1TidsplanTableCancel</v>
      </c>
      <c r="C468" s="110" t="s">
        <v>656</v>
      </c>
      <c r="D468" s="110" t="s">
        <v>215</v>
      </c>
      <c r="E468" s="110" t="s">
        <v>920</v>
      </c>
      <c r="F468" s="110"/>
      <c r="G468" s="110" t="s">
        <v>1154</v>
      </c>
      <c r="H468" s="110"/>
      <c r="I468" s="110" t="s">
        <v>838</v>
      </c>
      <c r="J468" s="110"/>
      <c r="K468" s="110"/>
      <c r="L468" s="110"/>
      <c r="M468" s="110" t="str">
        <f>"'editNorm """&amp;D468&amp;""","""&amp;B468&amp;""","""&amp;E468&amp;"""'"</f>
        <v>'editNorm "FP_Main1TidsplanTable","FP_Main1TidsplanTableCancel","TidsPlan"'</v>
      </c>
      <c r="N468" s="110" t="s">
        <v>59</v>
      </c>
      <c r="O468" s="110" t="str">
        <f>"$M$"&amp;A468</f>
        <v>$M$108</v>
      </c>
      <c r="P468" s="110" t="str">
        <f>"$M$"&amp;A468</f>
        <v>$M$108</v>
      </c>
      <c r="Q468" s="110">
        <v>7</v>
      </c>
      <c r="R468" s="110">
        <v>12</v>
      </c>
      <c r="S468" s="110"/>
      <c r="T468" s="110">
        <v>22</v>
      </c>
      <c r="U468" s="110" t="b">
        <v>1</v>
      </c>
      <c r="V468" s="110" t="s">
        <v>1344</v>
      </c>
      <c r="W468" s="110" t="s">
        <v>1343</v>
      </c>
      <c r="X468" s="110"/>
      <c r="Y468" s="110"/>
      <c r="Z468" s="110"/>
      <c r="AA468" s="110"/>
      <c r="AB468" s="110">
        <v>3</v>
      </c>
      <c r="AC468" s="110">
        <v>5</v>
      </c>
      <c r="AD468" s="110" t="s">
        <v>105</v>
      </c>
      <c r="AE468" s="110">
        <v>12</v>
      </c>
      <c r="AF468" s="110"/>
      <c r="AG468" s="110" t="s">
        <v>1351</v>
      </c>
      <c r="AH468" s="110" t="s">
        <v>29</v>
      </c>
      <c r="AI468" s="110" t="s">
        <v>29</v>
      </c>
      <c r="AJ468" s="110"/>
      <c r="AK468" s="110"/>
      <c r="AL468" s="110"/>
      <c r="AM468" s="110"/>
      <c r="AN468" s="110">
        <v>2</v>
      </c>
      <c r="AO468" s="110"/>
      <c r="AP468" s="110"/>
      <c r="BB468" s="111"/>
    </row>
    <row r="469" spans="1:54" ht="16.5" customHeight="1" x14ac:dyDescent="0.2">
      <c r="A469" s="108">
        <f>$A$457+0</f>
        <v>108</v>
      </c>
      <c r="B469" s="110" t="str">
        <f>D469&amp;"Delete"</f>
        <v>FP_Main1TidsplanTableDelete</v>
      </c>
      <c r="C469" s="110" t="s">
        <v>656</v>
      </c>
      <c r="D469" s="110" t="s">
        <v>215</v>
      </c>
      <c r="E469" s="110" t="s">
        <v>920</v>
      </c>
      <c r="F469" s="110"/>
      <c r="G469" s="110" t="s">
        <v>1154</v>
      </c>
      <c r="H469" s="110"/>
      <c r="I469" s="110" t="s">
        <v>1266</v>
      </c>
      <c r="J469" s="110"/>
      <c r="K469" s="110"/>
      <c r="L469" s="110"/>
      <c r="M469" s="110" t="str">
        <f>"'editNorm """&amp;D469&amp;""","""&amp;B469&amp;""","""&amp;E469&amp;"""'"</f>
        <v>'editNorm "FP_Main1TidsplanTable","FP_Main1TidsplanTableDelete","TidsPlan"'</v>
      </c>
      <c r="N469" s="110" t="s">
        <v>59</v>
      </c>
      <c r="O469" s="110" t="str">
        <f>"$N$"&amp;A469</f>
        <v>$N$108</v>
      </c>
      <c r="P469" s="110" t="str">
        <f>"$N$"&amp;A469</f>
        <v>$N$108</v>
      </c>
      <c r="Q469" s="110">
        <v>7</v>
      </c>
      <c r="R469" s="110">
        <v>12</v>
      </c>
      <c r="S469" s="110"/>
      <c r="T469" s="110">
        <v>22</v>
      </c>
      <c r="U469" s="110" t="b">
        <v>1</v>
      </c>
      <c r="V469" s="110" t="s">
        <v>1346</v>
      </c>
      <c r="W469" s="110" t="s">
        <v>1343</v>
      </c>
      <c r="X469" s="110"/>
      <c r="Y469" s="110"/>
      <c r="Z469" s="110"/>
      <c r="AA469" s="110"/>
      <c r="AB469" s="110">
        <v>3</v>
      </c>
      <c r="AC469" s="110">
        <v>5</v>
      </c>
      <c r="AD469" s="110" t="s">
        <v>105</v>
      </c>
      <c r="AE469" s="110">
        <v>12</v>
      </c>
      <c r="AF469" s="110"/>
      <c r="AG469" s="110" t="s">
        <v>1351</v>
      </c>
      <c r="AH469" s="110" t="s">
        <v>29</v>
      </c>
      <c r="AI469" s="110" t="s">
        <v>29</v>
      </c>
      <c r="AJ469" s="110"/>
      <c r="AK469" s="110"/>
      <c r="AL469" s="110"/>
      <c r="AM469" s="110"/>
      <c r="AN469" s="110">
        <v>2</v>
      </c>
      <c r="AO469" s="110"/>
      <c r="AP469" s="110"/>
      <c r="BB469" s="111"/>
    </row>
    <row r="470" spans="1:54" ht="16.5" customHeight="1" x14ac:dyDescent="0.2">
      <c r="A470" s="112">
        <f>$A$457+0</f>
        <v>108</v>
      </c>
      <c r="B470" s="112" t="s">
        <v>921</v>
      </c>
      <c r="C470" s="112" t="s">
        <v>90</v>
      </c>
      <c r="D470" s="112"/>
      <c r="E470" s="112" t="s">
        <v>920</v>
      </c>
      <c r="F470" s="112"/>
      <c r="G470" s="112" t="s">
        <v>1154</v>
      </c>
      <c r="H470" s="112">
        <v>1</v>
      </c>
      <c r="I470" s="112"/>
      <c r="J470" s="112" t="b">
        <f t="shared" ref="J470:J482" si="39">$E$4</f>
        <v>1</v>
      </c>
      <c r="K470" s="112" t="b">
        <v>1</v>
      </c>
      <c r="L470" s="112"/>
      <c r="M470" s="112"/>
      <c r="N470" s="112"/>
      <c r="O470" s="112" t="str">
        <f t="shared" ref="O470:O478" si="40">"$B$"&amp;A470</f>
        <v>$B$108</v>
      </c>
      <c r="P470" s="112" t="str">
        <f>"$K$"&amp;A470+7</f>
        <v>$K$115</v>
      </c>
      <c r="Q470" s="112"/>
      <c r="R470" s="112"/>
      <c r="S470" s="112"/>
      <c r="T470" s="112"/>
      <c r="U470" s="112" t="b">
        <v>1</v>
      </c>
      <c r="V470" s="112" t="s">
        <v>1342</v>
      </c>
      <c r="W470" s="112" t="s">
        <v>1342</v>
      </c>
      <c r="X470" s="112"/>
      <c r="Y470" s="112"/>
      <c r="Z470" s="112"/>
      <c r="AA470" s="112"/>
      <c r="AB470" s="112"/>
      <c r="AC470" s="112"/>
      <c r="AD470" s="112" t="s">
        <v>105</v>
      </c>
      <c r="AE470" s="112">
        <v>12</v>
      </c>
      <c r="AF470" s="112" t="b">
        <v>1</v>
      </c>
      <c r="AG470" s="112" t="s">
        <v>1355</v>
      </c>
      <c r="AH470" s="112" t="s">
        <v>27</v>
      </c>
      <c r="AI470" s="112" t="s">
        <v>28</v>
      </c>
      <c r="AJ470" s="112"/>
      <c r="AK470" s="112" t="s">
        <v>1342</v>
      </c>
      <c r="AL470" s="112"/>
      <c r="AM470" s="112"/>
      <c r="AN470" s="112"/>
      <c r="AO470" s="112"/>
      <c r="AP470" s="112"/>
      <c r="BB470" s="111"/>
    </row>
    <row r="471" spans="1:54" ht="16.5" customHeight="1" thickBot="1" x14ac:dyDescent="0.25">
      <c r="A471" s="113">
        <f>$A$470+0</f>
        <v>108</v>
      </c>
      <c r="B471" s="113" t="s">
        <v>922</v>
      </c>
      <c r="C471" s="113" t="s">
        <v>92</v>
      </c>
      <c r="D471" s="113"/>
      <c r="E471" s="113" t="s">
        <v>920</v>
      </c>
      <c r="F471" s="113"/>
      <c r="G471" s="113" t="s">
        <v>1154</v>
      </c>
      <c r="H471" s="113">
        <v>1</v>
      </c>
      <c r="I471" s="113"/>
      <c r="J471" s="113" t="b">
        <f t="shared" si="39"/>
        <v>1</v>
      </c>
      <c r="K471" s="113" t="b">
        <v>1</v>
      </c>
      <c r="L471" s="113"/>
      <c r="M471" s="113"/>
      <c r="N471" s="113"/>
      <c r="O471" s="113" t="str">
        <f t="shared" si="40"/>
        <v>$B$108</v>
      </c>
      <c r="P471" s="113" t="str">
        <f t="shared" ref="P471:P478" si="41">"$K$"&amp;A471</f>
        <v>$K$108</v>
      </c>
      <c r="Q471" s="113"/>
      <c r="R471" s="113"/>
      <c r="S471" s="113"/>
      <c r="T471" s="113">
        <v>34</v>
      </c>
      <c r="U471" s="113" t="b">
        <v>1</v>
      </c>
      <c r="V471" s="113" t="s">
        <v>1342</v>
      </c>
      <c r="W471" s="113" t="s">
        <v>1342</v>
      </c>
      <c r="X471" s="113"/>
      <c r="Y471" s="113"/>
      <c r="Z471" s="113"/>
      <c r="AA471" s="113"/>
      <c r="AB471" s="113"/>
      <c r="AC471" s="113"/>
      <c r="AD471" s="113"/>
      <c r="AE471" s="113"/>
      <c r="AF471" s="113"/>
      <c r="AG471" s="113"/>
      <c r="AH471" s="113" t="s">
        <v>27</v>
      </c>
      <c r="AI471" s="113" t="s">
        <v>28</v>
      </c>
      <c r="AJ471" s="113"/>
      <c r="AK471" s="113"/>
      <c r="AL471" s="113">
        <v>1</v>
      </c>
      <c r="AM471" s="113"/>
      <c r="AN471" s="113"/>
      <c r="AO471" s="113"/>
      <c r="AP471" s="113" t="b">
        <v>1</v>
      </c>
      <c r="AQ471" s="297" t="s">
        <v>660</v>
      </c>
      <c r="AR471" s="297"/>
      <c r="AS471" s="298" t="s">
        <v>222</v>
      </c>
      <c r="AT471" s="299"/>
      <c r="AU471" s="298" t="s">
        <v>223</v>
      </c>
      <c r="AV471" s="299"/>
      <c r="AW471" s="298" t="s">
        <v>224</v>
      </c>
      <c r="AX471" s="299"/>
      <c r="AY471" s="298" t="s">
        <v>225</v>
      </c>
      <c r="AZ471" s="299"/>
      <c r="BB471" s="111"/>
    </row>
    <row r="472" spans="1:54" ht="16.5" customHeight="1" x14ac:dyDescent="0.2">
      <c r="A472" s="113">
        <f>$A$470+1</f>
        <v>109</v>
      </c>
      <c r="B472" s="113" t="s">
        <v>923</v>
      </c>
      <c r="C472" s="113" t="s">
        <v>92</v>
      </c>
      <c r="D472" s="113"/>
      <c r="E472" s="113" t="s">
        <v>920</v>
      </c>
      <c r="F472" s="113"/>
      <c r="G472" s="113" t="s">
        <v>1154</v>
      </c>
      <c r="H472" s="113">
        <v>1</v>
      </c>
      <c r="I472" s="113"/>
      <c r="J472" s="113" t="b">
        <f t="shared" si="39"/>
        <v>1</v>
      </c>
      <c r="K472" s="113" t="b">
        <v>1</v>
      </c>
      <c r="L472" s="113"/>
      <c r="M472" s="113"/>
      <c r="N472" s="113"/>
      <c r="O472" s="113" t="str">
        <f t="shared" si="40"/>
        <v>$B$109</v>
      </c>
      <c r="P472" s="113" t="str">
        <f t="shared" si="41"/>
        <v>$K$109</v>
      </c>
      <c r="Q472" s="113"/>
      <c r="R472" s="113"/>
      <c r="S472" s="113"/>
      <c r="T472" s="113">
        <v>25</v>
      </c>
      <c r="U472" s="113" t="b">
        <v>1</v>
      </c>
      <c r="V472" s="113" t="s">
        <v>1342</v>
      </c>
      <c r="W472" s="113" t="s">
        <v>1342</v>
      </c>
      <c r="X472" s="113"/>
      <c r="Y472" s="113"/>
      <c r="Z472" s="113"/>
      <c r="AA472" s="113"/>
      <c r="AB472" s="113"/>
      <c r="AC472" s="113"/>
      <c r="AD472" s="113"/>
      <c r="AE472" s="113"/>
      <c r="AF472" s="113" t="b">
        <v>0</v>
      </c>
      <c r="AG472" s="113"/>
      <c r="AH472" s="113" t="s">
        <v>27</v>
      </c>
      <c r="AI472" s="113" t="s">
        <v>28</v>
      </c>
      <c r="AJ472" s="113"/>
      <c r="AK472" s="113"/>
      <c r="AL472" s="113">
        <v>1</v>
      </c>
      <c r="AM472" s="113"/>
      <c r="AN472" s="113"/>
      <c r="AO472" s="113"/>
      <c r="AP472" s="113" t="b">
        <v>1</v>
      </c>
      <c r="AQ472" s="300" t="s">
        <v>226</v>
      </c>
      <c r="AR472" s="300"/>
      <c r="AS472" s="301">
        <v>41275</v>
      </c>
      <c r="AT472" s="302"/>
      <c r="AU472" s="301">
        <v>41640</v>
      </c>
      <c r="AV472" s="302"/>
      <c r="AW472" s="303">
        <f t="shared" ref="AW472:AW478" si="42">IFERROR(IF(AND(((YEAR(AU472)-YEAR(AS472))*12+MONTH(AU472)-MONTH(AS472))&gt;=0,((YEAR(AU472)-YEAR(AS472))*12+MONTH(AU472)-MONTH(AS472))&lt;200,AS472&lt;&gt;"",AU472&lt;&gt;""),(YEAR(AU472)-YEAR(AS472))*12+MONTH(AU472)-MONTH(AS472),"-"),"-")</f>
        <v>12</v>
      </c>
      <c r="AX472" s="304"/>
      <c r="AY472" s="305">
        <f t="shared" ref="AY472" si="43">IFERROR(AW472/SUM(AW472:AX478),0)</f>
        <v>1</v>
      </c>
      <c r="AZ472" s="306"/>
      <c r="BB472" s="111"/>
    </row>
    <row r="473" spans="1:54" ht="16.5" customHeight="1" x14ac:dyDescent="0.2">
      <c r="A473" s="113">
        <f>$A$470+2</f>
        <v>110</v>
      </c>
      <c r="B473" s="113" t="s">
        <v>924</v>
      </c>
      <c r="C473" s="113" t="s">
        <v>92</v>
      </c>
      <c r="D473" s="113"/>
      <c r="E473" s="113" t="s">
        <v>920</v>
      </c>
      <c r="F473" s="113"/>
      <c r="G473" s="113" t="s">
        <v>1154</v>
      </c>
      <c r="H473" s="113">
        <v>1</v>
      </c>
      <c r="I473" s="113"/>
      <c r="J473" s="113" t="b">
        <f t="shared" si="39"/>
        <v>1</v>
      </c>
      <c r="K473" s="113" t="b">
        <v>1</v>
      </c>
      <c r="L473" s="113"/>
      <c r="M473" s="113"/>
      <c r="N473" s="113"/>
      <c r="O473" s="113" t="str">
        <f t="shared" si="40"/>
        <v>$B$110</v>
      </c>
      <c r="P473" s="113" t="str">
        <f t="shared" si="41"/>
        <v>$K$110</v>
      </c>
      <c r="Q473" s="113"/>
      <c r="R473" s="113"/>
      <c r="S473" s="113"/>
      <c r="T473" s="113">
        <v>25</v>
      </c>
      <c r="U473" s="113" t="b">
        <v>1</v>
      </c>
      <c r="V473" s="113" t="s">
        <v>1342</v>
      </c>
      <c r="W473" s="113" t="s">
        <v>1342</v>
      </c>
      <c r="X473" s="113"/>
      <c r="Y473" s="113"/>
      <c r="Z473" s="113"/>
      <c r="AA473" s="113"/>
      <c r="AB473" s="113"/>
      <c r="AC473" s="113"/>
      <c r="AD473" s="113"/>
      <c r="AE473" s="113"/>
      <c r="AF473" s="113" t="b">
        <v>0</v>
      </c>
      <c r="AG473" s="113"/>
      <c r="AH473" s="113" t="s">
        <v>27</v>
      </c>
      <c r="AI473" s="113" t="s">
        <v>29</v>
      </c>
      <c r="AJ473" s="113"/>
      <c r="AK473" s="113"/>
      <c r="AL473" s="113">
        <v>1</v>
      </c>
      <c r="AM473" s="113"/>
      <c r="AN473" s="113"/>
      <c r="AO473" s="113"/>
      <c r="AP473" s="113" t="b">
        <v>1</v>
      </c>
      <c r="AQ473" s="307" t="s">
        <v>184</v>
      </c>
      <c r="AR473" s="307"/>
      <c r="AS473" s="308"/>
      <c r="AT473" s="309"/>
      <c r="AU473" s="308"/>
      <c r="AV473" s="309"/>
      <c r="AW473" s="310" t="str">
        <f t="shared" si="42"/>
        <v>-</v>
      </c>
      <c r="AX473" s="311"/>
      <c r="AY473" s="312">
        <f t="shared" ref="AY473" si="44">IFERROR(AW473/SUM(AW472:AX478),0)</f>
        <v>0</v>
      </c>
      <c r="AZ473" s="313"/>
      <c r="BB473" s="111"/>
    </row>
    <row r="474" spans="1:54" ht="16.5" customHeight="1" x14ac:dyDescent="0.2">
      <c r="A474" s="113">
        <f>$A$470+3</f>
        <v>111</v>
      </c>
      <c r="B474" s="113" t="s">
        <v>925</v>
      </c>
      <c r="C474" s="113" t="s">
        <v>92</v>
      </c>
      <c r="D474" s="113"/>
      <c r="E474" s="113" t="s">
        <v>920</v>
      </c>
      <c r="F474" s="113"/>
      <c r="G474" s="113" t="s">
        <v>1154</v>
      </c>
      <c r="H474" s="113">
        <v>1</v>
      </c>
      <c r="I474" s="113"/>
      <c r="J474" s="113" t="b">
        <f t="shared" si="39"/>
        <v>1</v>
      </c>
      <c r="K474" s="113" t="b">
        <v>1</v>
      </c>
      <c r="L474" s="113"/>
      <c r="M474" s="113"/>
      <c r="N474" s="113"/>
      <c r="O474" s="113" t="str">
        <f t="shared" si="40"/>
        <v>$B$111</v>
      </c>
      <c r="P474" s="113" t="str">
        <f t="shared" si="41"/>
        <v>$K$111</v>
      </c>
      <c r="Q474" s="113"/>
      <c r="R474" s="113"/>
      <c r="S474" s="113"/>
      <c r="T474" s="113">
        <v>25</v>
      </c>
      <c r="U474" s="113" t="b">
        <v>1</v>
      </c>
      <c r="V474" s="113" t="s">
        <v>1342</v>
      </c>
      <c r="W474" s="113" t="s">
        <v>1342</v>
      </c>
      <c r="X474" s="113"/>
      <c r="Y474" s="113"/>
      <c r="Z474" s="113"/>
      <c r="AA474" s="113"/>
      <c r="AB474" s="113"/>
      <c r="AC474" s="113"/>
      <c r="AD474" s="113"/>
      <c r="AE474" s="113"/>
      <c r="AF474" s="113" t="b">
        <v>0</v>
      </c>
      <c r="AG474" s="113"/>
      <c r="AH474" s="113" t="s">
        <v>27</v>
      </c>
      <c r="AI474" s="113" t="s">
        <v>29</v>
      </c>
      <c r="AJ474" s="113"/>
      <c r="AK474" s="113"/>
      <c r="AL474" s="113">
        <v>1</v>
      </c>
      <c r="AM474" s="113"/>
      <c r="AN474" s="113"/>
      <c r="AO474" s="113"/>
      <c r="AP474" s="113" t="b">
        <v>1</v>
      </c>
      <c r="AQ474" s="307" t="s">
        <v>185</v>
      </c>
      <c r="AR474" s="307"/>
      <c r="AS474" s="314" t="str">
        <f t="shared" ref="AS474" si="45">IF(MIN(AS475:AT476)=0,"-",MIN(AS475:AT476))</f>
        <v>-</v>
      </c>
      <c r="AT474" s="315"/>
      <c r="AU474" s="314" t="str">
        <f t="shared" ref="AU474" si="46">IF(MAX(AU475:AV476)=0,"-",MAX(AU475:AV476))</f>
        <v>-</v>
      </c>
      <c r="AV474" s="315"/>
      <c r="AW474" s="310" t="str">
        <f t="shared" si="42"/>
        <v>-</v>
      </c>
      <c r="AX474" s="311"/>
      <c r="AY474" s="312">
        <f t="shared" ref="AY474" si="47">IFERROR(AW474/SUM(AW472:AX478),0)</f>
        <v>0</v>
      </c>
      <c r="AZ474" s="313"/>
      <c r="BB474" s="111"/>
    </row>
    <row r="475" spans="1:54" ht="16.5" customHeight="1" x14ac:dyDescent="0.2">
      <c r="A475" s="113">
        <f>$A$470+4</f>
        <v>112</v>
      </c>
      <c r="B475" s="113" t="s">
        <v>926</v>
      </c>
      <c r="C475" s="113" t="s">
        <v>92</v>
      </c>
      <c r="D475" s="113"/>
      <c r="E475" s="113" t="s">
        <v>920</v>
      </c>
      <c r="F475" s="113"/>
      <c r="G475" s="113" t="s">
        <v>1154</v>
      </c>
      <c r="H475" s="113">
        <v>1</v>
      </c>
      <c r="I475" s="113"/>
      <c r="J475" s="113" t="b">
        <f t="shared" si="39"/>
        <v>1</v>
      </c>
      <c r="K475" s="113" t="b">
        <v>1</v>
      </c>
      <c r="L475" s="113"/>
      <c r="M475" s="113"/>
      <c r="N475" s="113"/>
      <c r="O475" s="113" t="str">
        <f t="shared" si="40"/>
        <v>$B$112</v>
      </c>
      <c r="P475" s="113" t="str">
        <f t="shared" si="41"/>
        <v>$K$112</v>
      </c>
      <c r="Q475" s="113"/>
      <c r="R475" s="113"/>
      <c r="S475" s="113"/>
      <c r="T475" s="113">
        <v>25</v>
      </c>
      <c r="U475" s="113" t="b">
        <v>1</v>
      </c>
      <c r="V475" s="113" t="s">
        <v>1342</v>
      </c>
      <c r="W475" s="113" t="s">
        <v>1342</v>
      </c>
      <c r="X475" s="113"/>
      <c r="Y475" s="113"/>
      <c r="Z475" s="113"/>
      <c r="AA475" s="113"/>
      <c r="AB475" s="113"/>
      <c r="AC475" s="113"/>
      <c r="AD475" s="113"/>
      <c r="AE475" s="113"/>
      <c r="AF475" s="113" t="b">
        <v>0</v>
      </c>
      <c r="AG475" s="113"/>
      <c r="AH475" s="113" t="s">
        <v>27</v>
      </c>
      <c r="AI475" s="113" t="s">
        <v>29</v>
      </c>
      <c r="AJ475" s="113"/>
      <c r="AK475" s="113"/>
      <c r="AL475" s="113">
        <v>1</v>
      </c>
      <c r="AM475" s="113"/>
      <c r="AN475" s="113"/>
      <c r="AO475" s="113"/>
      <c r="AP475" s="113" t="b">
        <v>1</v>
      </c>
      <c r="AQ475" s="307" t="s">
        <v>227</v>
      </c>
      <c r="AR475" s="307"/>
      <c r="AS475" s="308"/>
      <c r="AT475" s="309"/>
      <c r="AU475" s="308"/>
      <c r="AV475" s="309"/>
      <c r="AW475" s="310" t="str">
        <f t="shared" si="42"/>
        <v>-</v>
      </c>
      <c r="AX475" s="311"/>
      <c r="AY475" s="312">
        <f t="shared" ref="AY475" si="48">IFERROR(AW475/SUM(AW472:AX478),0)</f>
        <v>0</v>
      </c>
      <c r="AZ475" s="313"/>
      <c r="BB475" s="111"/>
    </row>
    <row r="476" spans="1:54" ht="16.5" customHeight="1" x14ac:dyDescent="0.2">
      <c r="A476" s="113">
        <f>$A$470+5</f>
        <v>113</v>
      </c>
      <c r="B476" s="113" t="s">
        <v>927</v>
      </c>
      <c r="C476" s="113" t="s">
        <v>92</v>
      </c>
      <c r="D476" s="113"/>
      <c r="E476" s="113" t="s">
        <v>920</v>
      </c>
      <c r="F476" s="113"/>
      <c r="G476" s="113" t="s">
        <v>1154</v>
      </c>
      <c r="H476" s="113">
        <v>1</v>
      </c>
      <c r="I476" s="113"/>
      <c r="J476" s="113" t="b">
        <f t="shared" si="39"/>
        <v>1</v>
      </c>
      <c r="K476" s="113" t="b">
        <v>1</v>
      </c>
      <c r="L476" s="113"/>
      <c r="M476" s="113"/>
      <c r="N476" s="113"/>
      <c r="O476" s="113" t="str">
        <f t="shared" si="40"/>
        <v>$B$113</v>
      </c>
      <c r="P476" s="113" t="str">
        <f t="shared" si="41"/>
        <v>$K$113</v>
      </c>
      <c r="Q476" s="113"/>
      <c r="R476" s="113"/>
      <c r="S476" s="113"/>
      <c r="T476" s="113">
        <v>25</v>
      </c>
      <c r="U476" s="113" t="b">
        <v>1</v>
      </c>
      <c r="V476" s="113" t="s">
        <v>1342</v>
      </c>
      <c r="W476" s="113" t="s">
        <v>1342</v>
      </c>
      <c r="X476" s="113"/>
      <c r="Y476" s="113"/>
      <c r="Z476" s="113"/>
      <c r="AA476" s="113"/>
      <c r="AB476" s="113"/>
      <c r="AC476" s="113"/>
      <c r="AD476" s="113"/>
      <c r="AE476" s="113"/>
      <c r="AF476" s="113" t="b">
        <v>0</v>
      </c>
      <c r="AG476" s="113"/>
      <c r="AH476" s="113" t="s">
        <v>27</v>
      </c>
      <c r="AI476" s="113" t="s">
        <v>29</v>
      </c>
      <c r="AJ476" s="113"/>
      <c r="AK476" s="113"/>
      <c r="AL476" s="113">
        <v>1</v>
      </c>
      <c r="AM476" s="113"/>
      <c r="AN476" s="113"/>
      <c r="AO476" s="113"/>
      <c r="AP476" s="113" t="b">
        <v>1</v>
      </c>
      <c r="AQ476" s="307" t="s">
        <v>228</v>
      </c>
      <c r="AR476" s="307"/>
      <c r="AS476" s="308"/>
      <c r="AT476" s="309"/>
      <c r="AU476" s="308"/>
      <c r="AV476" s="309"/>
      <c r="AW476" s="310" t="str">
        <f t="shared" si="42"/>
        <v>-</v>
      </c>
      <c r="AX476" s="311"/>
      <c r="AY476" s="312">
        <f t="shared" ref="AY476" si="49">IFERROR(AW476/SUM(AW472:AX478),0)</f>
        <v>0</v>
      </c>
      <c r="AZ476" s="313"/>
      <c r="BB476" s="111"/>
    </row>
    <row r="477" spans="1:54" ht="16.5" customHeight="1" x14ac:dyDescent="0.2">
      <c r="A477" s="113">
        <f>$A$470+6</f>
        <v>114</v>
      </c>
      <c r="B477" s="113" t="s">
        <v>928</v>
      </c>
      <c r="C477" s="113" t="s">
        <v>92</v>
      </c>
      <c r="D477" s="113"/>
      <c r="E477" s="113" t="s">
        <v>920</v>
      </c>
      <c r="F477" s="113"/>
      <c r="G477" s="113" t="s">
        <v>1154</v>
      </c>
      <c r="H477" s="113">
        <v>1</v>
      </c>
      <c r="I477" s="113"/>
      <c r="J477" s="113" t="b">
        <f t="shared" si="39"/>
        <v>1</v>
      </c>
      <c r="K477" s="113" t="b">
        <v>1</v>
      </c>
      <c r="L477" s="113"/>
      <c r="M477" s="113"/>
      <c r="N477" s="113"/>
      <c r="O477" s="113" t="str">
        <f t="shared" si="40"/>
        <v>$B$114</v>
      </c>
      <c r="P477" s="113" t="str">
        <f t="shared" si="41"/>
        <v>$K$114</v>
      </c>
      <c r="Q477" s="113"/>
      <c r="R477" s="113"/>
      <c r="S477" s="113"/>
      <c r="T477" s="113">
        <v>25</v>
      </c>
      <c r="U477" s="113" t="b">
        <v>1</v>
      </c>
      <c r="V477" s="113" t="s">
        <v>1342</v>
      </c>
      <c r="W477" s="113" t="s">
        <v>1342</v>
      </c>
      <c r="X477" s="113"/>
      <c r="Y477" s="113"/>
      <c r="Z477" s="113"/>
      <c r="AA477" s="113"/>
      <c r="AB477" s="113"/>
      <c r="AC477" s="113"/>
      <c r="AD477" s="113"/>
      <c r="AE477" s="113"/>
      <c r="AF477" s="113" t="b">
        <v>0</v>
      </c>
      <c r="AG477" s="113"/>
      <c r="AH477" s="113" t="s">
        <v>27</v>
      </c>
      <c r="AI477" s="113" t="s">
        <v>29</v>
      </c>
      <c r="AJ477" s="113"/>
      <c r="AK477" s="113"/>
      <c r="AL477" s="113">
        <v>1</v>
      </c>
      <c r="AM477" s="113"/>
      <c r="AN477" s="113"/>
      <c r="AO477" s="113"/>
      <c r="AP477" s="113" t="b">
        <v>1</v>
      </c>
      <c r="AQ477" s="307" t="s">
        <v>229</v>
      </c>
      <c r="AR477" s="307"/>
      <c r="AS477" s="308"/>
      <c r="AT477" s="309"/>
      <c r="AU477" s="308"/>
      <c r="AV477" s="309"/>
      <c r="AW477" s="310" t="str">
        <f t="shared" si="42"/>
        <v>-</v>
      </c>
      <c r="AX477" s="311"/>
      <c r="AY477" s="312">
        <f t="shared" ref="AY477" si="50">IFERROR(AW477/SUM(AW472:AX478),0)</f>
        <v>0</v>
      </c>
      <c r="AZ477" s="313"/>
      <c r="BB477" s="111"/>
    </row>
    <row r="478" spans="1:54" ht="16.5" customHeight="1" x14ac:dyDescent="0.2">
      <c r="A478" s="113">
        <f>$A$470+7</f>
        <v>115</v>
      </c>
      <c r="B478" s="113" t="s">
        <v>929</v>
      </c>
      <c r="C478" s="113" t="s">
        <v>92</v>
      </c>
      <c r="D478" s="113"/>
      <c r="E478" s="113" t="s">
        <v>920</v>
      </c>
      <c r="F478" s="113"/>
      <c r="G478" s="113" t="s">
        <v>1154</v>
      </c>
      <c r="H478" s="113">
        <v>1</v>
      </c>
      <c r="I478" s="113"/>
      <c r="J478" s="113" t="b">
        <f t="shared" si="39"/>
        <v>1</v>
      </c>
      <c r="K478" s="113" t="b">
        <v>1</v>
      </c>
      <c r="L478" s="113"/>
      <c r="M478" s="113"/>
      <c r="N478" s="113"/>
      <c r="O478" s="113" t="str">
        <f t="shared" si="40"/>
        <v>$B$115</v>
      </c>
      <c r="P478" s="113" t="str">
        <f t="shared" si="41"/>
        <v>$K$115</v>
      </c>
      <c r="Q478" s="113"/>
      <c r="R478" s="113"/>
      <c r="S478" s="113"/>
      <c r="T478" s="113">
        <v>25</v>
      </c>
      <c r="U478" s="113" t="b">
        <v>1</v>
      </c>
      <c r="V478" s="113" t="s">
        <v>1342</v>
      </c>
      <c r="W478" s="113" t="s">
        <v>1342</v>
      </c>
      <c r="X478" s="113"/>
      <c r="Y478" s="113"/>
      <c r="Z478" s="113"/>
      <c r="AA478" s="113"/>
      <c r="AB478" s="113"/>
      <c r="AC478" s="113"/>
      <c r="AD478" s="113"/>
      <c r="AE478" s="113"/>
      <c r="AF478" s="113" t="b">
        <v>0</v>
      </c>
      <c r="AG478" s="113"/>
      <c r="AH478" s="113" t="s">
        <v>27</v>
      </c>
      <c r="AI478" s="113" t="s">
        <v>29</v>
      </c>
      <c r="AJ478" s="113"/>
      <c r="AK478" s="113"/>
      <c r="AL478" s="113">
        <v>1</v>
      </c>
      <c r="AM478" s="113"/>
      <c r="AN478" s="113"/>
      <c r="AO478" s="113"/>
      <c r="AP478" s="113" t="b">
        <v>1</v>
      </c>
      <c r="AQ478" s="316" t="s">
        <v>186</v>
      </c>
      <c r="AR478" s="316"/>
      <c r="AS478" s="317"/>
      <c r="AT478" s="318"/>
      <c r="AU478" s="317"/>
      <c r="AV478" s="318"/>
      <c r="AW478" s="319" t="str">
        <f t="shared" si="42"/>
        <v>-</v>
      </c>
      <c r="AX478" s="320"/>
      <c r="AY478" s="321">
        <f t="shared" ref="AY478" si="51">IFERROR(AW478/SUM(AW472:AX478),0)</f>
        <v>0</v>
      </c>
      <c r="AZ478" s="322"/>
      <c r="BB478" s="111"/>
    </row>
    <row r="479" spans="1:54" ht="16.5" customHeight="1" x14ac:dyDescent="0.2">
      <c r="A479" s="110">
        <f>$A$470+0</f>
        <v>108</v>
      </c>
      <c r="B479" s="110" t="str">
        <f>D479&amp;"Red"</f>
        <v>FP_Main1TidsplanTable_1Red</v>
      </c>
      <c r="C479" s="110" t="s">
        <v>656</v>
      </c>
      <c r="D479" s="110" t="s">
        <v>921</v>
      </c>
      <c r="E479" s="110" t="s">
        <v>920</v>
      </c>
      <c r="F479" s="110"/>
      <c r="G479" s="110" t="s">
        <v>1154</v>
      </c>
      <c r="H479" s="110">
        <v>1</v>
      </c>
      <c r="I479" s="110" t="s">
        <v>1247</v>
      </c>
      <c r="J479" s="110" t="b">
        <f t="shared" si="39"/>
        <v>1</v>
      </c>
      <c r="K479" s="110" t="b">
        <v>1</v>
      </c>
      <c r="L479" s="110"/>
      <c r="M479" s="110" t="str">
        <f>"'editNorm """&amp;D479&amp;""","""&amp;B479&amp;""","""&amp;E479&amp;"""'"</f>
        <v>'editNorm "FP_Main1TidsplanTable_1","FP_Main1TidsplanTable_1Red","TidsPlan"'</v>
      </c>
      <c r="N479" s="110" t="s">
        <v>59</v>
      </c>
      <c r="O479" s="110" t="str">
        <f>"$L$"&amp;A479</f>
        <v>$L$108</v>
      </c>
      <c r="P479" s="110" t="str">
        <f>"$M$"&amp;A479</f>
        <v>$M$108</v>
      </c>
      <c r="Q479" s="110">
        <v>5</v>
      </c>
      <c r="R479" s="110">
        <v>12</v>
      </c>
      <c r="S479" s="110"/>
      <c r="T479" s="110">
        <v>22</v>
      </c>
      <c r="U479" s="110" t="b">
        <v>1</v>
      </c>
      <c r="V479" s="110" t="s">
        <v>1344</v>
      </c>
      <c r="W479" s="110" t="s">
        <v>1343</v>
      </c>
      <c r="X479" s="110"/>
      <c r="Y479" s="110"/>
      <c r="Z479" s="110"/>
      <c r="AA479" s="110"/>
      <c r="AB479" s="110">
        <v>3</v>
      </c>
      <c r="AC479" s="110">
        <v>5</v>
      </c>
      <c r="AD479" s="110" t="s">
        <v>105</v>
      </c>
      <c r="AE479" s="110">
        <v>12</v>
      </c>
      <c r="AF479" s="110"/>
      <c r="AG479" s="110" t="s">
        <v>1351</v>
      </c>
      <c r="AH479" s="110" t="s">
        <v>29</v>
      </c>
      <c r="AI479" s="110" t="s">
        <v>29</v>
      </c>
      <c r="AJ479" s="110"/>
      <c r="AK479" s="110"/>
      <c r="AL479" s="110"/>
      <c r="AM479" s="110"/>
      <c r="AN479" s="110">
        <v>2</v>
      </c>
      <c r="AO479" s="110"/>
      <c r="AP479" s="110"/>
      <c r="BB479" s="111"/>
    </row>
    <row r="480" spans="1:54" ht="16.5" customHeight="1" x14ac:dyDescent="0.2">
      <c r="A480" s="110">
        <f>$A$470+0</f>
        <v>108</v>
      </c>
      <c r="B480" s="110" t="str">
        <f>D480&amp;"Gem"</f>
        <v>FP_Main1TidsplanTable_1Gem</v>
      </c>
      <c r="C480" s="110" t="s">
        <v>656</v>
      </c>
      <c r="D480" s="110" t="s">
        <v>921</v>
      </c>
      <c r="E480" s="110" t="s">
        <v>920</v>
      </c>
      <c r="F480" s="110"/>
      <c r="G480" s="110" t="s">
        <v>1154</v>
      </c>
      <c r="H480" s="110">
        <v>1</v>
      </c>
      <c r="I480" s="110" t="s">
        <v>238</v>
      </c>
      <c r="J480" s="110" t="b">
        <f t="shared" si="39"/>
        <v>1</v>
      </c>
      <c r="K480" s="110"/>
      <c r="L480" s="110"/>
      <c r="M480" s="110" t="str">
        <f>"'editNorm """&amp;D480&amp;""","""&amp;B480&amp;""","""&amp;E480&amp;"""'"</f>
        <v>'editNorm "FP_Main1TidsplanTable_1","FP_Main1TidsplanTable_1Gem","TidsPlan"'</v>
      </c>
      <c r="N480" s="110" t="s">
        <v>59</v>
      </c>
      <c r="O480" s="110" t="str">
        <f>"$L$"&amp;A480</f>
        <v>$L$108</v>
      </c>
      <c r="P480" s="110" t="str">
        <f>"$L$"&amp;A480</f>
        <v>$L$108</v>
      </c>
      <c r="Q480" s="110">
        <v>5</v>
      </c>
      <c r="R480" s="110">
        <v>12</v>
      </c>
      <c r="S480" s="110"/>
      <c r="T480" s="110">
        <v>22</v>
      </c>
      <c r="U480" s="110" t="b">
        <v>1</v>
      </c>
      <c r="V480" s="110" t="s">
        <v>1345</v>
      </c>
      <c r="W480" s="110" t="s">
        <v>1343</v>
      </c>
      <c r="X480" s="110"/>
      <c r="Y480" s="110"/>
      <c r="Z480" s="110"/>
      <c r="AA480" s="110"/>
      <c r="AB480" s="110">
        <v>3</v>
      </c>
      <c r="AC480" s="110">
        <v>5</v>
      </c>
      <c r="AD480" s="110" t="s">
        <v>105</v>
      </c>
      <c r="AE480" s="110">
        <v>12</v>
      </c>
      <c r="AF480" s="110"/>
      <c r="AG480" s="110" t="s">
        <v>1351</v>
      </c>
      <c r="AH480" s="110" t="s">
        <v>29</v>
      </c>
      <c r="AI480" s="110" t="s">
        <v>29</v>
      </c>
      <c r="AJ480" s="110"/>
      <c r="AK480" s="110"/>
      <c r="AL480" s="110"/>
      <c r="AM480" s="110"/>
      <c r="AN480" s="110">
        <v>2</v>
      </c>
      <c r="AO480" s="110"/>
      <c r="AP480" s="110"/>
      <c r="BB480" s="111"/>
    </row>
    <row r="481" spans="1:54" ht="16.5" customHeight="1" x14ac:dyDescent="0.2">
      <c r="A481" s="110">
        <f>$A$470+0</f>
        <v>108</v>
      </c>
      <c r="B481" s="110" t="str">
        <f>D481&amp;"Cancel"</f>
        <v>FP_Main1TidsplanTable_1Cancel</v>
      </c>
      <c r="C481" s="110" t="s">
        <v>656</v>
      </c>
      <c r="D481" s="110" t="s">
        <v>921</v>
      </c>
      <c r="E481" s="110" t="s">
        <v>920</v>
      </c>
      <c r="F481" s="110"/>
      <c r="G481" s="110" t="s">
        <v>1154</v>
      </c>
      <c r="H481" s="110">
        <v>1</v>
      </c>
      <c r="I481" s="110" t="s">
        <v>838</v>
      </c>
      <c r="J481" s="110" t="b">
        <f t="shared" si="39"/>
        <v>1</v>
      </c>
      <c r="K481" s="110"/>
      <c r="L481" s="110"/>
      <c r="M481" s="110" t="str">
        <f>"'editNorm """&amp;D481&amp;""","""&amp;B481&amp;""","""&amp;E481&amp;"""'"</f>
        <v>'editNorm "FP_Main1TidsplanTable_1","FP_Main1TidsplanTable_1Cancel","TidsPlan"'</v>
      </c>
      <c r="N481" s="110" t="s">
        <v>59</v>
      </c>
      <c r="O481" s="110" t="str">
        <f>"$M$"&amp;A481</f>
        <v>$M$108</v>
      </c>
      <c r="P481" s="110" t="str">
        <f>"$M$"&amp;A481</f>
        <v>$M$108</v>
      </c>
      <c r="Q481" s="110">
        <v>7</v>
      </c>
      <c r="R481" s="110">
        <v>12</v>
      </c>
      <c r="S481" s="110"/>
      <c r="T481" s="110">
        <v>22</v>
      </c>
      <c r="U481" s="110" t="b">
        <v>1</v>
      </c>
      <c r="V481" s="110" t="s">
        <v>1344</v>
      </c>
      <c r="W481" s="110" t="s">
        <v>1343</v>
      </c>
      <c r="X481" s="110"/>
      <c r="Y481" s="110"/>
      <c r="Z481" s="110"/>
      <c r="AA481" s="110"/>
      <c r="AB481" s="110">
        <v>3</v>
      </c>
      <c r="AC481" s="110">
        <v>5</v>
      </c>
      <c r="AD481" s="110" t="s">
        <v>105</v>
      </c>
      <c r="AE481" s="110">
        <v>12</v>
      </c>
      <c r="AF481" s="110"/>
      <c r="AG481" s="110" t="s">
        <v>1351</v>
      </c>
      <c r="AH481" s="110" t="s">
        <v>29</v>
      </c>
      <c r="AI481" s="110" t="s">
        <v>29</v>
      </c>
      <c r="AJ481" s="110"/>
      <c r="AK481" s="110"/>
      <c r="AL481" s="110"/>
      <c r="AM481" s="110"/>
      <c r="AN481" s="110">
        <v>2</v>
      </c>
      <c r="AO481" s="110"/>
      <c r="AP481" s="110"/>
      <c r="BB481" s="111"/>
    </row>
    <row r="482" spans="1:54" ht="16.5" customHeight="1" x14ac:dyDescent="0.2">
      <c r="A482" s="110">
        <f>$A$470+0</f>
        <v>108</v>
      </c>
      <c r="B482" s="110" t="str">
        <f>D482&amp;"Delete"</f>
        <v>FP_Main1TidsplanTable_1Delete</v>
      </c>
      <c r="C482" s="110" t="s">
        <v>656</v>
      </c>
      <c r="D482" s="110" t="s">
        <v>921</v>
      </c>
      <c r="E482" s="110" t="s">
        <v>920</v>
      </c>
      <c r="F482" s="110"/>
      <c r="G482" s="110" t="s">
        <v>1154</v>
      </c>
      <c r="H482" s="110">
        <v>1</v>
      </c>
      <c r="I482" s="110" t="s">
        <v>1266</v>
      </c>
      <c r="J482" s="110" t="b">
        <f t="shared" si="39"/>
        <v>1</v>
      </c>
      <c r="K482" s="110"/>
      <c r="L482" s="110"/>
      <c r="M482" s="110" t="str">
        <f>"'editNorm """&amp;D482&amp;""","""&amp;B482&amp;""","""&amp;E482&amp;"""'"</f>
        <v>'editNorm "FP_Main1TidsplanTable_1","FP_Main1TidsplanTable_1Delete","TidsPlan"'</v>
      </c>
      <c r="N482" s="110" t="s">
        <v>59</v>
      </c>
      <c r="O482" s="110" t="str">
        <f>"$N$"&amp;A482</f>
        <v>$N$108</v>
      </c>
      <c r="P482" s="110" t="str">
        <f>"$N$"&amp;A482</f>
        <v>$N$108</v>
      </c>
      <c r="Q482" s="110">
        <v>7</v>
      </c>
      <c r="R482" s="110">
        <v>12</v>
      </c>
      <c r="S482" s="110"/>
      <c r="T482" s="110">
        <v>22</v>
      </c>
      <c r="U482" s="110" t="b">
        <v>1</v>
      </c>
      <c r="V482" s="110" t="s">
        <v>1346</v>
      </c>
      <c r="W482" s="110" t="s">
        <v>1343</v>
      </c>
      <c r="X482" s="110"/>
      <c r="Y482" s="110"/>
      <c r="Z482" s="110"/>
      <c r="AA482" s="110"/>
      <c r="AB482" s="110">
        <v>3</v>
      </c>
      <c r="AC482" s="110">
        <v>5</v>
      </c>
      <c r="AD482" s="110" t="s">
        <v>105</v>
      </c>
      <c r="AE482" s="110">
        <v>12</v>
      </c>
      <c r="AF482" s="110"/>
      <c r="AG482" s="110" t="s">
        <v>1351</v>
      </c>
      <c r="AH482" s="110" t="s">
        <v>29</v>
      </c>
      <c r="AI482" s="110" t="s">
        <v>29</v>
      </c>
      <c r="AJ482" s="110"/>
      <c r="AK482" s="110"/>
      <c r="AL482" s="110"/>
      <c r="AM482" s="110"/>
      <c r="AN482" s="110">
        <v>2</v>
      </c>
      <c r="AO482" s="110"/>
      <c r="AP482" s="110"/>
      <c r="BB482" s="111"/>
    </row>
    <row r="483" spans="1:54" ht="16.5" customHeight="1" x14ac:dyDescent="0.2">
      <c r="A483" s="107">
        <f>$O$456+(P456-O456+1)*(H456-1)-1</f>
        <v>115</v>
      </c>
      <c r="B483" s="107" t="s">
        <v>920</v>
      </c>
      <c r="C483" s="107" t="s">
        <v>663</v>
      </c>
      <c r="D483" s="107"/>
      <c r="E483" s="107"/>
      <c r="F483" s="107"/>
      <c r="G483" s="107" t="s">
        <v>1154</v>
      </c>
      <c r="H483" s="107"/>
      <c r="I483" s="107"/>
      <c r="J483" s="107" t="b">
        <f t="shared" ref="J483:J508" si="52">$E$4</f>
        <v>1</v>
      </c>
      <c r="K483" s="107"/>
      <c r="L483" s="107"/>
      <c r="M483" s="107"/>
      <c r="N483" s="107"/>
      <c r="O483" s="107"/>
      <c r="P483" s="107">
        <f>O483+2</f>
        <v>2</v>
      </c>
      <c r="Q483" s="107"/>
      <c r="R483" s="107"/>
      <c r="S483" s="107"/>
      <c r="T483" s="107"/>
      <c r="U483" s="107"/>
      <c r="V483" s="107"/>
      <c r="W483" s="107"/>
      <c r="X483" s="107"/>
      <c r="Y483" s="107"/>
      <c r="Z483" s="107"/>
      <c r="AA483" s="107"/>
      <c r="AB483" s="107"/>
      <c r="AC483" s="107"/>
      <c r="AD483" s="107"/>
      <c r="AE483" s="107"/>
      <c r="AF483" s="107"/>
      <c r="AG483" s="107"/>
      <c r="AH483" s="107"/>
      <c r="AI483" s="107"/>
      <c r="AJ483" s="107"/>
      <c r="AK483" s="107"/>
      <c r="AL483" s="107"/>
      <c r="AM483" s="107"/>
      <c r="AN483" s="107"/>
      <c r="AO483" s="107"/>
      <c r="AP483" s="107"/>
      <c r="BB483" s="111"/>
    </row>
    <row r="484" spans="1:54" ht="16.5" customHeight="1" x14ac:dyDescent="0.2">
      <c r="A484" s="103">
        <f>$A$483+2</f>
        <v>117</v>
      </c>
      <c r="B484" s="103" t="s">
        <v>239</v>
      </c>
      <c r="C484" s="103" t="s">
        <v>654</v>
      </c>
      <c r="D484" s="103"/>
      <c r="E484" s="103"/>
      <c r="F484" s="103"/>
      <c r="G484" s="103" t="s">
        <v>1154</v>
      </c>
      <c r="H484" s="103" t="s">
        <v>1550</v>
      </c>
      <c r="I484" s="103" t="s">
        <v>230</v>
      </c>
      <c r="J484" s="103" t="b">
        <f t="shared" si="52"/>
        <v>1</v>
      </c>
      <c r="K484" s="103" t="b">
        <v>1</v>
      </c>
      <c r="L484" s="103" t="b">
        <v>1</v>
      </c>
      <c r="M484" s="103" t="str">
        <f>"'expand """&amp;B484&amp;""","""&amp;G484&amp;""",TRUE'"</f>
        <v>'expand "FP_Main1Risici","Forside",TRUE'</v>
      </c>
      <c r="N484" s="103" t="s">
        <v>59</v>
      </c>
      <c r="O484" s="103" t="str">
        <f>"$B$"&amp;A484</f>
        <v>$B$117</v>
      </c>
      <c r="P484" s="103" t="str">
        <f>"$M$" &amp;A505-1</f>
        <v>$M$124</v>
      </c>
      <c r="Q484" s="103"/>
      <c r="R484" s="103">
        <v>1</v>
      </c>
      <c r="S484" s="103"/>
      <c r="T484" s="103">
        <v>40</v>
      </c>
      <c r="U484" s="103" t="b">
        <v>1</v>
      </c>
      <c r="V484" s="103" t="s">
        <v>1344</v>
      </c>
      <c r="W484" s="103" t="s">
        <v>1343</v>
      </c>
      <c r="X484" s="103"/>
      <c r="Y484" s="103"/>
      <c r="Z484" s="103"/>
      <c r="AA484" s="103"/>
      <c r="AB484" s="103"/>
      <c r="AC484" s="103">
        <v>30</v>
      </c>
      <c r="AD484" s="103"/>
      <c r="AE484" s="103">
        <v>18</v>
      </c>
      <c r="AF484" s="103" t="b">
        <v>0</v>
      </c>
      <c r="AG484" s="103" t="s">
        <v>1351</v>
      </c>
      <c r="AH484" s="103" t="s">
        <v>29</v>
      </c>
      <c r="AI484" s="103" t="s">
        <v>28</v>
      </c>
      <c r="AJ484" s="103"/>
      <c r="AK484" s="103"/>
      <c r="AL484" s="103"/>
      <c r="AM484" s="103"/>
      <c r="AN484" s="103">
        <v>8</v>
      </c>
      <c r="AO484" s="103">
        <v>135</v>
      </c>
      <c r="AP484" s="103"/>
      <c r="BB484" s="111"/>
    </row>
    <row r="485" spans="1:54" ht="16.5" customHeight="1" x14ac:dyDescent="0.2">
      <c r="A485" s="112">
        <f>$A$484+2</f>
        <v>119</v>
      </c>
      <c r="B485" s="112" t="s">
        <v>231</v>
      </c>
      <c r="C485" s="112" t="s">
        <v>90</v>
      </c>
      <c r="D485" s="112"/>
      <c r="E485" s="112"/>
      <c r="F485" s="112"/>
      <c r="G485" s="112" t="s">
        <v>1154</v>
      </c>
      <c r="H485" s="112"/>
      <c r="I485" s="112"/>
      <c r="J485" s="112" t="b">
        <f t="shared" si="52"/>
        <v>1</v>
      </c>
      <c r="K485" s="112" t="b">
        <v>1</v>
      </c>
      <c r="L485" s="112"/>
      <c r="M485" s="112"/>
      <c r="N485" s="112"/>
      <c r="O485" s="112" t="str">
        <f>"$B$"&amp;A485</f>
        <v>$B$119</v>
      </c>
      <c r="P485" s="112" t="str">
        <f>"$K$"&amp;A503</f>
        <v>$K$121</v>
      </c>
      <c r="Q485" s="112"/>
      <c r="R485" s="112"/>
      <c r="S485" s="112"/>
      <c r="T485" s="112"/>
      <c r="U485" s="112" t="b">
        <v>1</v>
      </c>
      <c r="V485" s="112" t="s">
        <v>1342</v>
      </c>
      <c r="W485" s="112"/>
      <c r="X485" s="112"/>
      <c r="Y485" s="112"/>
      <c r="Z485" s="112"/>
      <c r="AA485" s="112"/>
      <c r="AB485" s="112"/>
      <c r="AC485" s="112"/>
      <c r="AD485" s="112" t="s">
        <v>105</v>
      </c>
      <c r="AE485" s="112">
        <v>12</v>
      </c>
      <c r="AF485" s="112" t="b">
        <v>1</v>
      </c>
      <c r="AG485" s="112" t="s">
        <v>1355</v>
      </c>
      <c r="AH485" s="112" t="s">
        <v>27</v>
      </c>
      <c r="AI485" s="112" t="s">
        <v>28</v>
      </c>
      <c r="AJ485" s="112"/>
      <c r="AK485" s="112" t="s">
        <v>1342</v>
      </c>
      <c r="AL485" s="112"/>
      <c r="AM485" s="112"/>
      <c r="AN485" s="112"/>
      <c r="AO485" s="112"/>
      <c r="AP485" s="112"/>
      <c r="BB485" s="111"/>
    </row>
    <row r="486" spans="1:54" ht="16.5" customHeight="1" thickBot="1" x14ac:dyDescent="0.25">
      <c r="A486" s="113">
        <f>$A$485+0</f>
        <v>119</v>
      </c>
      <c r="B486" s="113" t="s">
        <v>232</v>
      </c>
      <c r="C486" s="113" t="s">
        <v>92</v>
      </c>
      <c r="D486" s="113"/>
      <c r="E486" s="113"/>
      <c r="F486" s="113"/>
      <c r="G486" s="113" t="s">
        <v>1154</v>
      </c>
      <c r="H486" s="113"/>
      <c r="I486" s="113"/>
      <c r="J486" s="113" t="b">
        <f t="shared" si="52"/>
        <v>1</v>
      </c>
      <c r="K486" s="113" t="b">
        <v>1</v>
      </c>
      <c r="L486" s="113"/>
      <c r="M486" s="113"/>
      <c r="N486" s="113"/>
      <c r="O486" s="113" t="str">
        <f>"$B$"&amp;A486</f>
        <v>$B$119</v>
      </c>
      <c r="P486" s="113" t="str">
        <f>"$K$"&amp;A486</f>
        <v>$K$119</v>
      </c>
      <c r="Q486" s="113"/>
      <c r="R486" s="113"/>
      <c r="S486" s="113"/>
      <c r="T486" s="113">
        <v>34</v>
      </c>
      <c r="U486" s="113" t="b">
        <v>1</v>
      </c>
      <c r="V486" s="113" t="s">
        <v>1342</v>
      </c>
      <c r="W486" s="113"/>
      <c r="X486" s="113"/>
      <c r="Y486" s="113"/>
      <c r="Z486" s="113"/>
      <c r="AA486" s="113"/>
      <c r="AB486" s="113"/>
      <c r="AC486" s="113"/>
      <c r="AD486" s="113"/>
      <c r="AE486" s="113"/>
      <c r="AF486" s="113"/>
      <c r="AG486" s="113"/>
      <c r="AH486" s="113" t="s">
        <v>27</v>
      </c>
      <c r="AI486" s="113" t="s">
        <v>28</v>
      </c>
      <c r="AJ486" s="113"/>
      <c r="AK486" s="113"/>
      <c r="AL486" s="113">
        <v>1</v>
      </c>
      <c r="AM486" s="113"/>
      <c r="AN486" s="113"/>
      <c r="AO486" s="113"/>
      <c r="AP486" s="113" t="b">
        <v>1</v>
      </c>
      <c r="AQ486" s="332" t="s">
        <v>233</v>
      </c>
      <c r="AR486" s="332"/>
      <c r="AS486" s="331" t="s">
        <v>234</v>
      </c>
      <c r="AT486" s="333"/>
      <c r="AU486" s="331" t="s">
        <v>235</v>
      </c>
      <c r="AV486" s="333"/>
      <c r="AW486" s="331" t="s">
        <v>236</v>
      </c>
      <c r="AX486" s="333"/>
      <c r="AY486" s="334" t="s">
        <v>237</v>
      </c>
      <c r="AZ486" s="335"/>
      <c r="BB486" s="111"/>
    </row>
    <row r="487" spans="1:54" ht="16.5" customHeight="1" x14ac:dyDescent="0.2">
      <c r="A487" s="107">
        <f>$A$485+1</f>
        <v>120</v>
      </c>
      <c r="B487" s="107" t="s">
        <v>682</v>
      </c>
      <c r="C487" s="107" t="s">
        <v>663</v>
      </c>
      <c r="D487" s="107"/>
      <c r="E487" s="107"/>
      <c r="F487" s="107"/>
      <c r="G487" s="107" t="s">
        <v>1154</v>
      </c>
      <c r="H487" s="107">
        <v>3</v>
      </c>
      <c r="I487" s="107">
        <v>5</v>
      </c>
      <c r="J487" s="107" t="b">
        <f t="shared" si="52"/>
        <v>1</v>
      </c>
      <c r="K487" s="107"/>
      <c r="L487" s="107"/>
      <c r="M487" s="107"/>
      <c r="N487" s="107"/>
      <c r="O487" s="107">
        <f>A487</f>
        <v>120</v>
      </c>
      <c r="P487" s="107">
        <f>O487</f>
        <v>120</v>
      </c>
      <c r="Q487" s="107"/>
      <c r="R487" s="107"/>
      <c r="S487" s="107"/>
      <c r="T487" s="107"/>
      <c r="U487" s="107"/>
      <c r="V487" s="107"/>
      <c r="W487" s="107"/>
      <c r="X487" s="107"/>
      <c r="Y487" s="107"/>
      <c r="Z487" s="107"/>
      <c r="AA487" s="107"/>
      <c r="AB487" s="107"/>
      <c r="AC487" s="107"/>
      <c r="AD487" s="107"/>
      <c r="AE487" s="107"/>
      <c r="AF487" s="107"/>
      <c r="AG487" s="107"/>
      <c r="AH487" s="107"/>
      <c r="AI487" s="107"/>
      <c r="AJ487" s="107"/>
      <c r="AK487" s="107"/>
      <c r="AL487" s="107"/>
      <c r="AM487" s="107"/>
      <c r="AN487" s="107"/>
      <c r="AO487" s="107"/>
      <c r="AP487" s="107"/>
      <c r="AQ487" s="93" t="str">
        <f>AQ493</f>
        <v>test</v>
      </c>
      <c r="AR487" s="93" t="str">
        <f>AQ498</f>
        <v>[Risikohændelse]</v>
      </c>
      <c r="BB487" s="111"/>
    </row>
    <row r="488" spans="1:54" ht="16.5" customHeight="1" x14ac:dyDescent="0.2">
      <c r="A488" s="108">
        <f t="shared" ref="A488:A497" si="53">$A$487+0</f>
        <v>120</v>
      </c>
      <c r="B488" s="113" t="s">
        <v>679</v>
      </c>
      <c r="C488" s="113" t="s">
        <v>92</v>
      </c>
      <c r="D488" s="113"/>
      <c r="E488" s="113" t="s">
        <v>682</v>
      </c>
      <c r="F488" s="113"/>
      <c r="G488" s="113" t="s">
        <v>1154</v>
      </c>
      <c r="H488" s="113"/>
      <c r="I488" s="113"/>
      <c r="J488" s="113"/>
      <c r="K488" s="113" t="b">
        <v>1</v>
      </c>
      <c r="L488" s="113"/>
      <c r="M488" s="113"/>
      <c r="N488" s="113"/>
      <c r="O488" s="113" t="str">
        <f>"$B$"&amp;A488</f>
        <v>$B$120</v>
      </c>
      <c r="P488" s="113" t="str">
        <f>"$K$"&amp;A488</f>
        <v>$K$120</v>
      </c>
      <c r="Q488" s="113"/>
      <c r="R488" s="113"/>
      <c r="S488" s="113"/>
      <c r="T488" s="113">
        <v>30</v>
      </c>
      <c r="U488" s="113" t="b">
        <v>1</v>
      </c>
      <c r="V488" s="113" t="s">
        <v>1342</v>
      </c>
      <c r="W488" s="113" t="s">
        <v>1342</v>
      </c>
      <c r="X488" s="113"/>
      <c r="Y488" s="113"/>
      <c r="Z488" s="113"/>
      <c r="AA488" s="113"/>
      <c r="AB488" s="113"/>
      <c r="AC488" s="113"/>
      <c r="AD488" s="113"/>
      <c r="AE488" s="113"/>
      <c r="AF488" s="113"/>
      <c r="AG488" s="113"/>
      <c r="AH488" s="113" t="s">
        <v>27</v>
      </c>
      <c r="AI488" s="113" t="s">
        <v>28</v>
      </c>
      <c r="AJ488" s="113"/>
      <c r="AK488" s="113" t="s">
        <v>1342</v>
      </c>
      <c r="AL488" s="113">
        <v>1</v>
      </c>
      <c r="AM488" s="113"/>
      <c r="AN488" s="113"/>
      <c r="AO488" s="113"/>
      <c r="AP488" s="113" t="b">
        <v>1</v>
      </c>
      <c r="AQ488" s="323" t="s">
        <v>680</v>
      </c>
      <c r="AR488" s="323"/>
      <c r="AS488" s="324"/>
      <c r="AT488" s="325"/>
      <c r="AU488" s="326"/>
      <c r="AV488" s="327"/>
      <c r="AW488" s="326"/>
      <c r="AX488" s="327"/>
      <c r="AY488" s="319">
        <f t="shared" ref="AY488" si="54">AU488*AW488</f>
        <v>0</v>
      </c>
      <c r="AZ488" s="320"/>
      <c r="BB488" s="111"/>
    </row>
    <row r="489" spans="1:54" ht="16.5" customHeight="1" x14ac:dyDescent="0.2">
      <c r="A489" s="108">
        <f t="shared" si="53"/>
        <v>120</v>
      </c>
      <c r="B489" s="110" t="str">
        <f>D489&amp;"Red"</f>
        <v>FP_Main1RisciTable_VRed</v>
      </c>
      <c r="C489" s="110" t="s">
        <v>656</v>
      </c>
      <c r="D489" s="110" t="s">
        <v>679</v>
      </c>
      <c r="E489" s="110" t="s">
        <v>682</v>
      </c>
      <c r="F489" s="110"/>
      <c r="G489" s="110" t="s">
        <v>1154</v>
      </c>
      <c r="H489" s="110"/>
      <c r="I489" s="110" t="s">
        <v>1247</v>
      </c>
      <c r="J489" s="110"/>
      <c r="K489" s="110" t="b">
        <v>1</v>
      </c>
      <c r="L489" s="110"/>
      <c r="M489" s="110" t="str">
        <f>"'editNorm """&amp;D489&amp;""","""&amp;B489&amp;""","""&amp;E489&amp;"""'"</f>
        <v>'editNorm "FP_Main1RisciTable_V","FP_Main1RisciTable_VRed","Risci"'</v>
      </c>
      <c r="N489" s="110" t="s">
        <v>59</v>
      </c>
      <c r="O489" s="110" t="str">
        <f>"$L$"&amp;A489</f>
        <v>$L$120</v>
      </c>
      <c r="P489" s="110" t="str">
        <f>"$M$"&amp;A489</f>
        <v>$M$120</v>
      </c>
      <c r="Q489" s="110">
        <v>5</v>
      </c>
      <c r="R489" s="110">
        <v>8</v>
      </c>
      <c r="S489" s="110"/>
      <c r="T489" s="110"/>
      <c r="U489" s="110" t="b">
        <v>1</v>
      </c>
      <c r="V489" s="110" t="s">
        <v>1344</v>
      </c>
      <c r="W489" s="110" t="s">
        <v>1343</v>
      </c>
      <c r="X489" s="110"/>
      <c r="Y489" s="110"/>
      <c r="Z489" s="110"/>
      <c r="AA489" s="110"/>
      <c r="AB489" s="110">
        <v>3</v>
      </c>
      <c r="AC489" s="110">
        <v>5</v>
      </c>
      <c r="AD489" s="110" t="s">
        <v>105</v>
      </c>
      <c r="AE489" s="110">
        <v>12</v>
      </c>
      <c r="AF489" s="110"/>
      <c r="AG489" s="110" t="s">
        <v>1351</v>
      </c>
      <c r="AH489" s="110" t="s">
        <v>29</v>
      </c>
      <c r="AI489" s="110" t="s">
        <v>29</v>
      </c>
      <c r="AJ489" s="110"/>
      <c r="AK489" s="110"/>
      <c r="AL489" s="110"/>
      <c r="AM489" s="110"/>
      <c r="AN489" s="110">
        <v>2</v>
      </c>
      <c r="AO489" s="110"/>
      <c r="AP489" s="110"/>
      <c r="BB489" s="111"/>
    </row>
    <row r="490" spans="1:54" ht="16.5" customHeight="1" x14ac:dyDescent="0.2">
      <c r="A490" s="108">
        <f t="shared" si="53"/>
        <v>120</v>
      </c>
      <c r="B490" s="110" t="str">
        <f>D490&amp;"Gem"</f>
        <v>FP_Main1RisciTable_VGem</v>
      </c>
      <c r="C490" s="110" t="s">
        <v>656</v>
      </c>
      <c r="D490" s="110" t="s">
        <v>679</v>
      </c>
      <c r="E490" s="110" t="s">
        <v>682</v>
      </c>
      <c r="F490" s="110"/>
      <c r="G490" s="110" t="s">
        <v>1154</v>
      </c>
      <c r="H490" s="110"/>
      <c r="I490" s="110" t="s">
        <v>238</v>
      </c>
      <c r="J490" s="110"/>
      <c r="K490" s="110"/>
      <c r="L490" s="110"/>
      <c r="M490" s="110" t="str">
        <f>"'editNorm """&amp;D490&amp;""","""&amp;B490&amp;""","""&amp;E490&amp;"""'"</f>
        <v>'editNorm "FP_Main1RisciTable_V","FP_Main1RisciTable_VGem","Risci"'</v>
      </c>
      <c r="N490" s="110" t="s">
        <v>59</v>
      </c>
      <c r="O490" s="110" t="str">
        <f>"$L$"&amp;A490</f>
        <v>$L$120</v>
      </c>
      <c r="P490" s="110" t="str">
        <f>"$L$"&amp;A490</f>
        <v>$L$120</v>
      </c>
      <c r="Q490" s="110">
        <v>5</v>
      </c>
      <c r="R490" s="110">
        <v>8</v>
      </c>
      <c r="S490" s="110"/>
      <c r="T490" s="110"/>
      <c r="U490" s="110" t="b">
        <v>1</v>
      </c>
      <c r="V490" s="110" t="s">
        <v>1345</v>
      </c>
      <c r="W490" s="110" t="s">
        <v>1343</v>
      </c>
      <c r="X490" s="110"/>
      <c r="Y490" s="110"/>
      <c r="Z490" s="110"/>
      <c r="AA490" s="110"/>
      <c r="AB490" s="110">
        <v>3</v>
      </c>
      <c r="AC490" s="110">
        <v>5</v>
      </c>
      <c r="AD490" s="110" t="s">
        <v>105</v>
      </c>
      <c r="AE490" s="110">
        <v>12</v>
      </c>
      <c r="AF490" s="110"/>
      <c r="AG490" s="110" t="s">
        <v>1351</v>
      </c>
      <c r="AH490" s="110" t="s">
        <v>29</v>
      </c>
      <c r="AI490" s="110" t="s">
        <v>29</v>
      </c>
      <c r="AJ490" s="110"/>
      <c r="AK490" s="110"/>
      <c r="AL490" s="110"/>
      <c r="AM490" s="110"/>
      <c r="AN490" s="110">
        <v>2</v>
      </c>
      <c r="AO490" s="110"/>
      <c r="AP490" s="110"/>
      <c r="BB490" s="111"/>
    </row>
    <row r="491" spans="1:54" ht="16.5" customHeight="1" x14ac:dyDescent="0.2">
      <c r="A491" s="108">
        <f t="shared" si="53"/>
        <v>120</v>
      </c>
      <c r="B491" s="110" t="str">
        <f>D491&amp;"Cancel"</f>
        <v>FP_Main1RisciTable_VCancel</v>
      </c>
      <c r="C491" s="110" t="s">
        <v>656</v>
      </c>
      <c r="D491" s="110" t="s">
        <v>679</v>
      </c>
      <c r="E491" s="110" t="s">
        <v>682</v>
      </c>
      <c r="F491" s="110"/>
      <c r="G491" s="110" t="s">
        <v>1154</v>
      </c>
      <c r="H491" s="110"/>
      <c r="I491" s="110" t="s">
        <v>838</v>
      </c>
      <c r="J491" s="110"/>
      <c r="K491" s="110"/>
      <c r="L491" s="110"/>
      <c r="M491" s="110" t="str">
        <f>"'editNorm """&amp;D491&amp;""","""&amp;B491&amp;""","""&amp;E491&amp;"""'"</f>
        <v>'editNorm "FP_Main1RisciTable_V","FP_Main1RisciTable_VCancel","Risci"'</v>
      </c>
      <c r="N491" s="110" t="s">
        <v>59</v>
      </c>
      <c r="O491" s="110" t="str">
        <f>"$M$"&amp;A491</f>
        <v>$M$120</v>
      </c>
      <c r="P491" s="110" t="str">
        <f>"$M$"&amp;A491</f>
        <v>$M$120</v>
      </c>
      <c r="Q491" s="110">
        <v>7</v>
      </c>
      <c r="R491" s="110">
        <v>8</v>
      </c>
      <c r="S491" s="110"/>
      <c r="T491" s="110"/>
      <c r="U491" s="110" t="b">
        <v>1</v>
      </c>
      <c r="V491" s="110" t="s">
        <v>1344</v>
      </c>
      <c r="W491" s="110" t="s">
        <v>1343</v>
      </c>
      <c r="X491" s="110"/>
      <c r="Y491" s="110"/>
      <c r="Z491" s="110"/>
      <c r="AA491" s="110"/>
      <c r="AB491" s="110">
        <v>3</v>
      </c>
      <c r="AC491" s="110">
        <v>5</v>
      </c>
      <c r="AD491" s="110" t="s">
        <v>105</v>
      </c>
      <c r="AE491" s="110">
        <v>12</v>
      </c>
      <c r="AF491" s="110"/>
      <c r="AG491" s="110" t="s">
        <v>1351</v>
      </c>
      <c r="AH491" s="110" t="s">
        <v>29</v>
      </c>
      <c r="AI491" s="110" t="s">
        <v>29</v>
      </c>
      <c r="AJ491" s="110"/>
      <c r="AK491" s="110"/>
      <c r="AL491" s="110"/>
      <c r="AM491" s="110"/>
      <c r="AN491" s="110">
        <v>2</v>
      </c>
      <c r="AO491" s="110"/>
      <c r="AP491" s="110"/>
      <c r="BB491" s="111"/>
    </row>
    <row r="492" spans="1:54" ht="16.5" customHeight="1" x14ac:dyDescent="0.2">
      <c r="A492" s="108">
        <f t="shared" si="53"/>
        <v>120</v>
      </c>
      <c r="B492" s="110" t="str">
        <f>D492&amp;"Delete"</f>
        <v>FP_Main1RisciTable_VDelete</v>
      </c>
      <c r="C492" s="110" t="s">
        <v>656</v>
      </c>
      <c r="D492" s="110" t="s">
        <v>679</v>
      </c>
      <c r="E492" s="110" t="s">
        <v>682</v>
      </c>
      <c r="F492" s="110"/>
      <c r="G492" s="110" t="s">
        <v>1154</v>
      </c>
      <c r="H492" s="110"/>
      <c r="I492" s="110" t="s">
        <v>839</v>
      </c>
      <c r="J492" s="110"/>
      <c r="K492" s="110"/>
      <c r="L492" s="110"/>
      <c r="M492" s="110" t="str">
        <f>"'editNorm """&amp;D492&amp;""","""&amp;B492&amp;""","""&amp;E492&amp;"""'"</f>
        <v>'editNorm "FP_Main1RisciTable_V","FP_Main1RisciTable_VDelete","Risci"'</v>
      </c>
      <c r="N492" s="110" t="s">
        <v>59</v>
      </c>
      <c r="O492" s="110" t="str">
        <f>"$N$"&amp;A492</f>
        <v>$N$120</v>
      </c>
      <c r="P492" s="110" t="str">
        <f>"$N$"&amp;A492</f>
        <v>$N$120</v>
      </c>
      <c r="Q492" s="110">
        <v>7</v>
      </c>
      <c r="R492" s="110">
        <v>8</v>
      </c>
      <c r="S492" s="110"/>
      <c r="T492" s="110"/>
      <c r="U492" s="110" t="b">
        <v>1</v>
      </c>
      <c r="V492" s="110" t="s">
        <v>1346</v>
      </c>
      <c r="W492" s="110" t="s">
        <v>1343</v>
      </c>
      <c r="X492" s="110"/>
      <c r="Y492" s="110"/>
      <c r="Z492" s="110"/>
      <c r="AA492" s="110"/>
      <c r="AB492" s="110">
        <v>3</v>
      </c>
      <c r="AC492" s="110">
        <v>5</v>
      </c>
      <c r="AD492" s="110" t="s">
        <v>105</v>
      </c>
      <c r="AE492" s="110">
        <v>12</v>
      </c>
      <c r="AF492" s="110"/>
      <c r="AG492" s="110" t="s">
        <v>1351</v>
      </c>
      <c r="AH492" s="110" t="s">
        <v>29</v>
      </c>
      <c r="AI492" s="110" t="s">
        <v>29</v>
      </c>
      <c r="AJ492" s="110"/>
      <c r="AK492" s="110"/>
      <c r="AL492" s="110"/>
      <c r="AM492" s="110"/>
      <c r="AN492" s="110">
        <v>2</v>
      </c>
      <c r="AO492" s="110"/>
      <c r="AP492" s="110"/>
      <c r="BB492" s="111"/>
    </row>
    <row r="493" spans="1:54" ht="16.5" customHeight="1" x14ac:dyDescent="0.2">
      <c r="A493" s="113">
        <f t="shared" si="53"/>
        <v>120</v>
      </c>
      <c r="B493" s="113" t="s">
        <v>844</v>
      </c>
      <c r="C493" s="113" t="s">
        <v>92</v>
      </c>
      <c r="D493" s="113"/>
      <c r="E493" s="113" t="s">
        <v>682</v>
      </c>
      <c r="F493" s="113"/>
      <c r="G493" s="113" t="s">
        <v>1154</v>
      </c>
      <c r="H493" s="113">
        <v>1</v>
      </c>
      <c r="I493" s="113"/>
      <c r="J493" s="113" t="b">
        <f t="shared" ref="J493:J504" si="55">$E$4</f>
        <v>1</v>
      </c>
      <c r="K493" s="113" t="b">
        <v>1</v>
      </c>
      <c r="L493" s="113"/>
      <c r="M493" s="113"/>
      <c r="N493" s="113"/>
      <c r="O493" s="113" t="str">
        <f>"$B$"&amp;A493</f>
        <v>$B$120</v>
      </c>
      <c r="P493" s="113" t="str">
        <f>"$K$"&amp;A493</f>
        <v>$K$120</v>
      </c>
      <c r="Q493" s="113"/>
      <c r="R493" s="113"/>
      <c r="S493" s="113"/>
      <c r="T493" s="113">
        <v>30</v>
      </c>
      <c r="U493" s="113" t="b">
        <v>1</v>
      </c>
      <c r="V493" s="113" t="s">
        <v>1342</v>
      </c>
      <c r="W493" s="113" t="s">
        <v>1342</v>
      </c>
      <c r="X493" s="113"/>
      <c r="Y493" s="113"/>
      <c r="Z493" s="113"/>
      <c r="AA493" s="113"/>
      <c r="AB493" s="113"/>
      <c r="AC493" s="113"/>
      <c r="AD493" s="113"/>
      <c r="AE493" s="113"/>
      <c r="AF493" s="113"/>
      <c r="AG493" s="113"/>
      <c r="AH493" s="113" t="s">
        <v>27</v>
      </c>
      <c r="AI493" s="113" t="s">
        <v>28</v>
      </c>
      <c r="AJ493" s="113"/>
      <c r="AK493" s="113" t="s">
        <v>1342</v>
      </c>
      <c r="AL493" s="113">
        <v>1</v>
      </c>
      <c r="AM493" s="113"/>
      <c r="AN493" s="113"/>
      <c r="AO493" s="113"/>
      <c r="AP493" s="113" t="b">
        <v>1</v>
      </c>
      <c r="AQ493" s="323" t="s">
        <v>1361</v>
      </c>
      <c r="AR493" s="323"/>
      <c r="AS493" s="324" t="s">
        <v>1194</v>
      </c>
      <c r="AT493" s="325"/>
      <c r="AU493" s="326">
        <v>3</v>
      </c>
      <c r="AV493" s="327"/>
      <c r="AW493" s="326">
        <v>-3</v>
      </c>
      <c r="AX493" s="327"/>
      <c r="AY493" s="319">
        <f t="shared" ref="AY493" si="56">AU493*AW493</f>
        <v>-9</v>
      </c>
      <c r="AZ493" s="320"/>
      <c r="BB493" s="111"/>
    </row>
    <row r="494" spans="1:54" ht="16.5" customHeight="1" x14ac:dyDescent="0.2">
      <c r="A494" s="110">
        <f t="shared" si="53"/>
        <v>120</v>
      </c>
      <c r="B494" s="110" t="str">
        <f>D494&amp;"Red"</f>
        <v>FP_Main1RisciTable_V_1Red</v>
      </c>
      <c r="C494" s="110" t="s">
        <v>656</v>
      </c>
      <c r="D494" s="110" t="s">
        <v>844</v>
      </c>
      <c r="E494" s="110" t="s">
        <v>682</v>
      </c>
      <c r="F494" s="110"/>
      <c r="G494" s="110" t="s">
        <v>1154</v>
      </c>
      <c r="H494" s="110">
        <v>1</v>
      </c>
      <c r="I494" s="110" t="s">
        <v>1247</v>
      </c>
      <c r="J494" s="110" t="b">
        <f t="shared" si="55"/>
        <v>1</v>
      </c>
      <c r="K494" s="110" t="b">
        <v>1</v>
      </c>
      <c r="L494" s="110"/>
      <c r="M494" s="110" t="str">
        <f>"'editNorm """&amp;D494&amp;""","""&amp;B494&amp;""","""&amp;E494&amp;"""'"</f>
        <v>'editNorm "FP_Main1RisciTable_V_1","FP_Main1RisciTable_V_1Red","Risci"'</v>
      </c>
      <c r="N494" s="110" t="s">
        <v>59</v>
      </c>
      <c r="O494" s="110" t="str">
        <f>"$L$"&amp;A494</f>
        <v>$L$120</v>
      </c>
      <c r="P494" s="110" t="str">
        <f>"$M$"&amp;A494</f>
        <v>$M$120</v>
      </c>
      <c r="Q494" s="110">
        <v>5</v>
      </c>
      <c r="R494" s="110">
        <v>8</v>
      </c>
      <c r="S494" s="110"/>
      <c r="T494" s="110"/>
      <c r="U494" s="110" t="b">
        <v>1</v>
      </c>
      <c r="V494" s="110" t="s">
        <v>1344</v>
      </c>
      <c r="W494" s="110" t="s">
        <v>1343</v>
      </c>
      <c r="X494" s="110"/>
      <c r="Y494" s="110"/>
      <c r="Z494" s="110"/>
      <c r="AA494" s="110"/>
      <c r="AB494" s="110">
        <v>3</v>
      </c>
      <c r="AC494" s="110">
        <v>5</v>
      </c>
      <c r="AD494" s="110" t="s">
        <v>105</v>
      </c>
      <c r="AE494" s="110">
        <v>12</v>
      </c>
      <c r="AF494" s="110"/>
      <c r="AG494" s="110" t="s">
        <v>1351</v>
      </c>
      <c r="AH494" s="110" t="s">
        <v>29</v>
      </c>
      <c r="AI494" s="110" t="s">
        <v>29</v>
      </c>
      <c r="AJ494" s="110"/>
      <c r="AK494" s="110"/>
      <c r="AL494" s="110"/>
      <c r="AM494" s="110"/>
      <c r="AN494" s="110">
        <v>2</v>
      </c>
      <c r="AO494" s="110"/>
      <c r="AP494" s="110"/>
      <c r="BB494" s="111"/>
    </row>
    <row r="495" spans="1:54" ht="16.5" customHeight="1" x14ac:dyDescent="0.2">
      <c r="A495" s="110">
        <f t="shared" si="53"/>
        <v>120</v>
      </c>
      <c r="B495" s="110" t="str">
        <f>D495&amp;"Gem"</f>
        <v>FP_Main1RisciTable_V_1Gem</v>
      </c>
      <c r="C495" s="110" t="s">
        <v>656</v>
      </c>
      <c r="D495" s="110" t="s">
        <v>844</v>
      </c>
      <c r="E495" s="110" t="s">
        <v>682</v>
      </c>
      <c r="F495" s="110"/>
      <c r="G495" s="110" t="s">
        <v>1154</v>
      </c>
      <c r="H495" s="110">
        <v>1</v>
      </c>
      <c r="I495" s="110" t="s">
        <v>238</v>
      </c>
      <c r="J495" s="110" t="b">
        <f t="shared" si="55"/>
        <v>1</v>
      </c>
      <c r="K495" s="110"/>
      <c r="L495" s="110"/>
      <c r="M495" s="110" t="str">
        <f>"'editNorm """&amp;D495&amp;""","""&amp;B495&amp;""","""&amp;E495&amp;"""'"</f>
        <v>'editNorm "FP_Main1RisciTable_V_1","FP_Main1RisciTable_V_1Gem","Risci"'</v>
      </c>
      <c r="N495" s="110" t="s">
        <v>59</v>
      </c>
      <c r="O495" s="110" t="str">
        <f>"$L$"&amp;A495</f>
        <v>$L$120</v>
      </c>
      <c r="P495" s="110" t="str">
        <f>"$L$"&amp;A495</f>
        <v>$L$120</v>
      </c>
      <c r="Q495" s="110">
        <v>5</v>
      </c>
      <c r="R495" s="110">
        <v>8</v>
      </c>
      <c r="S495" s="110"/>
      <c r="T495" s="110"/>
      <c r="U495" s="110" t="b">
        <v>1</v>
      </c>
      <c r="V495" s="110" t="s">
        <v>1345</v>
      </c>
      <c r="W495" s="110" t="s">
        <v>1343</v>
      </c>
      <c r="X495" s="110"/>
      <c r="Y495" s="110"/>
      <c r="Z495" s="110"/>
      <c r="AA495" s="110"/>
      <c r="AB495" s="110">
        <v>3</v>
      </c>
      <c r="AC495" s="110">
        <v>5</v>
      </c>
      <c r="AD495" s="110" t="s">
        <v>105</v>
      </c>
      <c r="AE495" s="110">
        <v>12</v>
      </c>
      <c r="AF495" s="110"/>
      <c r="AG495" s="110" t="s">
        <v>1351</v>
      </c>
      <c r="AH495" s="110" t="s">
        <v>29</v>
      </c>
      <c r="AI495" s="110" t="s">
        <v>29</v>
      </c>
      <c r="AJ495" s="110"/>
      <c r="AK495" s="110"/>
      <c r="AL495" s="110"/>
      <c r="AM495" s="110"/>
      <c r="AN495" s="110">
        <v>2</v>
      </c>
      <c r="AO495" s="110"/>
      <c r="AP495" s="110"/>
      <c r="BB495" s="111"/>
    </row>
    <row r="496" spans="1:54" ht="16.5" customHeight="1" x14ac:dyDescent="0.2">
      <c r="A496" s="110">
        <f t="shared" si="53"/>
        <v>120</v>
      </c>
      <c r="B496" s="110" t="str">
        <f>D496&amp;"Cancel"</f>
        <v>FP_Main1RisciTable_V_1Cancel</v>
      </c>
      <c r="C496" s="110" t="s">
        <v>656</v>
      </c>
      <c r="D496" s="110" t="s">
        <v>844</v>
      </c>
      <c r="E496" s="110" t="s">
        <v>682</v>
      </c>
      <c r="F496" s="110"/>
      <c r="G496" s="110" t="s">
        <v>1154</v>
      </c>
      <c r="H496" s="110">
        <v>1</v>
      </c>
      <c r="I496" s="110" t="s">
        <v>838</v>
      </c>
      <c r="J496" s="110" t="b">
        <f t="shared" si="55"/>
        <v>1</v>
      </c>
      <c r="K496" s="110"/>
      <c r="L496" s="110"/>
      <c r="M496" s="110" t="str">
        <f>"'editNorm """&amp;D496&amp;""","""&amp;B496&amp;""","""&amp;E496&amp;"""'"</f>
        <v>'editNorm "FP_Main1RisciTable_V_1","FP_Main1RisciTable_V_1Cancel","Risci"'</v>
      </c>
      <c r="N496" s="110" t="s">
        <v>59</v>
      </c>
      <c r="O496" s="110" t="str">
        <f>"$M$"&amp;A496</f>
        <v>$M$120</v>
      </c>
      <c r="P496" s="110" t="str">
        <f>"$M$"&amp;A496</f>
        <v>$M$120</v>
      </c>
      <c r="Q496" s="110">
        <v>7</v>
      </c>
      <c r="R496" s="110">
        <v>8</v>
      </c>
      <c r="S496" s="110"/>
      <c r="T496" s="110"/>
      <c r="U496" s="110" t="b">
        <v>1</v>
      </c>
      <c r="V496" s="110" t="s">
        <v>1344</v>
      </c>
      <c r="W496" s="110" t="s">
        <v>1343</v>
      </c>
      <c r="X496" s="110"/>
      <c r="Y496" s="110"/>
      <c r="Z496" s="110"/>
      <c r="AA496" s="110"/>
      <c r="AB496" s="110">
        <v>3</v>
      </c>
      <c r="AC496" s="110">
        <v>5</v>
      </c>
      <c r="AD496" s="110" t="s">
        <v>105</v>
      </c>
      <c r="AE496" s="110">
        <v>12</v>
      </c>
      <c r="AF496" s="110"/>
      <c r="AG496" s="110" t="s">
        <v>1351</v>
      </c>
      <c r="AH496" s="110" t="s">
        <v>29</v>
      </c>
      <c r="AI496" s="110" t="s">
        <v>29</v>
      </c>
      <c r="AJ496" s="110"/>
      <c r="AK496" s="110"/>
      <c r="AL496" s="110"/>
      <c r="AM496" s="110"/>
      <c r="AN496" s="110">
        <v>2</v>
      </c>
      <c r="AO496" s="110"/>
      <c r="AP496" s="110"/>
      <c r="BB496" s="111"/>
    </row>
    <row r="497" spans="1:54" ht="16.5" customHeight="1" x14ac:dyDescent="0.2">
      <c r="A497" s="110">
        <f t="shared" si="53"/>
        <v>120</v>
      </c>
      <c r="B497" s="110" t="str">
        <f>D497&amp;"Delete"</f>
        <v>FP_Main1RisciTable_V_1Delete</v>
      </c>
      <c r="C497" s="110" t="s">
        <v>656</v>
      </c>
      <c r="D497" s="110" t="s">
        <v>844</v>
      </c>
      <c r="E497" s="110" t="s">
        <v>682</v>
      </c>
      <c r="F497" s="110"/>
      <c r="G497" s="110" t="s">
        <v>1154</v>
      </c>
      <c r="H497" s="110">
        <v>1</v>
      </c>
      <c r="I497" s="110" t="s">
        <v>839</v>
      </c>
      <c r="J497" s="110" t="b">
        <f t="shared" si="55"/>
        <v>1</v>
      </c>
      <c r="K497" s="110"/>
      <c r="L497" s="110"/>
      <c r="M497" s="110" t="str">
        <f>"'editNorm """&amp;D497&amp;""","""&amp;B497&amp;""","""&amp;E497&amp;"""'"</f>
        <v>'editNorm "FP_Main1RisciTable_V_1","FP_Main1RisciTable_V_1Delete","Risci"'</v>
      </c>
      <c r="N497" s="110" t="s">
        <v>59</v>
      </c>
      <c r="O497" s="110" t="str">
        <f>"$N$"&amp;A497</f>
        <v>$N$120</v>
      </c>
      <c r="P497" s="110" t="str">
        <f>"$N$"&amp;A497</f>
        <v>$N$120</v>
      </c>
      <c r="Q497" s="110">
        <v>7</v>
      </c>
      <c r="R497" s="110">
        <v>8</v>
      </c>
      <c r="S497" s="110"/>
      <c r="T497" s="110"/>
      <c r="U497" s="110" t="b">
        <v>1</v>
      </c>
      <c r="V497" s="110" t="s">
        <v>1346</v>
      </c>
      <c r="W497" s="110" t="s">
        <v>1343</v>
      </c>
      <c r="X497" s="110"/>
      <c r="Y497" s="110"/>
      <c r="Z497" s="110"/>
      <c r="AA497" s="110"/>
      <c r="AB497" s="110">
        <v>3</v>
      </c>
      <c r="AC497" s="110">
        <v>5</v>
      </c>
      <c r="AD497" s="110" t="s">
        <v>105</v>
      </c>
      <c r="AE497" s="110">
        <v>12</v>
      </c>
      <c r="AF497" s="110"/>
      <c r="AG497" s="110" t="s">
        <v>1351</v>
      </c>
      <c r="AH497" s="110" t="s">
        <v>29</v>
      </c>
      <c r="AI497" s="110" t="s">
        <v>29</v>
      </c>
      <c r="AJ497" s="110"/>
      <c r="AK497" s="110"/>
      <c r="AL497" s="110"/>
      <c r="AM497" s="110"/>
      <c r="AN497" s="110">
        <v>2</v>
      </c>
      <c r="AO497" s="110"/>
      <c r="AP497" s="110"/>
      <c r="BB497" s="111"/>
    </row>
    <row r="498" spans="1:54" ht="16.5" customHeight="1" x14ac:dyDescent="0.2">
      <c r="A498" s="113">
        <f>$A$487+1</f>
        <v>121</v>
      </c>
      <c r="B498" s="113" t="s">
        <v>1432</v>
      </c>
      <c r="C498" s="113" t="s">
        <v>92</v>
      </c>
      <c r="D498" s="113"/>
      <c r="E498" s="113" t="s">
        <v>682</v>
      </c>
      <c r="F498" s="113"/>
      <c r="G498" s="113" t="s">
        <v>1154</v>
      </c>
      <c r="H498" s="113">
        <v>2</v>
      </c>
      <c r="I498" s="113"/>
      <c r="J498" s="113" t="b">
        <f t="shared" si="55"/>
        <v>1</v>
      </c>
      <c r="K498" s="113" t="b">
        <v>1</v>
      </c>
      <c r="L498" s="113"/>
      <c r="M498" s="113"/>
      <c r="N498" s="113"/>
      <c r="O498" s="113" t="str">
        <f>"$B$"&amp;A498</f>
        <v>$B$121</v>
      </c>
      <c r="P498" s="113" t="str">
        <f>"$K$"&amp;A498</f>
        <v>$K$121</v>
      </c>
      <c r="Q498" s="113"/>
      <c r="R498" s="113"/>
      <c r="S498" s="113"/>
      <c r="T498" s="113">
        <v>30</v>
      </c>
      <c r="U498" s="113" t="b">
        <v>1</v>
      </c>
      <c r="V498" s="113" t="s">
        <v>1342</v>
      </c>
      <c r="W498" s="113" t="s">
        <v>1342</v>
      </c>
      <c r="X498" s="113"/>
      <c r="Y498" s="113"/>
      <c r="Z498" s="113"/>
      <c r="AA498" s="113"/>
      <c r="AB498" s="113"/>
      <c r="AC498" s="113"/>
      <c r="AD498" s="113"/>
      <c r="AE498" s="113"/>
      <c r="AF498" s="113"/>
      <c r="AG498" s="113"/>
      <c r="AH498" s="113" t="s">
        <v>27</v>
      </c>
      <c r="AI498" s="113" t="s">
        <v>28</v>
      </c>
      <c r="AJ498" s="113"/>
      <c r="AK498" s="113" t="s">
        <v>1342</v>
      </c>
      <c r="AL498" s="113">
        <v>1</v>
      </c>
      <c r="AM498" s="113"/>
      <c r="AN498" s="113"/>
      <c r="AO498" s="113"/>
      <c r="AP498" s="113" t="b">
        <v>1</v>
      </c>
      <c r="AQ498" s="323" t="s">
        <v>680</v>
      </c>
      <c r="AR498" s="323"/>
      <c r="AS498" s="324" t="s">
        <v>1194</v>
      </c>
      <c r="AT498" s="325"/>
      <c r="AU498" s="326"/>
      <c r="AV498" s="327"/>
      <c r="AW498" s="326"/>
      <c r="AX498" s="327"/>
      <c r="AY498" s="319">
        <f t="shared" ref="AY498" si="57">AU498*AW498</f>
        <v>0</v>
      </c>
      <c r="AZ498" s="320"/>
      <c r="BB498" s="111"/>
    </row>
    <row r="499" spans="1:54" ht="16.5" customHeight="1" x14ac:dyDescent="0.2">
      <c r="A499" s="110">
        <f>$A$487+1</f>
        <v>121</v>
      </c>
      <c r="B499" s="110" t="str">
        <f>D499&amp;"Red"</f>
        <v>FP_Main1RisciTable_V_2Red</v>
      </c>
      <c r="C499" s="110" t="s">
        <v>656</v>
      </c>
      <c r="D499" s="110" t="s">
        <v>1432</v>
      </c>
      <c r="E499" s="110" t="s">
        <v>682</v>
      </c>
      <c r="F499" s="110"/>
      <c r="G499" s="110" t="s">
        <v>1154</v>
      </c>
      <c r="H499" s="110">
        <v>2</v>
      </c>
      <c r="I499" s="110" t="s">
        <v>1247</v>
      </c>
      <c r="J499" s="110" t="b">
        <f t="shared" si="55"/>
        <v>1</v>
      </c>
      <c r="K499" s="110" t="b">
        <v>1</v>
      </c>
      <c r="L499" s="110"/>
      <c r="M499" s="110" t="str">
        <f>"'editNorm """&amp;D499&amp;""","""&amp;B499&amp;""","""&amp;E499&amp;"""'"</f>
        <v>'editNorm "FP_Main1RisciTable_V_2","FP_Main1RisciTable_V_2Red","Risci"'</v>
      </c>
      <c r="N499" s="110" t="s">
        <v>59</v>
      </c>
      <c r="O499" s="110" t="str">
        <f>"$L$"&amp;A499</f>
        <v>$L$121</v>
      </c>
      <c r="P499" s="110" t="str">
        <f>"$M$"&amp;A499</f>
        <v>$M$121</v>
      </c>
      <c r="Q499" s="110">
        <v>5</v>
      </c>
      <c r="R499" s="110">
        <v>8</v>
      </c>
      <c r="S499" s="110"/>
      <c r="T499" s="110"/>
      <c r="U499" s="110" t="b">
        <v>1</v>
      </c>
      <c r="V499" s="110" t="s">
        <v>1344</v>
      </c>
      <c r="W499" s="110" t="s">
        <v>1343</v>
      </c>
      <c r="X499" s="110"/>
      <c r="Y499" s="110"/>
      <c r="Z499" s="110"/>
      <c r="AA499" s="110"/>
      <c r="AB499" s="110">
        <v>3</v>
      </c>
      <c r="AC499" s="110">
        <v>5</v>
      </c>
      <c r="AD499" s="110" t="s">
        <v>105</v>
      </c>
      <c r="AE499" s="110">
        <v>12</v>
      </c>
      <c r="AF499" s="110"/>
      <c r="AG499" s="110" t="s">
        <v>1351</v>
      </c>
      <c r="AH499" s="110" t="s">
        <v>29</v>
      </c>
      <c r="AI499" s="110" t="s">
        <v>29</v>
      </c>
      <c r="AJ499" s="110"/>
      <c r="AK499" s="110"/>
      <c r="AL499" s="110"/>
      <c r="AM499" s="110"/>
      <c r="AN499" s="110">
        <v>2</v>
      </c>
      <c r="AO499" s="110"/>
      <c r="AP499" s="110"/>
      <c r="BB499" s="111"/>
    </row>
    <row r="500" spans="1:54" ht="16.5" customHeight="1" x14ac:dyDescent="0.2">
      <c r="A500" s="110">
        <f>$A$487+1</f>
        <v>121</v>
      </c>
      <c r="B500" s="110" t="str">
        <f>D500&amp;"Gem"</f>
        <v>FP_Main1RisciTable_V_2Gem</v>
      </c>
      <c r="C500" s="110" t="s">
        <v>656</v>
      </c>
      <c r="D500" s="110" t="s">
        <v>1432</v>
      </c>
      <c r="E500" s="110" t="s">
        <v>682</v>
      </c>
      <c r="F500" s="110"/>
      <c r="G500" s="110" t="s">
        <v>1154</v>
      </c>
      <c r="H500" s="110">
        <v>2</v>
      </c>
      <c r="I500" s="110" t="s">
        <v>238</v>
      </c>
      <c r="J500" s="110" t="b">
        <f t="shared" si="55"/>
        <v>1</v>
      </c>
      <c r="K500" s="110"/>
      <c r="L500" s="110"/>
      <c r="M500" s="110" t="str">
        <f>"'editNorm """&amp;D500&amp;""","""&amp;B500&amp;""","""&amp;E500&amp;"""'"</f>
        <v>'editNorm "FP_Main1RisciTable_V_2","FP_Main1RisciTable_V_2Gem","Risci"'</v>
      </c>
      <c r="N500" s="110" t="s">
        <v>59</v>
      </c>
      <c r="O500" s="110" t="str">
        <f>"$L$"&amp;A500</f>
        <v>$L$121</v>
      </c>
      <c r="P500" s="110" t="str">
        <f>"$L$"&amp;A500</f>
        <v>$L$121</v>
      </c>
      <c r="Q500" s="110">
        <v>5</v>
      </c>
      <c r="R500" s="110">
        <v>8</v>
      </c>
      <c r="S500" s="110"/>
      <c r="T500" s="110"/>
      <c r="U500" s="110" t="b">
        <v>1</v>
      </c>
      <c r="V500" s="110" t="s">
        <v>1345</v>
      </c>
      <c r="W500" s="110" t="s">
        <v>1343</v>
      </c>
      <c r="X500" s="110"/>
      <c r="Y500" s="110"/>
      <c r="Z500" s="110"/>
      <c r="AA500" s="110"/>
      <c r="AB500" s="110">
        <v>3</v>
      </c>
      <c r="AC500" s="110">
        <v>5</v>
      </c>
      <c r="AD500" s="110" t="s">
        <v>105</v>
      </c>
      <c r="AE500" s="110">
        <v>12</v>
      </c>
      <c r="AF500" s="110"/>
      <c r="AG500" s="110" t="s">
        <v>1351</v>
      </c>
      <c r="AH500" s="110" t="s">
        <v>29</v>
      </c>
      <c r="AI500" s="110" t="s">
        <v>29</v>
      </c>
      <c r="AJ500" s="110"/>
      <c r="AK500" s="110"/>
      <c r="AL500" s="110"/>
      <c r="AM500" s="110"/>
      <c r="AN500" s="110">
        <v>2</v>
      </c>
      <c r="AO500" s="110"/>
      <c r="AP500" s="110"/>
      <c r="BB500" s="111"/>
    </row>
    <row r="501" spans="1:54" ht="16.5" customHeight="1" x14ac:dyDescent="0.2">
      <c r="A501" s="110">
        <f>$A$487+1</f>
        <v>121</v>
      </c>
      <c r="B501" s="110" t="str">
        <f>D501&amp;"Cancel"</f>
        <v>FP_Main1RisciTable_V_2Cancel</v>
      </c>
      <c r="C501" s="110" t="s">
        <v>656</v>
      </c>
      <c r="D501" s="110" t="s">
        <v>1432</v>
      </c>
      <c r="E501" s="110" t="s">
        <v>682</v>
      </c>
      <c r="F501" s="110"/>
      <c r="G501" s="110" t="s">
        <v>1154</v>
      </c>
      <c r="H501" s="110">
        <v>2</v>
      </c>
      <c r="I501" s="110" t="s">
        <v>838</v>
      </c>
      <c r="J501" s="110" t="b">
        <f t="shared" si="55"/>
        <v>1</v>
      </c>
      <c r="K501" s="110"/>
      <c r="L501" s="110"/>
      <c r="M501" s="110" t="str">
        <f>"'editNorm """&amp;D501&amp;""","""&amp;B501&amp;""","""&amp;E501&amp;"""'"</f>
        <v>'editNorm "FP_Main1RisciTable_V_2","FP_Main1RisciTable_V_2Cancel","Risci"'</v>
      </c>
      <c r="N501" s="110" t="s">
        <v>59</v>
      </c>
      <c r="O501" s="110" t="str">
        <f>"$M$"&amp;A501</f>
        <v>$M$121</v>
      </c>
      <c r="P501" s="110" t="str">
        <f>"$M$"&amp;A501</f>
        <v>$M$121</v>
      </c>
      <c r="Q501" s="110">
        <v>7</v>
      </c>
      <c r="R501" s="110">
        <v>8</v>
      </c>
      <c r="S501" s="110"/>
      <c r="T501" s="110"/>
      <c r="U501" s="110" t="b">
        <v>1</v>
      </c>
      <c r="V501" s="110" t="s">
        <v>1344</v>
      </c>
      <c r="W501" s="110" t="s">
        <v>1343</v>
      </c>
      <c r="X501" s="110"/>
      <c r="Y501" s="110"/>
      <c r="Z501" s="110"/>
      <c r="AA501" s="110"/>
      <c r="AB501" s="110">
        <v>3</v>
      </c>
      <c r="AC501" s="110">
        <v>5</v>
      </c>
      <c r="AD501" s="110" t="s">
        <v>105</v>
      </c>
      <c r="AE501" s="110">
        <v>12</v>
      </c>
      <c r="AF501" s="110"/>
      <c r="AG501" s="110" t="s">
        <v>1351</v>
      </c>
      <c r="AH501" s="110" t="s">
        <v>29</v>
      </c>
      <c r="AI501" s="110" t="s">
        <v>29</v>
      </c>
      <c r="AJ501" s="110"/>
      <c r="AK501" s="110"/>
      <c r="AL501" s="110"/>
      <c r="AM501" s="110"/>
      <c r="AN501" s="110">
        <v>2</v>
      </c>
      <c r="AO501" s="110"/>
      <c r="AP501" s="110"/>
      <c r="BB501" s="111"/>
    </row>
    <row r="502" spans="1:54" ht="16.5" customHeight="1" x14ac:dyDescent="0.2">
      <c r="A502" s="110">
        <f>$A$487+1</f>
        <v>121</v>
      </c>
      <c r="B502" s="110" t="str">
        <f>D502&amp;"Delete"</f>
        <v>FP_Main1RisciTable_V_2Delete</v>
      </c>
      <c r="C502" s="110" t="s">
        <v>656</v>
      </c>
      <c r="D502" s="110" t="s">
        <v>1432</v>
      </c>
      <c r="E502" s="110" t="s">
        <v>682</v>
      </c>
      <c r="F502" s="110"/>
      <c r="G502" s="110" t="s">
        <v>1154</v>
      </c>
      <c r="H502" s="110">
        <v>2</v>
      </c>
      <c r="I502" s="110" t="s">
        <v>839</v>
      </c>
      <c r="J502" s="110" t="b">
        <f t="shared" si="55"/>
        <v>1</v>
      </c>
      <c r="K502" s="110"/>
      <c r="L502" s="110"/>
      <c r="M502" s="110" t="str">
        <f>"'editNorm """&amp;D502&amp;""","""&amp;B502&amp;""","""&amp;E502&amp;"""'"</f>
        <v>'editNorm "FP_Main1RisciTable_V_2","FP_Main1RisciTable_V_2Delete","Risci"'</v>
      </c>
      <c r="N502" s="110" t="s">
        <v>59</v>
      </c>
      <c r="O502" s="110" t="str">
        <f>"$N$"&amp;A502</f>
        <v>$N$121</v>
      </c>
      <c r="P502" s="110" t="str">
        <f>"$N$"&amp;A502</f>
        <v>$N$121</v>
      </c>
      <c r="Q502" s="110">
        <v>7</v>
      </c>
      <c r="R502" s="110">
        <v>8</v>
      </c>
      <c r="S502" s="110"/>
      <c r="T502" s="110"/>
      <c r="U502" s="110" t="b">
        <v>1</v>
      </c>
      <c r="V502" s="110" t="s">
        <v>1346</v>
      </c>
      <c r="W502" s="110" t="s">
        <v>1343</v>
      </c>
      <c r="X502" s="110"/>
      <c r="Y502" s="110"/>
      <c r="Z502" s="110"/>
      <c r="AA502" s="110"/>
      <c r="AB502" s="110">
        <v>3</v>
      </c>
      <c r="AC502" s="110">
        <v>5</v>
      </c>
      <c r="AD502" s="110" t="s">
        <v>105</v>
      </c>
      <c r="AE502" s="110">
        <v>12</v>
      </c>
      <c r="AF502" s="110"/>
      <c r="AG502" s="110" t="s">
        <v>1351</v>
      </c>
      <c r="AH502" s="110" t="s">
        <v>29</v>
      </c>
      <c r="AI502" s="110" t="s">
        <v>29</v>
      </c>
      <c r="AJ502" s="110"/>
      <c r="AK502" s="110"/>
      <c r="AL502" s="110"/>
      <c r="AM502" s="110"/>
      <c r="AN502" s="110">
        <v>2</v>
      </c>
      <c r="AO502" s="110"/>
      <c r="AP502" s="110"/>
      <c r="BB502" s="111"/>
    </row>
    <row r="503" spans="1:54" ht="16.5" customHeight="1" x14ac:dyDescent="0.2">
      <c r="A503" s="107">
        <f>$O$487+(P487-O487+1)*(H487-1)-1</f>
        <v>121</v>
      </c>
      <c r="B503" s="107" t="s">
        <v>682</v>
      </c>
      <c r="C503" s="107" t="s">
        <v>663</v>
      </c>
      <c r="D503" s="107"/>
      <c r="E503" s="107"/>
      <c r="F503" s="107"/>
      <c r="G503" s="107" t="s">
        <v>1154</v>
      </c>
      <c r="H503" s="107"/>
      <c r="I503" s="107"/>
      <c r="J503" s="107" t="b">
        <f t="shared" si="55"/>
        <v>1</v>
      </c>
      <c r="K503" s="107"/>
      <c r="L503" s="107"/>
      <c r="M503" s="107"/>
      <c r="N503" s="107"/>
      <c r="O503" s="107"/>
      <c r="P503" s="107"/>
      <c r="Q503" s="107"/>
      <c r="R503" s="107"/>
      <c r="S503" s="107"/>
      <c r="T503" s="107"/>
      <c r="U503" s="107"/>
      <c r="V503" s="107"/>
      <c r="W503" s="107"/>
      <c r="X503" s="107"/>
      <c r="Y503" s="107"/>
      <c r="Z503" s="107"/>
      <c r="AA503" s="107"/>
      <c r="AB503" s="107"/>
      <c r="AC503" s="107"/>
      <c r="AD503" s="107"/>
      <c r="AE503" s="107"/>
      <c r="AF503" s="107"/>
      <c r="AG503" s="107"/>
      <c r="AH503" s="107"/>
      <c r="AI503" s="107"/>
      <c r="AJ503" s="107"/>
      <c r="AK503" s="107"/>
      <c r="AL503" s="107"/>
      <c r="AM503" s="107"/>
      <c r="AN503" s="107"/>
      <c r="AO503" s="107"/>
      <c r="AP503" s="107"/>
      <c r="BB503" s="111"/>
    </row>
    <row r="504" spans="1:54" ht="16.5" customHeight="1" x14ac:dyDescent="0.2">
      <c r="A504" s="110">
        <f>$A$503+2</f>
        <v>123</v>
      </c>
      <c r="B504" s="110" t="s">
        <v>681</v>
      </c>
      <c r="C504" s="110" t="s">
        <v>656</v>
      </c>
      <c r="D504" s="110"/>
      <c r="E504" s="110" t="s">
        <v>682</v>
      </c>
      <c r="F504" s="110"/>
      <c r="G504" s="110" t="s">
        <v>1154</v>
      </c>
      <c r="H504" s="110"/>
      <c r="I504" s="110" t="s">
        <v>199</v>
      </c>
      <c r="J504" s="110" t="b">
        <f t="shared" si="55"/>
        <v>1</v>
      </c>
      <c r="K504" s="110" t="b">
        <v>1</v>
      </c>
      <c r="L504" s="110"/>
      <c r="M504" s="110" t="str">
        <f>"'groupAdd """&amp;E504&amp;"""'"</f>
        <v>'groupAdd "Risci"'</v>
      </c>
      <c r="N504" s="110" t="s">
        <v>59</v>
      </c>
      <c r="O504" s="110" t="str">
        <f>"$L$"&amp;A504</f>
        <v>$L$123</v>
      </c>
      <c r="P504" s="110" t="str">
        <f>"$M$"&amp;A504</f>
        <v>$M$123</v>
      </c>
      <c r="Q504" s="110">
        <v>5</v>
      </c>
      <c r="R504" s="110">
        <v>1</v>
      </c>
      <c r="S504" s="110"/>
      <c r="T504" s="110">
        <v>22</v>
      </c>
      <c r="U504" s="110" t="b">
        <v>1</v>
      </c>
      <c r="V504" s="110" t="s">
        <v>1344</v>
      </c>
      <c r="W504" s="110" t="s">
        <v>1343</v>
      </c>
      <c r="X504" s="110"/>
      <c r="Y504" s="110"/>
      <c r="Z504" s="110"/>
      <c r="AA504" s="110"/>
      <c r="AB504" s="110">
        <v>3</v>
      </c>
      <c r="AC504" s="110">
        <v>5</v>
      </c>
      <c r="AD504" s="110" t="s">
        <v>105</v>
      </c>
      <c r="AE504" s="110">
        <v>12</v>
      </c>
      <c r="AF504" s="110"/>
      <c r="AG504" s="110" t="s">
        <v>1351</v>
      </c>
      <c r="AH504" s="110" t="s">
        <v>29</v>
      </c>
      <c r="AI504" s="110" t="s">
        <v>29</v>
      </c>
      <c r="AJ504" s="110"/>
      <c r="AK504" s="110"/>
      <c r="AL504" s="110"/>
      <c r="AM504" s="110"/>
      <c r="AN504" s="110">
        <v>2</v>
      </c>
      <c r="AO504" s="110"/>
      <c r="AP504" s="110"/>
      <c r="BB504" s="111"/>
    </row>
    <row r="505" spans="1:54" ht="16.5" customHeight="1" x14ac:dyDescent="0.2">
      <c r="A505" s="103">
        <f>$A$503+4</f>
        <v>125</v>
      </c>
      <c r="B505" s="103" t="s">
        <v>1450</v>
      </c>
      <c r="C505" s="103" t="s">
        <v>654</v>
      </c>
      <c r="D505" s="103"/>
      <c r="E505" s="103"/>
      <c r="F505" s="103"/>
      <c r="G505" s="103" t="s">
        <v>1154</v>
      </c>
      <c r="H505" s="103" t="s">
        <v>1158</v>
      </c>
      <c r="I505" s="103" t="s">
        <v>368</v>
      </c>
      <c r="J505" s="103" t="b">
        <f t="shared" si="52"/>
        <v>1</v>
      </c>
      <c r="K505" s="103" t="b">
        <v>1</v>
      </c>
      <c r="L505" s="103" t="b">
        <v>1</v>
      </c>
      <c r="M505" s="103" t="str">
        <f>"'expand """&amp;B505&amp;""","""&amp;G505&amp;""",TRUE'"</f>
        <v>'expand "FP_Main1IOKVar","Forside",TRUE'</v>
      </c>
      <c r="N505" s="103" t="s">
        <v>59</v>
      </c>
      <c r="O505" s="103" t="str">
        <f>"$B$"&amp;A505</f>
        <v>$B$125</v>
      </c>
      <c r="P505" s="103" t="str">
        <f>"$M$" &amp;A522-1</f>
        <v>$M$131</v>
      </c>
      <c r="Q505" s="103"/>
      <c r="R505" s="103">
        <v>1</v>
      </c>
      <c r="S505" s="103"/>
      <c r="T505" s="103">
        <v>40</v>
      </c>
      <c r="U505" s="103" t="b">
        <v>1</v>
      </c>
      <c r="V505" s="103" t="s">
        <v>1344</v>
      </c>
      <c r="W505" s="103" t="s">
        <v>1343</v>
      </c>
      <c r="X505" s="103"/>
      <c r="Y505" s="103"/>
      <c r="Z505" s="103"/>
      <c r="AA505" s="103"/>
      <c r="AB505" s="103"/>
      <c r="AC505" s="103">
        <v>30</v>
      </c>
      <c r="AD505" s="103"/>
      <c r="AE505" s="103">
        <v>18</v>
      </c>
      <c r="AF505" s="103" t="b">
        <v>0</v>
      </c>
      <c r="AG505" s="103" t="s">
        <v>1351</v>
      </c>
      <c r="AH505" s="103" t="s">
        <v>29</v>
      </c>
      <c r="AI505" s="103" t="s">
        <v>28</v>
      </c>
      <c r="AJ505" s="103"/>
      <c r="AK505" s="103"/>
      <c r="AL505" s="103"/>
      <c r="AM505" s="103"/>
      <c r="AN505" s="103">
        <v>8</v>
      </c>
      <c r="AO505" s="103">
        <v>135</v>
      </c>
      <c r="AP505" s="103"/>
      <c r="BB505" s="111"/>
    </row>
    <row r="506" spans="1:54" ht="16.5" customHeight="1" x14ac:dyDescent="0.2">
      <c r="A506" s="112">
        <f>$A$505+2</f>
        <v>127</v>
      </c>
      <c r="B506" s="112" t="s">
        <v>1448</v>
      </c>
      <c r="C506" s="112" t="s">
        <v>90</v>
      </c>
      <c r="D506" s="112"/>
      <c r="E506" s="112"/>
      <c r="F506" s="112"/>
      <c r="G506" s="112" t="s">
        <v>1154</v>
      </c>
      <c r="H506" s="112"/>
      <c r="I506" s="112"/>
      <c r="J506" s="112" t="b">
        <f t="shared" si="52"/>
        <v>1</v>
      </c>
      <c r="K506" s="112" t="b">
        <v>1</v>
      </c>
      <c r="L506" s="112"/>
      <c r="M506" s="112"/>
      <c r="N506" s="112"/>
      <c r="O506" s="112" t="str">
        <f>"$B$"&amp;A506</f>
        <v>$B$127</v>
      </c>
      <c r="P506" s="112" t="str">
        <f>"$I$"&amp;A519</f>
        <v>$I$128</v>
      </c>
      <c r="Q506" s="112"/>
      <c r="R506" s="112"/>
      <c r="S506" s="112"/>
      <c r="T506" s="112"/>
      <c r="U506" s="112" t="b">
        <v>1</v>
      </c>
      <c r="V506" s="112" t="s">
        <v>1342</v>
      </c>
      <c r="W506" s="112"/>
      <c r="X506" s="112"/>
      <c r="Y506" s="112"/>
      <c r="Z506" s="112"/>
      <c r="AA506" s="112"/>
      <c r="AB506" s="112"/>
      <c r="AC506" s="112"/>
      <c r="AD506" s="112" t="s">
        <v>105</v>
      </c>
      <c r="AE506" s="112">
        <v>12</v>
      </c>
      <c r="AF506" s="112" t="b">
        <v>1</v>
      </c>
      <c r="AG506" s="112" t="s">
        <v>1355</v>
      </c>
      <c r="AH506" s="112" t="s">
        <v>27</v>
      </c>
      <c r="AI506" s="112" t="s">
        <v>28</v>
      </c>
      <c r="AJ506" s="112"/>
      <c r="AK506" s="112" t="s">
        <v>1342</v>
      </c>
      <c r="AL506" s="112"/>
      <c r="AM506" s="112"/>
      <c r="AN506" s="112"/>
      <c r="AO506" s="112"/>
      <c r="AP506" s="112"/>
      <c r="BB506" s="111"/>
    </row>
    <row r="507" spans="1:54" ht="16.5" customHeight="1" thickBot="1" x14ac:dyDescent="0.25">
      <c r="A507" s="113">
        <f>$A$506+0</f>
        <v>127</v>
      </c>
      <c r="B507" s="113" t="s">
        <v>1449</v>
      </c>
      <c r="C507" s="113" t="s">
        <v>92</v>
      </c>
      <c r="D507" s="113"/>
      <c r="E507" s="113"/>
      <c r="F507" s="113"/>
      <c r="G507" s="113" t="s">
        <v>1154</v>
      </c>
      <c r="H507" s="113"/>
      <c r="I507" s="113"/>
      <c r="J507" s="113" t="b">
        <f t="shared" si="52"/>
        <v>1</v>
      </c>
      <c r="K507" s="113" t="b">
        <v>1</v>
      </c>
      <c r="L507" s="113"/>
      <c r="M507" s="113"/>
      <c r="N507" s="113"/>
      <c r="O507" s="113" t="str">
        <f>"$B$"&amp;A507</f>
        <v>$B$127</v>
      </c>
      <c r="P507" s="113" t="str">
        <f>"$I$"&amp;A507</f>
        <v>$I$127</v>
      </c>
      <c r="Q507" s="113"/>
      <c r="R507" s="113"/>
      <c r="S507" s="113"/>
      <c r="T507" s="113">
        <v>34</v>
      </c>
      <c r="U507" s="113" t="b">
        <v>1</v>
      </c>
      <c r="V507" s="113" t="s">
        <v>1342</v>
      </c>
      <c r="W507" s="113"/>
      <c r="X507" s="113"/>
      <c r="Y507" s="113"/>
      <c r="Z507" s="113"/>
      <c r="AA507" s="113"/>
      <c r="AB507" s="113"/>
      <c r="AC507" s="113"/>
      <c r="AD507" s="113"/>
      <c r="AE507" s="113"/>
      <c r="AF507" s="113"/>
      <c r="AG507" s="113"/>
      <c r="AH507" s="113" t="s">
        <v>27</v>
      </c>
      <c r="AI507" s="113" t="s">
        <v>28</v>
      </c>
      <c r="AJ507" s="113"/>
      <c r="AK507" s="113"/>
      <c r="AL507" s="113">
        <v>1</v>
      </c>
      <c r="AM507" s="113"/>
      <c r="AN507" s="113"/>
      <c r="AO507" s="113"/>
      <c r="AP507" s="113" t="b">
        <v>1</v>
      </c>
      <c r="AQ507" s="328" t="s">
        <v>369</v>
      </c>
      <c r="AR507" s="329"/>
      <c r="AS507" s="329"/>
      <c r="AT507" s="329"/>
      <c r="AU507" s="330" t="s">
        <v>370</v>
      </c>
      <c r="AV507" s="330"/>
      <c r="AW507" s="330" t="s">
        <v>626</v>
      </c>
      <c r="AX507" s="331"/>
      <c r="BB507" s="111"/>
    </row>
    <row r="508" spans="1:54" ht="16.5" customHeight="1" x14ac:dyDescent="0.2">
      <c r="A508" s="107">
        <f>$A$506+1</f>
        <v>128</v>
      </c>
      <c r="B508" s="107" t="s">
        <v>1444</v>
      </c>
      <c r="C508" s="107" t="s">
        <v>663</v>
      </c>
      <c r="D508" s="107"/>
      <c r="E508" s="107"/>
      <c r="F508" s="107"/>
      <c r="G508" s="107" t="s">
        <v>1154</v>
      </c>
      <c r="H508" s="107">
        <v>2</v>
      </c>
      <c r="I508" s="107">
        <v>5</v>
      </c>
      <c r="J508" s="107" t="b">
        <f t="shared" si="52"/>
        <v>1</v>
      </c>
      <c r="K508" s="107"/>
      <c r="L508" s="107"/>
      <c r="M508" s="107"/>
      <c r="N508" s="107"/>
      <c r="O508" s="107">
        <f>A508</f>
        <v>128</v>
      </c>
      <c r="P508" s="107">
        <f>O508</f>
        <v>128</v>
      </c>
      <c r="Q508" s="107"/>
      <c r="R508" s="107"/>
      <c r="S508" s="107"/>
      <c r="T508" s="107"/>
      <c r="U508" s="107"/>
      <c r="V508" s="107"/>
      <c r="W508" s="107"/>
      <c r="X508" s="107"/>
      <c r="Y508" s="107"/>
      <c r="Z508" s="107"/>
      <c r="AA508" s="107"/>
      <c r="AB508" s="107"/>
      <c r="AC508" s="107"/>
      <c r="AD508" s="107"/>
      <c r="AE508" s="107"/>
      <c r="AF508" s="107"/>
      <c r="AG508" s="107"/>
      <c r="AH508" s="107"/>
      <c r="AI508" s="107"/>
      <c r="AJ508" s="107"/>
      <c r="AK508" s="107"/>
      <c r="AL508" s="107"/>
      <c r="AM508" s="107"/>
      <c r="AN508" s="107"/>
      <c r="AO508" s="107"/>
      <c r="AP508" s="107"/>
      <c r="AQ508" s="93" t="str">
        <f>AQ514</f>
        <v>[Navn]</v>
      </c>
      <c r="BB508" s="111"/>
    </row>
    <row r="509" spans="1:54" ht="16.5" customHeight="1" x14ac:dyDescent="0.2">
      <c r="A509" s="108">
        <f t="shared" ref="A509:A518" si="58">$A$508+0</f>
        <v>128</v>
      </c>
      <c r="B509" s="113" t="s">
        <v>1445</v>
      </c>
      <c r="C509" s="113" t="s">
        <v>92</v>
      </c>
      <c r="D509" s="113"/>
      <c r="E509" s="113" t="s">
        <v>1444</v>
      </c>
      <c r="F509" s="113"/>
      <c r="G509" s="113" t="s">
        <v>1154</v>
      </c>
      <c r="H509" s="113"/>
      <c r="I509" s="113"/>
      <c r="J509" s="113"/>
      <c r="K509" s="113" t="b">
        <v>1</v>
      </c>
      <c r="L509" s="113"/>
      <c r="M509" s="113"/>
      <c r="N509" s="113"/>
      <c r="O509" s="113" t="str">
        <f>"$B$"&amp;A509</f>
        <v>$B$128</v>
      </c>
      <c r="P509" s="113" t="str">
        <f>"$I$"&amp;A509</f>
        <v>$I$128</v>
      </c>
      <c r="Q509" s="113"/>
      <c r="R509" s="113"/>
      <c r="S509" s="113"/>
      <c r="T509" s="113">
        <v>30</v>
      </c>
      <c r="U509" s="113" t="b">
        <v>1</v>
      </c>
      <c r="V509" s="113" t="s">
        <v>1342</v>
      </c>
      <c r="W509" s="113" t="s">
        <v>1342</v>
      </c>
      <c r="X509" s="113"/>
      <c r="Y509" s="113"/>
      <c r="Z509" s="113"/>
      <c r="AA509" s="113"/>
      <c r="AB509" s="113"/>
      <c r="AC509" s="113"/>
      <c r="AD509" s="113"/>
      <c r="AE509" s="113"/>
      <c r="AF509" s="113"/>
      <c r="AG509" s="113"/>
      <c r="AH509" s="113" t="s">
        <v>27</v>
      </c>
      <c r="AI509" s="113" t="s">
        <v>28</v>
      </c>
      <c r="AJ509" s="113"/>
      <c r="AK509" s="113" t="s">
        <v>1342</v>
      </c>
      <c r="AL509" s="113">
        <v>1</v>
      </c>
      <c r="AM509" s="113"/>
      <c r="AN509" s="113"/>
      <c r="AO509" s="113"/>
      <c r="AP509" s="113" t="b">
        <v>1</v>
      </c>
      <c r="AQ509" s="323" t="s">
        <v>1451</v>
      </c>
      <c r="AR509" s="323"/>
      <c r="AS509" s="323"/>
      <c r="AT509" s="336"/>
      <c r="AU509" s="337" t="s">
        <v>1457</v>
      </c>
      <c r="AV509" s="338"/>
      <c r="AW509" s="326"/>
      <c r="AX509" s="327"/>
      <c r="BB509" s="111"/>
    </row>
    <row r="510" spans="1:54" ht="16.5" customHeight="1" x14ac:dyDescent="0.2">
      <c r="A510" s="108">
        <f t="shared" si="58"/>
        <v>128</v>
      </c>
      <c r="B510" s="110" t="str">
        <f>D510&amp;"Red"</f>
        <v>FP_Main1IOKVarTable_VRed</v>
      </c>
      <c r="C510" s="110" t="s">
        <v>656</v>
      </c>
      <c r="D510" s="110" t="s">
        <v>1445</v>
      </c>
      <c r="E510" s="110" t="s">
        <v>1444</v>
      </c>
      <c r="F510" s="110"/>
      <c r="G510" s="110" t="s">
        <v>1154</v>
      </c>
      <c r="H510" s="110"/>
      <c r="I510" s="110" t="s">
        <v>1247</v>
      </c>
      <c r="J510" s="110"/>
      <c r="K510" s="110" t="b">
        <v>1</v>
      </c>
      <c r="L510" s="110"/>
      <c r="M510" s="110" t="str">
        <f>"'editNorm """&amp;D510&amp;""","""&amp;B510&amp;""","""&amp;E510&amp;"""'"</f>
        <v>'editNorm "FP_Main1IOKVarTable_V","FP_Main1IOKVarTable_VRed","IOKVar"'</v>
      </c>
      <c r="N510" s="110" t="s">
        <v>59</v>
      </c>
      <c r="O510" s="110" t="str">
        <f>"$L$"&amp;A510</f>
        <v>$L$128</v>
      </c>
      <c r="P510" s="110" t="str">
        <f>"$M$"&amp;A510</f>
        <v>$M$128</v>
      </c>
      <c r="Q510" s="110">
        <v>5</v>
      </c>
      <c r="R510" s="110">
        <v>8</v>
      </c>
      <c r="S510" s="110"/>
      <c r="T510" s="110"/>
      <c r="U510" s="110" t="b">
        <v>1</v>
      </c>
      <c r="V510" s="110" t="s">
        <v>1344</v>
      </c>
      <c r="W510" s="110" t="s">
        <v>1343</v>
      </c>
      <c r="X510" s="110"/>
      <c r="Y510" s="110"/>
      <c r="Z510" s="110"/>
      <c r="AA510" s="110"/>
      <c r="AB510" s="110">
        <v>3</v>
      </c>
      <c r="AC510" s="110">
        <v>5</v>
      </c>
      <c r="AD510" s="110" t="s">
        <v>105</v>
      </c>
      <c r="AE510" s="110">
        <v>12</v>
      </c>
      <c r="AF510" s="110"/>
      <c r="AG510" s="110" t="s">
        <v>1351</v>
      </c>
      <c r="AH510" s="110" t="s">
        <v>29</v>
      </c>
      <c r="AI510" s="110" t="s">
        <v>29</v>
      </c>
      <c r="AJ510" s="110"/>
      <c r="AK510" s="110"/>
      <c r="AL510" s="110"/>
      <c r="AM510" s="110"/>
      <c r="AN510" s="110">
        <v>2</v>
      </c>
      <c r="AO510" s="110"/>
      <c r="AP510" s="110"/>
      <c r="BB510" s="111"/>
    </row>
    <row r="511" spans="1:54" ht="16.5" customHeight="1" x14ac:dyDescent="0.2">
      <c r="A511" s="108">
        <f t="shared" si="58"/>
        <v>128</v>
      </c>
      <c r="B511" s="110" t="str">
        <f>D511&amp;"Gem"</f>
        <v>FP_Main1IOKVarTable_VGem</v>
      </c>
      <c r="C511" s="110" t="s">
        <v>656</v>
      </c>
      <c r="D511" s="110" t="s">
        <v>1445</v>
      </c>
      <c r="E511" s="110" t="s">
        <v>1444</v>
      </c>
      <c r="F511" s="110"/>
      <c r="G511" s="110" t="s">
        <v>1154</v>
      </c>
      <c r="H511" s="110"/>
      <c r="I511" s="110" t="s">
        <v>238</v>
      </c>
      <c r="J511" s="110"/>
      <c r="K511" s="110"/>
      <c r="L511" s="110"/>
      <c r="M511" s="110" t="str">
        <f>"'editNorm """&amp;D511&amp;""","""&amp;B511&amp;""","""&amp;E511&amp;"""'"</f>
        <v>'editNorm "FP_Main1IOKVarTable_V","FP_Main1IOKVarTable_VGem","IOKVar"'</v>
      </c>
      <c r="N511" s="110" t="s">
        <v>59</v>
      </c>
      <c r="O511" s="110" t="str">
        <f>"$L$"&amp;A511</f>
        <v>$L$128</v>
      </c>
      <c r="P511" s="110" t="str">
        <f>"$L$"&amp;A511</f>
        <v>$L$128</v>
      </c>
      <c r="Q511" s="110">
        <v>5</v>
      </c>
      <c r="R511" s="110">
        <v>8</v>
      </c>
      <c r="S511" s="110"/>
      <c r="T511" s="110"/>
      <c r="U511" s="110" t="b">
        <v>1</v>
      </c>
      <c r="V511" s="110" t="s">
        <v>1345</v>
      </c>
      <c r="W511" s="110" t="s">
        <v>1343</v>
      </c>
      <c r="X511" s="110"/>
      <c r="Y511" s="110"/>
      <c r="Z511" s="110"/>
      <c r="AA511" s="110"/>
      <c r="AB511" s="110">
        <v>3</v>
      </c>
      <c r="AC511" s="110">
        <v>5</v>
      </c>
      <c r="AD511" s="110" t="s">
        <v>105</v>
      </c>
      <c r="AE511" s="110">
        <v>12</v>
      </c>
      <c r="AF511" s="110"/>
      <c r="AG511" s="110" t="s">
        <v>1351</v>
      </c>
      <c r="AH511" s="110" t="s">
        <v>29</v>
      </c>
      <c r="AI511" s="110" t="s">
        <v>29</v>
      </c>
      <c r="AJ511" s="110"/>
      <c r="AK511" s="110"/>
      <c r="AL511" s="110"/>
      <c r="AM511" s="110"/>
      <c r="AN511" s="110">
        <v>2</v>
      </c>
      <c r="AO511" s="110"/>
      <c r="AP511" s="110"/>
      <c r="BB511" s="111"/>
    </row>
    <row r="512" spans="1:54" ht="16.5" customHeight="1" x14ac:dyDescent="0.2">
      <c r="A512" s="108">
        <f t="shared" si="58"/>
        <v>128</v>
      </c>
      <c r="B512" s="110" t="str">
        <f>D512&amp;"Cancel"</f>
        <v>FP_Main1IOKVarTable_VCancel</v>
      </c>
      <c r="C512" s="110" t="s">
        <v>656</v>
      </c>
      <c r="D512" s="110" t="s">
        <v>1445</v>
      </c>
      <c r="E512" s="110" t="s">
        <v>1444</v>
      </c>
      <c r="F512" s="110"/>
      <c r="G512" s="110" t="s">
        <v>1154</v>
      </c>
      <c r="H512" s="110"/>
      <c r="I512" s="110" t="s">
        <v>838</v>
      </c>
      <c r="J512" s="110"/>
      <c r="K512" s="110"/>
      <c r="L512" s="110"/>
      <c r="M512" s="110" t="str">
        <f>"'editNorm """&amp;D512&amp;""","""&amp;B512&amp;""","""&amp;E512&amp;"""'"</f>
        <v>'editNorm "FP_Main1IOKVarTable_V","FP_Main1IOKVarTable_VCancel","IOKVar"'</v>
      </c>
      <c r="N512" s="110" t="s">
        <v>59</v>
      </c>
      <c r="O512" s="110" t="str">
        <f>"$M$"&amp;A512</f>
        <v>$M$128</v>
      </c>
      <c r="P512" s="110" t="str">
        <f>"$M$"&amp;A512</f>
        <v>$M$128</v>
      </c>
      <c r="Q512" s="110">
        <v>7</v>
      </c>
      <c r="R512" s="110">
        <v>8</v>
      </c>
      <c r="S512" s="110"/>
      <c r="T512" s="110"/>
      <c r="U512" s="110" t="b">
        <v>1</v>
      </c>
      <c r="V512" s="110" t="s">
        <v>1344</v>
      </c>
      <c r="W512" s="110" t="s">
        <v>1343</v>
      </c>
      <c r="X512" s="110"/>
      <c r="Y512" s="110"/>
      <c r="Z512" s="110"/>
      <c r="AA512" s="110"/>
      <c r="AB512" s="110">
        <v>3</v>
      </c>
      <c r="AC512" s="110">
        <v>5</v>
      </c>
      <c r="AD512" s="110" t="s">
        <v>105</v>
      </c>
      <c r="AE512" s="110">
        <v>12</v>
      </c>
      <c r="AF512" s="110"/>
      <c r="AG512" s="110" t="s">
        <v>1351</v>
      </c>
      <c r="AH512" s="110" t="s">
        <v>29</v>
      </c>
      <c r="AI512" s="110" t="s">
        <v>29</v>
      </c>
      <c r="AJ512" s="110"/>
      <c r="AK512" s="110"/>
      <c r="AL512" s="110"/>
      <c r="AM512" s="110"/>
      <c r="AN512" s="110">
        <v>2</v>
      </c>
      <c r="AO512" s="110"/>
      <c r="AP512" s="110"/>
      <c r="BB512" s="111"/>
    </row>
    <row r="513" spans="1:54" ht="16.5" customHeight="1" x14ac:dyDescent="0.2">
      <c r="A513" s="108">
        <f t="shared" si="58"/>
        <v>128</v>
      </c>
      <c r="B513" s="110" t="str">
        <f>D513&amp;"Delete"</f>
        <v>FP_Main1IOKVarTable_VDelete</v>
      </c>
      <c r="C513" s="110" t="s">
        <v>656</v>
      </c>
      <c r="D513" s="110" t="s">
        <v>1445</v>
      </c>
      <c r="E513" s="110" t="s">
        <v>1444</v>
      </c>
      <c r="F513" s="110"/>
      <c r="G513" s="110" t="s">
        <v>1154</v>
      </c>
      <c r="H513" s="110"/>
      <c r="I513" s="110" t="s">
        <v>839</v>
      </c>
      <c r="J513" s="110"/>
      <c r="K513" s="110"/>
      <c r="L513" s="110"/>
      <c r="M513" s="110" t="str">
        <f>"'editNorm """&amp;D513&amp;""","""&amp;B513&amp;""","""&amp;E513&amp;"""'"</f>
        <v>'editNorm "FP_Main1IOKVarTable_V","FP_Main1IOKVarTable_VDelete","IOKVar"'</v>
      </c>
      <c r="N513" s="110" t="s">
        <v>59</v>
      </c>
      <c r="O513" s="110" t="str">
        <f>"$N$"&amp;A513</f>
        <v>$N$128</v>
      </c>
      <c r="P513" s="110" t="str">
        <f>"$N$"&amp;A513</f>
        <v>$N$128</v>
      </c>
      <c r="Q513" s="110">
        <v>7</v>
      </c>
      <c r="R513" s="110">
        <v>8</v>
      </c>
      <c r="S513" s="110"/>
      <c r="T513" s="110"/>
      <c r="U513" s="110" t="b">
        <v>1</v>
      </c>
      <c r="V513" s="110" t="s">
        <v>1346</v>
      </c>
      <c r="W513" s="110" t="s">
        <v>1343</v>
      </c>
      <c r="X513" s="110"/>
      <c r="Y513" s="110"/>
      <c r="Z513" s="110"/>
      <c r="AA513" s="110"/>
      <c r="AB513" s="110">
        <v>3</v>
      </c>
      <c r="AC513" s="110">
        <v>5</v>
      </c>
      <c r="AD513" s="110" t="s">
        <v>105</v>
      </c>
      <c r="AE513" s="110">
        <v>12</v>
      </c>
      <c r="AF513" s="110"/>
      <c r="AG513" s="110" t="s">
        <v>1351</v>
      </c>
      <c r="AH513" s="110" t="s">
        <v>29</v>
      </c>
      <c r="AI513" s="110" t="s">
        <v>29</v>
      </c>
      <c r="AJ513" s="110"/>
      <c r="AK513" s="110"/>
      <c r="AL513" s="110"/>
      <c r="AM513" s="110"/>
      <c r="AN513" s="110">
        <v>2</v>
      </c>
      <c r="AO513" s="110"/>
      <c r="AP513" s="110"/>
      <c r="BB513" s="111"/>
    </row>
    <row r="514" spans="1:54" ht="16.5" customHeight="1" x14ac:dyDescent="0.2">
      <c r="A514" s="113">
        <f t="shared" si="58"/>
        <v>128</v>
      </c>
      <c r="B514" s="113" t="s">
        <v>1446</v>
      </c>
      <c r="C514" s="113" t="s">
        <v>92</v>
      </c>
      <c r="D514" s="113"/>
      <c r="E514" s="113" t="s">
        <v>1444</v>
      </c>
      <c r="F514" s="113"/>
      <c r="G514" s="113" t="s">
        <v>1154</v>
      </c>
      <c r="H514" s="113">
        <v>1</v>
      </c>
      <c r="I514" s="113"/>
      <c r="J514" s="113" t="b">
        <f>$E$4</f>
        <v>1</v>
      </c>
      <c r="K514" s="113" t="b">
        <v>1</v>
      </c>
      <c r="L514" s="113"/>
      <c r="M514" s="113"/>
      <c r="N514" s="113"/>
      <c r="O514" s="113" t="str">
        <f>"$B$"&amp;A514</f>
        <v>$B$128</v>
      </c>
      <c r="P514" s="113" t="str">
        <f>"$I$"&amp;A514</f>
        <v>$I$128</v>
      </c>
      <c r="Q514" s="113"/>
      <c r="R514" s="113"/>
      <c r="S514" s="113"/>
      <c r="T514" s="113">
        <v>30</v>
      </c>
      <c r="U514" s="113" t="b">
        <v>1</v>
      </c>
      <c r="V514" s="113" t="s">
        <v>1342</v>
      </c>
      <c r="W514" s="113" t="s">
        <v>1342</v>
      </c>
      <c r="X514" s="113"/>
      <c r="Y514" s="113"/>
      <c r="Z514" s="113"/>
      <c r="AA514" s="113"/>
      <c r="AB514" s="113"/>
      <c r="AC514" s="113"/>
      <c r="AD514" s="113"/>
      <c r="AE514" s="113"/>
      <c r="AF514" s="113"/>
      <c r="AG514" s="113"/>
      <c r="AH514" s="113" t="s">
        <v>27</v>
      </c>
      <c r="AI514" s="113" t="s">
        <v>28</v>
      </c>
      <c r="AJ514" s="113"/>
      <c r="AK514" s="113" t="s">
        <v>1342</v>
      </c>
      <c r="AL514" s="113">
        <v>1</v>
      </c>
      <c r="AM514" s="113"/>
      <c r="AN514" s="113"/>
      <c r="AO514" s="113"/>
      <c r="AP514" s="113" t="b">
        <v>1</v>
      </c>
      <c r="AQ514" s="323" t="s">
        <v>1451</v>
      </c>
      <c r="AR514" s="323"/>
      <c r="AS514" s="323"/>
      <c r="AT514" s="336"/>
      <c r="AU514" s="337" t="s">
        <v>1457</v>
      </c>
      <c r="AV514" s="338"/>
      <c r="AW514" s="326"/>
      <c r="AX514" s="327"/>
      <c r="BB514" s="111"/>
    </row>
    <row r="515" spans="1:54" ht="16.5" customHeight="1" x14ac:dyDescent="0.2">
      <c r="A515" s="110">
        <f t="shared" si="58"/>
        <v>128</v>
      </c>
      <c r="B515" s="110" t="str">
        <f>D515&amp;"Red"</f>
        <v>FP_Main1IOKVarTable_V_1Red</v>
      </c>
      <c r="C515" s="110" t="s">
        <v>656</v>
      </c>
      <c r="D515" s="110" t="s">
        <v>1446</v>
      </c>
      <c r="E515" s="110" t="s">
        <v>1444</v>
      </c>
      <c r="F515" s="110"/>
      <c r="G515" s="110" t="s">
        <v>1154</v>
      </c>
      <c r="H515" s="110">
        <v>1</v>
      </c>
      <c r="I515" s="110" t="s">
        <v>1247</v>
      </c>
      <c r="J515" s="110" t="b">
        <f>$E$4</f>
        <v>1</v>
      </c>
      <c r="K515" s="110" t="b">
        <v>1</v>
      </c>
      <c r="L515" s="110"/>
      <c r="M515" s="110" t="str">
        <f>"'editNorm """&amp;D515&amp;""","""&amp;B515&amp;""","""&amp;E515&amp;"""'"</f>
        <v>'editNorm "FP_Main1IOKVarTable_V_1","FP_Main1IOKVarTable_V_1Red","IOKVar"'</v>
      </c>
      <c r="N515" s="110" t="s">
        <v>59</v>
      </c>
      <c r="O515" s="110" t="str">
        <f>"$L$"&amp;A515</f>
        <v>$L$128</v>
      </c>
      <c r="P515" s="110" t="str">
        <f>"$M$"&amp;A515</f>
        <v>$M$128</v>
      </c>
      <c r="Q515" s="110">
        <v>5</v>
      </c>
      <c r="R515" s="110">
        <v>8</v>
      </c>
      <c r="S515" s="110"/>
      <c r="T515" s="110"/>
      <c r="U515" s="110" t="b">
        <v>1</v>
      </c>
      <c r="V515" s="110" t="s">
        <v>1344</v>
      </c>
      <c r="W515" s="110" t="s">
        <v>1343</v>
      </c>
      <c r="X515" s="110"/>
      <c r="Y515" s="110"/>
      <c r="Z515" s="110"/>
      <c r="AA515" s="110"/>
      <c r="AB515" s="110">
        <v>3</v>
      </c>
      <c r="AC515" s="110">
        <v>5</v>
      </c>
      <c r="AD515" s="110" t="s">
        <v>105</v>
      </c>
      <c r="AE515" s="110">
        <v>12</v>
      </c>
      <c r="AF515" s="110"/>
      <c r="AG515" s="110" t="s">
        <v>1351</v>
      </c>
      <c r="AH515" s="110" t="s">
        <v>29</v>
      </c>
      <c r="AI515" s="110" t="s">
        <v>29</v>
      </c>
      <c r="AJ515" s="110"/>
      <c r="AK515" s="110"/>
      <c r="AL515" s="110"/>
      <c r="AM515" s="110"/>
      <c r="AN515" s="110">
        <v>2</v>
      </c>
      <c r="AO515" s="110"/>
      <c r="AP515" s="110"/>
      <c r="BB515" s="111"/>
    </row>
    <row r="516" spans="1:54" ht="16.5" customHeight="1" x14ac:dyDescent="0.2">
      <c r="A516" s="110">
        <f t="shared" si="58"/>
        <v>128</v>
      </c>
      <c r="B516" s="110" t="str">
        <f>D516&amp;"Gem"</f>
        <v>FP_Main1IOKVarTable_V_1Gem</v>
      </c>
      <c r="C516" s="110" t="s">
        <v>656</v>
      </c>
      <c r="D516" s="110" t="s">
        <v>1446</v>
      </c>
      <c r="E516" s="110" t="s">
        <v>1444</v>
      </c>
      <c r="F516" s="110"/>
      <c r="G516" s="110" t="s">
        <v>1154</v>
      </c>
      <c r="H516" s="110">
        <v>1</v>
      </c>
      <c r="I516" s="110" t="s">
        <v>238</v>
      </c>
      <c r="J516" s="110" t="b">
        <f>$E$4</f>
        <v>1</v>
      </c>
      <c r="K516" s="110"/>
      <c r="L516" s="110"/>
      <c r="M516" s="110" t="str">
        <f>"'editNorm """&amp;D516&amp;""","""&amp;B516&amp;""","""&amp;E516&amp;"""'"</f>
        <v>'editNorm "FP_Main1IOKVarTable_V_1","FP_Main1IOKVarTable_V_1Gem","IOKVar"'</v>
      </c>
      <c r="N516" s="110" t="s">
        <v>59</v>
      </c>
      <c r="O516" s="110" t="str">
        <f>"$L$"&amp;A516</f>
        <v>$L$128</v>
      </c>
      <c r="P516" s="110" t="str">
        <f>"$L$"&amp;A516</f>
        <v>$L$128</v>
      </c>
      <c r="Q516" s="110">
        <v>5</v>
      </c>
      <c r="R516" s="110">
        <v>8</v>
      </c>
      <c r="S516" s="110"/>
      <c r="T516" s="110"/>
      <c r="U516" s="110" t="b">
        <v>1</v>
      </c>
      <c r="V516" s="110" t="s">
        <v>1345</v>
      </c>
      <c r="W516" s="110" t="s">
        <v>1343</v>
      </c>
      <c r="X516" s="110"/>
      <c r="Y516" s="110"/>
      <c r="Z516" s="110"/>
      <c r="AA516" s="110"/>
      <c r="AB516" s="110">
        <v>3</v>
      </c>
      <c r="AC516" s="110">
        <v>5</v>
      </c>
      <c r="AD516" s="110" t="s">
        <v>105</v>
      </c>
      <c r="AE516" s="110">
        <v>12</v>
      </c>
      <c r="AF516" s="110"/>
      <c r="AG516" s="110" t="s">
        <v>1351</v>
      </c>
      <c r="AH516" s="110" t="s">
        <v>29</v>
      </c>
      <c r="AI516" s="110" t="s">
        <v>29</v>
      </c>
      <c r="AJ516" s="110"/>
      <c r="AK516" s="110"/>
      <c r="AL516" s="110"/>
      <c r="AM516" s="110"/>
      <c r="AN516" s="110">
        <v>2</v>
      </c>
      <c r="AO516" s="110"/>
      <c r="AP516" s="110"/>
      <c r="BB516" s="111"/>
    </row>
    <row r="517" spans="1:54" ht="16.5" customHeight="1" x14ac:dyDescent="0.2">
      <c r="A517" s="110">
        <f t="shared" si="58"/>
        <v>128</v>
      </c>
      <c r="B517" s="110" t="str">
        <f>D517&amp;"Cancel"</f>
        <v>FP_Main1IOKVarTable_V_1Cancel</v>
      </c>
      <c r="C517" s="110" t="s">
        <v>656</v>
      </c>
      <c r="D517" s="110" t="s">
        <v>1446</v>
      </c>
      <c r="E517" s="110" t="s">
        <v>1444</v>
      </c>
      <c r="F517" s="110"/>
      <c r="G517" s="110" t="s">
        <v>1154</v>
      </c>
      <c r="H517" s="110">
        <v>1</v>
      </c>
      <c r="I517" s="110" t="s">
        <v>838</v>
      </c>
      <c r="J517" s="110" t="b">
        <f>$E$4</f>
        <v>1</v>
      </c>
      <c r="K517" s="110"/>
      <c r="L517" s="110"/>
      <c r="M517" s="110" t="str">
        <f>"'editNorm """&amp;D517&amp;""","""&amp;B517&amp;""","""&amp;E517&amp;"""'"</f>
        <v>'editNorm "FP_Main1IOKVarTable_V_1","FP_Main1IOKVarTable_V_1Cancel","IOKVar"'</v>
      </c>
      <c r="N517" s="110" t="s">
        <v>59</v>
      </c>
      <c r="O517" s="110" t="str">
        <f>"$M$"&amp;A517</f>
        <v>$M$128</v>
      </c>
      <c r="P517" s="110" t="str">
        <f>"$M$"&amp;A517</f>
        <v>$M$128</v>
      </c>
      <c r="Q517" s="110">
        <v>7</v>
      </c>
      <c r="R517" s="110">
        <v>8</v>
      </c>
      <c r="S517" s="110"/>
      <c r="T517" s="110"/>
      <c r="U517" s="110" t="b">
        <v>1</v>
      </c>
      <c r="V517" s="110" t="s">
        <v>1344</v>
      </c>
      <c r="W517" s="110" t="s">
        <v>1343</v>
      </c>
      <c r="X517" s="110"/>
      <c r="Y517" s="110"/>
      <c r="Z517" s="110"/>
      <c r="AA517" s="110"/>
      <c r="AB517" s="110">
        <v>3</v>
      </c>
      <c r="AC517" s="110">
        <v>5</v>
      </c>
      <c r="AD517" s="110" t="s">
        <v>105</v>
      </c>
      <c r="AE517" s="110">
        <v>12</v>
      </c>
      <c r="AF517" s="110"/>
      <c r="AG517" s="110" t="s">
        <v>1351</v>
      </c>
      <c r="AH517" s="110" t="s">
        <v>29</v>
      </c>
      <c r="AI517" s="110" t="s">
        <v>29</v>
      </c>
      <c r="AJ517" s="110"/>
      <c r="AK517" s="110"/>
      <c r="AL517" s="110"/>
      <c r="AM517" s="110"/>
      <c r="AN517" s="110">
        <v>2</v>
      </c>
      <c r="AO517" s="110"/>
      <c r="AP517" s="110"/>
      <c r="BB517" s="111"/>
    </row>
    <row r="518" spans="1:54" ht="16.5" customHeight="1" x14ac:dyDescent="0.2">
      <c r="A518" s="110">
        <f t="shared" si="58"/>
        <v>128</v>
      </c>
      <c r="B518" s="110" t="str">
        <f>D518&amp;"Delete"</f>
        <v>FP_Main1IOKVarTable_V_1Delete</v>
      </c>
      <c r="C518" s="110" t="s">
        <v>656</v>
      </c>
      <c r="D518" s="110" t="s">
        <v>1446</v>
      </c>
      <c r="E518" s="110" t="s">
        <v>1444</v>
      </c>
      <c r="F518" s="110"/>
      <c r="G518" s="110" t="s">
        <v>1154</v>
      </c>
      <c r="H518" s="110">
        <v>1</v>
      </c>
      <c r="I518" s="110" t="s">
        <v>839</v>
      </c>
      <c r="J518" s="110" t="b">
        <f>$E$4</f>
        <v>1</v>
      </c>
      <c r="K518" s="110"/>
      <c r="L518" s="110"/>
      <c r="M518" s="110" t="str">
        <f>"'editNorm """&amp;D518&amp;""","""&amp;B518&amp;""","""&amp;E518&amp;"""'"</f>
        <v>'editNorm "FP_Main1IOKVarTable_V_1","FP_Main1IOKVarTable_V_1Delete","IOKVar"'</v>
      </c>
      <c r="N518" s="110" t="s">
        <v>59</v>
      </c>
      <c r="O518" s="110" t="str">
        <f>"$N$"&amp;A518</f>
        <v>$N$128</v>
      </c>
      <c r="P518" s="110" t="str">
        <f>"$N$"&amp;A518</f>
        <v>$N$128</v>
      </c>
      <c r="Q518" s="110">
        <v>7</v>
      </c>
      <c r="R518" s="110">
        <v>8</v>
      </c>
      <c r="S518" s="110"/>
      <c r="T518" s="110"/>
      <c r="U518" s="110" t="b">
        <v>1</v>
      </c>
      <c r="V518" s="110" t="s">
        <v>1346</v>
      </c>
      <c r="W518" s="110" t="s">
        <v>1343</v>
      </c>
      <c r="X518" s="110"/>
      <c r="Y518" s="110"/>
      <c r="Z518" s="110"/>
      <c r="AA518" s="110"/>
      <c r="AB518" s="110">
        <v>3</v>
      </c>
      <c r="AC518" s="110">
        <v>5</v>
      </c>
      <c r="AD518" s="110" t="s">
        <v>105</v>
      </c>
      <c r="AE518" s="110">
        <v>12</v>
      </c>
      <c r="AF518" s="110"/>
      <c r="AG518" s="110" t="s">
        <v>1351</v>
      </c>
      <c r="AH518" s="110" t="s">
        <v>29</v>
      </c>
      <c r="AI518" s="110" t="s">
        <v>29</v>
      </c>
      <c r="AJ518" s="110"/>
      <c r="AK518" s="110"/>
      <c r="AL518" s="110"/>
      <c r="AM518" s="110"/>
      <c r="AN518" s="110">
        <v>2</v>
      </c>
      <c r="AO518" s="110"/>
      <c r="AP518" s="110"/>
      <c r="BB518" s="111"/>
    </row>
    <row r="519" spans="1:54" ht="16.5" customHeight="1" x14ac:dyDescent="0.2">
      <c r="A519" s="107">
        <f>$O$508+(P508-O508+1)*(H508-1)-1</f>
        <v>128</v>
      </c>
      <c r="B519" s="107" t="s">
        <v>1444</v>
      </c>
      <c r="C519" s="107" t="s">
        <v>663</v>
      </c>
      <c r="D519" s="107"/>
      <c r="E519" s="107"/>
      <c r="F519" s="107"/>
      <c r="G519" s="107" t="s">
        <v>1154</v>
      </c>
      <c r="H519" s="107"/>
      <c r="I519" s="107"/>
      <c r="J519" s="107" t="b">
        <f t="shared" ref="J519:J524" si="59">$E$4</f>
        <v>1</v>
      </c>
      <c r="K519" s="107"/>
      <c r="L519" s="107"/>
      <c r="M519" s="107"/>
      <c r="N519" s="107"/>
      <c r="O519" s="107"/>
      <c r="P519" s="107"/>
      <c r="Q519" s="107"/>
      <c r="R519" s="107"/>
      <c r="S519" s="107"/>
      <c r="T519" s="107"/>
      <c r="U519" s="107"/>
      <c r="V519" s="107"/>
      <c r="W519" s="107"/>
      <c r="X519" s="107"/>
      <c r="Y519" s="107"/>
      <c r="Z519" s="107"/>
      <c r="AA519" s="107"/>
      <c r="AB519" s="107"/>
      <c r="AC519" s="107"/>
      <c r="AD519" s="107"/>
      <c r="AE519" s="107"/>
      <c r="AF519" s="107"/>
      <c r="AG519" s="107"/>
      <c r="AH519" s="107"/>
      <c r="AI519" s="107"/>
      <c r="AJ519" s="107"/>
      <c r="AK519" s="107"/>
      <c r="AL519" s="107"/>
      <c r="AM519" s="107"/>
      <c r="AN519" s="107"/>
      <c r="AO519" s="107"/>
      <c r="AP519" s="107"/>
      <c r="BB519" s="111"/>
    </row>
    <row r="520" spans="1:54" ht="16.5" customHeight="1" x14ac:dyDescent="0.2">
      <c r="A520" s="110">
        <f>$A$519+2</f>
        <v>130</v>
      </c>
      <c r="B520" s="110" t="s">
        <v>1447</v>
      </c>
      <c r="C520" s="110" t="s">
        <v>656</v>
      </c>
      <c r="D520" s="110"/>
      <c r="E520" s="110" t="s">
        <v>1444</v>
      </c>
      <c r="F520" s="110"/>
      <c r="G520" s="110" t="s">
        <v>1154</v>
      </c>
      <c r="H520" s="110"/>
      <c r="I520" s="110" t="s">
        <v>199</v>
      </c>
      <c r="J520" s="110" t="b">
        <f t="shared" si="59"/>
        <v>1</v>
      </c>
      <c r="K520" s="110" t="b">
        <v>1</v>
      </c>
      <c r="L520" s="110"/>
      <c r="M520" s="110" t="str">
        <f>"'groupAdd """&amp;E520&amp;"""'"</f>
        <v>'groupAdd "IOKVar"'</v>
      </c>
      <c r="N520" s="110" t="s">
        <v>59</v>
      </c>
      <c r="O520" s="110" t="str">
        <f>"$L$"&amp;A520</f>
        <v>$L$130</v>
      </c>
      <c r="P520" s="110" t="str">
        <f>"$M$"&amp;A520</f>
        <v>$M$130</v>
      </c>
      <c r="Q520" s="110">
        <v>5</v>
      </c>
      <c r="R520" s="110">
        <v>1</v>
      </c>
      <c r="S520" s="110"/>
      <c r="T520" s="110">
        <v>22</v>
      </c>
      <c r="U520" s="110" t="b">
        <v>1</v>
      </c>
      <c r="V520" s="110" t="s">
        <v>1344</v>
      </c>
      <c r="W520" s="110" t="s">
        <v>1343</v>
      </c>
      <c r="X520" s="110"/>
      <c r="Y520" s="110"/>
      <c r="Z520" s="110"/>
      <c r="AA520" s="110"/>
      <c r="AB520" s="110">
        <v>3</v>
      </c>
      <c r="AC520" s="110">
        <v>5</v>
      </c>
      <c r="AD520" s="110" t="s">
        <v>105</v>
      </c>
      <c r="AE520" s="110">
        <v>12</v>
      </c>
      <c r="AF520" s="110"/>
      <c r="AG520" s="110" t="s">
        <v>1351</v>
      </c>
      <c r="AH520" s="110" t="s">
        <v>29</v>
      </c>
      <c r="AI520" s="110" t="s">
        <v>29</v>
      </c>
      <c r="AJ520" s="110"/>
      <c r="AK520" s="110"/>
      <c r="AL520" s="110"/>
      <c r="AM520" s="110"/>
      <c r="AN520" s="110">
        <v>2</v>
      </c>
      <c r="AO520" s="110"/>
      <c r="AP520" s="110"/>
      <c r="BB520" s="111"/>
    </row>
    <row r="521" spans="1:54" ht="16.5" customHeight="1" x14ac:dyDescent="0.2">
      <c r="A521" s="81">
        <f>$A$519+4</f>
        <v>132</v>
      </c>
      <c r="B521" s="81" t="s">
        <v>1292</v>
      </c>
      <c r="C521" s="81" t="s">
        <v>512</v>
      </c>
      <c r="D521" s="81" t="s">
        <v>961</v>
      </c>
      <c r="E521" s="81"/>
      <c r="F521" s="81"/>
      <c r="G521" s="81" t="s">
        <v>1154</v>
      </c>
      <c r="H521" s="81"/>
      <c r="I521" s="81"/>
      <c r="J521" s="81" t="b">
        <f t="shared" si="59"/>
        <v>1</v>
      </c>
      <c r="K521" s="81" t="b">
        <v>1</v>
      </c>
      <c r="L521" s="81" t="b">
        <v>0</v>
      </c>
      <c r="M521" s="81"/>
      <c r="N521" s="81" t="s">
        <v>59</v>
      </c>
      <c r="O521" s="81" t="str">
        <f>"$A$"&amp;A521</f>
        <v>$A$132</v>
      </c>
      <c r="P521" s="81" t="str">
        <f>"$A$"&amp;A540-1</f>
        <v>$A$140</v>
      </c>
      <c r="Q521" s="81"/>
      <c r="R521" s="81">
        <v>1</v>
      </c>
      <c r="S521" s="81">
        <v>20</v>
      </c>
      <c r="T521" s="81"/>
      <c r="U521" s="81" t="b">
        <f>$I$5</f>
        <v>0</v>
      </c>
      <c r="V521" s="81" t="s">
        <v>1348</v>
      </c>
      <c r="W521" s="81" t="s">
        <v>1348</v>
      </c>
      <c r="X521" s="81"/>
      <c r="Y521" s="81"/>
      <c r="Z521" s="81"/>
      <c r="AA521" s="81"/>
      <c r="AB521" s="81"/>
      <c r="AC521" s="81"/>
      <c r="AD521" s="81"/>
      <c r="AE521" s="81"/>
      <c r="AF521" s="81"/>
      <c r="AG521" s="81"/>
      <c r="AH521" s="81"/>
      <c r="AI521" s="81"/>
      <c r="AJ521" s="81"/>
      <c r="AK521" s="81"/>
      <c r="AL521" s="81">
        <v>10</v>
      </c>
      <c r="AM521" s="81">
        <v>5</v>
      </c>
      <c r="AN521" s="81"/>
      <c r="AO521" s="81"/>
      <c r="AP521" s="81"/>
      <c r="BB521" s="111"/>
    </row>
    <row r="522" spans="1:54" ht="16.5" customHeight="1" x14ac:dyDescent="0.2">
      <c r="A522" s="103">
        <f>$A$519+4</f>
        <v>132</v>
      </c>
      <c r="B522" s="103" t="s">
        <v>241</v>
      </c>
      <c r="C522" s="103" t="s">
        <v>654</v>
      </c>
      <c r="D522" s="103"/>
      <c r="E522" s="103"/>
      <c r="F522" s="103"/>
      <c r="G522" s="103" t="s">
        <v>1154</v>
      </c>
      <c r="H522" s="103" t="s">
        <v>1157</v>
      </c>
      <c r="I522" s="103" t="s">
        <v>240</v>
      </c>
      <c r="J522" s="103" t="b">
        <f t="shared" si="59"/>
        <v>1</v>
      </c>
      <c r="K522" s="103" t="b">
        <v>1</v>
      </c>
      <c r="L522" s="103" t="b">
        <v>1</v>
      </c>
      <c r="M522" s="103" t="str">
        <f>"'expand """&amp;B522&amp;""","""&amp;G522&amp;""",TRUE'"</f>
        <v>'expand "FP_Main1Gevinstejere","Forside",TRUE'</v>
      </c>
      <c r="N522" s="103" t="s">
        <v>59</v>
      </c>
      <c r="O522" s="103" t="str">
        <f>"$B$"&amp;A522</f>
        <v>$B$132</v>
      </c>
      <c r="P522" s="103" t="str">
        <f>"$M$" &amp;A540-1</f>
        <v>$M$140</v>
      </c>
      <c r="Q522" s="103"/>
      <c r="R522" s="103">
        <v>1</v>
      </c>
      <c r="S522" s="103"/>
      <c r="T522" s="103">
        <v>40</v>
      </c>
      <c r="U522" s="103" t="b">
        <v>1</v>
      </c>
      <c r="V522" s="103" t="s">
        <v>1344</v>
      </c>
      <c r="W522" s="103" t="s">
        <v>1343</v>
      </c>
      <c r="X522" s="103"/>
      <c r="Y522" s="103"/>
      <c r="Z522" s="103"/>
      <c r="AA522" s="103"/>
      <c r="AB522" s="103"/>
      <c r="AC522" s="103">
        <v>30</v>
      </c>
      <c r="AD522" s="103"/>
      <c r="AE522" s="103">
        <v>18</v>
      </c>
      <c r="AF522" s="103" t="b">
        <v>0</v>
      </c>
      <c r="AG522" s="103" t="s">
        <v>1351</v>
      </c>
      <c r="AH522" s="103" t="s">
        <v>29</v>
      </c>
      <c r="AI522" s="103" t="s">
        <v>28</v>
      </c>
      <c r="AJ522" s="103"/>
      <c r="AK522" s="103"/>
      <c r="AL522" s="103"/>
      <c r="AM522" s="103"/>
      <c r="AN522" s="103">
        <v>8</v>
      </c>
      <c r="AO522" s="103">
        <v>135</v>
      </c>
      <c r="AP522" s="103"/>
      <c r="BB522" s="111"/>
    </row>
    <row r="523" spans="1:54" ht="16.5" customHeight="1" x14ac:dyDescent="0.2">
      <c r="A523" s="100">
        <f>$A$522+2</f>
        <v>134</v>
      </c>
      <c r="B523" s="100" t="s">
        <v>691</v>
      </c>
      <c r="C523" s="100" t="s">
        <v>649</v>
      </c>
      <c r="D523" s="100"/>
      <c r="E523" s="100"/>
      <c r="F523" s="100"/>
      <c r="G523" s="100" t="s">
        <v>1154</v>
      </c>
      <c r="H523" s="100"/>
      <c r="I523" s="100" t="s">
        <v>240</v>
      </c>
      <c r="J523" s="100" t="b">
        <f t="shared" si="59"/>
        <v>1</v>
      </c>
      <c r="K523" s="100" t="b">
        <v>1</v>
      </c>
      <c r="L523" s="100"/>
      <c r="M523" s="100"/>
      <c r="N523" s="100" t="s">
        <v>59</v>
      </c>
      <c r="O523" s="100" t="str">
        <f>"$B$"&amp;A523</f>
        <v>$B$134</v>
      </c>
      <c r="P523" s="100" t="str">
        <f>"$E$"&amp;A523</f>
        <v>$E$134</v>
      </c>
      <c r="Q523" s="100"/>
      <c r="R523" s="100"/>
      <c r="S523" s="100"/>
      <c r="T523" s="100">
        <v>30</v>
      </c>
      <c r="U523" s="100" t="b">
        <v>1</v>
      </c>
      <c r="V523" s="100" t="s">
        <v>1342</v>
      </c>
      <c r="W523" s="100" t="s">
        <v>1342</v>
      </c>
      <c r="X523" s="100"/>
      <c r="Y523" s="100"/>
      <c r="Z523" s="100"/>
      <c r="AA523" s="100"/>
      <c r="AB523" s="100"/>
      <c r="AC523" s="100">
        <v>5</v>
      </c>
      <c r="AD523" s="100" t="s">
        <v>105</v>
      </c>
      <c r="AE523" s="100">
        <v>14</v>
      </c>
      <c r="AF523" s="100" t="b">
        <v>1</v>
      </c>
      <c r="AG523" s="100" t="s">
        <v>1355</v>
      </c>
      <c r="AH523" s="100" t="s">
        <v>29</v>
      </c>
      <c r="AI523" s="100" t="s">
        <v>28</v>
      </c>
      <c r="AJ523" s="100"/>
      <c r="AK523" s="100"/>
      <c r="AL523" s="100">
        <v>0</v>
      </c>
      <c r="AM523" s="100"/>
      <c r="AN523" s="100"/>
      <c r="AO523" s="100"/>
      <c r="AP523" s="100"/>
    </row>
    <row r="524" spans="1:54" ht="16.5" customHeight="1" x14ac:dyDescent="0.2">
      <c r="A524" s="107">
        <f>$A$522+4</f>
        <v>136</v>
      </c>
      <c r="B524" s="107" t="s">
        <v>683</v>
      </c>
      <c r="C524" s="107" t="s">
        <v>663</v>
      </c>
      <c r="D524" s="107"/>
      <c r="E524" s="107"/>
      <c r="F524" s="107"/>
      <c r="G524" s="107" t="s">
        <v>1154</v>
      </c>
      <c r="H524" s="107">
        <v>2</v>
      </c>
      <c r="I524" s="107">
        <v>6</v>
      </c>
      <c r="J524" s="107" t="b">
        <f t="shared" si="59"/>
        <v>1</v>
      </c>
      <c r="K524" s="107"/>
      <c r="L524" s="107"/>
      <c r="M524" s="107"/>
      <c r="N524" s="107"/>
      <c r="O524" s="107">
        <f>A524</f>
        <v>136</v>
      </c>
      <c r="P524" s="107">
        <f>O524+2</f>
        <v>138</v>
      </c>
      <c r="Q524" s="107"/>
      <c r="R524" s="107"/>
      <c r="S524" s="107"/>
      <c r="T524" s="107"/>
      <c r="U524" s="107"/>
      <c r="V524" s="107"/>
      <c r="W524" s="107"/>
      <c r="X524" s="107"/>
      <c r="Y524" s="107"/>
      <c r="Z524" s="107"/>
      <c r="AA524" s="107"/>
      <c r="AB524" s="107"/>
      <c r="AC524" s="107"/>
      <c r="AD524" s="107"/>
      <c r="AE524" s="107"/>
      <c r="AF524" s="107"/>
      <c r="AG524" s="107"/>
      <c r="AH524" s="107"/>
      <c r="AI524" s="107"/>
      <c r="AJ524" s="107"/>
      <c r="AK524" s="107"/>
      <c r="AL524" s="107"/>
      <c r="AM524" s="107"/>
      <c r="AN524" s="107"/>
      <c r="AO524" s="107"/>
      <c r="AP524" s="107"/>
      <c r="AQ524" s="93" t="str">
        <f>AQ531</f>
        <v>[Gevinstejer]</v>
      </c>
    </row>
    <row r="525" spans="1:54" ht="16.5" customHeight="1" x14ac:dyDescent="0.2">
      <c r="A525" s="108">
        <f>$A$524+0</f>
        <v>136</v>
      </c>
      <c r="B525" s="109" t="s">
        <v>685</v>
      </c>
      <c r="C525" s="109" t="s">
        <v>96</v>
      </c>
      <c r="D525" s="109"/>
      <c r="E525" s="109" t="s">
        <v>683</v>
      </c>
      <c r="F525" s="109"/>
      <c r="G525" s="109" t="s">
        <v>1154</v>
      </c>
      <c r="H525" s="109"/>
      <c r="I525" s="109"/>
      <c r="J525" s="109"/>
      <c r="K525" s="109" t="b">
        <v>1</v>
      </c>
      <c r="L525" s="109"/>
      <c r="M525" s="109"/>
      <c r="N525" s="109"/>
      <c r="O525" s="109" t="str">
        <f>"$D$"&amp;A525</f>
        <v>$D$136</v>
      </c>
      <c r="P525" s="109" t="str">
        <f>"$I$"&amp;A525</f>
        <v>$I$136</v>
      </c>
      <c r="Q525" s="109"/>
      <c r="R525" s="109"/>
      <c r="S525" s="109"/>
      <c r="T525" s="109">
        <v>25</v>
      </c>
      <c r="U525" s="109" t="b">
        <v>1</v>
      </c>
      <c r="V525" s="109" t="s">
        <v>1342</v>
      </c>
      <c r="W525" s="109" t="s">
        <v>1342</v>
      </c>
      <c r="X525" s="109"/>
      <c r="Y525" s="109"/>
      <c r="Z525" s="109"/>
      <c r="AA525" s="109"/>
      <c r="AB525" s="109"/>
      <c r="AC525" s="109">
        <v>5</v>
      </c>
      <c r="AD525" s="109" t="s">
        <v>105</v>
      </c>
      <c r="AE525" s="109">
        <v>14</v>
      </c>
      <c r="AF525" s="109"/>
      <c r="AG525" s="109" t="s">
        <v>1360</v>
      </c>
      <c r="AH525" s="109" t="s">
        <v>29</v>
      </c>
      <c r="AI525" s="109" t="s">
        <v>28</v>
      </c>
      <c r="AJ525" s="109"/>
      <c r="AK525" s="109" t="s">
        <v>1342</v>
      </c>
      <c r="AL525" s="109">
        <v>5</v>
      </c>
      <c r="AM525" s="109"/>
      <c r="AN525" s="109"/>
      <c r="AO525" s="109"/>
      <c r="AP525" s="109" t="b">
        <v>1</v>
      </c>
      <c r="AQ525" s="296" t="s">
        <v>684</v>
      </c>
      <c r="AR525" s="296"/>
      <c r="AS525" s="296"/>
      <c r="AT525" s="296"/>
      <c r="AU525" s="296"/>
      <c r="AV525" s="296"/>
    </row>
    <row r="526" spans="1:54" ht="16.5" customHeight="1" x14ac:dyDescent="0.2">
      <c r="A526" s="108">
        <f>$A$524+0</f>
        <v>136</v>
      </c>
      <c r="B526" s="110" t="str">
        <f>D526&amp;"Red"</f>
        <v>FP_GevinstejerRed</v>
      </c>
      <c r="C526" s="110" t="s">
        <v>656</v>
      </c>
      <c r="D526" s="110" t="s">
        <v>685</v>
      </c>
      <c r="E526" s="110" t="s">
        <v>683</v>
      </c>
      <c r="F526" s="110"/>
      <c r="G526" s="110" t="s">
        <v>1154</v>
      </c>
      <c r="H526" s="110"/>
      <c r="I526" s="110" t="s">
        <v>1247</v>
      </c>
      <c r="J526" s="110"/>
      <c r="K526" s="110" t="b">
        <v>1</v>
      </c>
      <c r="L526" s="110"/>
      <c r="M526" s="110" t="str">
        <f>"'editNorm """&amp;D526&amp;""","""&amp;B526&amp;""","""&amp;E526&amp;"""'"</f>
        <v>'editNorm "FP_Gevinstejer","FP_GevinstejerRed","Gevinstejer"'</v>
      </c>
      <c r="N526" s="110" t="s">
        <v>59</v>
      </c>
      <c r="O526" s="110" t="str">
        <f>"$L$"&amp;A526</f>
        <v>$L$136</v>
      </c>
      <c r="P526" s="110" t="str">
        <f>"$M$"&amp;A526</f>
        <v>$M$136</v>
      </c>
      <c r="Q526" s="110">
        <v>5</v>
      </c>
      <c r="R526" s="110">
        <v>1</v>
      </c>
      <c r="S526" s="110"/>
      <c r="T526" s="110">
        <v>22</v>
      </c>
      <c r="U526" s="110" t="b">
        <v>1</v>
      </c>
      <c r="V526" s="110" t="s">
        <v>1344</v>
      </c>
      <c r="W526" s="110" t="s">
        <v>1343</v>
      </c>
      <c r="X526" s="110"/>
      <c r="Y526" s="110"/>
      <c r="Z526" s="110"/>
      <c r="AA526" s="110"/>
      <c r="AB526" s="110">
        <v>3</v>
      </c>
      <c r="AC526" s="110">
        <v>5</v>
      </c>
      <c r="AD526" s="110" t="s">
        <v>105</v>
      </c>
      <c r="AE526" s="110">
        <v>12</v>
      </c>
      <c r="AF526" s="110"/>
      <c r="AG526" s="110" t="s">
        <v>1351</v>
      </c>
      <c r="AH526" s="110" t="s">
        <v>29</v>
      </c>
      <c r="AI526" s="110" t="s">
        <v>29</v>
      </c>
      <c r="AJ526" s="110"/>
      <c r="AK526" s="110"/>
      <c r="AL526" s="110"/>
      <c r="AM526" s="110"/>
      <c r="AN526" s="110">
        <v>2</v>
      </c>
      <c r="AO526" s="110"/>
      <c r="AP526" s="110"/>
    </row>
    <row r="527" spans="1:54" ht="16.5" customHeight="1" x14ac:dyDescent="0.2">
      <c r="A527" s="108">
        <f>$A$524+0</f>
        <v>136</v>
      </c>
      <c r="B527" s="110" t="str">
        <f>D527&amp;"Gem"</f>
        <v>FP_GevinstejerGem</v>
      </c>
      <c r="C527" s="110" t="s">
        <v>656</v>
      </c>
      <c r="D527" s="110" t="s">
        <v>685</v>
      </c>
      <c r="E527" s="110" t="s">
        <v>683</v>
      </c>
      <c r="F527" s="110"/>
      <c r="G527" s="110" t="s">
        <v>1154</v>
      </c>
      <c r="H527" s="110"/>
      <c r="I527" s="110" t="s">
        <v>238</v>
      </c>
      <c r="J527" s="110"/>
      <c r="K527" s="110"/>
      <c r="L527" s="110"/>
      <c r="M527" s="110" t="str">
        <f>"'editNorm """&amp;D527&amp;""","""&amp;B527&amp;""","""&amp;E527&amp;"""'"</f>
        <v>'editNorm "FP_Gevinstejer","FP_GevinstejerGem","Gevinstejer"'</v>
      </c>
      <c r="N527" s="110" t="s">
        <v>59</v>
      </c>
      <c r="O527" s="110" t="str">
        <f>"$L$"&amp;A527</f>
        <v>$L$136</v>
      </c>
      <c r="P527" s="110" t="str">
        <f>"$L$"&amp;A527</f>
        <v>$L$136</v>
      </c>
      <c r="Q527" s="110">
        <v>5</v>
      </c>
      <c r="R527" s="110">
        <v>1</v>
      </c>
      <c r="S527" s="110"/>
      <c r="T527" s="110">
        <v>22</v>
      </c>
      <c r="U527" s="110" t="b">
        <v>1</v>
      </c>
      <c r="V527" s="110" t="s">
        <v>1345</v>
      </c>
      <c r="W527" s="110" t="s">
        <v>1343</v>
      </c>
      <c r="X527" s="110"/>
      <c r="Y527" s="110"/>
      <c r="Z527" s="110"/>
      <c r="AA527" s="110"/>
      <c r="AB527" s="110">
        <v>3</v>
      </c>
      <c r="AC527" s="110">
        <v>5</v>
      </c>
      <c r="AD527" s="110" t="s">
        <v>105</v>
      </c>
      <c r="AE527" s="110">
        <v>12</v>
      </c>
      <c r="AF527" s="110"/>
      <c r="AG527" s="110" t="s">
        <v>1351</v>
      </c>
      <c r="AH527" s="110" t="s">
        <v>29</v>
      </c>
      <c r="AI527" s="110" t="s">
        <v>29</v>
      </c>
      <c r="AJ527" s="110"/>
      <c r="AK527" s="110"/>
      <c r="AL527" s="110"/>
      <c r="AM527" s="110"/>
      <c r="AN527" s="110">
        <v>2</v>
      </c>
      <c r="AO527" s="110"/>
      <c r="AP527" s="110"/>
    </row>
    <row r="528" spans="1:54" ht="16.5" customHeight="1" x14ac:dyDescent="0.2">
      <c r="A528" s="108">
        <f>$A$524+0</f>
        <v>136</v>
      </c>
      <c r="B528" s="110" t="str">
        <f>D528&amp;"Cancel"</f>
        <v>FP_GevinstejerCancel</v>
      </c>
      <c r="C528" s="110" t="s">
        <v>656</v>
      </c>
      <c r="D528" s="110" t="s">
        <v>685</v>
      </c>
      <c r="E528" s="110" t="s">
        <v>683</v>
      </c>
      <c r="F528" s="110"/>
      <c r="G528" s="110" t="s">
        <v>1154</v>
      </c>
      <c r="H528" s="110"/>
      <c r="I528" s="110" t="s">
        <v>838</v>
      </c>
      <c r="J528" s="110"/>
      <c r="K528" s="110"/>
      <c r="L528" s="110"/>
      <c r="M528" s="110" t="str">
        <f>"'editNorm """&amp;D528&amp;""","""&amp;B528&amp;""","""&amp;E528&amp;"""'"</f>
        <v>'editNorm "FP_Gevinstejer","FP_GevinstejerCancel","Gevinstejer"'</v>
      </c>
      <c r="N528" s="110" t="s">
        <v>59</v>
      </c>
      <c r="O528" s="110" t="str">
        <f>"$M$"&amp;A528</f>
        <v>$M$136</v>
      </c>
      <c r="P528" s="110" t="str">
        <f>"$M$"&amp;A528</f>
        <v>$M$136</v>
      </c>
      <c r="Q528" s="110">
        <v>7</v>
      </c>
      <c r="R528" s="110">
        <v>1</v>
      </c>
      <c r="S528" s="110"/>
      <c r="T528" s="110">
        <v>22</v>
      </c>
      <c r="U528" s="110" t="b">
        <v>1</v>
      </c>
      <c r="V528" s="110" t="s">
        <v>1344</v>
      </c>
      <c r="W528" s="110" t="s">
        <v>1343</v>
      </c>
      <c r="X528" s="110"/>
      <c r="Y528" s="110"/>
      <c r="Z528" s="110"/>
      <c r="AA528" s="110"/>
      <c r="AB528" s="110">
        <v>3</v>
      </c>
      <c r="AC528" s="110">
        <v>5</v>
      </c>
      <c r="AD528" s="110" t="s">
        <v>105</v>
      </c>
      <c r="AE528" s="110">
        <v>12</v>
      </c>
      <c r="AF528" s="110"/>
      <c r="AG528" s="110" t="s">
        <v>1351</v>
      </c>
      <c r="AH528" s="110" t="s">
        <v>29</v>
      </c>
      <c r="AI528" s="110" t="s">
        <v>29</v>
      </c>
      <c r="AJ528" s="110"/>
      <c r="AK528" s="110"/>
      <c r="AL528" s="110"/>
      <c r="AM528" s="110"/>
      <c r="AN528" s="110">
        <v>2</v>
      </c>
      <c r="AO528" s="110"/>
      <c r="AP528" s="110"/>
    </row>
    <row r="529" spans="1:48" ht="16.5" customHeight="1" x14ac:dyDescent="0.2">
      <c r="A529" s="108">
        <f>$A$524+0</f>
        <v>136</v>
      </c>
      <c r="B529" s="110" t="str">
        <f>D529&amp;"Delete"</f>
        <v>FP_GevinstejerDelete</v>
      </c>
      <c r="C529" s="110" t="s">
        <v>656</v>
      </c>
      <c r="D529" s="110" t="s">
        <v>685</v>
      </c>
      <c r="E529" s="110" t="s">
        <v>683</v>
      </c>
      <c r="F529" s="110"/>
      <c r="G529" s="110" t="s">
        <v>1154</v>
      </c>
      <c r="H529" s="110"/>
      <c r="I529" s="110" t="s">
        <v>839</v>
      </c>
      <c r="J529" s="110"/>
      <c r="K529" s="110"/>
      <c r="L529" s="110"/>
      <c r="M529" s="110" t="str">
        <f>"'editNorm """&amp;D529&amp;""","""&amp;B529&amp;""","""&amp;E529&amp;"""'"</f>
        <v>'editNorm "FP_Gevinstejer","FP_GevinstejerDelete","Gevinstejer"'</v>
      </c>
      <c r="N529" s="110" t="s">
        <v>59</v>
      </c>
      <c r="O529" s="110" t="str">
        <f>"$N$"&amp;A529</f>
        <v>$N$136</v>
      </c>
      <c r="P529" s="110" t="str">
        <f>"$N$"&amp;A529</f>
        <v>$N$136</v>
      </c>
      <c r="Q529" s="110">
        <v>7</v>
      </c>
      <c r="R529" s="110">
        <v>1</v>
      </c>
      <c r="S529" s="110"/>
      <c r="T529" s="110">
        <v>22</v>
      </c>
      <c r="U529" s="110" t="b">
        <v>1</v>
      </c>
      <c r="V529" s="110" t="s">
        <v>1346</v>
      </c>
      <c r="W529" s="110" t="s">
        <v>1343</v>
      </c>
      <c r="X529" s="110"/>
      <c r="Y529" s="110"/>
      <c r="Z529" s="110"/>
      <c r="AA529" s="110"/>
      <c r="AB529" s="110">
        <v>3</v>
      </c>
      <c r="AC529" s="110">
        <v>5</v>
      </c>
      <c r="AD529" s="110" t="s">
        <v>105</v>
      </c>
      <c r="AE529" s="110">
        <v>12</v>
      </c>
      <c r="AF529" s="110"/>
      <c r="AG529" s="110" t="s">
        <v>1351</v>
      </c>
      <c r="AH529" s="110" t="s">
        <v>29</v>
      </c>
      <c r="AI529" s="110" t="s">
        <v>29</v>
      </c>
      <c r="AJ529" s="110"/>
      <c r="AK529" s="110"/>
      <c r="AL529" s="110"/>
      <c r="AM529" s="110"/>
      <c r="AN529" s="110">
        <v>2</v>
      </c>
      <c r="AO529" s="110"/>
      <c r="AP529" s="110"/>
    </row>
    <row r="530" spans="1:48" ht="16.5" customHeight="1" x14ac:dyDescent="0.2">
      <c r="A530" s="108">
        <f>$A$524+1</f>
        <v>137</v>
      </c>
      <c r="B530" s="106" t="s">
        <v>686</v>
      </c>
      <c r="C530" s="106" t="s">
        <v>655</v>
      </c>
      <c r="D530" s="106"/>
      <c r="E530" s="106" t="s">
        <v>683</v>
      </c>
      <c r="F530" s="106"/>
      <c r="G530" s="106" t="s">
        <v>1154</v>
      </c>
      <c r="H530" s="106"/>
      <c r="I530" s="106"/>
      <c r="J530" s="106"/>
      <c r="K530" s="106" t="b">
        <v>1</v>
      </c>
      <c r="L530" s="106"/>
      <c r="M530" s="106"/>
      <c r="N530" s="106" t="s">
        <v>59</v>
      </c>
      <c r="O530" s="106" t="str">
        <f>"$D$"&amp;A530</f>
        <v>$D$137</v>
      </c>
      <c r="P530" s="106" t="str">
        <f>"$M$"&amp;A530+1</f>
        <v>$M$138</v>
      </c>
      <c r="Q530" s="106"/>
      <c r="R530" s="106">
        <v>2</v>
      </c>
      <c r="S530" s="106"/>
      <c r="T530" s="106">
        <v>2</v>
      </c>
      <c r="U530" s="106" t="b">
        <v>1</v>
      </c>
      <c r="V530" s="106" t="s">
        <v>1344</v>
      </c>
      <c r="W530" s="106" t="s">
        <v>1343</v>
      </c>
      <c r="X530" s="106"/>
      <c r="Y530" s="106"/>
      <c r="Z530" s="106"/>
      <c r="AA530" s="106"/>
      <c r="AB530" s="106"/>
      <c r="AC530" s="106"/>
      <c r="AD530" s="106"/>
      <c r="AE530" s="106"/>
      <c r="AF530" s="106"/>
      <c r="AG530" s="106"/>
      <c r="AH530" s="106"/>
      <c r="AI530" s="106"/>
      <c r="AJ530" s="106"/>
      <c r="AK530" s="106"/>
      <c r="AL530" s="106"/>
      <c r="AM530" s="106"/>
      <c r="AN530" s="106"/>
      <c r="AO530" s="106"/>
      <c r="AP530" s="106"/>
    </row>
    <row r="531" spans="1:48" ht="16.5" customHeight="1" x14ac:dyDescent="0.2">
      <c r="A531" s="109">
        <f>$A$530+-1</f>
        <v>136</v>
      </c>
      <c r="B531" s="109" t="s">
        <v>842</v>
      </c>
      <c r="C531" s="109" t="s">
        <v>96</v>
      </c>
      <c r="D531" s="109"/>
      <c r="E531" s="109" t="s">
        <v>683</v>
      </c>
      <c r="F531" s="109"/>
      <c r="G531" s="109" t="s">
        <v>1154</v>
      </c>
      <c r="H531" s="109">
        <v>1</v>
      </c>
      <c r="I531" s="109"/>
      <c r="J531" s="109" t="b">
        <f t="shared" ref="J531:J536" si="60">$E$4</f>
        <v>1</v>
      </c>
      <c r="K531" s="109" t="b">
        <v>1</v>
      </c>
      <c r="L531" s="109"/>
      <c r="M531" s="109"/>
      <c r="N531" s="109"/>
      <c r="O531" s="109" t="str">
        <f>"$D$"&amp;A531</f>
        <v>$D$136</v>
      </c>
      <c r="P531" s="109" t="str">
        <f>"$I$"&amp;A531</f>
        <v>$I$136</v>
      </c>
      <c r="Q531" s="109"/>
      <c r="R531" s="109"/>
      <c r="S531" s="109"/>
      <c r="T531" s="109">
        <v>25</v>
      </c>
      <c r="U531" s="109" t="b">
        <v>1</v>
      </c>
      <c r="V531" s="109" t="s">
        <v>1342</v>
      </c>
      <c r="W531" s="109" t="s">
        <v>1342</v>
      </c>
      <c r="X531" s="109"/>
      <c r="Y531" s="109"/>
      <c r="Z531" s="109"/>
      <c r="AA531" s="109"/>
      <c r="AB531" s="109"/>
      <c r="AC531" s="109">
        <v>5</v>
      </c>
      <c r="AD531" s="109" t="s">
        <v>105</v>
      </c>
      <c r="AE531" s="109">
        <v>14</v>
      </c>
      <c r="AF531" s="109"/>
      <c r="AG531" s="109" t="s">
        <v>1360</v>
      </c>
      <c r="AH531" s="109" t="s">
        <v>29</v>
      </c>
      <c r="AI531" s="109" t="s">
        <v>28</v>
      </c>
      <c r="AJ531" s="109"/>
      <c r="AK531" s="109" t="s">
        <v>1342</v>
      </c>
      <c r="AL531" s="109">
        <v>5</v>
      </c>
      <c r="AM531" s="109"/>
      <c r="AN531" s="109"/>
      <c r="AO531" s="109"/>
      <c r="AP531" s="109" t="b">
        <v>1</v>
      </c>
      <c r="AQ531" s="296" t="s">
        <v>684</v>
      </c>
      <c r="AR531" s="296"/>
      <c r="AS531" s="296"/>
      <c r="AT531" s="296"/>
      <c r="AU531" s="296"/>
      <c r="AV531" s="296"/>
    </row>
    <row r="532" spans="1:48" ht="16.5" customHeight="1" x14ac:dyDescent="0.2">
      <c r="A532" s="110">
        <f>$A$530+-1</f>
        <v>136</v>
      </c>
      <c r="B532" s="110" t="str">
        <f>D532&amp;"Red"</f>
        <v>FP_Gevinstejer_1Red</v>
      </c>
      <c r="C532" s="110" t="s">
        <v>656</v>
      </c>
      <c r="D532" s="110" t="s">
        <v>842</v>
      </c>
      <c r="E532" s="110" t="s">
        <v>683</v>
      </c>
      <c r="F532" s="110"/>
      <c r="G532" s="110" t="s">
        <v>1154</v>
      </c>
      <c r="H532" s="110">
        <v>1</v>
      </c>
      <c r="I532" s="110" t="s">
        <v>1247</v>
      </c>
      <c r="J532" s="110" t="b">
        <f t="shared" si="60"/>
        <v>1</v>
      </c>
      <c r="K532" s="110" t="b">
        <v>1</v>
      </c>
      <c r="L532" s="110"/>
      <c r="M532" s="110" t="str">
        <f>"'editNorm """&amp;D532&amp;""","""&amp;B532&amp;""","""&amp;E532&amp;"""'"</f>
        <v>'editNorm "FP_Gevinstejer_1","FP_Gevinstejer_1Red","Gevinstejer"'</v>
      </c>
      <c r="N532" s="110" t="s">
        <v>59</v>
      </c>
      <c r="O532" s="110" t="str">
        <f>"$L$"&amp;A532</f>
        <v>$L$136</v>
      </c>
      <c r="P532" s="110" t="str">
        <f>"$M$"&amp;A532</f>
        <v>$M$136</v>
      </c>
      <c r="Q532" s="110">
        <v>5</v>
      </c>
      <c r="R532" s="110">
        <v>1</v>
      </c>
      <c r="S532" s="110"/>
      <c r="T532" s="110">
        <v>22</v>
      </c>
      <c r="U532" s="110" t="b">
        <v>1</v>
      </c>
      <c r="V532" s="110" t="s">
        <v>1344</v>
      </c>
      <c r="W532" s="110" t="s">
        <v>1343</v>
      </c>
      <c r="X532" s="110"/>
      <c r="Y532" s="110"/>
      <c r="Z532" s="110"/>
      <c r="AA532" s="110"/>
      <c r="AB532" s="110">
        <v>3</v>
      </c>
      <c r="AC532" s="110">
        <v>5</v>
      </c>
      <c r="AD532" s="110" t="s">
        <v>105</v>
      </c>
      <c r="AE532" s="110">
        <v>12</v>
      </c>
      <c r="AF532" s="110"/>
      <c r="AG532" s="110" t="s">
        <v>1351</v>
      </c>
      <c r="AH532" s="110" t="s">
        <v>29</v>
      </c>
      <c r="AI532" s="110" t="s">
        <v>29</v>
      </c>
      <c r="AJ532" s="110"/>
      <c r="AK532" s="110"/>
      <c r="AL532" s="110"/>
      <c r="AM532" s="110"/>
      <c r="AN532" s="110">
        <v>2</v>
      </c>
      <c r="AO532" s="110"/>
      <c r="AP532" s="110"/>
    </row>
    <row r="533" spans="1:48" ht="16.5" customHeight="1" x14ac:dyDescent="0.2">
      <c r="A533" s="110">
        <f>$A$530+-1</f>
        <v>136</v>
      </c>
      <c r="B533" s="110" t="str">
        <f>D533&amp;"Gem"</f>
        <v>FP_Gevinstejer_1Gem</v>
      </c>
      <c r="C533" s="110" t="s">
        <v>656</v>
      </c>
      <c r="D533" s="110" t="s">
        <v>842</v>
      </c>
      <c r="E533" s="110" t="s">
        <v>683</v>
      </c>
      <c r="F533" s="110"/>
      <c r="G533" s="110" t="s">
        <v>1154</v>
      </c>
      <c r="H533" s="110">
        <v>1</v>
      </c>
      <c r="I533" s="110" t="s">
        <v>238</v>
      </c>
      <c r="J533" s="110" t="b">
        <f t="shared" si="60"/>
        <v>1</v>
      </c>
      <c r="K533" s="110"/>
      <c r="L533" s="110"/>
      <c r="M533" s="110" t="str">
        <f>"'editNorm """&amp;D533&amp;""","""&amp;B533&amp;""","""&amp;E533&amp;"""'"</f>
        <v>'editNorm "FP_Gevinstejer_1","FP_Gevinstejer_1Gem","Gevinstejer"'</v>
      </c>
      <c r="N533" s="110" t="s">
        <v>59</v>
      </c>
      <c r="O533" s="110" t="str">
        <f>"$L$"&amp;A533</f>
        <v>$L$136</v>
      </c>
      <c r="P533" s="110" t="str">
        <f>"$L$"&amp;A533</f>
        <v>$L$136</v>
      </c>
      <c r="Q533" s="110">
        <v>5</v>
      </c>
      <c r="R533" s="110">
        <v>1</v>
      </c>
      <c r="S533" s="110"/>
      <c r="T533" s="110">
        <v>22</v>
      </c>
      <c r="U533" s="110" t="b">
        <v>1</v>
      </c>
      <c r="V533" s="110" t="s">
        <v>1345</v>
      </c>
      <c r="W533" s="110" t="s">
        <v>1343</v>
      </c>
      <c r="X533" s="110"/>
      <c r="Y533" s="110"/>
      <c r="Z533" s="110"/>
      <c r="AA533" s="110"/>
      <c r="AB533" s="110">
        <v>3</v>
      </c>
      <c r="AC533" s="110">
        <v>5</v>
      </c>
      <c r="AD533" s="110" t="s">
        <v>105</v>
      </c>
      <c r="AE533" s="110">
        <v>12</v>
      </c>
      <c r="AF533" s="110"/>
      <c r="AG533" s="110" t="s">
        <v>1351</v>
      </c>
      <c r="AH533" s="110" t="s">
        <v>29</v>
      </c>
      <c r="AI533" s="110" t="s">
        <v>29</v>
      </c>
      <c r="AJ533" s="110"/>
      <c r="AK533" s="110"/>
      <c r="AL533" s="110"/>
      <c r="AM533" s="110"/>
      <c r="AN533" s="110">
        <v>2</v>
      </c>
      <c r="AO533" s="110"/>
      <c r="AP533" s="110"/>
    </row>
    <row r="534" spans="1:48" ht="16.5" customHeight="1" x14ac:dyDescent="0.2">
      <c r="A534" s="110">
        <f>$A$530+-1</f>
        <v>136</v>
      </c>
      <c r="B534" s="110" t="str">
        <f>D534&amp;"Cancel"</f>
        <v>FP_Gevinstejer_1Cancel</v>
      </c>
      <c r="C534" s="110" t="s">
        <v>656</v>
      </c>
      <c r="D534" s="110" t="s">
        <v>842</v>
      </c>
      <c r="E534" s="110" t="s">
        <v>683</v>
      </c>
      <c r="F534" s="110"/>
      <c r="G534" s="110" t="s">
        <v>1154</v>
      </c>
      <c r="H534" s="110">
        <v>1</v>
      </c>
      <c r="I534" s="110" t="s">
        <v>838</v>
      </c>
      <c r="J534" s="110" t="b">
        <f t="shared" si="60"/>
        <v>1</v>
      </c>
      <c r="K534" s="110"/>
      <c r="L534" s="110"/>
      <c r="M534" s="110" t="str">
        <f>"'editNorm """&amp;D534&amp;""","""&amp;B534&amp;""","""&amp;E534&amp;"""'"</f>
        <v>'editNorm "FP_Gevinstejer_1","FP_Gevinstejer_1Cancel","Gevinstejer"'</v>
      </c>
      <c r="N534" s="110" t="s">
        <v>59</v>
      </c>
      <c r="O534" s="110" t="str">
        <f>"$M$"&amp;A534</f>
        <v>$M$136</v>
      </c>
      <c r="P534" s="110" t="str">
        <f>"$M$"&amp;A534</f>
        <v>$M$136</v>
      </c>
      <c r="Q534" s="110">
        <v>7</v>
      </c>
      <c r="R534" s="110">
        <v>1</v>
      </c>
      <c r="S534" s="110"/>
      <c r="T534" s="110">
        <v>22</v>
      </c>
      <c r="U534" s="110" t="b">
        <v>1</v>
      </c>
      <c r="V534" s="110" t="s">
        <v>1344</v>
      </c>
      <c r="W534" s="110" t="s">
        <v>1343</v>
      </c>
      <c r="X534" s="110"/>
      <c r="Y534" s="110"/>
      <c r="Z534" s="110"/>
      <c r="AA534" s="110"/>
      <c r="AB534" s="110">
        <v>3</v>
      </c>
      <c r="AC534" s="110">
        <v>5</v>
      </c>
      <c r="AD534" s="110" t="s">
        <v>105</v>
      </c>
      <c r="AE534" s="110">
        <v>12</v>
      </c>
      <c r="AF534" s="110"/>
      <c r="AG534" s="110" t="s">
        <v>1351</v>
      </c>
      <c r="AH534" s="110" t="s">
        <v>29</v>
      </c>
      <c r="AI534" s="110" t="s">
        <v>29</v>
      </c>
      <c r="AJ534" s="110"/>
      <c r="AK534" s="110"/>
      <c r="AL534" s="110"/>
      <c r="AM534" s="110"/>
      <c r="AN534" s="110">
        <v>2</v>
      </c>
      <c r="AO534" s="110"/>
      <c r="AP534" s="110"/>
    </row>
    <row r="535" spans="1:48" ht="16.5" customHeight="1" x14ac:dyDescent="0.2">
      <c r="A535" s="110">
        <f>$A$530+-1</f>
        <v>136</v>
      </c>
      <c r="B535" s="110" t="str">
        <f>D535&amp;"Delete"</f>
        <v>FP_Gevinstejer_1Delete</v>
      </c>
      <c r="C535" s="110" t="s">
        <v>656</v>
      </c>
      <c r="D535" s="110" t="s">
        <v>842</v>
      </c>
      <c r="E535" s="110" t="s">
        <v>683</v>
      </c>
      <c r="F535" s="110"/>
      <c r="G535" s="110" t="s">
        <v>1154</v>
      </c>
      <c r="H535" s="110">
        <v>1</v>
      </c>
      <c r="I535" s="110" t="s">
        <v>839</v>
      </c>
      <c r="J535" s="110" t="b">
        <f t="shared" si="60"/>
        <v>1</v>
      </c>
      <c r="K535" s="110"/>
      <c r="L535" s="110"/>
      <c r="M535" s="110" t="str">
        <f>"'editNorm """&amp;D535&amp;""","""&amp;B535&amp;""","""&amp;E535&amp;"""'"</f>
        <v>'editNorm "FP_Gevinstejer_1","FP_Gevinstejer_1Delete","Gevinstejer"'</v>
      </c>
      <c r="N535" s="110" t="s">
        <v>59</v>
      </c>
      <c r="O535" s="110" t="str">
        <f>"$N$"&amp;A535</f>
        <v>$N$136</v>
      </c>
      <c r="P535" s="110" t="str">
        <f>"$N$"&amp;A535</f>
        <v>$N$136</v>
      </c>
      <c r="Q535" s="110">
        <v>7</v>
      </c>
      <c r="R535" s="110">
        <v>1</v>
      </c>
      <c r="S535" s="110"/>
      <c r="T535" s="110">
        <v>22</v>
      </c>
      <c r="U535" s="110" t="b">
        <v>1</v>
      </c>
      <c r="V535" s="110" t="s">
        <v>1346</v>
      </c>
      <c r="W535" s="110" t="s">
        <v>1343</v>
      </c>
      <c r="X535" s="110"/>
      <c r="Y535" s="110"/>
      <c r="Z535" s="110"/>
      <c r="AA535" s="110"/>
      <c r="AB535" s="110">
        <v>3</v>
      </c>
      <c r="AC535" s="110">
        <v>5</v>
      </c>
      <c r="AD535" s="110" t="s">
        <v>105</v>
      </c>
      <c r="AE535" s="110">
        <v>12</v>
      </c>
      <c r="AF535" s="110"/>
      <c r="AG535" s="110" t="s">
        <v>1351</v>
      </c>
      <c r="AH535" s="110" t="s">
        <v>29</v>
      </c>
      <c r="AI535" s="110" t="s">
        <v>29</v>
      </c>
      <c r="AJ535" s="110"/>
      <c r="AK535" s="110"/>
      <c r="AL535" s="110"/>
      <c r="AM535" s="110"/>
      <c r="AN535" s="110">
        <v>2</v>
      </c>
      <c r="AO535" s="110"/>
      <c r="AP535" s="110"/>
    </row>
    <row r="536" spans="1:48" ht="16.5" customHeight="1" x14ac:dyDescent="0.2">
      <c r="A536" s="106">
        <f>$A$530+0</f>
        <v>137</v>
      </c>
      <c r="B536" s="106" t="s">
        <v>843</v>
      </c>
      <c r="C536" s="106" t="s">
        <v>655</v>
      </c>
      <c r="D536" s="106"/>
      <c r="E536" s="106" t="s">
        <v>683</v>
      </c>
      <c r="F536" s="106"/>
      <c r="G536" s="106" t="s">
        <v>1154</v>
      </c>
      <c r="H536" s="106">
        <v>1</v>
      </c>
      <c r="I536" s="106"/>
      <c r="J536" s="106" t="b">
        <f t="shared" si="60"/>
        <v>1</v>
      </c>
      <c r="K536" s="106" t="b">
        <v>1</v>
      </c>
      <c r="L536" s="106"/>
      <c r="M536" s="106"/>
      <c r="N536" s="106" t="s">
        <v>59</v>
      </c>
      <c r="O536" s="106" t="str">
        <f>"$D$"&amp;A536</f>
        <v>$D$137</v>
      </c>
      <c r="P536" s="106" t="str">
        <f>"$M$"&amp;A536+1</f>
        <v>$M$138</v>
      </c>
      <c r="Q536" s="106"/>
      <c r="R536" s="106">
        <v>2</v>
      </c>
      <c r="S536" s="106"/>
      <c r="T536" s="106">
        <v>2</v>
      </c>
      <c r="U536" s="106" t="b">
        <v>1</v>
      </c>
      <c r="V536" s="106" t="s">
        <v>1344</v>
      </c>
      <c r="W536" s="106" t="s">
        <v>1343</v>
      </c>
      <c r="X536" s="106"/>
      <c r="Y536" s="106"/>
      <c r="Z536" s="106"/>
      <c r="AA536" s="106"/>
      <c r="AB536" s="106"/>
      <c r="AC536" s="106"/>
      <c r="AD536" s="106"/>
      <c r="AE536" s="106"/>
      <c r="AF536" s="106"/>
      <c r="AG536" s="106"/>
      <c r="AH536" s="106"/>
      <c r="AI536" s="106"/>
      <c r="AJ536" s="106"/>
      <c r="AK536" s="106"/>
      <c r="AL536" s="106"/>
      <c r="AM536" s="106"/>
      <c r="AN536" s="106"/>
      <c r="AO536" s="106"/>
      <c r="AP536" s="106"/>
    </row>
    <row r="537" spans="1:48" ht="16.5" customHeight="1" x14ac:dyDescent="0.2">
      <c r="A537" s="107">
        <f>$O$524+(P524-O524+1)*(H524-1)-1</f>
        <v>138</v>
      </c>
      <c r="B537" s="107" t="s">
        <v>683</v>
      </c>
      <c r="C537" s="107" t="s">
        <v>663</v>
      </c>
      <c r="D537" s="107"/>
      <c r="E537" s="107"/>
      <c r="F537" s="107"/>
      <c r="G537" s="107" t="s">
        <v>1154</v>
      </c>
      <c r="H537" s="107"/>
      <c r="I537" s="107"/>
      <c r="J537" s="107" t="b">
        <f t="shared" ref="J537:J542" si="61">$E$4</f>
        <v>1</v>
      </c>
      <c r="K537" s="107"/>
      <c r="L537" s="107"/>
      <c r="M537" s="107"/>
      <c r="N537" s="107"/>
      <c r="O537" s="107"/>
      <c r="P537" s="107"/>
      <c r="Q537" s="107"/>
      <c r="R537" s="107"/>
      <c r="S537" s="107"/>
      <c r="T537" s="107"/>
      <c r="U537" s="107"/>
      <c r="V537" s="107"/>
      <c r="W537" s="107"/>
      <c r="X537" s="107"/>
      <c r="Y537" s="107"/>
      <c r="Z537" s="107"/>
      <c r="AA537" s="107"/>
      <c r="AB537" s="107"/>
      <c r="AC537" s="107"/>
      <c r="AD537" s="107"/>
      <c r="AE537" s="107"/>
      <c r="AF537" s="107"/>
      <c r="AG537" s="107"/>
      <c r="AH537" s="107"/>
      <c r="AI537" s="107"/>
      <c r="AJ537" s="107"/>
      <c r="AK537" s="107"/>
      <c r="AL537" s="107"/>
      <c r="AM537" s="107"/>
      <c r="AN537" s="107"/>
      <c r="AO537" s="107"/>
      <c r="AP537" s="107"/>
    </row>
    <row r="538" spans="1:48" ht="16.5" customHeight="1" x14ac:dyDescent="0.2">
      <c r="A538" s="110">
        <f>$A$537+1</f>
        <v>139</v>
      </c>
      <c r="B538" s="110" t="s">
        <v>690</v>
      </c>
      <c r="C538" s="110" t="s">
        <v>656</v>
      </c>
      <c r="D538" s="110"/>
      <c r="E538" s="110" t="s">
        <v>683</v>
      </c>
      <c r="F538" s="110"/>
      <c r="G538" s="110" t="s">
        <v>1154</v>
      </c>
      <c r="H538" s="110"/>
      <c r="I538" s="110" t="s">
        <v>199</v>
      </c>
      <c r="J538" s="110" t="b">
        <f t="shared" si="61"/>
        <v>1</v>
      </c>
      <c r="K538" s="110" t="b">
        <v>1</v>
      </c>
      <c r="L538" s="110"/>
      <c r="M538" s="110" t="str">
        <f>"'groupAdd """&amp;E538&amp;"""'"</f>
        <v>'groupAdd "Gevinstejer"'</v>
      </c>
      <c r="N538" s="110" t="s">
        <v>59</v>
      </c>
      <c r="O538" s="110" t="str">
        <f>"$L$"&amp;A538</f>
        <v>$L$139</v>
      </c>
      <c r="P538" s="110" t="str">
        <f>"$M$"&amp;A538</f>
        <v>$M$139</v>
      </c>
      <c r="Q538" s="110">
        <v>5</v>
      </c>
      <c r="R538" s="110">
        <v>1</v>
      </c>
      <c r="S538" s="110"/>
      <c r="T538" s="110">
        <v>22</v>
      </c>
      <c r="U538" s="110" t="b">
        <v>1</v>
      </c>
      <c r="V538" s="110" t="s">
        <v>1344</v>
      </c>
      <c r="W538" s="110" t="s">
        <v>1343</v>
      </c>
      <c r="X538" s="110"/>
      <c r="Y538" s="110"/>
      <c r="Z538" s="110"/>
      <c r="AA538" s="110"/>
      <c r="AB538" s="110">
        <v>3</v>
      </c>
      <c r="AC538" s="110">
        <v>5</v>
      </c>
      <c r="AD538" s="110" t="s">
        <v>105</v>
      </c>
      <c r="AE538" s="110">
        <v>12</v>
      </c>
      <c r="AF538" s="110"/>
      <c r="AG538" s="110" t="s">
        <v>1351</v>
      </c>
      <c r="AH538" s="110" t="s">
        <v>29</v>
      </c>
      <c r="AI538" s="110" t="s">
        <v>29</v>
      </c>
      <c r="AJ538" s="110"/>
      <c r="AK538" s="110"/>
      <c r="AL538" s="110"/>
      <c r="AM538" s="110"/>
      <c r="AN538" s="110">
        <v>2</v>
      </c>
      <c r="AO538" s="110"/>
      <c r="AP538" s="110"/>
    </row>
    <row r="539" spans="1:48" ht="16.5" customHeight="1" x14ac:dyDescent="0.2">
      <c r="A539" s="81">
        <f>$A$537+3</f>
        <v>141</v>
      </c>
      <c r="B539" s="81" t="s">
        <v>1226</v>
      </c>
      <c r="C539" s="81" t="s">
        <v>512</v>
      </c>
      <c r="D539" s="81" t="s">
        <v>902</v>
      </c>
      <c r="E539" s="81"/>
      <c r="F539" s="81"/>
      <c r="G539" s="81" t="s">
        <v>1154</v>
      </c>
      <c r="H539" s="81"/>
      <c r="I539" s="81"/>
      <c r="J539" s="81" t="b">
        <f t="shared" si="61"/>
        <v>1</v>
      </c>
      <c r="K539" s="81" t="b">
        <v>1</v>
      </c>
      <c r="L539" s="81" t="b">
        <v>1</v>
      </c>
      <c r="M539" s="81"/>
      <c r="N539" s="81" t="s">
        <v>59</v>
      </c>
      <c r="O539" s="81" t="str">
        <f>"$A$"&amp;A539</f>
        <v>$A$141</v>
      </c>
      <c r="P539" s="81" t="str">
        <f>"$A$"&amp;A560-1</f>
        <v>$A$152</v>
      </c>
      <c r="Q539" s="81"/>
      <c r="R539" s="81">
        <v>1</v>
      </c>
      <c r="S539" s="81">
        <v>20</v>
      </c>
      <c r="T539" s="81"/>
      <c r="U539" s="81" t="b">
        <f>$I$5</f>
        <v>0</v>
      </c>
      <c r="V539" s="81" t="s">
        <v>1349</v>
      </c>
      <c r="W539" s="81" t="s">
        <v>1349</v>
      </c>
      <c r="X539" s="81"/>
      <c r="Y539" s="81"/>
      <c r="Z539" s="81"/>
      <c r="AA539" s="81"/>
      <c r="AB539" s="81"/>
      <c r="AC539" s="81"/>
      <c r="AD539" s="81"/>
      <c r="AE539" s="81"/>
      <c r="AF539" s="81"/>
      <c r="AG539" s="81"/>
      <c r="AH539" s="81"/>
      <c r="AI539" s="81"/>
      <c r="AJ539" s="81"/>
      <c r="AK539" s="81"/>
      <c r="AL539" s="81">
        <v>10</v>
      </c>
      <c r="AM539" s="81">
        <v>5</v>
      </c>
      <c r="AN539" s="81"/>
      <c r="AO539" s="81"/>
      <c r="AP539" s="81"/>
    </row>
    <row r="540" spans="1:48" ht="16.5" customHeight="1" x14ac:dyDescent="0.2">
      <c r="A540" s="103">
        <f>$A$537+3</f>
        <v>141</v>
      </c>
      <c r="B540" s="103" t="s">
        <v>832</v>
      </c>
      <c r="C540" s="103" t="s">
        <v>654</v>
      </c>
      <c r="D540" s="103"/>
      <c r="E540" s="103"/>
      <c r="F540" s="103"/>
      <c r="G540" s="103" t="s">
        <v>1154</v>
      </c>
      <c r="H540" s="103" t="s">
        <v>1511</v>
      </c>
      <c r="I540" s="103" t="s">
        <v>833</v>
      </c>
      <c r="J540" s="103" t="b">
        <f t="shared" si="61"/>
        <v>1</v>
      </c>
      <c r="K540" s="103" t="b">
        <v>1</v>
      </c>
      <c r="L540" s="103" t="b">
        <v>0</v>
      </c>
      <c r="M540" s="103" t="str">
        <f>"'expand """&amp;B540&amp;""","""&amp;G540&amp;""",TRUE'"</f>
        <v>'expand "FP_Main1Projecter","Forside",TRUE'</v>
      </c>
      <c r="N540" s="103" t="s">
        <v>59</v>
      </c>
      <c r="O540" s="103" t="str">
        <f>"$B$"&amp;A540</f>
        <v>$B$141</v>
      </c>
      <c r="P540" s="103" t="str">
        <f>"$M$" &amp;A560-1</f>
        <v>$M$152</v>
      </c>
      <c r="Q540" s="103"/>
      <c r="R540" s="103">
        <v>1</v>
      </c>
      <c r="S540" s="103"/>
      <c r="T540" s="103">
        <v>40</v>
      </c>
      <c r="U540" s="103" t="b">
        <v>1</v>
      </c>
      <c r="V540" s="103" t="s">
        <v>1344</v>
      </c>
      <c r="W540" s="103" t="s">
        <v>1343</v>
      </c>
      <c r="X540" s="103"/>
      <c r="Y540" s="103"/>
      <c r="Z540" s="103"/>
      <c r="AA540" s="103"/>
      <c r="AB540" s="103"/>
      <c r="AC540" s="103">
        <v>30</v>
      </c>
      <c r="AD540" s="103"/>
      <c r="AE540" s="103">
        <v>18</v>
      </c>
      <c r="AF540" s="103" t="b">
        <v>0</v>
      </c>
      <c r="AG540" s="103" t="s">
        <v>1351</v>
      </c>
      <c r="AH540" s="103" t="s">
        <v>29</v>
      </c>
      <c r="AI540" s="103" t="s">
        <v>28</v>
      </c>
      <c r="AJ540" s="103"/>
      <c r="AK540" s="103"/>
      <c r="AL540" s="103"/>
      <c r="AM540" s="103"/>
      <c r="AN540" s="103">
        <v>8</v>
      </c>
      <c r="AO540" s="103">
        <v>225</v>
      </c>
      <c r="AP540" s="103"/>
    </row>
    <row r="541" spans="1:48" ht="16.5" customHeight="1" x14ac:dyDescent="0.2">
      <c r="A541" s="100">
        <f>$A$540+2</f>
        <v>143</v>
      </c>
      <c r="B541" s="100" t="s">
        <v>836</v>
      </c>
      <c r="C541" s="100" t="s">
        <v>649</v>
      </c>
      <c r="D541" s="100"/>
      <c r="E541" s="100"/>
      <c r="F541" s="100"/>
      <c r="G541" s="100" t="s">
        <v>1154</v>
      </c>
      <c r="H541" s="100"/>
      <c r="I541" s="100" t="s">
        <v>833</v>
      </c>
      <c r="J541" s="100" t="b">
        <f t="shared" si="61"/>
        <v>1</v>
      </c>
      <c r="K541" s="100" t="b">
        <v>1</v>
      </c>
      <c r="L541" s="100"/>
      <c r="M541" s="100"/>
      <c r="N541" s="100" t="s">
        <v>59</v>
      </c>
      <c r="O541" s="100" t="str">
        <f>"$B$"&amp;A541</f>
        <v>$B$143</v>
      </c>
      <c r="P541" s="100" t="str">
        <f>"$E$"&amp;A541</f>
        <v>$E$143</v>
      </c>
      <c r="Q541" s="100"/>
      <c r="R541" s="100"/>
      <c r="S541" s="100"/>
      <c r="T541" s="100">
        <v>30</v>
      </c>
      <c r="U541" s="100" t="b">
        <v>1</v>
      </c>
      <c r="V541" s="100" t="s">
        <v>1342</v>
      </c>
      <c r="W541" s="100" t="s">
        <v>1342</v>
      </c>
      <c r="X541" s="100"/>
      <c r="Y541" s="100"/>
      <c r="Z541" s="100"/>
      <c r="AA541" s="100"/>
      <c r="AB541" s="100"/>
      <c r="AC541" s="100">
        <v>5</v>
      </c>
      <c r="AD541" s="100" t="s">
        <v>105</v>
      </c>
      <c r="AE541" s="100">
        <v>14</v>
      </c>
      <c r="AF541" s="100" t="b">
        <v>1</v>
      </c>
      <c r="AG541" s="100" t="s">
        <v>1355</v>
      </c>
      <c r="AH541" s="100" t="s">
        <v>29</v>
      </c>
      <c r="AI541" s="100" t="s">
        <v>28</v>
      </c>
      <c r="AJ541" s="100"/>
      <c r="AK541" s="100"/>
      <c r="AL541" s="100">
        <v>0</v>
      </c>
      <c r="AM541" s="100"/>
      <c r="AN541" s="100"/>
      <c r="AO541" s="100"/>
      <c r="AP541" s="100"/>
    </row>
    <row r="542" spans="1:48" ht="16.5" customHeight="1" x14ac:dyDescent="0.2">
      <c r="A542" s="107">
        <f>$A$540+4</f>
        <v>145</v>
      </c>
      <c r="B542" s="107" t="s">
        <v>833</v>
      </c>
      <c r="C542" s="107" t="s">
        <v>663</v>
      </c>
      <c r="D542" s="107"/>
      <c r="E542" s="107"/>
      <c r="F542" s="107"/>
      <c r="G542" s="107" t="s">
        <v>1154</v>
      </c>
      <c r="H542" s="107">
        <v>3</v>
      </c>
      <c r="I542" s="107">
        <v>5</v>
      </c>
      <c r="J542" s="107" t="b">
        <f t="shared" si="61"/>
        <v>1</v>
      </c>
      <c r="K542" s="107"/>
      <c r="L542" s="107"/>
      <c r="M542" s="107"/>
      <c r="N542" s="107"/>
      <c r="O542" s="107">
        <f>A542</f>
        <v>145</v>
      </c>
      <c r="P542" s="107">
        <f>O542+2</f>
        <v>147</v>
      </c>
      <c r="Q542" s="107"/>
      <c r="R542" s="107"/>
      <c r="S542" s="107"/>
      <c r="T542" s="107"/>
      <c r="U542" s="107"/>
      <c r="V542" s="107"/>
      <c r="W542" s="107"/>
      <c r="X542" s="107"/>
      <c r="Y542" s="107"/>
      <c r="Z542" s="107"/>
      <c r="AA542" s="107"/>
      <c r="AB542" s="107"/>
      <c r="AC542" s="107"/>
      <c r="AD542" s="107"/>
      <c r="AE542" s="107"/>
      <c r="AF542" s="107"/>
      <c r="AG542" s="107"/>
      <c r="AH542" s="107"/>
      <c r="AI542" s="107"/>
      <c r="AJ542" s="107"/>
      <c r="AK542" s="107"/>
      <c r="AL542" s="107"/>
      <c r="AM542" s="107"/>
      <c r="AN542" s="107"/>
      <c r="AO542" s="107"/>
      <c r="AP542" s="107"/>
      <c r="AQ542" s="93" t="str">
        <f>AQ548</f>
        <v>Programledelse</v>
      </c>
      <c r="AR542" s="93" t="str">
        <f>AQ553</f>
        <v>[Projekter 1]</v>
      </c>
    </row>
    <row r="543" spans="1:48" ht="16.5" customHeight="1" x14ac:dyDescent="0.2">
      <c r="A543" s="108">
        <f>$A$542+0</f>
        <v>145</v>
      </c>
      <c r="B543" s="109" t="s">
        <v>834</v>
      </c>
      <c r="C543" s="109" t="s">
        <v>96</v>
      </c>
      <c r="D543" s="109"/>
      <c r="E543" s="109" t="s">
        <v>833</v>
      </c>
      <c r="F543" s="109"/>
      <c r="G543" s="109" t="s">
        <v>1154</v>
      </c>
      <c r="H543" s="109"/>
      <c r="I543" s="109"/>
      <c r="J543" s="109"/>
      <c r="K543" s="109" t="b">
        <v>1</v>
      </c>
      <c r="L543" s="109"/>
      <c r="M543" s="109"/>
      <c r="N543" s="109"/>
      <c r="O543" s="109" t="str">
        <f>"$D$"&amp;A543</f>
        <v>$D$145</v>
      </c>
      <c r="P543" s="109" t="str">
        <f>"$I$"&amp;A543</f>
        <v>$I$145</v>
      </c>
      <c r="Q543" s="109"/>
      <c r="R543" s="109"/>
      <c r="S543" s="109"/>
      <c r="T543" s="109">
        <v>25</v>
      </c>
      <c r="U543" s="109" t="b">
        <v>1</v>
      </c>
      <c r="V543" s="109" t="s">
        <v>1342</v>
      </c>
      <c r="W543" s="109" t="s">
        <v>1342</v>
      </c>
      <c r="X543" s="109"/>
      <c r="Y543" s="109"/>
      <c r="Z543" s="109"/>
      <c r="AA543" s="109"/>
      <c r="AB543" s="109"/>
      <c r="AC543" s="109">
        <v>5</v>
      </c>
      <c r="AD543" s="109" t="s">
        <v>105</v>
      </c>
      <c r="AE543" s="109">
        <v>14</v>
      </c>
      <c r="AF543" s="109"/>
      <c r="AG543" s="109" t="s">
        <v>1360</v>
      </c>
      <c r="AH543" s="109" t="s">
        <v>29</v>
      </c>
      <c r="AI543" s="109" t="s">
        <v>28</v>
      </c>
      <c r="AJ543" s="109"/>
      <c r="AK543" s="109" t="s">
        <v>1342</v>
      </c>
      <c r="AL543" s="109">
        <v>5</v>
      </c>
      <c r="AM543" s="109"/>
      <c r="AN543" s="109"/>
      <c r="AO543" s="109"/>
      <c r="AP543" s="109" t="b">
        <v>1</v>
      </c>
      <c r="AQ543" s="296" t="s">
        <v>904</v>
      </c>
      <c r="AR543" s="296"/>
      <c r="AS543" s="296"/>
      <c r="AT543" s="296"/>
      <c r="AU543" s="296"/>
      <c r="AV543" s="296"/>
    </row>
    <row r="544" spans="1:48" ht="16.5" customHeight="1" x14ac:dyDescent="0.2">
      <c r="A544" s="108">
        <f>$A$542+0</f>
        <v>145</v>
      </c>
      <c r="B544" s="110" t="str">
        <f>D544&amp;"Red"</f>
        <v>FP_ProjekterRed</v>
      </c>
      <c r="C544" s="110" t="s">
        <v>656</v>
      </c>
      <c r="D544" s="110" t="s">
        <v>834</v>
      </c>
      <c r="E544" s="110" t="s">
        <v>833</v>
      </c>
      <c r="F544" s="110"/>
      <c r="G544" s="110" t="s">
        <v>1154</v>
      </c>
      <c r="H544" s="110"/>
      <c r="I544" s="110" t="s">
        <v>1247</v>
      </c>
      <c r="J544" s="110"/>
      <c r="K544" s="110" t="b">
        <v>1</v>
      </c>
      <c r="L544" s="110"/>
      <c r="M544" s="110" t="str">
        <f>"'editNorm """&amp;D544&amp;""","""&amp;B544&amp;""","""&amp;E544&amp;"""'"</f>
        <v>'editNorm "FP_Projekter","FP_ProjekterRed","Projekter"'</v>
      </c>
      <c r="N544" s="110" t="s">
        <v>59</v>
      </c>
      <c r="O544" s="110" t="str">
        <f>"$L$"&amp;A544</f>
        <v>$L$145</v>
      </c>
      <c r="P544" s="110" t="str">
        <f>"$M$"&amp;A544</f>
        <v>$M$145</v>
      </c>
      <c r="Q544" s="110">
        <v>5</v>
      </c>
      <c r="R544" s="110">
        <v>1</v>
      </c>
      <c r="S544" s="110"/>
      <c r="T544" s="110">
        <v>22</v>
      </c>
      <c r="U544" s="110" t="b">
        <v>1</v>
      </c>
      <c r="V544" s="110" t="s">
        <v>1344</v>
      </c>
      <c r="W544" s="110" t="s">
        <v>1343</v>
      </c>
      <c r="X544" s="110"/>
      <c r="Y544" s="110"/>
      <c r="Z544" s="110"/>
      <c r="AA544" s="110"/>
      <c r="AB544" s="110">
        <v>3</v>
      </c>
      <c r="AC544" s="110">
        <v>5</v>
      </c>
      <c r="AD544" s="110" t="s">
        <v>105</v>
      </c>
      <c r="AE544" s="110">
        <v>12</v>
      </c>
      <c r="AF544" s="110"/>
      <c r="AG544" s="110" t="s">
        <v>1351</v>
      </c>
      <c r="AH544" s="110" t="s">
        <v>29</v>
      </c>
      <c r="AI544" s="110" t="s">
        <v>29</v>
      </c>
      <c r="AJ544" s="110"/>
      <c r="AK544" s="110"/>
      <c r="AL544" s="110"/>
      <c r="AM544" s="110"/>
      <c r="AN544" s="110">
        <v>2</v>
      </c>
      <c r="AO544" s="110"/>
      <c r="AP544" s="110"/>
    </row>
    <row r="545" spans="1:48" ht="16.5" customHeight="1" x14ac:dyDescent="0.2">
      <c r="A545" s="108">
        <f>$A$542+0</f>
        <v>145</v>
      </c>
      <c r="B545" s="110" t="str">
        <f>D545&amp;"Gem"</f>
        <v>FP_ProjekterGem</v>
      </c>
      <c r="C545" s="110" t="s">
        <v>656</v>
      </c>
      <c r="D545" s="110" t="s">
        <v>834</v>
      </c>
      <c r="E545" s="110" t="s">
        <v>833</v>
      </c>
      <c r="F545" s="110"/>
      <c r="G545" s="110" t="s">
        <v>1154</v>
      </c>
      <c r="H545" s="110"/>
      <c r="I545" s="110" t="s">
        <v>238</v>
      </c>
      <c r="J545" s="110"/>
      <c r="K545" s="110"/>
      <c r="L545" s="110"/>
      <c r="M545" s="110" t="str">
        <f>"'editNorm """&amp;D545&amp;""","""&amp;B545&amp;""","""&amp;E545&amp;"""'"</f>
        <v>'editNorm "FP_Projekter","FP_ProjekterGem","Projekter"'</v>
      </c>
      <c r="N545" s="110" t="s">
        <v>59</v>
      </c>
      <c r="O545" s="110" t="str">
        <f>"$L$"&amp;A545</f>
        <v>$L$145</v>
      </c>
      <c r="P545" s="110" t="str">
        <f>"$L$"&amp;A545</f>
        <v>$L$145</v>
      </c>
      <c r="Q545" s="110">
        <v>5</v>
      </c>
      <c r="R545" s="110">
        <v>1</v>
      </c>
      <c r="S545" s="110"/>
      <c r="T545" s="110">
        <v>22</v>
      </c>
      <c r="U545" s="110" t="b">
        <v>1</v>
      </c>
      <c r="V545" s="110" t="s">
        <v>1345</v>
      </c>
      <c r="W545" s="110" t="s">
        <v>1343</v>
      </c>
      <c r="X545" s="110"/>
      <c r="Y545" s="110"/>
      <c r="Z545" s="110"/>
      <c r="AA545" s="110"/>
      <c r="AB545" s="110">
        <v>3</v>
      </c>
      <c r="AC545" s="110">
        <v>5</v>
      </c>
      <c r="AD545" s="110" t="s">
        <v>105</v>
      </c>
      <c r="AE545" s="110">
        <v>12</v>
      </c>
      <c r="AF545" s="110"/>
      <c r="AG545" s="110" t="s">
        <v>1351</v>
      </c>
      <c r="AH545" s="110" t="s">
        <v>29</v>
      </c>
      <c r="AI545" s="110" t="s">
        <v>29</v>
      </c>
      <c r="AJ545" s="110"/>
      <c r="AK545" s="110"/>
      <c r="AL545" s="110"/>
      <c r="AM545" s="110"/>
      <c r="AN545" s="110">
        <v>2</v>
      </c>
      <c r="AO545" s="110"/>
      <c r="AP545" s="110"/>
    </row>
    <row r="546" spans="1:48" ht="16.5" customHeight="1" x14ac:dyDescent="0.2">
      <c r="A546" s="108">
        <f>$A$542+0</f>
        <v>145</v>
      </c>
      <c r="B546" s="110" t="str">
        <f>D546&amp;"Cancel"</f>
        <v>FP_ProjekterCancel</v>
      </c>
      <c r="C546" s="110" t="s">
        <v>656</v>
      </c>
      <c r="D546" s="110" t="s">
        <v>834</v>
      </c>
      <c r="E546" s="110" t="s">
        <v>833</v>
      </c>
      <c r="F546" s="110"/>
      <c r="G546" s="110" t="s">
        <v>1154</v>
      </c>
      <c r="H546" s="110"/>
      <c r="I546" s="110" t="s">
        <v>838</v>
      </c>
      <c r="J546" s="110"/>
      <c r="K546" s="110"/>
      <c r="L546" s="110"/>
      <c r="M546" s="110" t="str">
        <f>"'editNorm """&amp;D546&amp;""","""&amp;B546&amp;""","""&amp;E546&amp;"""'"</f>
        <v>'editNorm "FP_Projekter","FP_ProjekterCancel","Projekter"'</v>
      </c>
      <c r="N546" s="110" t="s">
        <v>59</v>
      </c>
      <c r="O546" s="110" t="str">
        <f>"$M$"&amp;A546</f>
        <v>$M$145</v>
      </c>
      <c r="P546" s="110" t="str">
        <f>"$M$"&amp;A546</f>
        <v>$M$145</v>
      </c>
      <c r="Q546" s="110">
        <v>7</v>
      </c>
      <c r="R546" s="110">
        <v>1</v>
      </c>
      <c r="S546" s="110"/>
      <c r="T546" s="110">
        <v>22</v>
      </c>
      <c r="U546" s="110" t="b">
        <v>1</v>
      </c>
      <c r="V546" s="110" t="s">
        <v>1344</v>
      </c>
      <c r="W546" s="110" t="s">
        <v>1343</v>
      </c>
      <c r="X546" s="110"/>
      <c r="Y546" s="110"/>
      <c r="Z546" s="110"/>
      <c r="AA546" s="110"/>
      <c r="AB546" s="110">
        <v>3</v>
      </c>
      <c r="AC546" s="110">
        <v>5</v>
      </c>
      <c r="AD546" s="110" t="s">
        <v>105</v>
      </c>
      <c r="AE546" s="110">
        <v>12</v>
      </c>
      <c r="AF546" s="110"/>
      <c r="AG546" s="110" t="s">
        <v>1351</v>
      </c>
      <c r="AH546" s="110" t="s">
        <v>29</v>
      </c>
      <c r="AI546" s="110" t="s">
        <v>29</v>
      </c>
      <c r="AJ546" s="110"/>
      <c r="AK546" s="110"/>
      <c r="AL546" s="110"/>
      <c r="AM546" s="110"/>
      <c r="AN546" s="110">
        <v>2</v>
      </c>
      <c r="AO546" s="110"/>
      <c r="AP546" s="110"/>
    </row>
    <row r="547" spans="1:48" ht="16.5" customHeight="1" x14ac:dyDescent="0.2">
      <c r="A547" s="108">
        <f>$A$542+1</f>
        <v>146</v>
      </c>
      <c r="B547" s="106" t="s">
        <v>837</v>
      </c>
      <c r="C547" s="106" t="s">
        <v>655</v>
      </c>
      <c r="D547" s="106"/>
      <c r="E547" s="106" t="s">
        <v>833</v>
      </c>
      <c r="F547" s="106"/>
      <c r="G547" s="106" t="s">
        <v>1154</v>
      </c>
      <c r="H547" s="106"/>
      <c r="I547" s="106"/>
      <c r="J547" s="106"/>
      <c r="K547" s="106" t="b">
        <v>1</v>
      </c>
      <c r="L547" s="106"/>
      <c r="M547" s="106"/>
      <c r="N547" s="106" t="s">
        <v>59</v>
      </c>
      <c r="O547" s="106" t="str">
        <f>"$D$"&amp;A547</f>
        <v>$D$146</v>
      </c>
      <c r="P547" s="106" t="str">
        <f>"$M$"&amp;A547+1</f>
        <v>$M$147</v>
      </c>
      <c r="Q547" s="106"/>
      <c r="R547" s="106">
        <v>2</v>
      </c>
      <c r="S547" s="106"/>
      <c r="T547" s="106">
        <v>2</v>
      </c>
      <c r="U547" s="106" t="b">
        <v>1</v>
      </c>
      <c r="V547" s="106" t="s">
        <v>1344</v>
      </c>
      <c r="W547" s="106" t="s">
        <v>1343</v>
      </c>
      <c r="X547" s="106"/>
      <c r="Y547" s="106"/>
      <c r="Z547" s="106"/>
      <c r="AA547" s="106"/>
      <c r="AB547" s="106"/>
      <c r="AC547" s="106"/>
      <c r="AD547" s="106"/>
      <c r="AE547" s="106"/>
      <c r="AF547" s="106"/>
      <c r="AG547" s="106"/>
      <c r="AH547" s="106"/>
      <c r="AI547" s="106"/>
      <c r="AJ547" s="106"/>
      <c r="AK547" s="106"/>
      <c r="AL547" s="106"/>
      <c r="AM547" s="106"/>
      <c r="AN547" s="106"/>
      <c r="AO547" s="106"/>
      <c r="AP547" s="106"/>
    </row>
    <row r="548" spans="1:48" ht="16.5" customHeight="1" x14ac:dyDescent="0.2">
      <c r="A548" s="109">
        <f>$A$547+-1</f>
        <v>145</v>
      </c>
      <c r="B548" s="109" t="s">
        <v>840</v>
      </c>
      <c r="C548" s="109" t="s">
        <v>96</v>
      </c>
      <c r="D548" s="109"/>
      <c r="E548" s="109" t="s">
        <v>833</v>
      </c>
      <c r="F548" s="109"/>
      <c r="G548" s="109" t="s">
        <v>1154</v>
      </c>
      <c r="H548" s="109">
        <v>1</v>
      </c>
      <c r="I548" s="109"/>
      <c r="J548" s="109" t="b">
        <f t="shared" ref="J548:J562" si="62">$E$4</f>
        <v>1</v>
      </c>
      <c r="K548" s="109" t="b">
        <v>1</v>
      </c>
      <c r="L548" s="109"/>
      <c r="M548" s="109"/>
      <c r="N548" s="109"/>
      <c r="O548" s="109" t="str">
        <f>"$D$"&amp;A548</f>
        <v>$D$145</v>
      </c>
      <c r="P548" s="109" t="str">
        <f>"$I$"&amp;A548</f>
        <v>$I$145</v>
      </c>
      <c r="Q548" s="109"/>
      <c r="R548" s="109"/>
      <c r="S548" s="109"/>
      <c r="T548" s="109">
        <v>25</v>
      </c>
      <c r="U548" s="109" t="b">
        <v>1</v>
      </c>
      <c r="V548" s="109" t="s">
        <v>1342</v>
      </c>
      <c r="W548" s="109" t="s">
        <v>1342</v>
      </c>
      <c r="X548" s="109"/>
      <c r="Y548" s="109"/>
      <c r="Z548" s="109"/>
      <c r="AA548" s="109"/>
      <c r="AB548" s="109"/>
      <c r="AC548" s="109">
        <v>5</v>
      </c>
      <c r="AD548" s="109" t="s">
        <v>105</v>
      </c>
      <c r="AE548" s="109">
        <v>14</v>
      </c>
      <c r="AF548" s="109"/>
      <c r="AG548" s="109" t="s">
        <v>1360</v>
      </c>
      <c r="AH548" s="109" t="s">
        <v>29</v>
      </c>
      <c r="AI548" s="109" t="s">
        <v>28</v>
      </c>
      <c r="AJ548" s="109"/>
      <c r="AK548" s="109" t="s">
        <v>1342</v>
      </c>
      <c r="AL548" s="109">
        <v>5</v>
      </c>
      <c r="AM548" s="109"/>
      <c r="AN548" s="109"/>
      <c r="AO548" s="109"/>
      <c r="AP548" s="109" t="b">
        <v>1</v>
      </c>
      <c r="AQ548" s="296" t="s">
        <v>348</v>
      </c>
      <c r="AR548" s="296"/>
      <c r="AS548" s="296"/>
      <c r="AT548" s="296"/>
      <c r="AU548" s="296"/>
      <c r="AV548" s="296"/>
    </row>
    <row r="549" spans="1:48" ht="16.5" customHeight="1" x14ac:dyDescent="0.2">
      <c r="A549" s="110">
        <f>$A$547+-1</f>
        <v>145</v>
      </c>
      <c r="B549" s="110" t="str">
        <f>D549&amp;"Red"</f>
        <v>FP_Projekter_1Red</v>
      </c>
      <c r="C549" s="110" t="s">
        <v>656</v>
      </c>
      <c r="D549" s="110" t="s">
        <v>840</v>
      </c>
      <c r="E549" s="110" t="s">
        <v>833</v>
      </c>
      <c r="F549" s="110"/>
      <c r="G549" s="110" t="s">
        <v>1154</v>
      </c>
      <c r="H549" s="110">
        <v>1</v>
      </c>
      <c r="I549" s="110" t="s">
        <v>1247</v>
      </c>
      <c r="J549" s="110" t="b">
        <f t="shared" si="62"/>
        <v>1</v>
      </c>
      <c r="K549" s="110" t="b">
        <v>1</v>
      </c>
      <c r="L549" s="110"/>
      <c r="M549" s="110" t="str">
        <f>"'editNorm """&amp;D549&amp;""","""&amp;B549&amp;""","""&amp;E549&amp;"""'"</f>
        <v>'editNorm "FP_Projekter_1","FP_Projekter_1Red","Projekter"'</v>
      </c>
      <c r="N549" s="110" t="s">
        <v>59</v>
      </c>
      <c r="O549" s="110" t="str">
        <f>"$L$"&amp;A549</f>
        <v>$L$145</v>
      </c>
      <c r="P549" s="110" t="str">
        <f>"$M$"&amp;A549</f>
        <v>$M$145</v>
      </c>
      <c r="Q549" s="110">
        <v>5</v>
      </c>
      <c r="R549" s="110">
        <v>1</v>
      </c>
      <c r="S549" s="110"/>
      <c r="T549" s="110">
        <v>22</v>
      </c>
      <c r="U549" s="110" t="b">
        <v>1</v>
      </c>
      <c r="V549" s="110" t="s">
        <v>1344</v>
      </c>
      <c r="W549" s="110" t="s">
        <v>1343</v>
      </c>
      <c r="X549" s="110"/>
      <c r="Y549" s="110"/>
      <c r="Z549" s="110"/>
      <c r="AA549" s="110"/>
      <c r="AB549" s="110">
        <v>3</v>
      </c>
      <c r="AC549" s="110">
        <v>5</v>
      </c>
      <c r="AD549" s="110" t="s">
        <v>105</v>
      </c>
      <c r="AE549" s="110">
        <v>12</v>
      </c>
      <c r="AF549" s="110"/>
      <c r="AG549" s="110" t="s">
        <v>1351</v>
      </c>
      <c r="AH549" s="110" t="s">
        <v>29</v>
      </c>
      <c r="AI549" s="110" t="s">
        <v>29</v>
      </c>
      <c r="AJ549" s="110"/>
      <c r="AK549" s="110"/>
      <c r="AL549" s="110"/>
      <c r="AM549" s="110"/>
      <c r="AN549" s="110">
        <v>2</v>
      </c>
      <c r="AO549" s="110"/>
      <c r="AP549" s="110"/>
    </row>
    <row r="550" spans="1:48" ht="16.5" customHeight="1" x14ac:dyDescent="0.2">
      <c r="A550" s="110">
        <f>$A$547+-1</f>
        <v>145</v>
      </c>
      <c r="B550" s="110" t="str">
        <f>D550&amp;"Gem"</f>
        <v>FP_Projekter_1Gem</v>
      </c>
      <c r="C550" s="110" t="s">
        <v>656</v>
      </c>
      <c r="D550" s="110" t="s">
        <v>840</v>
      </c>
      <c r="E550" s="110" t="s">
        <v>833</v>
      </c>
      <c r="F550" s="110"/>
      <c r="G550" s="110" t="s">
        <v>1154</v>
      </c>
      <c r="H550" s="110">
        <v>1</v>
      </c>
      <c r="I550" s="110" t="s">
        <v>238</v>
      </c>
      <c r="J550" s="110" t="b">
        <f t="shared" si="62"/>
        <v>1</v>
      </c>
      <c r="K550" s="110"/>
      <c r="L550" s="110"/>
      <c r="M550" s="110" t="str">
        <f>"'editNorm """&amp;D550&amp;""","""&amp;B550&amp;""","""&amp;E550&amp;"""'"</f>
        <v>'editNorm "FP_Projekter_1","FP_Projekter_1Gem","Projekter"'</v>
      </c>
      <c r="N550" s="110" t="s">
        <v>59</v>
      </c>
      <c r="O550" s="110" t="str">
        <f>"$L$"&amp;A550</f>
        <v>$L$145</v>
      </c>
      <c r="P550" s="110" t="str">
        <f>"$L$"&amp;A550</f>
        <v>$L$145</v>
      </c>
      <c r="Q550" s="110">
        <v>5</v>
      </c>
      <c r="R550" s="110">
        <v>1</v>
      </c>
      <c r="S550" s="110"/>
      <c r="T550" s="110">
        <v>22</v>
      </c>
      <c r="U550" s="110" t="b">
        <v>1</v>
      </c>
      <c r="V550" s="110" t="s">
        <v>1345</v>
      </c>
      <c r="W550" s="110" t="s">
        <v>1343</v>
      </c>
      <c r="X550" s="110"/>
      <c r="Y550" s="110"/>
      <c r="Z550" s="110"/>
      <c r="AA550" s="110"/>
      <c r="AB550" s="110">
        <v>3</v>
      </c>
      <c r="AC550" s="110">
        <v>5</v>
      </c>
      <c r="AD550" s="110" t="s">
        <v>105</v>
      </c>
      <c r="AE550" s="110">
        <v>12</v>
      </c>
      <c r="AF550" s="110"/>
      <c r="AG550" s="110" t="s">
        <v>1351</v>
      </c>
      <c r="AH550" s="110" t="s">
        <v>29</v>
      </c>
      <c r="AI550" s="110" t="s">
        <v>29</v>
      </c>
      <c r="AJ550" s="110"/>
      <c r="AK550" s="110"/>
      <c r="AL550" s="110"/>
      <c r="AM550" s="110"/>
      <c r="AN550" s="110">
        <v>2</v>
      </c>
      <c r="AO550" s="110"/>
      <c r="AP550" s="110"/>
    </row>
    <row r="551" spans="1:48" ht="16.5" customHeight="1" x14ac:dyDescent="0.2">
      <c r="A551" s="110">
        <f>$A$547+-1</f>
        <v>145</v>
      </c>
      <c r="B551" s="110" t="str">
        <f>D551&amp;"Cancel"</f>
        <v>FP_Projekter_1Cancel</v>
      </c>
      <c r="C551" s="110" t="s">
        <v>656</v>
      </c>
      <c r="D551" s="110" t="s">
        <v>840</v>
      </c>
      <c r="E551" s="110" t="s">
        <v>833</v>
      </c>
      <c r="F551" s="110"/>
      <c r="G551" s="110" t="s">
        <v>1154</v>
      </c>
      <c r="H551" s="110">
        <v>1</v>
      </c>
      <c r="I551" s="110" t="s">
        <v>838</v>
      </c>
      <c r="J551" s="110" t="b">
        <f t="shared" si="62"/>
        <v>1</v>
      </c>
      <c r="K551" s="110"/>
      <c r="L551" s="110"/>
      <c r="M551" s="110" t="str">
        <f>"'editNorm """&amp;D551&amp;""","""&amp;B551&amp;""","""&amp;E551&amp;"""'"</f>
        <v>'editNorm "FP_Projekter_1","FP_Projekter_1Cancel","Projekter"'</v>
      </c>
      <c r="N551" s="110" t="s">
        <v>59</v>
      </c>
      <c r="O551" s="110" t="str">
        <f>"$M$"&amp;A551</f>
        <v>$M$145</v>
      </c>
      <c r="P551" s="110" t="str">
        <f>"$M$"&amp;A551</f>
        <v>$M$145</v>
      </c>
      <c r="Q551" s="110">
        <v>7</v>
      </c>
      <c r="R551" s="110">
        <v>1</v>
      </c>
      <c r="S551" s="110"/>
      <c r="T551" s="110">
        <v>22</v>
      </c>
      <c r="U551" s="110" t="b">
        <v>1</v>
      </c>
      <c r="V551" s="110" t="s">
        <v>1344</v>
      </c>
      <c r="W551" s="110" t="s">
        <v>1343</v>
      </c>
      <c r="X551" s="110"/>
      <c r="Y551" s="110"/>
      <c r="Z551" s="110"/>
      <c r="AA551" s="110"/>
      <c r="AB551" s="110">
        <v>3</v>
      </c>
      <c r="AC551" s="110">
        <v>5</v>
      </c>
      <c r="AD551" s="110" t="s">
        <v>105</v>
      </c>
      <c r="AE551" s="110">
        <v>12</v>
      </c>
      <c r="AF551" s="110"/>
      <c r="AG551" s="110" t="s">
        <v>1351</v>
      </c>
      <c r="AH551" s="110" t="s">
        <v>29</v>
      </c>
      <c r="AI551" s="110" t="s">
        <v>29</v>
      </c>
      <c r="AJ551" s="110"/>
      <c r="AK551" s="110"/>
      <c r="AL551" s="110"/>
      <c r="AM551" s="110"/>
      <c r="AN551" s="110">
        <v>2</v>
      </c>
      <c r="AO551" s="110"/>
      <c r="AP551" s="110"/>
    </row>
    <row r="552" spans="1:48" ht="16.5" customHeight="1" x14ac:dyDescent="0.2">
      <c r="A552" s="106">
        <f>$A$547+0</f>
        <v>146</v>
      </c>
      <c r="B552" s="106" t="s">
        <v>841</v>
      </c>
      <c r="C552" s="106" t="s">
        <v>655</v>
      </c>
      <c r="D552" s="106"/>
      <c r="E552" s="106" t="s">
        <v>833</v>
      </c>
      <c r="F552" s="106"/>
      <c r="G552" s="106" t="s">
        <v>1154</v>
      </c>
      <c r="H552" s="106">
        <v>1</v>
      </c>
      <c r="I552" s="106"/>
      <c r="J552" s="106" t="b">
        <f t="shared" si="62"/>
        <v>1</v>
      </c>
      <c r="K552" s="106" t="b">
        <v>1</v>
      </c>
      <c r="L552" s="106"/>
      <c r="M552" s="106"/>
      <c r="N552" s="106" t="s">
        <v>59</v>
      </c>
      <c r="O552" s="106" t="str">
        <f>"$D$"&amp;A552</f>
        <v>$D$146</v>
      </c>
      <c r="P552" s="106" t="str">
        <f>"$M$"&amp;A552+1</f>
        <v>$M$147</v>
      </c>
      <c r="Q552" s="106"/>
      <c r="R552" s="106">
        <v>2</v>
      </c>
      <c r="S552" s="106"/>
      <c r="T552" s="106">
        <v>2</v>
      </c>
      <c r="U552" s="106" t="b">
        <v>1</v>
      </c>
      <c r="V552" s="106" t="s">
        <v>1344</v>
      </c>
      <c r="W552" s="106" t="s">
        <v>1343</v>
      </c>
      <c r="X552" s="106"/>
      <c r="Y552" s="106"/>
      <c r="Z552" s="106"/>
      <c r="AA552" s="106"/>
      <c r="AB552" s="106"/>
      <c r="AC552" s="106"/>
      <c r="AD552" s="106"/>
      <c r="AE552" s="106"/>
      <c r="AF552" s="106"/>
      <c r="AG552" s="106"/>
      <c r="AH552" s="106"/>
      <c r="AI552" s="106"/>
      <c r="AJ552" s="106"/>
      <c r="AK552" s="106"/>
      <c r="AL552" s="106"/>
      <c r="AM552" s="106"/>
      <c r="AN552" s="106"/>
      <c r="AO552" s="106"/>
      <c r="AP552" s="106"/>
    </row>
    <row r="553" spans="1:48" ht="16.5" customHeight="1" x14ac:dyDescent="0.2">
      <c r="A553" s="109">
        <f>$A$552+2</f>
        <v>148</v>
      </c>
      <c r="B553" s="109" t="s">
        <v>1258</v>
      </c>
      <c r="C553" s="109" t="s">
        <v>96</v>
      </c>
      <c r="D553" s="109"/>
      <c r="E553" s="109" t="s">
        <v>833</v>
      </c>
      <c r="F553" s="109"/>
      <c r="G553" s="109" t="s">
        <v>1154</v>
      </c>
      <c r="H553" s="109">
        <v>2</v>
      </c>
      <c r="I553" s="109"/>
      <c r="J553" s="109" t="b">
        <f t="shared" si="62"/>
        <v>1</v>
      </c>
      <c r="K553" s="109" t="b">
        <v>1</v>
      </c>
      <c r="L553" s="109"/>
      <c r="M553" s="109"/>
      <c r="N553" s="109"/>
      <c r="O553" s="109" t="str">
        <f>"$D$"&amp;A553</f>
        <v>$D$148</v>
      </c>
      <c r="P553" s="109" t="str">
        <f>"$I$"&amp;A553</f>
        <v>$I$148</v>
      </c>
      <c r="Q553" s="109"/>
      <c r="R553" s="109"/>
      <c r="S553" s="109"/>
      <c r="T553" s="109">
        <v>25</v>
      </c>
      <c r="U553" s="109" t="b">
        <v>1</v>
      </c>
      <c r="V553" s="109" t="s">
        <v>1342</v>
      </c>
      <c r="W553" s="109" t="s">
        <v>1342</v>
      </c>
      <c r="X553" s="109"/>
      <c r="Y553" s="109"/>
      <c r="Z553" s="109"/>
      <c r="AA553" s="109"/>
      <c r="AB553" s="109"/>
      <c r="AC553" s="109">
        <v>5</v>
      </c>
      <c r="AD553" s="109" t="s">
        <v>105</v>
      </c>
      <c r="AE553" s="109">
        <v>14</v>
      </c>
      <c r="AF553" s="109"/>
      <c r="AG553" s="109" t="s">
        <v>1360</v>
      </c>
      <c r="AH553" s="109" t="s">
        <v>29</v>
      </c>
      <c r="AI553" s="109" t="s">
        <v>28</v>
      </c>
      <c r="AJ553" s="109"/>
      <c r="AK553" s="109" t="s">
        <v>1342</v>
      </c>
      <c r="AL553" s="109">
        <v>5</v>
      </c>
      <c r="AM553" s="109"/>
      <c r="AN553" s="109"/>
      <c r="AO553" s="109"/>
      <c r="AP553" s="109" t="b">
        <v>1</v>
      </c>
      <c r="AQ553" s="296" t="s">
        <v>1265</v>
      </c>
      <c r="AR553" s="296"/>
      <c r="AS553" s="296"/>
      <c r="AT553" s="296"/>
      <c r="AU553" s="296"/>
      <c r="AV553" s="296"/>
    </row>
    <row r="554" spans="1:48" ht="16.5" customHeight="1" x14ac:dyDescent="0.2">
      <c r="A554" s="110">
        <f>$A$552+2</f>
        <v>148</v>
      </c>
      <c r="B554" s="110" t="str">
        <f>D554&amp;"Red"</f>
        <v>FP_Projekter_2Red</v>
      </c>
      <c r="C554" s="110" t="s">
        <v>656</v>
      </c>
      <c r="D554" s="110" t="s">
        <v>1258</v>
      </c>
      <c r="E554" s="110" t="s">
        <v>833</v>
      </c>
      <c r="F554" s="110"/>
      <c r="G554" s="110" t="s">
        <v>1154</v>
      </c>
      <c r="H554" s="110">
        <v>2</v>
      </c>
      <c r="I554" s="110" t="s">
        <v>1247</v>
      </c>
      <c r="J554" s="110" t="b">
        <f t="shared" si="62"/>
        <v>1</v>
      </c>
      <c r="K554" s="110" t="b">
        <v>1</v>
      </c>
      <c r="L554" s="110"/>
      <c r="M554" s="110" t="str">
        <f>"'editNorm """&amp;D554&amp;""","""&amp;B554&amp;""","""&amp;E554&amp;"""'"</f>
        <v>'editNorm "FP_Projekter_2","FP_Projekter_2Red","Projekter"'</v>
      </c>
      <c r="N554" s="110" t="s">
        <v>59</v>
      </c>
      <c r="O554" s="110" t="str">
        <f>"$L$"&amp;A554</f>
        <v>$L$148</v>
      </c>
      <c r="P554" s="110" t="str">
        <f>"$M$"&amp;A554</f>
        <v>$M$148</v>
      </c>
      <c r="Q554" s="110">
        <v>5</v>
      </c>
      <c r="R554" s="110">
        <v>1</v>
      </c>
      <c r="S554" s="110"/>
      <c r="T554" s="110">
        <v>22</v>
      </c>
      <c r="U554" s="110" t="b">
        <v>1</v>
      </c>
      <c r="V554" s="110" t="s">
        <v>1344</v>
      </c>
      <c r="W554" s="110" t="s">
        <v>1343</v>
      </c>
      <c r="X554" s="110"/>
      <c r="Y554" s="110"/>
      <c r="Z554" s="110"/>
      <c r="AA554" s="110"/>
      <c r="AB554" s="110">
        <v>3</v>
      </c>
      <c r="AC554" s="110">
        <v>5</v>
      </c>
      <c r="AD554" s="110" t="s">
        <v>105</v>
      </c>
      <c r="AE554" s="110">
        <v>12</v>
      </c>
      <c r="AF554" s="110"/>
      <c r="AG554" s="110" t="s">
        <v>1351</v>
      </c>
      <c r="AH554" s="110" t="s">
        <v>29</v>
      </c>
      <c r="AI554" s="110" t="s">
        <v>29</v>
      </c>
      <c r="AJ554" s="110"/>
      <c r="AK554" s="110"/>
      <c r="AL554" s="110"/>
      <c r="AM554" s="110"/>
      <c r="AN554" s="110">
        <v>2</v>
      </c>
      <c r="AO554" s="110"/>
      <c r="AP554" s="110"/>
    </row>
    <row r="555" spans="1:48" ht="16.5" customHeight="1" x14ac:dyDescent="0.2">
      <c r="A555" s="110">
        <f>$A$552+2</f>
        <v>148</v>
      </c>
      <c r="B555" s="110" t="str">
        <f>D555&amp;"Gem"</f>
        <v>FP_Projekter_2Gem</v>
      </c>
      <c r="C555" s="110" t="s">
        <v>656</v>
      </c>
      <c r="D555" s="110" t="s">
        <v>1258</v>
      </c>
      <c r="E555" s="110" t="s">
        <v>833</v>
      </c>
      <c r="F555" s="110"/>
      <c r="G555" s="110" t="s">
        <v>1154</v>
      </c>
      <c r="H555" s="110">
        <v>2</v>
      </c>
      <c r="I555" s="110" t="s">
        <v>238</v>
      </c>
      <c r="J555" s="110" t="b">
        <f t="shared" si="62"/>
        <v>1</v>
      </c>
      <c r="K555" s="110"/>
      <c r="L555" s="110"/>
      <c r="M555" s="110" t="str">
        <f>"'editNorm """&amp;D555&amp;""","""&amp;B555&amp;""","""&amp;E555&amp;"""'"</f>
        <v>'editNorm "FP_Projekter_2","FP_Projekter_2Gem","Projekter"'</v>
      </c>
      <c r="N555" s="110" t="s">
        <v>59</v>
      </c>
      <c r="O555" s="110" t="str">
        <f>"$L$"&amp;A555</f>
        <v>$L$148</v>
      </c>
      <c r="P555" s="110" t="str">
        <f>"$L$"&amp;A555</f>
        <v>$L$148</v>
      </c>
      <c r="Q555" s="110">
        <v>5</v>
      </c>
      <c r="R555" s="110">
        <v>1</v>
      </c>
      <c r="S555" s="110"/>
      <c r="T555" s="110">
        <v>22</v>
      </c>
      <c r="U555" s="110" t="b">
        <v>1</v>
      </c>
      <c r="V555" s="110" t="s">
        <v>1345</v>
      </c>
      <c r="W555" s="110" t="s">
        <v>1343</v>
      </c>
      <c r="X555" s="110"/>
      <c r="Y555" s="110"/>
      <c r="Z555" s="110"/>
      <c r="AA555" s="110"/>
      <c r="AB555" s="110">
        <v>3</v>
      </c>
      <c r="AC555" s="110">
        <v>5</v>
      </c>
      <c r="AD555" s="110" t="s">
        <v>105</v>
      </c>
      <c r="AE555" s="110">
        <v>12</v>
      </c>
      <c r="AF555" s="110"/>
      <c r="AG555" s="110" t="s">
        <v>1351</v>
      </c>
      <c r="AH555" s="110" t="s">
        <v>29</v>
      </c>
      <c r="AI555" s="110" t="s">
        <v>29</v>
      </c>
      <c r="AJ555" s="110"/>
      <c r="AK555" s="110"/>
      <c r="AL555" s="110"/>
      <c r="AM555" s="110"/>
      <c r="AN555" s="110">
        <v>2</v>
      </c>
      <c r="AO555" s="110"/>
      <c r="AP555" s="110"/>
    </row>
    <row r="556" spans="1:48" ht="16.5" customHeight="1" x14ac:dyDescent="0.2">
      <c r="A556" s="110">
        <f>$A$552+2</f>
        <v>148</v>
      </c>
      <c r="B556" s="110" t="str">
        <f>D556&amp;"Cancel"</f>
        <v>FP_Projekter_2Cancel</v>
      </c>
      <c r="C556" s="110" t="s">
        <v>656</v>
      </c>
      <c r="D556" s="110" t="s">
        <v>1258</v>
      </c>
      <c r="E556" s="110" t="s">
        <v>833</v>
      </c>
      <c r="F556" s="110"/>
      <c r="G556" s="110" t="s">
        <v>1154</v>
      </c>
      <c r="H556" s="110">
        <v>2</v>
      </c>
      <c r="I556" s="110" t="s">
        <v>838</v>
      </c>
      <c r="J556" s="110" t="b">
        <f t="shared" si="62"/>
        <v>1</v>
      </c>
      <c r="K556" s="110"/>
      <c r="L556" s="110"/>
      <c r="M556" s="110" t="str">
        <f>"'editNorm """&amp;D556&amp;""","""&amp;B556&amp;""","""&amp;E556&amp;"""'"</f>
        <v>'editNorm "FP_Projekter_2","FP_Projekter_2Cancel","Projekter"'</v>
      </c>
      <c r="N556" s="110" t="s">
        <v>59</v>
      </c>
      <c r="O556" s="110" t="str">
        <f>"$M$"&amp;A556</f>
        <v>$M$148</v>
      </c>
      <c r="P556" s="110" t="str">
        <f>"$M$"&amp;A556</f>
        <v>$M$148</v>
      </c>
      <c r="Q556" s="110">
        <v>7</v>
      </c>
      <c r="R556" s="110">
        <v>1</v>
      </c>
      <c r="S556" s="110"/>
      <c r="T556" s="110">
        <v>22</v>
      </c>
      <c r="U556" s="110" t="b">
        <v>1</v>
      </c>
      <c r="V556" s="110" t="s">
        <v>1344</v>
      </c>
      <c r="W556" s="110" t="s">
        <v>1343</v>
      </c>
      <c r="X556" s="110"/>
      <c r="Y556" s="110"/>
      <c r="Z556" s="110"/>
      <c r="AA556" s="110"/>
      <c r="AB556" s="110">
        <v>3</v>
      </c>
      <c r="AC556" s="110">
        <v>5</v>
      </c>
      <c r="AD556" s="110" t="s">
        <v>105</v>
      </c>
      <c r="AE556" s="110">
        <v>12</v>
      </c>
      <c r="AF556" s="110"/>
      <c r="AG556" s="110" t="s">
        <v>1351</v>
      </c>
      <c r="AH556" s="110" t="s">
        <v>29</v>
      </c>
      <c r="AI556" s="110" t="s">
        <v>29</v>
      </c>
      <c r="AJ556" s="110"/>
      <c r="AK556" s="110"/>
      <c r="AL556" s="110"/>
      <c r="AM556" s="110"/>
      <c r="AN556" s="110">
        <v>2</v>
      </c>
      <c r="AO556" s="110"/>
      <c r="AP556" s="110"/>
    </row>
    <row r="557" spans="1:48" ht="16.5" customHeight="1" x14ac:dyDescent="0.2">
      <c r="A557" s="106">
        <f>$A$552+3</f>
        <v>149</v>
      </c>
      <c r="B557" s="106" t="s">
        <v>1259</v>
      </c>
      <c r="C557" s="106" t="s">
        <v>655</v>
      </c>
      <c r="D557" s="106"/>
      <c r="E557" s="106" t="s">
        <v>833</v>
      </c>
      <c r="F557" s="106"/>
      <c r="G557" s="106" t="s">
        <v>1154</v>
      </c>
      <c r="H557" s="106">
        <v>2</v>
      </c>
      <c r="I557" s="106"/>
      <c r="J557" s="106" t="b">
        <f t="shared" si="62"/>
        <v>1</v>
      </c>
      <c r="K557" s="106" t="b">
        <v>1</v>
      </c>
      <c r="L557" s="106"/>
      <c r="M557" s="106"/>
      <c r="N557" s="106" t="s">
        <v>59</v>
      </c>
      <c r="O557" s="106" t="str">
        <f>"$D$"&amp;A557</f>
        <v>$D$149</v>
      </c>
      <c r="P557" s="106" t="str">
        <f>"$M$"&amp;A557+1</f>
        <v>$M$150</v>
      </c>
      <c r="Q557" s="106"/>
      <c r="R557" s="106">
        <v>2</v>
      </c>
      <c r="S557" s="106"/>
      <c r="T557" s="106">
        <v>2</v>
      </c>
      <c r="U557" s="106" t="b">
        <v>1</v>
      </c>
      <c r="V557" s="106" t="s">
        <v>1344</v>
      </c>
      <c r="W557" s="106" t="s">
        <v>1343</v>
      </c>
      <c r="X557" s="106"/>
      <c r="Y557" s="106"/>
      <c r="Z557" s="106"/>
      <c r="AA557" s="106"/>
      <c r="AB557" s="106"/>
      <c r="AC557" s="106"/>
      <c r="AD557" s="106"/>
      <c r="AE557" s="106"/>
      <c r="AF557" s="106"/>
      <c r="AG557" s="106"/>
      <c r="AH557" s="106"/>
      <c r="AI557" s="106"/>
      <c r="AJ557" s="106"/>
      <c r="AK557" s="106"/>
      <c r="AL557" s="106"/>
      <c r="AM557" s="106"/>
      <c r="AN557" s="106"/>
      <c r="AO557" s="106"/>
      <c r="AP557" s="106"/>
    </row>
    <row r="558" spans="1:48" ht="16.5" customHeight="1" x14ac:dyDescent="0.2">
      <c r="A558" s="107">
        <f>$O$542+(P542-O542+1)*(H542-1)-1</f>
        <v>150</v>
      </c>
      <c r="B558" s="107" t="s">
        <v>833</v>
      </c>
      <c r="C558" s="107" t="s">
        <v>663</v>
      </c>
      <c r="D558" s="107"/>
      <c r="E558" s="107"/>
      <c r="F558" s="107"/>
      <c r="G558" s="107" t="s">
        <v>1154</v>
      </c>
      <c r="H558" s="107"/>
      <c r="I558" s="107"/>
      <c r="J558" s="107" t="b">
        <f t="shared" si="62"/>
        <v>1</v>
      </c>
      <c r="K558" s="107"/>
      <c r="L558" s="107"/>
      <c r="M558" s="107"/>
      <c r="N558" s="107"/>
      <c r="O558" s="107"/>
      <c r="P558" s="107"/>
      <c r="Q558" s="107"/>
      <c r="R558" s="107"/>
      <c r="S558" s="107"/>
      <c r="T558" s="107"/>
      <c r="U558" s="107"/>
      <c r="V558" s="107"/>
      <c r="W558" s="107"/>
      <c r="X558" s="107"/>
      <c r="Y558" s="107"/>
      <c r="Z558" s="107"/>
      <c r="AA558" s="107"/>
      <c r="AB558" s="107"/>
      <c r="AC558" s="107"/>
      <c r="AD558" s="107"/>
      <c r="AE558" s="107"/>
      <c r="AF558" s="107"/>
      <c r="AG558" s="107"/>
      <c r="AH558" s="107"/>
      <c r="AI558" s="107"/>
      <c r="AJ558" s="107"/>
      <c r="AK558" s="107"/>
      <c r="AL558" s="107"/>
      <c r="AM558" s="107"/>
      <c r="AN558" s="107"/>
      <c r="AO558" s="107"/>
      <c r="AP558" s="107"/>
    </row>
    <row r="559" spans="1:48" ht="16.5" customHeight="1" x14ac:dyDescent="0.2">
      <c r="A559" s="110">
        <f>$A$558+1</f>
        <v>151</v>
      </c>
      <c r="B559" s="110" t="s">
        <v>835</v>
      </c>
      <c r="C559" s="110" t="s">
        <v>656</v>
      </c>
      <c r="D559" s="110"/>
      <c r="E559" s="110" t="s">
        <v>833</v>
      </c>
      <c r="F559" s="110"/>
      <c r="G559" s="110" t="s">
        <v>1154</v>
      </c>
      <c r="H559" s="110"/>
      <c r="I559" s="110" t="s">
        <v>199</v>
      </c>
      <c r="J559" s="110" t="b">
        <f t="shared" si="62"/>
        <v>1</v>
      </c>
      <c r="K559" s="110" t="b">
        <v>1</v>
      </c>
      <c r="L559" s="110"/>
      <c r="M559" s="110" t="str">
        <f>"'groupAdd """&amp;E559&amp;"""'"</f>
        <v>'groupAdd "Projekter"'</v>
      </c>
      <c r="N559" s="110" t="s">
        <v>59</v>
      </c>
      <c r="O559" s="110" t="str">
        <f>"$L$"&amp;A559</f>
        <v>$L$151</v>
      </c>
      <c r="P559" s="110" t="str">
        <f>"$M$"&amp;A559</f>
        <v>$M$151</v>
      </c>
      <c r="Q559" s="110">
        <v>5</v>
      </c>
      <c r="R559" s="110">
        <v>1</v>
      </c>
      <c r="S559" s="110"/>
      <c r="T559" s="110">
        <v>22</v>
      </c>
      <c r="U559" s="110" t="b">
        <v>1</v>
      </c>
      <c r="V559" s="110" t="s">
        <v>1344</v>
      </c>
      <c r="W559" s="110" t="s">
        <v>1343</v>
      </c>
      <c r="X559" s="110"/>
      <c r="Y559" s="110"/>
      <c r="Z559" s="110"/>
      <c r="AA559" s="110"/>
      <c r="AB559" s="110">
        <v>3</v>
      </c>
      <c r="AC559" s="110">
        <v>5</v>
      </c>
      <c r="AD559" s="110" t="s">
        <v>105</v>
      </c>
      <c r="AE559" s="110">
        <v>12</v>
      </c>
      <c r="AF559" s="110"/>
      <c r="AG559" s="110" t="s">
        <v>1351</v>
      </c>
      <c r="AH559" s="110" t="s">
        <v>29</v>
      </c>
      <c r="AI559" s="110" t="s">
        <v>29</v>
      </c>
      <c r="AJ559" s="110"/>
      <c r="AK559" s="110"/>
      <c r="AL559" s="110"/>
      <c r="AM559" s="110"/>
      <c r="AN559" s="110">
        <v>2</v>
      </c>
      <c r="AO559" s="110"/>
      <c r="AP559" s="110"/>
    </row>
    <row r="560" spans="1:48" ht="16.5" customHeight="1" x14ac:dyDescent="0.2">
      <c r="A560" s="103">
        <f>$A$558+3</f>
        <v>153</v>
      </c>
      <c r="B560" s="103" t="s">
        <v>696</v>
      </c>
      <c r="C560" s="103" t="s">
        <v>654</v>
      </c>
      <c r="D560" s="103"/>
      <c r="E560" s="103"/>
      <c r="F560" s="103"/>
      <c r="G560" s="103" t="s">
        <v>1154</v>
      </c>
      <c r="H560" s="103" t="s">
        <v>1157</v>
      </c>
      <c r="I560" s="103" t="s">
        <v>242</v>
      </c>
      <c r="J560" s="103" t="b">
        <f t="shared" si="62"/>
        <v>1</v>
      </c>
      <c r="K560" s="103" t="b">
        <v>1</v>
      </c>
      <c r="L560" s="103" t="b">
        <v>1</v>
      </c>
      <c r="M560" s="103" t="str">
        <f>"'expand """&amp;B560&amp;""","""&amp;G560&amp;""",TRUE'"</f>
        <v>'expand "FP_Main1Udgift","Forside",TRUE'</v>
      </c>
      <c r="N560" s="103" t="s">
        <v>59</v>
      </c>
      <c r="O560" s="103" t="str">
        <f>"$B$"&amp;A560</f>
        <v>$B$153</v>
      </c>
      <c r="P560" s="103" t="str">
        <f>"$M$" &amp;A577-1</f>
        <v>$M$161</v>
      </c>
      <c r="Q560" s="103"/>
      <c r="R560" s="103">
        <v>1</v>
      </c>
      <c r="S560" s="103"/>
      <c r="T560" s="103">
        <v>40</v>
      </c>
      <c r="U560" s="103" t="b">
        <v>1</v>
      </c>
      <c r="V560" s="103" t="s">
        <v>1344</v>
      </c>
      <c r="W560" s="103" t="s">
        <v>1343</v>
      </c>
      <c r="X560" s="103"/>
      <c r="Y560" s="103"/>
      <c r="Z560" s="103"/>
      <c r="AA560" s="103"/>
      <c r="AB560" s="103"/>
      <c r="AC560" s="103">
        <v>30</v>
      </c>
      <c r="AD560" s="103"/>
      <c r="AE560" s="103">
        <v>18</v>
      </c>
      <c r="AF560" s="103" t="b">
        <v>0</v>
      </c>
      <c r="AG560" s="103" t="s">
        <v>1351</v>
      </c>
      <c r="AH560" s="103" t="s">
        <v>29</v>
      </c>
      <c r="AI560" s="103" t="s">
        <v>28</v>
      </c>
      <c r="AJ560" s="103"/>
      <c r="AK560" s="103"/>
      <c r="AL560" s="103"/>
      <c r="AM560" s="103"/>
      <c r="AN560" s="103">
        <v>8</v>
      </c>
      <c r="AO560" s="103">
        <v>135</v>
      </c>
      <c r="AP560" s="103"/>
    </row>
    <row r="561" spans="1:48" ht="16.5" customHeight="1" x14ac:dyDescent="0.2">
      <c r="A561" s="100">
        <f>$A$560+2</f>
        <v>155</v>
      </c>
      <c r="B561" s="100" t="s">
        <v>695</v>
      </c>
      <c r="C561" s="100" t="s">
        <v>649</v>
      </c>
      <c r="D561" s="100"/>
      <c r="E561" s="100"/>
      <c r="F561" s="100"/>
      <c r="G561" s="100" t="s">
        <v>1154</v>
      </c>
      <c r="H561" s="100"/>
      <c r="I561" s="100" t="s">
        <v>242</v>
      </c>
      <c r="J561" s="100" t="b">
        <f t="shared" si="62"/>
        <v>1</v>
      </c>
      <c r="K561" s="100" t="b">
        <v>1</v>
      </c>
      <c r="L561" s="100"/>
      <c r="M561" s="100"/>
      <c r="N561" s="100" t="s">
        <v>59</v>
      </c>
      <c r="O561" s="100" t="str">
        <f>"$B$"&amp;A561</f>
        <v>$B$155</v>
      </c>
      <c r="P561" s="100" t="str">
        <f>"$E$"&amp;A561</f>
        <v>$E$155</v>
      </c>
      <c r="Q561" s="100"/>
      <c r="R561" s="100"/>
      <c r="S561" s="100"/>
      <c r="T561" s="100">
        <v>30</v>
      </c>
      <c r="U561" s="100" t="b">
        <v>1</v>
      </c>
      <c r="V561" s="100" t="s">
        <v>1342</v>
      </c>
      <c r="W561" s="100" t="s">
        <v>1342</v>
      </c>
      <c r="X561" s="100"/>
      <c r="Y561" s="100"/>
      <c r="Z561" s="100"/>
      <c r="AA561" s="100"/>
      <c r="AB561" s="100"/>
      <c r="AC561" s="100">
        <v>5</v>
      </c>
      <c r="AD561" s="100" t="s">
        <v>105</v>
      </c>
      <c r="AE561" s="100">
        <v>14</v>
      </c>
      <c r="AF561" s="100" t="b">
        <v>1</v>
      </c>
      <c r="AG561" s="100" t="s">
        <v>1355</v>
      </c>
      <c r="AH561" s="100" t="s">
        <v>29</v>
      </c>
      <c r="AI561" s="100" t="s">
        <v>28</v>
      </c>
      <c r="AJ561" s="100"/>
      <c r="AK561" s="100"/>
      <c r="AL561" s="100">
        <v>0</v>
      </c>
      <c r="AM561" s="100"/>
      <c r="AN561" s="100"/>
      <c r="AO561" s="100"/>
      <c r="AP561" s="100"/>
    </row>
    <row r="562" spans="1:48" ht="16.5" customHeight="1" x14ac:dyDescent="0.2">
      <c r="A562" s="107">
        <f>$A$560+4</f>
        <v>157</v>
      </c>
      <c r="B562" s="107" t="s">
        <v>692</v>
      </c>
      <c r="C562" s="107" t="s">
        <v>663</v>
      </c>
      <c r="D562" s="107"/>
      <c r="E562" s="107"/>
      <c r="F562" s="107"/>
      <c r="G562" s="107" t="s">
        <v>1154</v>
      </c>
      <c r="H562" s="107">
        <v>2</v>
      </c>
      <c r="I562" s="107">
        <v>6</v>
      </c>
      <c r="J562" s="107" t="b">
        <f t="shared" si="62"/>
        <v>1</v>
      </c>
      <c r="K562" s="107"/>
      <c r="L562" s="107"/>
      <c r="M562" s="107"/>
      <c r="N562" s="107"/>
      <c r="O562" s="107">
        <f>A562</f>
        <v>157</v>
      </c>
      <c r="P562" s="107">
        <f>O562+2</f>
        <v>159</v>
      </c>
      <c r="Q562" s="107"/>
      <c r="R562" s="107"/>
      <c r="S562" s="107"/>
      <c r="T562" s="107"/>
      <c r="U562" s="107"/>
      <c r="V562" s="107"/>
      <c r="W562" s="107"/>
      <c r="X562" s="107"/>
      <c r="Y562" s="107"/>
      <c r="Z562" s="107"/>
      <c r="AA562" s="107"/>
      <c r="AB562" s="107"/>
      <c r="AC562" s="107"/>
      <c r="AD562" s="107"/>
      <c r="AE562" s="107"/>
      <c r="AF562" s="107"/>
      <c r="AG562" s="107"/>
      <c r="AH562" s="107"/>
      <c r="AI562" s="107"/>
      <c r="AJ562" s="107"/>
      <c r="AK562" s="107"/>
      <c r="AL562" s="107"/>
      <c r="AM562" s="107"/>
      <c r="AN562" s="107"/>
      <c r="AO562" s="107"/>
      <c r="AP562" s="107"/>
      <c r="AQ562" s="93" t="str">
        <f>AQ569</f>
        <v>[Udgiftsbærer]</v>
      </c>
    </row>
    <row r="563" spans="1:48" ht="16.5" customHeight="1" x14ac:dyDescent="0.2">
      <c r="A563" s="108">
        <f>$A$562+0</f>
        <v>157</v>
      </c>
      <c r="B563" s="109" t="s">
        <v>1108</v>
      </c>
      <c r="C563" s="109" t="s">
        <v>96</v>
      </c>
      <c r="D563" s="109"/>
      <c r="E563" s="109" t="s">
        <v>692</v>
      </c>
      <c r="F563" s="109"/>
      <c r="G563" s="109" t="s">
        <v>1154</v>
      </c>
      <c r="H563" s="109"/>
      <c r="I563" s="109"/>
      <c r="J563" s="109"/>
      <c r="K563" s="109" t="b">
        <v>1</v>
      </c>
      <c r="L563" s="109"/>
      <c r="M563" s="109"/>
      <c r="N563" s="109"/>
      <c r="O563" s="109" t="str">
        <f>"$D$"&amp;A563</f>
        <v>$D$157</v>
      </c>
      <c r="P563" s="109" t="str">
        <f>"$I$"&amp;A563</f>
        <v>$I$157</v>
      </c>
      <c r="Q563" s="109"/>
      <c r="R563" s="109"/>
      <c r="S563" s="109"/>
      <c r="T563" s="109">
        <v>25</v>
      </c>
      <c r="U563" s="109" t="b">
        <v>1</v>
      </c>
      <c r="V563" s="109" t="s">
        <v>1342</v>
      </c>
      <c r="W563" s="109" t="s">
        <v>1342</v>
      </c>
      <c r="X563" s="109"/>
      <c r="Y563" s="109"/>
      <c r="Z563" s="109"/>
      <c r="AA563" s="109"/>
      <c r="AB563" s="109"/>
      <c r="AC563" s="109">
        <v>5</v>
      </c>
      <c r="AD563" s="109" t="s">
        <v>105</v>
      </c>
      <c r="AE563" s="109">
        <v>14</v>
      </c>
      <c r="AF563" s="109"/>
      <c r="AG563" s="109" t="s">
        <v>1360</v>
      </c>
      <c r="AH563" s="109" t="s">
        <v>29</v>
      </c>
      <c r="AI563" s="109" t="s">
        <v>28</v>
      </c>
      <c r="AJ563" s="109"/>
      <c r="AK563" s="109" t="s">
        <v>1342</v>
      </c>
      <c r="AL563" s="109">
        <v>5</v>
      </c>
      <c r="AM563" s="109"/>
      <c r="AN563" s="109"/>
      <c r="AO563" s="109"/>
      <c r="AP563" s="109" t="b">
        <v>1</v>
      </c>
      <c r="AQ563" s="296" t="s">
        <v>693</v>
      </c>
      <c r="AR563" s="296"/>
      <c r="AS563" s="296"/>
      <c r="AT563" s="296"/>
      <c r="AU563" s="296"/>
      <c r="AV563" s="296"/>
    </row>
    <row r="564" spans="1:48" ht="16.5" customHeight="1" x14ac:dyDescent="0.2">
      <c r="A564" s="108">
        <f>$A$562+0</f>
        <v>157</v>
      </c>
      <c r="B564" s="110" t="str">
        <f>D564&amp;"Red"</f>
        <v>FP_UdgiftsRed</v>
      </c>
      <c r="C564" s="110" t="s">
        <v>656</v>
      </c>
      <c r="D564" s="110" t="s">
        <v>1108</v>
      </c>
      <c r="E564" s="110" t="s">
        <v>692</v>
      </c>
      <c r="F564" s="110"/>
      <c r="G564" s="110" t="s">
        <v>1154</v>
      </c>
      <c r="H564" s="110"/>
      <c r="I564" s="110" t="s">
        <v>1247</v>
      </c>
      <c r="J564" s="110"/>
      <c r="K564" s="110" t="b">
        <v>1</v>
      </c>
      <c r="L564" s="110"/>
      <c r="M564" s="110" t="str">
        <f>"'editNorm """&amp;D564&amp;""","""&amp;B564&amp;""","""&amp;E564&amp;"""'"</f>
        <v>'editNorm "FP_Udgifts","FP_UdgiftsRed","Udgifts"'</v>
      </c>
      <c r="N564" s="110" t="s">
        <v>59</v>
      </c>
      <c r="O564" s="110" t="str">
        <f>"$L$"&amp;A564</f>
        <v>$L$157</v>
      </c>
      <c r="P564" s="110" t="str">
        <f>"$M$"&amp;A564</f>
        <v>$M$157</v>
      </c>
      <c r="Q564" s="110">
        <v>5</v>
      </c>
      <c r="R564" s="110">
        <v>1</v>
      </c>
      <c r="S564" s="110"/>
      <c r="T564" s="110">
        <v>22</v>
      </c>
      <c r="U564" s="110" t="b">
        <v>1</v>
      </c>
      <c r="V564" s="110" t="s">
        <v>1344</v>
      </c>
      <c r="W564" s="110" t="s">
        <v>1343</v>
      </c>
      <c r="X564" s="110"/>
      <c r="Y564" s="110"/>
      <c r="Z564" s="110"/>
      <c r="AA564" s="110"/>
      <c r="AB564" s="110">
        <v>3</v>
      </c>
      <c r="AC564" s="110">
        <v>5</v>
      </c>
      <c r="AD564" s="110" t="s">
        <v>105</v>
      </c>
      <c r="AE564" s="110">
        <v>12</v>
      </c>
      <c r="AF564" s="110"/>
      <c r="AG564" s="110" t="s">
        <v>1351</v>
      </c>
      <c r="AH564" s="110" t="s">
        <v>29</v>
      </c>
      <c r="AI564" s="110" t="s">
        <v>29</v>
      </c>
      <c r="AJ564" s="110"/>
      <c r="AK564" s="110"/>
      <c r="AL564" s="110"/>
      <c r="AM564" s="110"/>
      <c r="AN564" s="110">
        <v>2</v>
      </c>
      <c r="AO564" s="110"/>
      <c r="AP564" s="110"/>
    </row>
    <row r="565" spans="1:48" ht="16.5" customHeight="1" x14ac:dyDescent="0.2">
      <c r="A565" s="108">
        <f>$A$562+0</f>
        <v>157</v>
      </c>
      <c r="B565" s="110" t="str">
        <f>D565&amp;"Gem"</f>
        <v>FP_UdgiftsGem</v>
      </c>
      <c r="C565" s="110" t="s">
        <v>656</v>
      </c>
      <c r="D565" s="110" t="s">
        <v>1108</v>
      </c>
      <c r="E565" s="110" t="s">
        <v>692</v>
      </c>
      <c r="F565" s="110"/>
      <c r="G565" s="110" t="s">
        <v>1154</v>
      </c>
      <c r="H565" s="110"/>
      <c r="I565" s="110" t="s">
        <v>238</v>
      </c>
      <c r="J565" s="110"/>
      <c r="K565" s="110"/>
      <c r="L565" s="110"/>
      <c r="M565" s="110" t="str">
        <f>"'editNorm """&amp;D565&amp;""","""&amp;B565&amp;""","""&amp;E565&amp;"""'"</f>
        <v>'editNorm "FP_Udgifts","FP_UdgiftsGem","Udgifts"'</v>
      </c>
      <c r="N565" s="110" t="s">
        <v>59</v>
      </c>
      <c r="O565" s="110" t="str">
        <f>"$L$"&amp;A565</f>
        <v>$L$157</v>
      </c>
      <c r="P565" s="110" t="str">
        <f>"$L$"&amp;A565</f>
        <v>$L$157</v>
      </c>
      <c r="Q565" s="110">
        <v>5</v>
      </c>
      <c r="R565" s="110">
        <v>1</v>
      </c>
      <c r="S565" s="110"/>
      <c r="T565" s="110">
        <v>22</v>
      </c>
      <c r="U565" s="110" t="b">
        <v>1</v>
      </c>
      <c r="V565" s="110" t="s">
        <v>1345</v>
      </c>
      <c r="W565" s="110" t="s">
        <v>1343</v>
      </c>
      <c r="X565" s="110"/>
      <c r="Y565" s="110"/>
      <c r="Z565" s="110"/>
      <c r="AA565" s="110"/>
      <c r="AB565" s="110">
        <v>3</v>
      </c>
      <c r="AC565" s="110">
        <v>5</v>
      </c>
      <c r="AD565" s="110" t="s">
        <v>105</v>
      </c>
      <c r="AE565" s="110">
        <v>12</v>
      </c>
      <c r="AF565" s="110"/>
      <c r="AG565" s="110" t="s">
        <v>1351</v>
      </c>
      <c r="AH565" s="110" t="s">
        <v>29</v>
      </c>
      <c r="AI565" s="110" t="s">
        <v>29</v>
      </c>
      <c r="AJ565" s="110"/>
      <c r="AK565" s="110"/>
      <c r="AL565" s="110"/>
      <c r="AM565" s="110"/>
      <c r="AN565" s="110">
        <v>2</v>
      </c>
      <c r="AO565" s="110"/>
      <c r="AP565" s="110"/>
    </row>
    <row r="566" spans="1:48" ht="16.5" customHeight="1" x14ac:dyDescent="0.2">
      <c r="A566" s="108">
        <f>$A$562+0</f>
        <v>157</v>
      </c>
      <c r="B566" s="110" t="str">
        <f>D566&amp;"Cancel"</f>
        <v>FP_UdgiftsCancel</v>
      </c>
      <c r="C566" s="110" t="s">
        <v>656</v>
      </c>
      <c r="D566" s="110" t="s">
        <v>1108</v>
      </c>
      <c r="E566" s="110" t="s">
        <v>692</v>
      </c>
      <c r="F566" s="110"/>
      <c r="G566" s="110" t="s">
        <v>1154</v>
      </c>
      <c r="H566" s="110"/>
      <c r="I566" s="110" t="s">
        <v>838</v>
      </c>
      <c r="J566" s="110"/>
      <c r="K566" s="110"/>
      <c r="L566" s="110"/>
      <c r="M566" s="110" t="str">
        <f>"'editNorm """&amp;D566&amp;""","""&amp;B566&amp;""","""&amp;E566&amp;"""'"</f>
        <v>'editNorm "FP_Udgifts","FP_UdgiftsCancel","Udgifts"'</v>
      </c>
      <c r="N566" s="110" t="s">
        <v>59</v>
      </c>
      <c r="O566" s="110" t="str">
        <f>"$M$"&amp;A566</f>
        <v>$M$157</v>
      </c>
      <c r="P566" s="110" t="str">
        <f>"$M$"&amp;A566</f>
        <v>$M$157</v>
      </c>
      <c r="Q566" s="110">
        <v>7</v>
      </c>
      <c r="R566" s="110">
        <v>1</v>
      </c>
      <c r="S566" s="110"/>
      <c r="T566" s="110">
        <v>22</v>
      </c>
      <c r="U566" s="110" t="b">
        <v>1</v>
      </c>
      <c r="V566" s="110" t="s">
        <v>1344</v>
      </c>
      <c r="W566" s="110" t="s">
        <v>1343</v>
      </c>
      <c r="X566" s="110"/>
      <c r="Y566" s="110"/>
      <c r="Z566" s="110"/>
      <c r="AA566" s="110"/>
      <c r="AB566" s="110">
        <v>3</v>
      </c>
      <c r="AC566" s="110">
        <v>5</v>
      </c>
      <c r="AD566" s="110" t="s">
        <v>105</v>
      </c>
      <c r="AE566" s="110">
        <v>12</v>
      </c>
      <c r="AF566" s="110"/>
      <c r="AG566" s="110" t="s">
        <v>1351</v>
      </c>
      <c r="AH566" s="110" t="s">
        <v>29</v>
      </c>
      <c r="AI566" s="110" t="s">
        <v>29</v>
      </c>
      <c r="AJ566" s="110"/>
      <c r="AK566" s="110"/>
      <c r="AL566" s="110"/>
      <c r="AM566" s="110"/>
      <c r="AN566" s="110">
        <v>2</v>
      </c>
      <c r="AO566" s="110"/>
      <c r="AP566" s="110"/>
    </row>
    <row r="567" spans="1:48" ht="16.5" customHeight="1" x14ac:dyDescent="0.2">
      <c r="A567" s="108">
        <f>$A$562+0</f>
        <v>157</v>
      </c>
      <c r="B567" s="110" t="str">
        <f>D567&amp;"Delete"</f>
        <v>FP_UdgiftsDelete</v>
      </c>
      <c r="C567" s="110" t="s">
        <v>656</v>
      </c>
      <c r="D567" s="110" t="s">
        <v>1108</v>
      </c>
      <c r="E567" s="110" t="s">
        <v>692</v>
      </c>
      <c r="F567" s="110"/>
      <c r="G567" s="110" t="s">
        <v>1154</v>
      </c>
      <c r="H567" s="110"/>
      <c r="I567" s="110" t="s">
        <v>839</v>
      </c>
      <c r="J567" s="110"/>
      <c r="K567" s="110"/>
      <c r="L567" s="110"/>
      <c r="M567" s="110" t="str">
        <f>"'editNorm """&amp;D567&amp;""","""&amp;B567&amp;""","""&amp;E567&amp;"""'"</f>
        <v>'editNorm "FP_Udgifts","FP_UdgiftsDelete","Udgifts"'</v>
      </c>
      <c r="N567" s="110" t="s">
        <v>59</v>
      </c>
      <c r="O567" s="110" t="str">
        <f>"$N$"&amp;A567</f>
        <v>$N$157</v>
      </c>
      <c r="P567" s="110" t="str">
        <f>"$N$"&amp;A567</f>
        <v>$N$157</v>
      </c>
      <c r="Q567" s="110">
        <v>7</v>
      </c>
      <c r="R567" s="110">
        <v>1</v>
      </c>
      <c r="S567" s="110"/>
      <c r="T567" s="110">
        <v>22</v>
      </c>
      <c r="U567" s="110" t="b">
        <v>1</v>
      </c>
      <c r="V567" s="110" t="s">
        <v>1346</v>
      </c>
      <c r="W567" s="110" t="s">
        <v>1343</v>
      </c>
      <c r="X567" s="110"/>
      <c r="Y567" s="110"/>
      <c r="Z567" s="110"/>
      <c r="AA567" s="110"/>
      <c r="AB567" s="110">
        <v>3</v>
      </c>
      <c r="AC567" s="110">
        <v>5</v>
      </c>
      <c r="AD567" s="110" t="s">
        <v>105</v>
      </c>
      <c r="AE567" s="110">
        <v>12</v>
      </c>
      <c r="AF567" s="110"/>
      <c r="AG567" s="110" t="s">
        <v>1351</v>
      </c>
      <c r="AH567" s="110" t="s">
        <v>29</v>
      </c>
      <c r="AI567" s="110" t="s">
        <v>29</v>
      </c>
      <c r="AJ567" s="110"/>
      <c r="AK567" s="110"/>
      <c r="AL567" s="110"/>
      <c r="AM567" s="110"/>
      <c r="AN567" s="110">
        <v>2</v>
      </c>
      <c r="AO567" s="110"/>
      <c r="AP567" s="110"/>
    </row>
    <row r="568" spans="1:48" ht="16.5" customHeight="1" x14ac:dyDescent="0.2">
      <c r="A568" s="108">
        <f>$A$562+1</f>
        <v>158</v>
      </c>
      <c r="B568" s="106" t="s">
        <v>694</v>
      </c>
      <c r="C568" s="106" t="s">
        <v>655</v>
      </c>
      <c r="D568" s="106"/>
      <c r="E568" s="106" t="s">
        <v>692</v>
      </c>
      <c r="F568" s="106"/>
      <c r="G568" s="106" t="s">
        <v>1154</v>
      </c>
      <c r="H568" s="106"/>
      <c r="I568" s="106"/>
      <c r="J568" s="106"/>
      <c r="K568" s="106" t="b">
        <v>1</v>
      </c>
      <c r="L568" s="106"/>
      <c r="M568" s="106"/>
      <c r="N568" s="106" t="s">
        <v>59</v>
      </c>
      <c r="O568" s="106" t="str">
        <f>"$D$"&amp;A568</f>
        <v>$D$158</v>
      </c>
      <c r="P568" s="106" t="str">
        <f>"$M$"&amp;A568+1</f>
        <v>$M$159</v>
      </c>
      <c r="Q568" s="106"/>
      <c r="R568" s="106">
        <v>2</v>
      </c>
      <c r="S568" s="106"/>
      <c r="T568" s="106">
        <v>2</v>
      </c>
      <c r="U568" s="106" t="b">
        <v>1</v>
      </c>
      <c r="V568" s="106" t="s">
        <v>1344</v>
      </c>
      <c r="W568" s="106" t="s">
        <v>1343</v>
      </c>
      <c r="X568" s="106"/>
      <c r="Y568" s="106"/>
      <c r="Z568" s="106"/>
      <c r="AA568" s="106"/>
      <c r="AB568" s="106"/>
      <c r="AC568" s="106"/>
      <c r="AD568" s="106"/>
      <c r="AE568" s="106"/>
      <c r="AF568" s="106"/>
      <c r="AG568" s="106"/>
      <c r="AH568" s="106"/>
      <c r="AI568" s="106"/>
      <c r="AJ568" s="106"/>
      <c r="AK568" s="106"/>
      <c r="AL568" s="106"/>
      <c r="AM568" s="106"/>
      <c r="AN568" s="106"/>
      <c r="AO568" s="106"/>
      <c r="AP568" s="106"/>
    </row>
    <row r="569" spans="1:48" ht="16.5" customHeight="1" x14ac:dyDescent="0.2">
      <c r="A569" s="109">
        <f>$A$568+-1</f>
        <v>157</v>
      </c>
      <c r="B569" s="109" t="s">
        <v>1109</v>
      </c>
      <c r="C569" s="109" t="s">
        <v>96</v>
      </c>
      <c r="D569" s="109"/>
      <c r="E569" s="109" t="s">
        <v>692</v>
      </c>
      <c r="F569" s="109"/>
      <c r="G569" s="109" t="s">
        <v>1154</v>
      </c>
      <c r="H569" s="109">
        <v>1</v>
      </c>
      <c r="I569" s="109"/>
      <c r="J569" s="109" t="b">
        <f t="shared" ref="J569:J583" si="63">$E$4</f>
        <v>1</v>
      </c>
      <c r="K569" s="109" t="b">
        <v>1</v>
      </c>
      <c r="L569" s="109"/>
      <c r="M569" s="109"/>
      <c r="N569" s="109"/>
      <c r="O569" s="109" t="str">
        <f>"$D$"&amp;A569</f>
        <v>$D$157</v>
      </c>
      <c r="P569" s="109" t="str">
        <f>"$I$"&amp;A569</f>
        <v>$I$157</v>
      </c>
      <c r="Q569" s="109"/>
      <c r="R569" s="109"/>
      <c r="S569" s="109"/>
      <c r="T569" s="109">
        <v>25</v>
      </c>
      <c r="U569" s="109" t="b">
        <v>1</v>
      </c>
      <c r="V569" s="109" t="s">
        <v>1342</v>
      </c>
      <c r="W569" s="109" t="s">
        <v>1342</v>
      </c>
      <c r="X569" s="109"/>
      <c r="Y569" s="109"/>
      <c r="Z569" s="109"/>
      <c r="AA569" s="109"/>
      <c r="AB569" s="109"/>
      <c r="AC569" s="109">
        <v>5</v>
      </c>
      <c r="AD569" s="109" t="s">
        <v>105</v>
      </c>
      <c r="AE569" s="109">
        <v>14</v>
      </c>
      <c r="AF569" s="109"/>
      <c r="AG569" s="109" t="s">
        <v>1360</v>
      </c>
      <c r="AH569" s="109" t="s">
        <v>29</v>
      </c>
      <c r="AI569" s="109" t="s">
        <v>28</v>
      </c>
      <c r="AJ569" s="109"/>
      <c r="AK569" s="109" t="s">
        <v>1342</v>
      </c>
      <c r="AL569" s="109">
        <v>5</v>
      </c>
      <c r="AM569" s="109"/>
      <c r="AN569" s="109"/>
      <c r="AO569" s="109"/>
      <c r="AP569" s="109" t="b">
        <v>1</v>
      </c>
      <c r="AQ569" s="296" t="s">
        <v>693</v>
      </c>
      <c r="AR569" s="296"/>
      <c r="AS569" s="296"/>
      <c r="AT569" s="296"/>
      <c r="AU569" s="296"/>
      <c r="AV569" s="296"/>
    </row>
    <row r="570" spans="1:48" ht="16.5" customHeight="1" x14ac:dyDescent="0.2">
      <c r="A570" s="110">
        <f>$A$568+-1</f>
        <v>157</v>
      </c>
      <c r="B570" s="110" t="str">
        <f>D570&amp;"Red"</f>
        <v>FP_Udgifts_1Red</v>
      </c>
      <c r="C570" s="110" t="s">
        <v>656</v>
      </c>
      <c r="D570" s="110" t="s">
        <v>1109</v>
      </c>
      <c r="E570" s="110" t="s">
        <v>692</v>
      </c>
      <c r="F570" s="110"/>
      <c r="G570" s="110" t="s">
        <v>1154</v>
      </c>
      <c r="H570" s="110">
        <v>1</v>
      </c>
      <c r="I570" s="110" t="s">
        <v>1247</v>
      </c>
      <c r="J570" s="110" t="b">
        <f t="shared" si="63"/>
        <v>1</v>
      </c>
      <c r="K570" s="110" t="b">
        <v>1</v>
      </c>
      <c r="L570" s="110"/>
      <c r="M570" s="110" t="str">
        <f>"'editNorm """&amp;D570&amp;""","""&amp;B570&amp;""","""&amp;E570&amp;"""'"</f>
        <v>'editNorm "FP_Udgifts_1","FP_Udgifts_1Red","Udgifts"'</v>
      </c>
      <c r="N570" s="110" t="s">
        <v>59</v>
      </c>
      <c r="O570" s="110" t="str">
        <f>"$L$"&amp;A570</f>
        <v>$L$157</v>
      </c>
      <c r="P570" s="110" t="str">
        <f>"$M$"&amp;A570</f>
        <v>$M$157</v>
      </c>
      <c r="Q570" s="110">
        <v>5</v>
      </c>
      <c r="R570" s="110">
        <v>1</v>
      </c>
      <c r="S570" s="110"/>
      <c r="T570" s="110">
        <v>22</v>
      </c>
      <c r="U570" s="110" t="b">
        <v>1</v>
      </c>
      <c r="V570" s="110" t="s">
        <v>1344</v>
      </c>
      <c r="W570" s="110" t="s">
        <v>1343</v>
      </c>
      <c r="X570" s="110"/>
      <c r="Y570" s="110"/>
      <c r="Z570" s="110"/>
      <c r="AA570" s="110"/>
      <c r="AB570" s="110">
        <v>3</v>
      </c>
      <c r="AC570" s="110">
        <v>5</v>
      </c>
      <c r="AD570" s="110" t="s">
        <v>105</v>
      </c>
      <c r="AE570" s="110">
        <v>12</v>
      </c>
      <c r="AF570" s="110"/>
      <c r="AG570" s="110" t="s">
        <v>1351</v>
      </c>
      <c r="AH570" s="110" t="s">
        <v>29</v>
      </c>
      <c r="AI570" s="110" t="s">
        <v>29</v>
      </c>
      <c r="AJ570" s="110"/>
      <c r="AK570" s="110"/>
      <c r="AL570" s="110"/>
      <c r="AM570" s="110"/>
      <c r="AN570" s="110">
        <v>2</v>
      </c>
      <c r="AO570" s="110"/>
      <c r="AP570" s="110"/>
    </row>
    <row r="571" spans="1:48" ht="16.5" customHeight="1" x14ac:dyDescent="0.2">
      <c r="A571" s="110">
        <f>$A$568+-1</f>
        <v>157</v>
      </c>
      <c r="B571" s="110" t="str">
        <f>D571&amp;"Gem"</f>
        <v>FP_Udgifts_1Gem</v>
      </c>
      <c r="C571" s="110" t="s">
        <v>656</v>
      </c>
      <c r="D571" s="110" t="s">
        <v>1109</v>
      </c>
      <c r="E571" s="110" t="s">
        <v>692</v>
      </c>
      <c r="F571" s="110"/>
      <c r="G571" s="110" t="s">
        <v>1154</v>
      </c>
      <c r="H571" s="110">
        <v>1</v>
      </c>
      <c r="I571" s="110" t="s">
        <v>238</v>
      </c>
      <c r="J571" s="110" t="b">
        <f t="shared" si="63"/>
        <v>1</v>
      </c>
      <c r="K571" s="110"/>
      <c r="L571" s="110"/>
      <c r="M571" s="110" t="str">
        <f>"'editNorm """&amp;D571&amp;""","""&amp;B571&amp;""","""&amp;E571&amp;"""'"</f>
        <v>'editNorm "FP_Udgifts_1","FP_Udgifts_1Gem","Udgifts"'</v>
      </c>
      <c r="N571" s="110" t="s">
        <v>59</v>
      </c>
      <c r="O571" s="110" t="str">
        <f>"$L$"&amp;A571</f>
        <v>$L$157</v>
      </c>
      <c r="P571" s="110" t="str">
        <f>"$L$"&amp;A571</f>
        <v>$L$157</v>
      </c>
      <c r="Q571" s="110">
        <v>5</v>
      </c>
      <c r="R571" s="110">
        <v>1</v>
      </c>
      <c r="S571" s="110"/>
      <c r="T571" s="110">
        <v>22</v>
      </c>
      <c r="U571" s="110" t="b">
        <v>1</v>
      </c>
      <c r="V571" s="110" t="s">
        <v>1345</v>
      </c>
      <c r="W571" s="110" t="s">
        <v>1343</v>
      </c>
      <c r="X571" s="110"/>
      <c r="Y571" s="110"/>
      <c r="Z571" s="110"/>
      <c r="AA571" s="110"/>
      <c r="AB571" s="110">
        <v>3</v>
      </c>
      <c r="AC571" s="110">
        <v>5</v>
      </c>
      <c r="AD571" s="110" t="s">
        <v>105</v>
      </c>
      <c r="AE571" s="110">
        <v>12</v>
      </c>
      <c r="AF571" s="110"/>
      <c r="AG571" s="110" t="s">
        <v>1351</v>
      </c>
      <c r="AH571" s="110" t="s">
        <v>29</v>
      </c>
      <c r="AI571" s="110" t="s">
        <v>29</v>
      </c>
      <c r="AJ571" s="110"/>
      <c r="AK571" s="110"/>
      <c r="AL571" s="110"/>
      <c r="AM571" s="110"/>
      <c r="AN571" s="110">
        <v>2</v>
      </c>
      <c r="AO571" s="110"/>
      <c r="AP571" s="110"/>
    </row>
    <row r="572" spans="1:48" ht="16.5" customHeight="1" x14ac:dyDescent="0.2">
      <c r="A572" s="110">
        <f>$A$568+-1</f>
        <v>157</v>
      </c>
      <c r="B572" s="110" t="str">
        <f>D572&amp;"Cancel"</f>
        <v>FP_Udgifts_1Cancel</v>
      </c>
      <c r="C572" s="110" t="s">
        <v>656</v>
      </c>
      <c r="D572" s="110" t="s">
        <v>1109</v>
      </c>
      <c r="E572" s="110" t="s">
        <v>692</v>
      </c>
      <c r="F572" s="110"/>
      <c r="G572" s="110" t="s">
        <v>1154</v>
      </c>
      <c r="H572" s="110">
        <v>1</v>
      </c>
      <c r="I572" s="110" t="s">
        <v>838</v>
      </c>
      <c r="J572" s="110" t="b">
        <f t="shared" si="63"/>
        <v>1</v>
      </c>
      <c r="K572" s="110"/>
      <c r="L572" s="110"/>
      <c r="M572" s="110" t="str">
        <f>"'editNorm """&amp;D572&amp;""","""&amp;B572&amp;""","""&amp;E572&amp;"""'"</f>
        <v>'editNorm "FP_Udgifts_1","FP_Udgifts_1Cancel","Udgifts"'</v>
      </c>
      <c r="N572" s="110" t="s">
        <v>59</v>
      </c>
      <c r="O572" s="110" t="str">
        <f>"$M$"&amp;A572</f>
        <v>$M$157</v>
      </c>
      <c r="P572" s="110" t="str">
        <f>"$M$"&amp;A572</f>
        <v>$M$157</v>
      </c>
      <c r="Q572" s="110">
        <v>7</v>
      </c>
      <c r="R572" s="110">
        <v>1</v>
      </c>
      <c r="S572" s="110"/>
      <c r="T572" s="110">
        <v>22</v>
      </c>
      <c r="U572" s="110" t="b">
        <v>1</v>
      </c>
      <c r="V572" s="110" t="s">
        <v>1344</v>
      </c>
      <c r="W572" s="110" t="s">
        <v>1343</v>
      </c>
      <c r="X572" s="110"/>
      <c r="Y572" s="110"/>
      <c r="Z572" s="110"/>
      <c r="AA572" s="110"/>
      <c r="AB572" s="110">
        <v>3</v>
      </c>
      <c r="AC572" s="110">
        <v>5</v>
      </c>
      <c r="AD572" s="110" t="s">
        <v>105</v>
      </c>
      <c r="AE572" s="110">
        <v>12</v>
      </c>
      <c r="AF572" s="110"/>
      <c r="AG572" s="110" t="s">
        <v>1351</v>
      </c>
      <c r="AH572" s="110" t="s">
        <v>29</v>
      </c>
      <c r="AI572" s="110" t="s">
        <v>29</v>
      </c>
      <c r="AJ572" s="110"/>
      <c r="AK572" s="110"/>
      <c r="AL572" s="110"/>
      <c r="AM572" s="110"/>
      <c r="AN572" s="110">
        <v>2</v>
      </c>
      <c r="AO572" s="110"/>
      <c r="AP572" s="110"/>
    </row>
    <row r="573" spans="1:48" ht="16.5" customHeight="1" x14ac:dyDescent="0.2">
      <c r="A573" s="110">
        <f>$A$568+-1</f>
        <v>157</v>
      </c>
      <c r="B573" s="110" t="str">
        <f>D573&amp;"Delete"</f>
        <v>FP_Udgifts_1Delete</v>
      </c>
      <c r="C573" s="110" t="s">
        <v>656</v>
      </c>
      <c r="D573" s="110" t="s">
        <v>1109</v>
      </c>
      <c r="E573" s="110" t="s">
        <v>692</v>
      </c>
      <c r="F573" s="110"/>
      <c r="G573" s="110" t="s">
        <v>1154</v>
      </c>
      <c r="H573" s="110">
        <v>1</v>
      </c>
      <c r="I573" s="110" t="s">
        <v>839</v>
      </c>
      <c r="J573" s="110" t="b">
        <f t="shared" si="63"/>
        <v>1</v>
      </c>
      <c r="K573" s="110"/>
      <c r="L573" s="110"/>
      <c r="M573" s="110" t="str">
        <f>"'editNorm """&amp;D573&amp;""","""&amp;B573&amp;""","""&amp;E573&amp;"""'"</f>
        <v>'editNorm "FP_Udgifts_1","FP_Udgifts_1Delete","Udgifts"'</v>
      </c>
      <c r="N573" s="110" t="s">
        <v>59</v>
      </c>
      <c r="O573" s="110" t="str">
        <f>"$N$"&amp;A573</f>
        <v>$N$157</v>
      </c>
      <c r="P573" s="110" t="str">
        <f>"$N$"&amp;A573</f>
        <v>$N$157</v>
      </c>
      <c r="Q573" s="110">
        <v>7</v>
      </c>
      <c r="R573" s="110">
        <v>1</v>
      </c>
      <c r="S573" s="110"/>
      <c r="T573" s="110">
        <v>22</v>
      </c>
      <c r="U573" s="110" t="b">
        <v>1</v>
      </c>
      <c r="V573" s="110" t="s">
        <v>1346</v>
      </c>
      <c r="W573" s="110" t="s">
        <v>1343</v>
      </c>
      <c r="X573" s="110"/>
      <c r="Y573" s="110"/>
      <c r="Z573" s="110"/>
      <c r="AA573" s="110"/>
      <c r="AB573" s="110">
        <v>3</v>
      </c>
      <c r="AC573" s="110">
        <v>5</v>
      </c>
      <c r="AD573" s="110" t="s">
        <v>105</v>
      </c>
      <c r="AE573" s="110">
        <v>12</v>
      </c>
      <c r="AF573" s="110"/>
      <c r="AG573" s="110" t="s">
        <v>1351</v>
      </c>
      <c r="AH573" s="110" t="s">
        <v>29</v>
      </c>
      <c r="AI573" s="110" t="s">
        <v>29</v>
      </c>
      <c r="AJ573" s="110"/>
      <c r="AK573" s="110"/>
      <c r="AL573" s="110"/>
      <c r="AM573" s="110"/>
      <c r="AN573" s="110">
        <v>2</v>
      </c>
      <c r="AO573" s="110"/>
      <c r="AP573" s="110"/>
    </row>
    <row r="574" spans="1:48" ht="16.5" customHeight="1" x14ac:dyDescent="0.2">
      <c r="A574" s="106">
        <f>$A$568+0</f>
        <v>158</v>
      </c>
      <c r="B574" s="106" t="s">
        <v>942</v>
      </c>
      <c r="C574" s="106" t="s">
        <v>655</v>
      </c>
      <c r="D574" s="106"/>
      <c r="E574" s="106" t="s">
        <v>692</v>
      </c>
      <c r="F574" s="106"/>
      <c r="G574" s="106" t="s">
        <v>1154</v>
      </c>
      <c r="H574" s="106">
        <v>1</v>
      </c>
      <c r="I574" s="106"/>
      <c r="J574" s="106" t="b">
        <f t="shared" si="63"/>
        <v>1</v>
      </c>
      <c r="K574" s="106" t="b">
        <v>1</v>
      </c>
      <c r="L574" s="106"/>
      <c r="M574" s="106"/>
      <c r="N574" s="106" t="s">
        <v>59</v>
      </c>
      <c r="O574" s="106" t="str">
        <f>"$D$"&amp;A574</f>
        <v>$D$158</v>
      </c>
      <c r="P574" s="106" t="str">
        <f>"$M$"&amp;A574+1</f>
        <v>$M$159</v>
      </c>
      <c r="Q574" s="106"/>
      <c r="R574" s="106">
        <v>2</v>
      </c>
      <c r="S574" s="106"/>
      <c r="T574" s="106">
        <v>2</v>
      </c>
      <c r="U574" s="106" t="b">
        <v>1</v>
      </c>
      <c r="V574" s="106" t="s">
        <v>1344</v>
      </c>
      <c r="W574" s="106" t="s">
        <v>1343</v>
      </c>
      <c r="X574" s="106"/>
      <c r="Y574" s="106"/>
      <c r="Z574" s="106"/>
      <c r="AA574" s="106"/>
      <c r="AB574" s="106"/>
      <c r="AC574" s="106"/>
      <c r="AD574" s="106"/>
      <c r="AE574" s="106"/>
      <c r="AF574" s="106"/>
      <c r="AG574" s="106"/>
      <c r="AH574" s="106"/>
      <c r="AI574" s="106"/>
      <c r="AJ574" s="106"/>
      <c r="AK574" s="106"/>
      <c r="AL574" s="106"/>
      <c r="AM574" s="106"/>
      <c r="AN574" s="106"/>
      <c r="AO574" s="106"/>
      <c r="AP574" s="106"/>
    </row>
    <row r="575" spans="1:48" ht="16.5" customHeight="1" x14ac:dyDescent="0.2">
      <c r="A575" s="107">
        <f>$O$562+(P562-O562+1)*(H562-1)-1</f>
        <v>159</v>
      </c>
      <c r="B575" s="107" t="s">
        <v>692</v>
      </c>
      <c r="C575" s="107" t="s">
        <v>663</v>
      </c>
      <c r="D575" s="107"/>
      <c r="E575" s="107"/>
      <c r="F575" s="107"/>
      <c r="G575" s="107" t="s">
        <v>1154</v>
      </c>
      <c r="H575" s="107"/>
      <c r="I575" s="107"/>
      <c r="J575" s="107" t="b">
        <f t="shared" si="63"/>
        <v>1</v>
      </c>
      <c r="K575" s="107"/>
      <c r="L575" s="107"/>
      <c r="M575" s="107"/>
      <c r="N575" s="107"/>
      <c r="O575" s="107"/>
      <c r="P575" s="107"/>
      <c r="Q575" s="107"/>
      <c r="R575" s="107"/>
      <c r="S575" s="107"/>
      <c r="T575" s="107"/>
      <c r="U575" s="107"/>
      <c r="V575" s="107"/>
      <c r="W575" s="107"/>
      <c r="X575" s="107"/>
      <c r="Y575" s="107"/>
      <c r="Z575" s="107"/>
      <c r="AA575" s="107"/>
      <c r="AB575" s="107"/>
      <c r="AC575" s="107"/>
      <c r="AD575" s="107"/>
      <c r="AE575" s="107"/>
      <c r="AF575" s="107"/>
      <c r="AG575" s="107"/>
      <c r="AH575" s="107"/>
      <c r="AI575" s="107"/>
      <c r="AJ575" s="107"/>
      <c r="AK575" s="107"/>
      <c r="AL575" s="107"/>
      <c r="AM575" s="107"/>
      <c r="AN575" s="107"/>
      <c r="AO575" s="107"/>
      <c r="AP575" s="107"/>
    </row>
    <row r="576" spans="1:48" ht="16.5" customHeight="1" x14ac:dyDescent="0.2">
      <c r="A576" s="110">
        <f>$A$575+1</f>
        <v>160</v>
      </c>
      <c r="B576" s="110" t="s">
        <v>1110</v>
      </c>
      <c r="C576" s="110" t="s">
        <v>656</v>
      </c>
      <c r="D576" s="110"/>
      <c r="E576" s="110" t="s">
        <v>692</v>
      </c>
      <c r="F576" s="110"/>
      <c r="G576" s="110" t="s">
        <v>1154</v>
      </c>
      <c r="H576" s="110"/>
      <c r="I576" s="110" t="s">
        <v>199</v>
      </c>
      <c r="J576" s="110" t="b">
        <f t="shared" si="63"/>
        <v>1</v>
      </c>
      <c r="K576" s="110" t="b">
        <v>1</v>
      </c>
      <c r="L576" s="110"/>
      <c r="M576" s="110" t="str">
        <f>"'groupAdd """&amp;E576&amp;"""'"</f>
        <v>'groupAdd "Udgifts"'</v>
      </c>
      <c r="N576" s="110" t="s">
        <v>59</v>
      </c>
      <c r="O576" s="110" t="str">
        <f>"$L$"&amp;A576</f>
        <v>$L$160</v>
      </c>
      <c r="P576" s="110" t="str">
        <f>"$M$"&amp;A576</f>
        <v>$M$160</v>
      </c>
      <c r="Q576" s="110">
        <v>5</v>
      </c>
      <c r="R576" s="110">
        <v>1</v>
      </c>
      <c r="S576" s="110"/>
      <c r="T576" s="110">
        <v>22</v>
      </c>
      <c r="U576" s="110" t="b">
        <v>1</v>
      </c>
      <c r="V576" s="110" t="s">
        <v>1344</v>
      </c>
      <c r="W576" s="110" t="s">
        <v>1343</v>
      </c>
      <c r="X576" s="110"/>
      <c r="Y576" s="110"/>
      <c r="Z576" s="110"/>
      <c r="AA576" s="110"/>
      <c r="AB576" s="110">
        <v>3</v>
      </c>
      <c r="AC576" s="110">
        <v>5</v>
      </c>
      <c r="AD576" s="110" t="s">
        <v>105</v>
      </c>
      <c r="AE576" s="110">
        <v>12</v>
      </c>
      <c r="AF576" s="110"/>
      <c r="AG576" s="110" t="s">
        <v>1351</v>
      </c>
      <c r="AH576" s="110" t="s">
        <v>29</v>
      </c>
      <c r="AI576" s="110" t="s">
        <v>29</v>
      </c>
      <c r="AJ576" s="110"/>
      <c r="AK576" s="110"/>
      <c r="AL576" s="110"/>
      <c r="AM576" s="110"/>
      <c r="AN576" s="110">
        <v>2</v>
      </c>
      <c r="AO576" s="110"/>
      <c r="AP576" s="110"/>
    </row>
    <row r="577" spans="1:48" ht="16.5" customHeight="1" x14ac:dyDescent="0.2">
      <c r="A577" s="103">
        <f>$A$575+3</f>
        <v>162</v>
      </c>
      <c r="B577" s="103" t="s">
        <v>244</v>
      </c>
      <c r="C577" s="103" t="s">
        <v>654</v>
      </c>
      <c r="D577" s="103"/>
      <c r="E577" s="103"/>
      <c r="F577" s="103"/>
      <c r="G577" s="103" t="s">
        <v>1154</v>
      </c>
      <c r="H577" s="103" t="s">
        <v>1594</v>
      </c>
      <c r="I577" s="103" t="s">
        <v>243</v>
      </c>
      <c r="J577" s="103" t="b">
        <f t="shared" si="63"/>
        <v>1</v>
      </c>
      <c r="K577" s="103" t="b">
        <v>1</v>
      </c>
      <c r="L577" s="103" t="b">
        <v>1</v>
      </c>
      <c r="M577" s="103" t="str">
        <f>"'expand """&amp;B577&amp;""","""&amp;G577&amp;""",TRUE'"</f>
        <v>'expand "FP_Main1Omkost","Forside",TRUE'</v>
      </c>
      <c r="N577" s="103" t="s">
        <v>59</v>
      </c>
      <c r="O577" s="103" t="str">
        <f>"$B$"&amp;A577</f>
        <v>$B$162</v>
      </c>
      <c r="P577" s="103" t="str">
        <f>"$M$" &amp;A667 -1</f>
        <v>$M$195</v>
      </c>
      <c r="Q577" s="103"/>
      <c r="R577" s="103">
        <v>1</v>
      </c>
      <c r="S577" s="103"/>
      <c r="T577" s="103">
        <v>40</v>
      </c>
      <c r="U577" s="103" t="b">
        <v>1</v>
      </c>
      <c r="V577" s="103" t="s">
        <v>1344</v>
      </c>
      <c r="W577" s="103" t="s">
        <v>1343</v>
      </c>
      <c r="X577" s="103"/>
      <c r="Y577" s="103"/>
      <c r="Z577" s="103"/>
      <c r="AA577" s="103"/>
      <c r="AB577" s="103"/>
      <c r="AC577" s="103">
        <v>30</v>
      </c>
      <c r="AD577" s="103" t="s">
        <v>105</v>
      </c>
      <c r="AE577" s="103">
        <v>18</v>
      </c>
      <c r="AF577" s="103" t="b">
        <v>0</v>
      </c>
      <c r="AG577" s="103" t="s">
        <v>1351</v>
      </c>
      <c r="AH577" s="103" t="s">
        <v>29</v>
      </c>
      <c r="AI577" s="103" t="s">
        <v>28</v>
      </c>
      <c r="AJ577" s="103"/>
      <c r="AK577" s="103"/>
      <c r="AL577" s="103"/>
      <c r="AM577" s="103"/>
      <c r="AN577" s="103">
        <v>8</v>
      </c>
      <c r="AO577" s="103">
        <v>135</v>
      </c>
      <c r="AP577" s="103"/>
    </row>
    <row r="578" spans="1:48" ht="16.5" customHeight="1" x14ac:dyDescent="0.2">
      <c r="A578" s="100">
        <f>$A$577+2</f>
        <v>164</v>
      </c>
      <c r="B578" s="100" t="s">
        <v>246</v>
      </c>
      <c r="C578" s="100" t="s">
        <v>649</v>
      </c>
      <c r="D578" s="100"/>
      <c r="E578" s="100"/>
      <c r="F578" s="100"/>
      <c r="G578" s="100" t="s">
        <v>1154</v>
      </c>
      <c r="H578" s="100" t="b">
        <v>1</v>
      </c>
      <c r="I578" s="100" t="s">
        <v>245</v>
      </c>
      <c r="J578" s="100" t="b">
        <f t="shared" si="63"/>
        <v>1</v>
      </c>
      <c r="K578" s="100" t="b">
        <v>1</v>
      </c>
      <c r="L578" s="100"/>
      <c r="M578" s="100"/>
      <c r="N578" s="100" t="s">
        <v>59</v>
      </c>
      <c r="O578" s="100" t="str">
        <f>"$B$"&amp;A578</f>
        <v>$B$164</v>
      </c>
      <c r="P578" s="100" t="str">
        <f>"$I$"&amp;A578</f>
        <v>$I$164</v>
      </c>
      <c r="Q578" s="100"/>
      <c r="R578" s="100"/>
      <c r="S578" s="100"/>
      <c r="T578" s="100">
        <v>30</v>
      </c>
      <c r="U578" s="100" t="b">
        <v>1</v>
      </c>
      <c r="V578" s="100" t="s">
        <v>1342</v>
      </c>
      <c r="W578" s="100" t="s">
        <v>1342</v>
      </c>
      <c r="X578" s="100"/>
      <c r="Y578" s="100"/>
      <c r="Z578" s="100"/>
      <c r="AA578" s="100"/>
      <c r="AB578" s="100">
        <v>3</v>
      </c>
      <c r="AC578" s="100"/>
      <c r="AD578" s="100" t="s">
        <v>105</v>
      </c>
      <c r="AE578" s="100">
        <v>14</v>
      </c>
      <c r="AF578" s="100" t="b">
        <v>1</v>
      </c>
      <c r="AG578" s="100" t="s">
        <v>1355</v>
      </c>
      <c r="AH578" s="100" t="s">
        <v>29</v>
      </c>
      <c r="AI578" s="100" t="s">
        <v>28</v>
      </c>
      <c r="AJ578" s="100"/>
      <c r="AK578" s="100"/>
      <c r="AL578" s="100">
        <v>0</v>
      </c>
      <c r="AM578" s="100"/>
      <c r="AN578" s="100"/>
      <c r="AO578" s="100"/>
      <c r="AP578" s="100"/>
    </row>
    <row r="579" spans="1:48" ht="16.5" customHeight="1" x14ac:dyDescent="0.2">
      <c r="A579" s="104">
        <f>$A$577+2</f>
        <v>164</v>
      </c>
      <c r="B579" s="104" t="s">
        <v>641</v>
      </c>
      <c r="C579" s="104" t="s">
        <v>657</v>
      </c>
      <c r="D579" s="104"/>
      <c r="E579" s="104"/>
      <c r="F579" s="104"/>
      <c r="G579" s="104" t="s">
        <v>1154</v>
      </c>
      <c r="H579" s="104"/>
      <c r="I579" s="104" t="str">
        <f>B579</f>
        <v>FP_OmkostGroup1</v>
      </c>
      <c r="J579" s="104" t="b">
        <f t="shared" si="63"/>
        <v>1</v>
      </c>
      <c r="K579" s="104" t="b">
        <f>$C$3</f>
        <v>0</v>
      </c>
      <c r="L579" s="104"/>
      <c r="M579" s="104"/>
      <c r="N579" s="104" t="s">
        <v>59</v>
      </c>
      <c r="O579" s="104" t="str">
        <f>"$L$"&amp;A579</f>
        <v>$L$164</v>
      </c>
      <c r="P579" s="104" t="str">
        <f>"$N$"&amp;A579</f>
        <v>$N$164</v>
      </c>
      <c r="Q579" s="104">
        <v>-5</v>
      </c>
      <c r="R579" s="104">
        <v>3</v>
      </c>
      <c r="S579" s="104"/>
      <c r="T579" s="104">
        <v>22</v>
      </c>
      <c r="U579" s="104"/>
      <c r="V579" s="104"/>
      <c r="W579" s="104"/>
      <c r="X579" s="104"/>
      <c r="Y579" s="104"/>
      <c r="Z579" s="104"/>
      <c r="AA579" s="104"/>
      <c r="AB579" s="104"/>
      <c r="AC579" s="104">
        <v>16</v>
      </c>
      <c r="AD579" s="104" t="s">
        <v>105</v>
      </c>
      <c r="AE579" s="104"/>
      <c r="AF579" s="104"/>
      <c r="AG579" s="104"/>
      <c r="AH579" s="104" t="s">
        <v>27</v>
      </c>
      <c r="AI579" s="104" t="s">
        <v>28</v>
      </c>
      <c r="AJ579" s="104"/>
      <c r="AK579" s="104"/>
      <c r="AL579" s="104"/>
      <c r="AM579" s="104"/>
      <c r="AN579" s="104"/>
      <c r="AO579" s="104"/>
      <c r="AP579" s="104"/>
    </row>
    <row r="580" spans="1:48" ht="16.5" customHeight="1" x14ac:dyDescent="0.2">
      <c r="A580" s="114">
        <f>$A$577+2</f>
        <v>164</v>
      </c>
      <c r="B580" s="114" t="s">
        <v>642</v>
      </c>
      <c r="C580" s="114" t="s">
        <v>658</v>
      </c>
      <c r="D580" s="114" t="s">
        <v>641</v>
      </c>
      <c r="E580" s="114"/>
      <c r="F580" s="114"/>
      <c r="G580" s="114" t="s">
        <v>1154</v>
      </c>
      <c r="H580" s="114" t="b">
        <v>0</v>
      </c>
      <c r="I580" s="114" t="s">
        <v>34</v>
      </c>
      <c r="J580" s="114" t="b">
        <f t="shared" si="63"/>
        <v>1</v>
      </c>
      <c r="K580" s="114" t="b">
        <v>1</v>
      </c>
      <c r="L580" s="114"/>
      <c r="M580" s="114" t="str">
        <f>"'chkOmkost """&amp;B580&amp;""","""&amp;B581&amp;"""'"</f>
        <v>'chkOmkost "FP_OmkostGroup1Chk1","BCM_subcat10_Holder1"'</v>
      </c>
      <c r="N580" s="114" t="s">
        <v>59</v>
      </c>
      <c r="O580" s="114" t="str">
        <f>"$L$"&amp;A580</f>
        <v>$L$164</v>
      </c>
      <c r="P580" s="114" t="str">
        <f>"$M$"&amp;A580</f>
        <v>$M$164</v>
      </c>
      <c r="Q580" s="114">
        <v>7</v>
      </c>
      <c r="R580" s="114">
        <v>1</v>
      </c>
      <c r="S580" s="114"/>
      <c r="T580" s="114">
        <v>22</v>
      </c>
      <c r="U580" s="114" t="b">
        <v>1</v>
      </c>
      <c r="V580" s="114" t="s">
        <v>1343</v>
      </c>
      <c r="W580" s="114" t="s">
        <v>1356</v>
      </c>
      <c r="X580" s="114"/>
      <c r="Y580" s="114"/>
      <c r="Z580" s="114"/>
      <c r="AA580" s="114"/>
      <c r="AB580" s="114"/>
      <c r="AC580" s="114"/>
      <c r="AD580" s="114" t="s">
        <v>105</v>
      </c>
      <c r="AE580" s="114">
        <v>12</v>
      </c>
      <c r="AF580" s="114" t="b">
        <v>0</v>
      </c>
      <c r="AG580" s="114" t="s">
        <v>1355</v>
      </c>
      <c r="AH580" s="114" t="s">
        <v>29</v>
      </c>
      <c r="AI580" s="114" t="s">
        <v>29</v>
      </c>
      <c r="AJ580" s="114"/>
      <c r="AK580" s="114"/>
      <c r="AL580" s="114">
        <v>0</v>
      </c>
      <c r="AM580" s="114"/>
      <c r="AN580" s="114"/>
      <c r="AO580" s="114"/>
      <c r="AP580" s="114"/>
    </row>
    <row r="581" spans="1:48" ht="16.5" customHeight="1" x14ac:dyDescent="0.2">
      <c r="A581" s="81">
        <f>$A$577+3</f>
        <v>165</v>
      </c>
      <c r="B581" s="81" t="s">
        <v>514</v>
      </c>
      <c r="C581" s="81" t="s">
        <v>512</v>
      </c>
      <c r="D581" s="81"/>
      <c r="E581" s="81"/>
      <c r="F581" s="81"/>
      <c r="G581" s="81" t="s">
        <v>1154</v>
      </c>
      <c r="H581" s="81"/>
      <c r="I581" s="81"/>
      <c r="J581" s="81" t="b">
        <f t="shared" si="63"/>
        <v>1</v>
      </c>
      <c r="K581" s="81"/>
      <c r="L581" s="81" t="b">
        <v>1</v>
      </c>
      <c r="M581" s="81"/>
      <c r="N581" s="81" t="s">
        <v>59</v>
      </c>
      <c r="O581" s="81" t="str">
        <f>"$O$"&amp;A581</f>
        <v>$O$165</v>
      </c>
      <c r="P581" s="81" t="str">
        <f>"$O$"&amp;A667-2</f>
        <v>$O$194</v>
      </c>
      <c r="Q581" s="81"/>
      <c r="R581" s="81">
        <v>1</v>
      </c>
      <c r="S581" s="81">
        <v>20</v>
      </c>
      <c r="T581" s="81"/>
      <c r="U581" s="81"/>
      <c r="V581" s="81" t="s">
        <v>1350</v>
      </c>
      <c r="W581" s="81" t="s">
        <v>1350</v>
      </c>
      <c r="X581" s="81"/>
      <c r="Y581" s="81"/>
      <c r="Z581" s="81"/>
      <c r="AA581" s="81"/>
      <c r="AB581" s="81"/>
      <c r="AC581" s="81"/>
      <c r="AD581" s="81"/>
      <c r="AE581" s="81"/>
      <c r="AF581" s="81"/>
      <c r="AG581" s="81"/>
      <c r="AH581" s="81"/>
      <c r="AI581" s="81"/>
      <c r="AJ581" s="81"/>
      <c r="AK581" s="81"/>
      <c r="AL581" s="81">
        <v>10</v>
      </c>
      <c r="AM581" s="81">
        <v>5</v>
      </c>
      <c r="AN581" s="81"/>
      <c r="AO581" s="81"/>
      <c r="AP581" s="81"/>
    </row>
    <row r="582" spans="1:48" ht="16.5" customHeight="1" x14ac:dyDescent="0.2">
      <c r="A582" s="100">
        <f>$A$577+4</f>
        <v>166</v>
      </c>
      <c r="B582" s="100" t="s">
        <v>1298</v>
      </c>
      <c r="C582" s="100" t="s">
        <v>649</v>
      </c>
      <c r="D582" s="100"/>
      <c r="E582" s="100"/>
      <c r="F582" s="100"/>
      <c r="G582" s="100" t="s">
        <v>1154</v>
      </c>
      <c r="H582" s="100"/>
      <c r="I582" s="100" t="s">
        <v>1300</v>
      </c>
      <c r="J582" s="100" t="b">
        <f t="shared" si="63"/>
        <v>1</v>
      </c>
      <c r="K582" s="100" t="b">
        <v>1</v>
      </c>
      <c r="L582" s="100"/>
      <c r="M582" s="100"/>
      <c r="N582" s="100" t="s">
        <v>59</v>
      </c>
      <c r="O582" s="100" t="str">
        <f>"$B$"&amp;A582</f>
        <v>$B$166</v>
      </c>
      <c r="P582" s="100" t="str">
        <f>"$E$"&amp;A582</f>
        <v>$E$166</v>
      </c>
      <c r="Q582" s="100">
        <v>2</v>
      </c>
      <c r="R582" s="100"/>
      <c r="S582" s="100"/>
      <c r="T582" s="100">
        <v>30</v>
      </c>
      <c r="U582" s="100" t="b">
        <v>1</v>
      </c>
      <c r="V582" s="100" t="s">
        <v>1342</v>
      </c>
      <c r="W582" s="100" t="s">
        <v>1342</v>
      </c>
      <c r="X582" s="100"/>
      <c r="Y582" s="100"/>
      <c r="Z582" s="100"/>
      <c r="AA582" s="100"/>
      <c r="AB582" s="100"/>
      <c r="AC582" s="100">
        <v>5</v>
      </c>
      <c r="AD582" s="100" t="s">
        <v>105</v>
      </c>
      <c r="AE582" s="100">
        <v>14</v>
      </c>
      <c r="AF582" s="100" t="b">
        <v>1</v>
      </c>
      <c r="AG582" s="100" t="s">
        <v>1355</v>
      </c>
      <c r="AH582" s="100" t="s">
        <v>29</v>
      </c>
      <c r="AI582" s="100" t="s">
        <v>28</v>
      </c>
      <c r="AJ582" s="100"/>
      <c r="AK582" s="100"/>
      <c r="AL582" s="100">
        <v>0</v>
      </c>
      <c r="AM582" s="100"/>
      <c r="AN582" s="100"/>
      <c r="AO582" s="100"/>
      <c r="AP582" s="100"/>
    </row>
    <row r="583" spans="1:48" ht="16.5" customHeight="1" x14ac:dyDescent="0.2">
      <c r="A583" s="107">
        <f>$A$577+5</f>
        <v>167</v>
      </c>
      <c r="B583" s="107" t="s">
        <v>933</v>
      </c>
      <c r="C583" s="107" t="s">
        <v>663</v>
      </c>
      <c r="D583" s="107"/>
      <c r="E583" s="107"/>
      <c r="F583" s="107"/>
      <c r="G583" s="107" t="s">
        <v>1154</v>
      </c>
      <c r="H583" s="107">
        <v>2</v>
      </c>
      <c r="I583" s="107">
        <v>6</v>
      </c>
      <c r="J583" s="107" t="b">
        <f t="shared" si="63"/>
        <v>1</v>
      </c>
      <c r="K583" s="107"/>
      <c r="L583" s="107"/>
      <c r="M583" s="107"/>
      <c r="N583" s="107"/>
      <c r="O583" s="107">
        <f>A583</f>
        <v>167</v>
      </c>
      <c r="P583" s="107">
        <f>O583+2</f>
        <v>169</v>
      </c>
      <c r="Q583" s="107"/>
      <c r="R583" s="107"/>
      <c r="S583" s="107"/>
      <c r="T583" s="107"/>
      <c r="U583" s="107"/>
      <c r="V583" s="107"/>
      <c r="W583" s="107"/>
      <c r="X583" s="107"/>
      <c r="Y583" s="107"/>
      <c r="Z583" s="107"/>
      <c r="AA583" s="107"/>
      <c r="AB583" s="107"/>
      <c r="AC583" s="107"/>
      <c r="AD583" s="107"/>
      <c r="AE583" s="107"/>
      <c r="AF583" s="107"/>
      <c r="AG583" s="107"/>
      <c r="AH583" s="107"/>
      <c r="AI583" s="107"/>
      <c r="AJ583" s="107"/>
      <c r="AK583" s="107"/>
      <c r="AL583" s="107"/>
      <c r="AM583" s="107"/>
      <c r="AN583" s="107"/>
      <c r="AO583" s="107"/>
      <c r="AP583" s="107"/>
      <c r="AQ583" s="93">
        <f>AQ590</f>
        <v>2013</v>
      </c>
    </row>
    <row r="584" spans="1:48" ht="16.5" customHeight="1" x14ac:dyDescent="0.2">
      <c r="A584" s="108">
        <f>$A$583+0</f>
        <v>167</v>
      </c>
      <c r="B584" s="109" t="s">
        <v>932</v>
      </c>
      <c r="C584" s="109" t="s">
        <v>96</v>
      </c>
      <c r="D584" s="109"/>
      <c r="E584" s="109"/>
      <c r="F584" s="109"/>
      <c r="G584" s="109" t="s">
        <v>1154</v>
      </c>
      <c r="H584" s="109"/>
      <c r="I584" s="109"/>
      <c r="J584" s="109"/>
      <c r="K584" s="109" t="b">
        <v>1</v>
      </c>
      <c r="L584" s="109"/>
      <c r="M584" s="109"/>
      <c r="N584" s="109"/>
      <c r="O584" s="109" t="str">
        <f>"$D$"&amp;A584</f>
        <v>$D$167</v>
      </c>
      <c r="P584" s="109" t="str">
        <f>"$I$"&amp;A584</f>
        <v>$I$167</v>
      </c>
      <c r="Q584" s="109"/>
      <c r="R584" s="109"/>
      <c r="S584" s="109"/>
      <c r="T584" s="109">
        <v>25</v>
      </c>
      <c r="U584" s="109" t="b">
        <v>1</v>
      </c>
      <c r="V584" s="109" t="s">
        <v>1342</v>
      </c>
      <c r="W584" s="109" t="s">
        <v>1342</v>
      </c>
      <c r="X584" s="109"/>
      <c r="Y584" s="109"/>
      <c r="Z584" s="109"/>
      <c r="AA584" s="109"/>
      <c r="AB584" s="109"/>
      <c r="AC584" s="109">
        <v>5</v>
      </c>
      <c r="AD584" s="109" t="s">
        <v>105</v>
      </c>
      <c r="AE584" s="109">
        <v>14</v>
      </c>
      <c r="AF584" s="109"/>
      <c r="AG584" s="109" t="s">
        <v>1360</v>
      </c>
      <c r="AH584" s="109" t="s">
        <v>29</v>
      </c>
      <c r="AI584" s="109" t="s">
        <v>28</v>
      </c>
      <c r="AJ584" s="109"/>
      <c r="AK584" s="109"/>
      <c r="AL584" s="109">
        <v>5</v>
      </c>
      <c r="AM584" s="109"/>
      <c r="AN584" s="109"/>
      <c r="AO584" s="109"/>
      <c r="AP584" s="109" t="b">
        <v>1</v>
      </c>
      <c r="AQ584" s="296" t="s">
        <v>1296</v>
      </c>
      <c r="AR584" s="296"/>
      <c r="AS584" s="296"/>
      <c r="AT584" s="296"/>
      <c r="AU584" s="296"/>
      <c r="AV584" s="296"/>
    </row>
    <row r="585" spans="1:48" ht="16.5" customHeight="1" x14ac:dyDescent="0.2">
      <c r="A585" s="108">
        <f>$A$583+0</f>
        <v>167</v>
      </c>
      <c r="B585" s="110" t="str">
        <f>D585&amp;"Red"</f>
        <v>FP_Main1OmkostSYRed</v>
      </c>
      <c r="C585" s="110" t="s">
        <v>656</v>
      </c>
      <c r="D585" s="110" t="s">
        <v>932</v>
      </c>
      <c r="E585" s="110" t="s">
        <v>933</v>
      </c>
      <c r="F585" s="110"/>
      <c r="G585" s="110" t="s">
        <v>1154</v>
      </c>
      <c r="H585" s="110"/>
      <c r="I585" s="110" t="s">
        <v>1247</v>
      </c>
      <c r="J585" s="110"/>
      <c r="K585" s="110" t="b">
        <v>1</v>
      </c>
      <c r="L585" s="110"/>
      <c r="M585" s="110" t="str">
        <f>"'editNorm """&amp;D585&amp;""","""&amp;B585&amp;""","""&amp;E585&amp;"""'"</f>
        <v>'editNorm "FP_Main1OmkostSY","FP_Main1OmkostSYRed","OmkostSY"'</v>
      </c>
      <c r="N585" s="110" t="s">
        <v>59</v>
      </c>
      <c r="O585" s="110" t="str">
        <f>"$L$"&amp;A585</f>
        <v>$L$167</v>
      </c>
      <c r="P585" s="110" t="str">
        <f>"$M$"&amp;A585</f>
        <v>$M$167</v>
      </c>
      <c r="Q585" s="110">
        <v>5</v>
      </c>
      <c r="R585" s="110">
        <v>1</v>
      </c>
      <c r="S585" s="110"/>
      <c r="T585" s="110">
        <v>22</v>
      </c>
      <c r="U585" s="110" t="b">
        <v>1</v>
      </c>
      <c r="V585" s="110" t="s">
        <v>1344</v>
      </c>
      <c r="W585" s="110" t="s">
        <v>1343</v>
      </c>
      <c r="X585" s="110"/>
      <c r="Y585" s="110"/>
      <c r="Z585" s="110"/>
      <c r="AA585" s="110"/>
      <c r="AB585" s="110">
        <v>3</v>
      </c>
      <c r="AC585" s="110">
        <v>5</v>
      </c>
      <c r="AD585" s="110" t="s">
        <v>105</v>
      </c>
      <c r="AE585" s="110">
        <v>12</v>
      </c>
      <c r="AF585" s="110"/>
      <c r="AG585" s="110" t="s">
        <v>1351</v>
      </c>
      <c r="AH585" s="110" t="s">
        <v>29</v>
      </c>
      <c r="AI585" s="110" t="s">
        <v>29</v>
      </c>
      <c r="AJ585" s="110"/>
      <c r="AK585" s="110"/>
      <c r="AL585" s="110"/>
      <c r="AM585" s="110"/>
      <c r="AN585" s="110">
        <v>2</v>
      </c>
      <c r="AO585" s="110"/>
      <c r="AP585" s="110"/>
    </row>
    <row r="586" spans="1:48" ht="16.5" customHeight="1" x14ac:dyDescent="0.2">
      <c r="A586" s="108">
        <f>$A$583+0</f>
        <v>167</v>
      </c>
      <c r="B586" s="110" t="str">
        <f>D586&amp;"Gem"</f>
        <v>FP_Main1OmkostSYGem</v>
      </c>
      <c r="C586" s="110" t="s">
        <v>656</v>
      </c>
      <c r="D586" s="110" t="s">
        <v>932</v>
      </c>
      <c r="E586" s="110" t="s">
        <v>933</v>
      </c>
      <c r="F586" s="110"/>
      <c r="G586" s="110" t="s">
        <v>1154</v>
      </c>
      <c r="H586" s="110"/>
      <c r="I586" s="110" t="s">
        <v>238</v>
      </c>
      <c r="J586" s="110"/>
      <c r="K586" s="110"/>
      <c r="L586" s="110"/>
      <c r="M586" s="110" t="str">
        <f>"'editNorm """&amp;D586&amp;""","""&amp;B586&amp;""","""&amp;E586&amp;"""'"</f>
        <v>'editNorm "FP_Main1OmkostSY","FP_Main1OmkostSYGem","OmkostSY"'</v>
      </c>
      <c r="N586" s="110" t="s">
        <v>59</v>
      </c>
      <c r="O586" s="110" t="str">
        <f>"$L$"&amp;A586</f>
        <v>$L$167</v>
      </c>
      <c r="P586" s="110" t="str">
        <f>"$L$"&amp;A586</f>
        <v>$L$167</v>
      </c>
      <c r="Q586" s="110">
        <v>5</v>
      </c>
      <c r="R586" s="110">
        <v>1</v>
      </c>
      <c r="S586" s="110"/>
      <c r="T586" s="110">
        <v>22</v>
      </c>
      <c r="U586" s="110" t="b">
        <v>1</v>
      </c>
      <c r="V586" s="110" t="s">
        <v>1345</v>
      </c>
      <c r="W586" s="110" t="s">
        <v>1343</v>
      </c>
      <c r="X586" s="110"/>
      <c r="Y586" s="110"/>
      <c r="Z586" s="110"/>
      <c r="AA586" s="110"/>
      <c r="AB586" s="110">
        <v>3</v>
      </c>
      <c r="AC586" s="110">
        <v>5</v>
      </c>
      <c r="AD586" s="110" t="s">
        <v>105</v>
      </c>
      <c r="AE586" s="110">
        <v>12</v>
      </c>
      <c r="AF586" s="110"/>
      <c r="AG586" s="110" t="s">
        <v>1351</v>
      </c>
      <c r="AH586" s="110" t="s">
        <v>29</v>
      </c>
      <c r="AI586" s="110" t="s">
        <v>29</v>
      </c>
      <c r="AJ586" s="110"/>
      <c r="AK586" s="110"/>
      <c r="AL586" s="110"/>
      <c r="AM586" s="110"/>
      <c r="AN586" s="110">
        <v>2</v>
      </c>
      <c r="AO586" s="110"/>
      <c r="AP586" s="110"/>
    </row>
    <row r="587" spans="1:48" ht="16.5" customHeight="1" x14ac:dyDescent="0.2">
      <c r="A587" s="108">
        <f>$A$583+0</f>
        <v>167</v>
      </c>
      <c r="B587" s="110" t="str">
        <f>D587&amp;"Cancel"</f>
        <v>FP_Main1OmkostSYCancel</v>
      </c>
      <c r="C587" s="110" t="s">
        <v>656</v>
      </c>
      <c r="D587" s="110" t="s">
        <v>932</v>
      </c>
      <c r="E587" s="110" t="s">
        <v>933</v>
      </c>
      <c r="F587" s="110"/>
      <c r="G587" s="110" t="s">
        <v>1154</v>
      </c>
      <c r="H587" s="110"/>
      <c r="I587" s="110" t="s">
        <v>838</v>
      </c>
      <c r="J587" s="110"/>
      <c r="K587" s="110"/>
      <c r="L587" s="110"/>
      <c r="M587" s="110" t="str">
        <f>"'editNorm """&amp;D587&amp;""","""&amp;B587&amp;""","""&amp;E587&amp;"""'"</f>
        <v>'editNorm "FP_Main1OmkostSY","FP_Main1OmkostSYCancel","OmkostSY"'</v>
      </c>
      <c r="N587" s="110" t="s">
        <v>59</v>
      </c>
      <c r="O587" s="110" t="str">
        <f>"$M$"&amp;A587</f>
        <v>$M$167</v>
      </c>
      <c r="P587" s="110" t="str">
        <f>"$M$"&amp;A587</f>
        <v>$M$167</v>
      </c>
      <c r="Q587" s="110">
        <v>7</v>
      </c>
      <c r="R587" s="110">
        <v>1</v>
      </c>
      <c r="S587" s="110"/>
      <c r="T587" s="110">
        <v>22</v>
      </c>
      <c r="U587" s="110" t="b">
        <v>1</v>
      </c>
      <c r="V587" s="110" t="s">
        <v>1344</v>
      </c>
      <c r="W587" s="110" t="s">
        <v>1343</v>
      </c>
      <c r="X587" s="110"/>
      <c r="Y587" s="110"/>
      <c r="Z587" s="110"/>
      <c r="AA587" s="110"/>
      <c r="AB587" s="110">
        <v>3</v>
      </c>
      <c r="AC587" s="110">
        <v>5</v>
      </c>
      <c r="AD587" s="110" t="s">
        <v>105</v>
      </c>
      <c r="AE587" s="110">
        <v>12</v>
      </c>
      <c r="AF587" s="110"/>
      <c r="AG587" s="110" t="s">
        <v>1351</v>
      </c>
      <c r="AH587" s="110" t="s">
        <v>29</v>
      </c>
      <c r="AI587" s="110" t="s">
        <v>29</v>
      </c>
      <c r="AJ587" s="110"/>
      <c r="AK587" s="110"/>
      <c r="AL587" s="110"/>
      <c r="AM587" s="110"/>
      <c r="AN587" s="110">
        <v>2</v>
      </c>
      <c r="AO587" s="110"/>
      <c r="AP587" s="110"/>
    </row>
    <row r="588" spans="1:48" ht="16.5" customHeight="1" x14ac:dyDescent="0.2">
      <c r="A588" s="108">
        <f>$A$583+0</f>
        <v>167</v>
      </c>
      <c r="B588" s="110" t="str">
        <f>D588&amp;"Delete"</f>
        <v>FP_Main1OmkostSYDelete</v>
      </c>
      <c r="C588" s="110" t="s">
        <v>656</v>
      </c>
      <c r="D588" s="110" t="s">
        <v>932</v>
      </c>
      <c r="E588" s="110" t="s">
        <v>933</v>
      </c>
      <c r="F588" s="110"/>
      <c r="G588" s="110" t="s">
        <v>1154</v>
      </c>
      <c r="H588" s="110"/>
      <c r="I588" s="110" t="s">
        <v>1266</v>
      </c>
      <c r="J588" s="110"/>
      <c r="K588" s="110"/>
      <c r="L588" s="110"/>
      <c r="M588" s="110" t="str">
        <f>"'editNorm """&amp;D588&amp;""","""&amp;B588&amp;""","""&amp;E588&amp;"""'"</f>
        <v>'editNorm "FP_Main1OmkostSY","FP_Main1OmkostSYDelete","OmkostSY"'</v>
      </c>
      <c r="N588" s="110" t="s">
        <v>59</v>
      </c>
      <c r="O588" s="110" t="str">
        <f>"$N$"&amp;A588</f>
        <v>$N$167</v>
      </c>
      <c r="P588" s="110" t="str">
        <f>"$N$"&amp;A588</f>
        <v>$N$167</v>
      </c>
      <c r="Q588" s="110">
        <v>7</v>
      </c>
      <c r="R588" s="110">
        <v>1</v>
      </c>
      <c r="S588" s="110"/>
      <c r="T588" s="110">
        <v>22</v>
      </c>
      <c r="U588" s="110" t="b">
        <v>1</v>
      </c>
      <c r="V588" s="110" t="s">
        <v>1346</v>
      </c>
      <c r="W588" s="110" t="s">
        <v>1343</v>
      </c>
      <c r="X588" s="110"/>
      <c r="Y588" s="110"/>
      <c r="Z588" s="110"/>
      <c r="AA588" s="110"/>
      <c r="AB588" s="110">
        <v>3</v>
      </c>
      <c r="AC588" s="110">
        <v>5</v>
      </c>
      <c r="AD588" s="110" t="s">
        <v>105</v>
      </c>
      <c r="AE588" s="110">
        <v>12</v>
      </c>
      <c r="AF588" s="110"/>
      <c r="AG588" s="110" t="s">
        <v>1351</v>
      </c>
      <c r="AH588" s="110" t="s">
        <v>29</v>
      </c>
      <c r="AI588" s="110" t="s">
        <v>29</v>
      </c>
      <c r="AJ588" s="110"/>
      <c r="AK588" s="110"/>
      <c r="AL588" s="110"/>
      <c r="AM588" s="110"/>
      <c r="AN588" s="110">
        <v>2</v>
      </c>
      <c r="AO588" s="110"/>
      <c r="AP588" s="110"/>
    </row>
    <row r="589" spans="1:48" ht="16.5" customHeight="1" x14ac:dyDescent="0.2">
      <c r="A589" s="108">
        <f>$A$583+1</f>
        <v>168</v>
      </c>
      <c r="B589" s="106" t="s">
        <v>938</v>
      </c>
      <c r="C589" s="106" t="s">
        <v>655</v>
      </c>
      <c r="D589" s="106"/>
      <c r="E589" s="106"/>
      <c r="F589" s="106"/>
      <c r="G589" s="106" t="s">
        <v>1154</v>
      </c>
      <c r="H589" s="106"/>
      <c r="I589" s="106"/>
      <c r="J589" s="106"/>
      <c r="K589" s="106" t="b">
        <v>1</v>
      </c>
      <c r="L589" s="106"/>
      <c r="M589" s="106"/>
      <c r="N589" s="106" t="s">
        <v>59</v>
      </c>
      <c r="O589" s="106" t="str">
        <f>"$D$"&amp;A589</f>
        <v>$D$168</v>
      </c>
      <c r="P589" s="106" t="str">
        <f>"$M$"&amp;A589+1</f>
        <v>$M$169</v>
      </c>
      <c r="Q589" s="106">
        <v>1</v>
      </c>
      <c r="R589" s="106">
        <v>2</v>
      </c>
      <c r="S589" s="106"/>
      <c r="T589" s="106">
        <v>2</v>
      </c>
      <c r="U589" s="106" t="b">
        <v>1</v>
      </c>
      <c r="V589" s="106" t="s">
        <v>1344</v>
      </c>
      <c r="W589" s="106" t="s">
        <v>1343</v>
      </c>
      <c r="X589" s="106"/>
      <c r="Y589" s="106"/>
      <c r="Z589" s="106"/>
      <c r="AA589" s="106"/>
      <c r="AB589" s="106"/>
      <c r="AC589" s="106"/>
      <c r="AD589" s="106"/>
      <c r="AE589" s="106"/>
      <c r="AF589" s="106"/>
      <c r="AG589" s="106"/>
      <c r="AH589" s="106"/>
      <c r="AI589" s="106"/>
      <c r="AJ589" s="106"/>
      <c r="AK589" s="106"/>
      <c r="AL589" s="106"/>
      <c r="AM589" s="106"/>
      <c r="AN589" s="106"/>
      <c r="AO589" s="106"/>
      <c r="AP589" s="106"/>
    </row>
    <row r="590" spans="1:48" ht="16.5" customHeight="1" x14ac:dyDescent="0.2">
      <c r="A590" s="109">
        <f>$A$589+-1</f>
        <v>167</v>
      </c>
      <c r="B590" s="109" t="s">
        <v>934</v>
      </c>
      <c r="C590" s="109" t="s">
        <v>96</v>
      </c>
      <c r="D590" s="109"/>
      <c r="E590" s="109"/>
      <c r="F590" s="109"/>
      <c r="G590" s="109" t="s">
        <v>1154</v>
      </c>
      <c r="H590" s="109">
        <v>1</v>
      </c>
      <c r="I590" s="109"/>
      <c r="J590" s="109" t="b">
        <f t="shared" ref="J590:J598" si="64">$E$4</f>
        <v>1</v>
      </c>
      <c r="K590" s="109" t="b">
        <v>1</v>
      </c>
      <c r="L590" s="109"/>
      <c r="M590" s="109"/>
      <c r="N590" s="109"/>
      <c r="O590" s="109" t="str">
        <f>"$D$"&amp;A590</f>
        <v>$D$167</v>
      </c>
      <c r="P590" s="109" t="str">
        <f>"$I$"&amp;A590</f>
        <v>$I$167</v>
      </c>
      <c r="Q590" s="109"/>
      <c r="R590" s="109"/>
      <c r="S590" s="109"/>
      <c r="T590" s="109">
        <v>25</v>
      </c>
      <c r="U590" s="109" t="b">
        <v>1</v>
      </c>
      <c r="V590" s="109" t="s">
        <v>1342</v>
      </c>
      <c r="W590" s="109" t="s">
        <v>1342</v>
      </c>
      <c r="X590" s="109"/>
      <c r="Y590" s="109"/>
      <c r="Z590" s="109"/>
      <c r="AA590" s="109"/>
      <c r="AB590" s="109"/>
      <c r="AC590" s="109">
        <v>5</v>
      </c>
      <c r="AD590" s="109" t="s">
        <v>105</v>
      </c>
      <c r="AE590" s="109">
        <v>14</v>
      </c>
      <c r="AF590" s="109"/>
      <c r="AG590" s="109" t="s">
        <v>1360</v>
      </c>
      <c r="AH590" s="109" t="s">
        <v>29</v>
      </c>
      <c r="AI590" s="109" t="s">
        <v>28</v>
      </c>
      <c r="AJ590" s="109"/>
      <c r="AK590" s="109"/>
      <c r="AL590" s="109">
        <v>5</v>
      </c>
      <c r="AM590" s="109"/>
      <c r="AN590" s="109"/>
      <c r="AO590" s="109"/>
      <c r="AP590" s="109" t="b">
        <v>1</v>
      </c>
      <c r="AQ590" s="296">
        <v>2013</v>
      </c>
      <c r="AR590" s="296"/>
      <c r="AS590" s="296"/>
      <c r="AT590" s="296"/>
      <c r="AU590" s="296"/>
      <c r="AV590" s="296"/>
    </row>
    <row r="591" spans="1:48" ht="16.5" customHeight="1" x14ac:dyDescent="0.2">
      <c r="A591" s="110">
        <f>$A$589+-1</f>
        <v>167</v>
      </c>
      <c r="B591" s="110" t="str">
        <f>D591&amp;"Red"</f>
        <v>FP_Main1OmkostSY_1Red</v>
      </c>
      <c r="C591" s="110" t="s">
        <v>656</v>
      </c>
      <c r="D591" s="110" t="s">
        <v>934</v>
      </c>
      <c r="E591" s="110" t="s">
        <v>933</v>
      </c>
      <c r="F591" s="110"/>
      <c r="G591" s="110" t="s">
        <v>1154</v>
      </c>
      <c r="H591" s="110">
        <v>1</v>
      </c>
      <c r="I591" s="110" t="s">
        <v>1247</v>
      </c>
      <c r="J591" s="110" t="b">
        <f t="shared" si="64"/>
        <v>1</v>
      </c>
      <c r="K591" s="110" t="b">
        <v>1</v>
      </c>
      <c r="L591" s="110"/>
      <c r="M591" s="110" t="str">
        <f>"'editNorm """&amp;D591&amp;""","""&amp;B591&amp;""","""&amp;E591&amp;"""'"</f>
        <v>'editNorm "FP_Main1OmkostSY_1","FP_Main1OmkostSY_1Red","OmkostSY"'</v>
      </c>
      <c r="N591" s="110" t="s">
        <v>59</v>
      </c>
      <c r="O591" s="110" t="str">
        <f>"$L$"&amp;A591</f>
        <v>$L$167</v>
      </c>
      <c r="P591" s="110" t="str">
        <f>"$M$"&amp;A591</f>
        <v>$M$167</v>
      </c>
      <c r="Q591" s="110">
        <v>5</v>
      </c>
      <c r="R591" s="110">
        <v>1</v>
      </c>
      <c r="S591" s="110"/>
      <c r="T591" s="110">
        <v>22</v>
      </c>
      <c r="U591" s="110" t="b">
        <v>1</v>
      </c>
      <c r="V591" s="110" t="s">
        <v>1344</v>
      </c>
      <c r="W591" s="110" t="s">
        <v>1343</v>
      </c>
      <c r="X591" s="110"/>
      <c r="Y591" s="110"/>
      <c r="Z591" s="110"/>
      <c r="AA591" s="110"/>
      <c r="AB591" s="110">
        <v>3</v>
      </c>
      <c r="AC591" s="110">
        <v>5</v>
      </c>
      <c r="AD591" s="110" t="s">
        <v>105</v>
      </c>
      <c r="AE591" s="110">
        <v>12</v>
      </c>
      <c r="AF591" s="110"/>
      <c r="AG591" s="110" t="s">
        <v>1351</v>
      </c>
      <c r="AH591" s="110" t="s">
        <v>29</v>
      </c>
      <c r="AI591" s="110" t="s">
        <v>29</v>
      </c>
      <c r="AJ591" s="110"/>
      <c r="AK591" s="110"/>
      <c r="AL591" s="110"/>
      <c r="AM591" s="110"/>
      <c r="AN591" s="110">
        <v>2</v>
      </c>
      <c r="AO591" s="110"/>
      <c r="AP591" s="110"/>
    </row>
    <row r="592" spans="1:48" ht="16.5" customHeight="1" x14ac:dyDescent="0.2">
      <c r="A592" s="110">
        <f>$A$589+-1</f>
        <v>167</v>
      </c>
      <c r="B592" s="110" t="str">
        <f>D592&amp;"Gem"</f>
        <v>FP_Main1OmkostSY_1Gem</v>
      </c>
      <c r="C592" s="110" t="s">
        <v>656</v>
      </c>
      <c r="D592" s="110" t="s">
        <v>934</v>
      </c>
      <c r="E592" s="110" t="s">
        <v>933</v>
      </c>
      <c r="F592" s="110"/>
      <c r="G592" s="110" t="s">
        <v>1154</v>
      </c>
      <c r="H592" s="110">
        <v>1</v>
      </c>
      <c r="I592" s="110" t="s">
        <v>238</v>
      </c>
      <c r="J592" s="110" t="b">
        <f t="shared" si="64"/>
        <v>1</v>
      </c>
      <c r="K592" s="110"/>
      <c r="L592" s="110"/>
      <c r="M592" s="110" t="str">
        <f>"'editNorm """&amp;D592&amp;""","""&amp;B592&amp;""","""&amp;E592&amp;"""'"</f>
        <v>'editNorm "FP_Main1OmkostSY_1","FP_Main1OmkostSY_1Gem","OmkostSY"'</v>
      </c>
      <c r="N592" s="110" t="s">
        <v>59</v>
      </c>
      <c r="O592" s="110" t="str">
        <f>"$L$"&amp;A592</f>
        <v>$L$167</v>
      </c>
      <c r="P592" s="110" t="str">
        <f>"$L$"&amp;A592</f>
        <v>$L$167</v>
      </c>
      <c r="Q592" s="110">
        <v>5</v>
      </c>
      <c r="R592" s="110">
        <v>1</v>
      </c>
      <c r="S592" s="110"/>
      <c r="T592" s="110">
        <v>22</v>
      </c>
      <c r="U592" s="110" t="b">
        <v>1</v>
      </c>
      <c r="V592" s="110" t="s">
        <v>1345</v>
      </c>
      <c r="W592" s="110" t="s">
        <v>1343</v>
      </c>
      <c r="X592" s="110"/>
      <c r="Y592" s="110"/>
      <c r="Z592" s="110"/>
      <c r="AA592" s="110"/>
      <c r="AB592" s="110">
        <v>3</v>
      </c>
      <c r="AC592" s="110">
        <v>5</v>
      </c>
      <c r="AD592" s="110" t="s">
        <v>105</v>
      </c>
      <c r="AE592" s="110">
        <v>12</v>
      </c>
      <c r="AF592" s="110"/>
      <c r="AG592" s="110" t="s">
        <v>1351</v>
      </c>
      <c r="AH592" s="110" t="s">
        <v>29</v>
      </c>
      <c r="AI592" s="110" t="s">
        <v>29</v>
      </c>
      <c r="AJ592" s="110"/>
      <c r="AK592" s="110"/>
      <c r="AL592" s="110"/>
      <c r="AM592" s="110"/>
      <c r="AN592" s="110">
        <v>2</v>
      </c>
      <c r="AO592" s="110"/>
      <c r="AP592" s="110"/>
    </row>
    <row r="593" spans="1:48" ht="16.5" customHeight="1" x14ac:dyDescent="0.2">
      <c r="A593" s="110">
        <f>$A$589+-1</f>
        <v>167</v>
      </c>
      <c r="B593" s="110" t="str">
        <f>D593&amp;"Cancel"</f>
        <v>FP_Main1OmkostSY_1Cancel</v>
      </c>
      <c r="C593" s="110" t="s">
        <v>656</v>
      </c>
      <c r="D593" s="110" t="s">
        <v>934</v>
      </c>
      <c r="E593" s="110" t="s">
        <v>933</v>
      </c>
      <c r="F593" s="110"/>
      <c r="G593" s="110" t="s">
        <v>1154</v>
      </c>
      <c r="H593" s="110">
        <v>1</v>
      </c>
      <c r="I593" s="110" t="s">
        <v>838</v>
      </c>
      <c r="J593" s="110" t="b">
        <f t="shared" si="64"/>
        <v>1</v>
      </c>
      <c r="K593" s="110"/>
      <c r="L593" s="110"/>
      <c r="M593" s="110" t="str">
        <f>"'editNorm """&amp;D593&amp;""","""&amp;B593&amp;""","""&amp;E593&amp;"""'"</f>
        <v>'editNorm "FP_Main1OmkostSY_1","FP_Main1OmkostSY_1Cancel","OmkostSY"'</v>
      </c>
      <c r="N593" s="110" t="s">
        <v>59</v>
      </c>
      <c r="O593" s="110" t="str">
        <f>"$M$"&amp;A593</f>
        <v>$M$167</v>
      </c>
      <c r="P593" s="110" t="str">
        <f>"$M$"&amp;A593</f>
        <v>$M$167</v>
      </c>
      <c r="Q593" s="110">
        <v>7</v>
      </c>
      <c r="R593" s="110">
        <v>1</v>
      </c>
      <c r="S593" s="110"/>
      <c r="T593" s="110">
        <v>22</v>
      </c>
      <c r="U593" s="110" t="b">
        <v>1</v>
      </c>
      <c r="V593" s="110" t="s">
        <v>1344</v>
      </c>
      <c r="W593" s="110" t="s">
        <v>1343</v>
      </c>
      <c r="X593" s="110"/>
      <c r="Y593" s="110"/>
      <c r="Z593" s="110"/>
      <c r="AA593" s="110"/>
      <c r="AB593" s="110">
        <v>3</v>
      </c>
      <c r="AC593" s="110">
        <v>5</v>
      </c>
      <c r="AD593" s="110" t="s">
        <v>105</v>
      </c>
      <c r="AE593" s="110">
        <v>12</v>
      </c>
      <c r="AF593" s="110"/>
      <c r="AG593" s="110" t="s">
        <v>1351</v>
      </c>
      <c r="AH593" s="110" t="s">
        <v>29</v>
      </c>
      <c r="AI593" s="110" t="s">
        <v>29</v>
      </c>
      <c r="AJ593" s="110"/>
      <c r="AK593" s="110"/>
      <c r="AL593" s="110"/>
      <c r="AM593" s="110"/>
      <c r="AN593" s="110">
        <v>2</v>
      </c>
      <c r="AO593" s="110"/>
      <c r="AP593" s="110"/>
    </row>
    <row r="594" spans="1:48" ht="16.5" customHeight="1" x14ac:dyDescent="0.2">
      <c r="A594" s="110">
        <f>$A$589+-1</f>
        <v>167</v>
      </c>
      <c r="B594" s="110" t="str">
        <f>D594&amp;"Delete"</f>
        <v>FP_Main1OmkostSY_1Delete</v>
      </c>
      <c r="C594" s="110" t="s">
        <v>656</v>
      </c>
      <c r="D594" s="110" t="s">
        <v>934</v>
      </c>
      <c r="E594" s="110" t="s">
        <v>933</v>
      </c>
      <c r="F594" s="110"/>
      <c r="G594" s="110" t="s">
        <v>1154</v>
      </c>
      <c r="H594" s="110">
        <v>1</v>
      </c>
      <c r="I594" s="110" t="s">
        <v>1266</v>
      </c>
      <c r="J594" s="110" t="b">
        <f t="shared" si="64"/>
        <v>1</v>
      </c>
      <c r="K594" s="110"/>
      <c r="L594" s="110"/>
      <c r="M594" s="110" t="str">
        <f>"'editNorm """&amp;D594&amp;""","""&amp;B594&amp;""","""&amp;E594&amp;"""'"</f>
        <v>'editNorm "FP_Main1OmkostSY_1","FP_Main1OmkostSY_1Delete","OmkostSY"'</v>
      </c>
      <c r="N594" s="110" t="s">
        <v>59</v>
      </c>
      <c r="O594" s="110" t="str">
        <f>"$N$"&amp;A594</f>
        <v>$N$167</v>
      </c>
      <c r="P594" s="110" t="str">
        <f>"$N$"&amp;A594</f>
        <v>$N$167</v>
      </c>
      <c r="Q594" s="110">
        <v>7</v>
      </c>
      <c r="R594" s="110">
        <v>1</v>
      </c>
      <c r="S594" s="110"/>
      <c r="T594" s="110">
        <v>22</v>
      </c>
      <c r="U594" s="110" t="b">
        <v>1</v>
      </c>
      <c r="V594" s="110" t="s">
        <v>1346</v>
      </c>
      <c r="W594" s="110" t="s">
        <v>1343</v>
      </c>
      <c r="X594" s="110"/>
      <c r="Y594" s="110"/>
      <c r="Z594" s="110"/>
      <c r="AA594" s="110"/>
      <c r="AB594" s="110">
        <v>3</v>
      </c>
      <c r="AC594" s="110">
        <v>5</v>
      </c>
      <c r="AD594" s="110" t="s">
        <v>105</v>
      </c>
      <c r="AE594" s="110">
        <v>12</v>
      </c>
      <c r="AF594" s="110"/>
      <c r="AG594" s="110" t="s">
        <v>1351</v>
      </c>
      <c r="AH594" s="110" t="s">
        <v>29</v>
      </c>
      <c r="AI594" s="110" t="s">
        <v>29</v>
      </c>
      <c r="AJ594" s="110"/>
      <c r="AK594" s="110"/>
      <c r="AL594" s="110"/>
      <c r="AM594" s="110"/>
      <c r="AN594" s="110">
        <v>2</v>
      </c>
      <c r="AO594" s="110"/>
      <c r="AP594" s="110"/>
    </row>
    <row r="595" spans="1:48" ht="16.5" customHeight="1" x14ac:dyDescent="0.2">
      <c r="A595" s="106">
        <f>$A$589+0</f>
        <v>168</v>
      </c>
      <c r="B595" s="106" t="s">
        <v>939</v>
      </c>
      <c r="C595" s="106" t="s">
        <v>655</v>
      </c>
      <c r="D595" s="106"/>
      <c r="E595" s="106"/>
      <c r="F595" s="106"/>
      <c r="G595" s="106" t="s">
        <v>1154</v>
      </c>
      <c r="H595" s="106">
        <v>1</v>
      </c>
      <c r="I595" s="106"/>
      <c r="J595" s="106" t="b">
        <f t="shared" si="64"/>
        <v>1</v>
      </c>
      <c r="K595" s="106" t="b">
        <v>1</v>
      </c>
      <c r="L595" s="106"/>
      <c r="M595" s="106"/>
      <c r="N595" s="106" t="s">
        <v>59</v>
      </c>
      <c r="O595" s="106" t="str">
        <f>"$D$"&amp;A595</f>
        <v>$D$168</v>
      </c>
      <c r="P595" s="106" t="str">
        <f>"$M$"&amp;A595+1</f>
        <v>$M$169</v>
      </c>
      <c r="Q595" s="106">
        <v>1</v>
      </c>
      <c r="R595" s="106">
        <v>2</v>
      </c>
      <c r="S595" s="106"/>
      <c r="T595" s="106">
        <v>2</v>
      </c>
      <c r="U595" s="106" t="b">
        <v>1</v>
      </c>
      <c r="V595" s="106" t="s">
        <v>1344</v>
      </c>
      <c r="W595" s="106" t="s">
        <v>1343</v>
      </c>
      <c r="X595" s="106"/>
      <c r="Y595" s="106"/>
      <c r="Z595" s="106"/>
      <c r="AA595" s="106"/>
      <c r="AB595" s="106"/>
      <c r="AC595" s="106"/>
      <c r="AD595" s="106"/>
      <c r="AE595" s="106"/>
      <c r="AF595" s="106"/>
      <c r="AG595" s="106"/>
      <c r="AH595" s="106"/>
      <c r="AI595" s="106"/>
      <c r="AJ595" s="106"/>
      <c r="AK595" s="106"/>
      <c r="AL595" s="106"/>
      <c r="AM595" s="106"/>
      <c r="AN595" s="106"/>
      <c r="AO595" s="106"/>
      <c r="AP595" s="106"/>
    </row>
    <row r="596" spans="1:48" ht="16.5" customHeight="1" x14ac:dyDescent="0.2">
      <c r="A596" s="107">
        <f>$O$583+(P583-O583+1)*(H583-1)-1</f>
        <v>169</v>
      </c>
      <c r="B596" s="107" t="s">
        <v>933</v>
      </c>
      <c r="C596" s="107" t="s">
        <v>663</v>
      </c>
      <c r="D596" s="107"/>
      <c r="E596" s="107"/>
      <c r="F596" s="107"/>
      <c r="G596" s="107" t="s">
        <v>1154</v>
      </c>
      <c r="H596" s="107"/>
      <c r="I596" s="107"/>
      <c r="J596" s="107" t="b">
        <f t="shared" si="64"/>
        <v>1</v>
      </c>
      <c r="K596" s="107"/>
      <c r="L596" s="107"/>
      <c r="M596" s="107"/>
      <c r="N596" s="107"/>
      <c r="O596" s="107"/>
      <c r="P596" s="107"/>
      <c r="Q596" s="107"/>
      <c r="R596" s="107"/>
      <c r="S596" s="107"/>
      <c r="T596" s="107"/>
      <c r="U596" s="107"/>
      <c r="V596" s="107"/>
      <c r="W596" s="107"/>
      <c r="X596" s="107"/>
      <c r="Y596" s="107"/>
      <c r="Z596" s="107"/>
      <c r="AA596" s="107"/>
      <c r="AB596" s="107"/>
      <c r="AC596" s="107"/>
      <c r="AD596" s="107"/>
      <c r="AE596" s="107"/>
      <c r="AF596" s="107"/>
      <c r="AG596" s="107"/>
      <c r="AH596" s="107"/>
      <c r="AI596" s="107"/>
      <c r="AJ596" s="107"/>
      <c r="AK596" s="107"/>
      <c r="AL596" s="107"/>
      <c r="AM596" s="107"/>
      <c r="AN596" s="107"/>
      <c r="AO596" s="107"/>
      <c r="AP596" s="107"/>
    </row>
    <row r="597" spans="1:48" ht="16.5" customHeight="1" x14ac:dyDescent="0.2">
      <c r="A597" s="100">
        <f>$A$596+1</f>
        <v>170</v>
      </c>
      <c r="B597" s="100" t="s">
        <v>1299</v>
      </c>
      <c r="C597" s="100" t="s">
        <v>649</v>
      </c>
      <c r="D597" s="100"/>
      <c r="E597" s="100"/>
      <c r="F597" s="100"/>
      <c r="G597" s="100" t="s">
        <v>1154</v>
      </c>
      <c r="H597" s="100"/>
      <c r="I597" s="100" t="s">
        <v>1308</v>
      </c>
      <c r="J597" s="100" t="b">
        <f t="shared" si="64"/>
        <v>1</v>
      </c>
      <c r="K597" s="100" t="b">
        <v>1</v>
      </c>
      <c r="L597" s="100"/>
      <c r="M597" s="100"/>
      <c r="N597" s="100" t="s">
        <v>59</v>
      </c>
      <c r="O597" s="100" t="str">
        <f>"$B$"&amp;A597</f>
        <v>$B$170</v>
      </c>
      <c r="P597" s="100" t="str">
        <f>"$E$"&amp;A597</f>
        <v>$E$170</v>
      </c>
      <c r="Q597" s="100">
        <v>2</v>
      </c>
      <c r="R597" s="100"/>
      <c r="S597" s="100"/>
      <c r="T597" s="100">
        <v>30</v>
      </c>
      <c r="U597" s="100" t="b">
        <v>1</v>
      </c>
      <c r="V597" s="100" t="s">
        <v>1342</v>
      </c>
      <c r="W597" s="100" t="s">
        <v>1342</v>
      </c>
      <c r="X597" s="100"/>
      <c r="Y597" s="100"/>
      <c r="Z597" s="100"/>
      <c r="AA597" s="100"/>
      <c r="AB597" s="100"/>
      <c r="AC597" s="100">
        <v>5</v>
      </c>
      <c r="AD597" s="100" t="s">
        <v>105</v>
      </c>
      <c r="AE597" s="100">
        <v>14</v>
      </c>
      <c r="AF597" s="100" t="b">
        <v>1</v>
      </c>
      <c r="AG597" s="100" t="s">
        <v>1355</v>
      </c>
      <c r="AH597" s="100" t="s">
        <v>29</v>
      </c>
      <c r="AI597" s="100" t="s">
        <v>28</v>
      </c>
      <c r="AJ597" s="100"/>
      <c r="AK597" s="100"/>
      <c r="AL597" s="100">
        <v>0</v>
      </c>
      <c r="AM597" s="100"/>
      <c r="AN597" s="100"/>
      <c r="AO597" s="100"/>
      <c r="AP597" s="100"/>
    </row>
    <row r="598" spans="1:48" ht="16.5" customHeight="1" x14ac:dyDescent="0.2">
      <c r="A598" s="107">
        <f>$A$596+2</f>
        <v>171</v>
      </c>
      <c r="B598" s="107" t="s">
        <v>1302</v>
      </c>
      <c r="C598" s="107" t="s">
        <v>663</v>
      </c>
      <c r="D598" s="107"/>
      <c r="E598" s="107"/>
      <c r="F598" s="107"/>
      <c r="G598" s="107" t="s">
        <v>1154</v>
      </c>
      <c r="H598" s="107">
        <v>2</v>
      </c>
      <c r="I598" s="107">
        <v>6</v>
      </c>
      <c r="J598" s="107" t="b">
        <f t="shared" si="64"/>
        <v>1</v>
      </c>
      <c r="K598" s="107"/>
      <c r="L598" s="107"/>
      <c r="M598" s="107"/>
      <c r="N598" s="107"/>
      <c r="O598" s="107">
        <f>A598</f>
        <v>171</v>
      </c>
      <c r="P598" s="107">
        <f>O598+2</f>
        <v>173</v>
      </c>
      <c r="Q598" s="107"/>
      <c r="R598" s="107"/>
      <c r="S598" s="107"/>
      <c r="T598" s="107"/>
      <c r="U598" s="107"/>
      <c r="V598" s="107"/>
      <c r="W598" s="107"/>
      <c r="X598" s="107"/>
      <c r="Y598" s="107"/>
      <c r="Z598" s="107"/>
      <c r="AA598" s="107"/>
      <c r="AB598" s="107"/>
      <c r="AC598" s="107"/>
      <c r="AD598" s="107"/>
      <c r="AE598" s="107"/>
      <c r="AF598" s="107"/>
      <c r="AG598" s="107"/>
      <c r="AH598" s="107"/>
      <c r="AI598" s="107"/>
      <c r="AJ598" s="107"/>
      <c r="AK598" s="107"/>
      <c r="AL598" s="107"/>
      <c r="AM598" s="107"/>
      <c r="AN598" s="107"/>
      <c r="AO598" s="107"/>
      <c r="AP598" s="107"/>
      <c r="AQ598" s="93">
        <f>AQ605</f>
        <v>2013</v>
      </c>
    </row>
    <row r="599" spans="1:48" ht="16.5" customHeight="1" x14ac:dyDescent="0.2">
      <c r="A599" s="108">
        <f>$A$598+0</f>
        <v>171</v>
      </c>
      <c r="B599" s="109" t="s">
        <v>1303</v>
      </c>
      <c r="C599" s="109" t="s">
        <v>96</v>
      </c>
      <c r="D599" s="109"/>
      <c r="E599" s="109"/>
      <c r="F599" s="109"/>
      <c r="G599" s="109" t="s">
        <v>1154</v>
      </c>
      <c r="H599" s="109"/>
      <c r="I599" s="109"/>
      <c r="J599" s="109"/>
      <c r="K599" s="109" t="b">
        <v>1</v>
      </c>
      <c r="L599" s="109"/>
      <c r="M599" s="109"/>
      <c r="N599" s="109"/>
      <c r="O599" s="109" t="str">
        <f>"$D$"&amp;A599</f>
        <v>$D$171</v>
      </c>
      <c r="P599" s="109" t="str">
        <f>"$I$"&amp;A599</f>
        <v>$I$171</v>
      </c>
      <c r="Q599" s="109"/>
      <c r="R599" s="109"/>
      <c r="S599" s="109"/>
      <c r="T599" s="109">
        <v>25</v>
      </c>
      <c r="U599" s="109" t="b">
        <v>1</v>
      </c>
      <c r="V599" s="109" t="s">
        <v>1342</v>
      </c>
      <c r="W599" s="109" t="s">
        <v>1342</v>
      </c>
      <c r="X599" s="109"/>
      <c r="Y599" s="109"/>
      <c r="Z599" s="109"/>
      <c r="AA599" s="109"/>
      <c r="AB599" s="109"/>
      <c r="AC599" s="109">
        <v>5</v>
      </c>
      <c r="AD599" s="109" t="s">
        <v>105</v>
      </c>
      <c r="AE599" s="109">
        <v>14</v>
      </c>
      <c r="AF599" s="109"/>
      <c r="AG599" s="109" t="s">
        <v>1360</v>
      </c>
      <c r="AH599" s="109" t="s">
        <v>29</v>
      </c>
      <c r="AI599" s="109" t="s">
        <v>28</v>
      </c>
      <c r="AJ599" s="109"/>
      <c r="AK599" s="109"/>
      <c r="AL599" s="109">
        <v>5</v>
      </c>
      <c r="AM599" s="109"/>
      <c r="AN599" s="109"/>
      <c r="AO599" s="109"/>
      <c r="AP599" s="109" t="b">
        <v>1</v>
      </c>
      <c r="AQ599" s="296" t="s">
        <v>1305</v>
      </c>
      <c r="AR599" s="296"/>
      <c r="AS599" s="296"/>
      <c r="AT599" s="296"/>
      <c r="AU599" s="296"/>
      <c r="AV599" s="296"/>
    </row>
    <row r="600" spans="1:48" ht="16.5" customHeight="1" x14ac:dyDescent="0.2">
      <c r="A600" s="108">
        <f>$A$598+0</f>
        <v>171</v>
      </c>
      <c r="B600" s="110" t="str">
        <f>D600&amp;"Red"</f>
        <v>FP_Main1OmkostIYRed</v>
      </c>
      <c r="C600" s="110" t="s">
        <v>656</v>
      </c>
      <c r="D600" s="110" t="s">
        <v>1303</v>
      </c>
      <c r="E600" s="110" t="s">
        <v>1302</v>
      </c>
      <c r="F600" s="110"/>
      <c r="G600" s="110" t="s">
        <v>1154</v>
      </c>
      <c r="H600" s="110"/>
      <c r="I600" s="110" t="s">
        <v>1247</v>
      </c>
      <c r="J600" s="110"/>
      <c r="K600" s="110" t="b">
        <v>1</v>
      </c>
      <c r="L600" s="110"/>
      <c r="M600" s="110" t="str">
        <f>"'editNorm """&amp;D600&amp;""","""&amp;B600&amp;""","""&amp;E600&amp;"""'"</f>
        <v>'editNorm "FP_Main1OmkostIY","FP_Main1OmkostIYRed","OmkostIY"'</v>
      </c>
      <c r="N600" s="110" t="s">
        <v>59</v>
      </c>
      <c r="O600" s="110" t="str">
        <f>"$L$"&amp;A600</f>
        <v>$L$171</v>
      </c>
      <c r="P600" s="110" t="str">
        <f>"$M$"&amp;A600</f>
        <v>$M$171</v>
      </c>
      <c r="Q600" s="110">
        <v>5</v>
      </c>
      <c r="R600" s="110">
        <v>1</v>
      </c>
      <c r="S600" s="110"/>
      <c r="T600" s="110">
        <v>22</v>
      </c>
      <c r="U600" s="110" t="b">
        <v>1</v>
      </c>
      <c r="V600" s="110" t="s">
        <v>1344</v>
      </c>
      <c r="W600" s="110" t="s">
        <v>1343</v>
      </c>
      <c r="X600" s="110"/>
      <c r="Y600" s="110"/>
      <c r="Z600" s="110"/>
      <c r="AA600" s="110"/>
      <c r="AB600" s="110">
        <v>3</v>
      </c>
      <c r="AC600" s="110">
        <v>5</v>
      </c>
      <c r="AD600" s="110" t="s">
        <v>105</v>
      </c>
      <c r="AE600" s="110">
        <v>12</v>
      </c>
      <c r="AF600" s="110"/>
      <c r="AG600" s="110" t="s">
        <v>1351</v>
      </c>
      <c r="AH600" s="110" t="s">
        <v>29</v>
      </c>
      <c r="AI600" s="110" t="s">
        <v>29</v>
      </c>
      <c r="AJ600" s="110"/>
      <c r="AK600" s="110"/>
      <c r="AL600" s="110"/>
      <c r="AM600" s="110"/>
      <c r="AN600" s="110">
        <v>2</v>
      </c>
      <c r="AO600" s="110"/>
      <c r="AP600" s="110"/>
    </row>
    <row r="601" spans="1:48" ht="16.5" customHeight="1" x14ac:dyDescent="0.2">
      <c r="A601" s="108">
        <f>$A$598+0</f>
        <v>171</v>
      </c>
      <c r="B601" s="110" t="str">
        <f>D601&amp;"Gem"</f>
        <v>FP_Main1OmkostIYGem</v>
      </c>
      <c r="C601" s="110" t="s">
        <v>656</v>
      </c>
      <c r="D601" s="110" t="s">
        <v>1303</v>
      </c>
      <c r="E601" s="110" t="s">
        <v>1302</v>
      </c>
      <c r="F601" s="110"/>
      <c r="G601" s="110" t="s">
        <v>1154</v>
      </c>
      <c r="H601" s="110"/>
      <c r="I601" s="110" t="s">
        <v>238</v>
      </c>
      <c r="J601" s="110"/>
      <c r="K601" s="110"/>
      <c r="L601" s="110"/>
      <c r="M601" s="110" t="str">
        <f>"'editNorm """&amp;D601&amp;""","""&amp;B601&amp;""","""&amp;E601&amp;"""'"</f>
        <v>'editNorm "FP_Main1OmkostIY","FP_Main1OmkostIYGem","OmkostIY"'</v>
      </c>
      <c r="N601" s="110" t="s">
        <v>59</v>
      </c>
      <c r="O601" s="110" t="str">
        <f>"$L$"&amp;A601</f>
        <v>$L$171</v>
      </c>
      <c r="P601" s="110" t="str">
        <f>"$L$"&amp;A601</f>
        <v>$L$171</v>
      </c>
      <c r="Q601" s="110">
        <v>5</v>
      </c>
      <c r="R601" s="110">
        <v>1</v>
      </c>
      <c r="S601" s="110"/>
      <c r="T601" s="110">
        <v>22</v>
      </c>
      <c r="U601" s="110" t="b">
        <v>1</v>
      </c>
      <c r="V601" s="110" t="s">
        <v>1345</v>
      </c>
      <c r="W601" s="110" t="s">
        <v>1343</v>
      </c>
      <c r="X601" s="110"/>
      <c r="Y601" s="110"/>
      <c r="Z601" s="110"/>
      <c r="AA601" s="110"/>
      <c r="AB601" s="110">
        <v>3</v>
      </c>
      <c r="AC601" s="110">
        <v>5</v>
      </c>
      <c r="AD601" s="110" t="s">
        <v>105</v>
      </c>
      <c r="AE601" s="110">
        <v>12</v>
      </c>
      <c r="AF601" s="110"/>
      <c r="AG601" s="110" t="s">
        <v>1351</v>
      </c>
      <c r="AH601" s="110" t="s">
        <v>29</v>
      </c>
      <c r="AI601" s="110" t="s">
        <v>29</v>
      </c>
      <c r="AJ601" s="110"/>
      <c r="AK601" s="110"/>
      <c r="AL601" s="110"/>
      <c r="AM601" s="110"/>
      <c r="AN601" s="110">
        <v>2</v>
      </c>
      <c r="AO601" s="110"/>
      <c r="AP601" s="110"/>
    </row>
    <row r="602" spans="1:48" ht="16.5" customHeight="1" x14ac:dyDescent="0.2">
      <c r="A602" s="108">
        <f>$A$598+0</f>
        <v>171</v>
      </c>
      <c r="B602" s="110" t="str">
        <f>D602&amp;"Cancel"</f>
        <v>FP_Main1OmkostIYCancel</v>
      </c>
      <c r="C602" s="110" t="s">
        <v>656</v>
      </c>
      <c r="D602" s="110" t="s">
        <v>1303</v>
      </c>
      <c r="E602" s="110" t="s">
        <v>1302</v>
      </c>
      <c r="F602" s="110"/>
      <c r="G602" s="110" t="s">
        <v>1154</v>
      </c>
      <c r="H602" s="110"/>
      <c r="I602" s="110" t="s">
        <v>838</v>
      </c>
      <c r="J602" s="110"/>
      <c r="K602" s="110"/>
      <c r="L602" s="110"/>
      <c r="M602" s="110" t="str">
        <f>"'editNorm """&amp;D602&amp;""","""&amp;B602&amp;""","""&amp;E602&amp;"""'"</f>
        <v>'editNorm "FP_Main1OmkostIY","FP_Main1OmkostIYCancel","OmkostIY"'</v>
      </c>
      <c r="N602" s="110" t="s">
        <v>59</v>
      </c>
      <c r="O602" s="110" t="str">
        <f>"$M$"&amp;A602</f>
        <v>$M$171</v>
      </c>
      <c r="P602" s="110" t="str">
        <f>"$M$"&amp;A602</f>
        <v>$M$171</v>
      </c>
      <c r="Q602" s="110">
        <v>7</v>
      </c>
      <c r="R602" s="110">
        <v>1</v>
      </c>
      <c r="S602" s="110"/>
      <c r="T602" s="110">
        <v>22</v>
      </c>
      <c r="U602" s="110" t="b">
        <v>1</v>
      </c>
      <c r="V602" s="110" t="s">
        <v>1344</v>
      </c>
      <c r="W602" s="110" t="s">
        <v>1343</v>
      </c>
      <c r="X602" s="110"/>
      <c r="Y602" s="110"/>
      <c r="Z602" s="110"/>
      <c r="AA602" s="110"/>
      <c r="AB602" s="110">
        <v>3</v>
      </c>
      <c r="AC602" s="110">
        <v>5</v>
      </c>
      <c r="AD602" s="110" t="s">
        <v>105</v>
      </c>
      <c r="AE602" s="110">
        <v>12</v>
      </c>
      <c r="AF602" s="110"/>
      <c r="AG602" s="110" t="s">
        <v>1351</v>
      </c>
      <c r="AH602" s="110" t="s">
        <v>29</v>
      </c>
      <c r="AI602" s="110" t="s">
        <v>29</v>
      </c>
      <c r="AJ602" s="110"/>
      <c r="AK602" s="110"/>
      <c r="AL602" s="110"/>
      <c r="AM602" s="110"/>
      <c r="AN602" s="110">
        <v>2</v>
      </c>
      <c r="AO602" s="110"/>
      <c r="AP602" s="110"/>
    </row>
    <row r="603" spans="1:48" ht="16.5" customHeight="1" x14ac:dyDescent="0.2">
      <c r="A603" s="108">
        <f>$A$598+0</f>
        <v>171</v>
      </c>
      <c r="B603" s="110" t="str">
        <f>D603&amp;"Delete"</f>
        <v>FP_Main1OmkostIYDelete</v>
      </c>
      <c r="C603" s="110" t="s">
        <v>656</v>
      </c>
      <c r="D603" s="110" t="s">
        <v>1303</v>
      </c>
      <c r="E603" s="110" t="s">
        <v>1302</v>
      </c>
      <c r="F603" s="110"/>
      <c r="G603" s="110" t="s">
        <v>1154</v>
      </c>
      <c r="H603" s="110"/>
      <c r="I603" s="110" t="s">
        <v>1266</v>
      </c>
      <c r="J603" s="110"/>
      <c r="K603" s="110"/>
      <c r="L603" s="110"/>
      <c r="M603" s="110" t="str">
        <f>"'editNorm """&amp;D603&amp;""","""&amp;B603&amp;""","""&amp;E603&amp;"""'"</f>
        <v>'editNorm "FP_Main1OmkostIY","FP_Main1OmkostIYDelete","OmkostIY"'</v>
      </c>
      <c r="N603" s="110" t="s">
        <v>59</v>
      </c>
      <c r="O603" s="110" t="str">
        <f>"$N$"&amp;A603</f>
        <v>$N$171</v>
      </c>
      <c r="P603" s="110" t="str">
        <f>"$N$"&amp;A603</f>
        <v>$N$171</v>
      </c>
      <c r="Q603" s="110">
        <v>7</v>
      </c>
      <c r="R603" s="110">
        <v>1</v>
      </c>
      <c r="S603" s="110"/>
      <c r="T603" s="110">
        <v>22</v>
      </c>
      <c r="U603" s="110" t="b">
        <v>1</v>
      </c>
      <c r="V603" s="110" t="s">
        <v>1346</v>
      </c>
      <c r="W603" s="110" t="s">
        <v>1343</v>
      </c>
      <c r="X603" s="110"/>
      <c r="Y603" s="110"/>
      <c r="Z603" s="110"/>
      <c r="AA603" s="110"/>
      <c r="AB603" s="110">
        <v>3</v>
      </c>
      <c r="AC603" s="110">
        <v>5</v>
      </c>
      <c r="AD603" s="110" t="s">
        <v>105</v>
      </c>
      <c r="AE603" s="110">
        <v>12</v>
      </c>
      <c r="AF603" s="110"/>
      <c r="AG603" s="110" t="s">
        <v>1351</v>
      </c>
      <c r="AH603" s="110" t="s">
        <v>29</v>
      </c>
      <c r="AI603" s="110" t="s">
        <v>29</v>
      </c>
      <c r="AJ603" s="110"/>
      <c r="AK603" s="110"/>
      <c r="AL603" s="110"/>
      <c r="AM603" s="110"/>
      <c r="AN603" s="110">
        <v>2</v>
      </c>
      <c r="AO603" s="110"/>
      <c r="AP603" s="110"/>
    </row>
    <row r="604" spans="1:48" ht="16.5" customHeight="1" x14ac:dyDescent="0.2">
      <c r="A604" s="108">
        <f>$A$598+1</f>
        <v>172</v>
      </c>
      <c r="B604" s="106" t="s">
        <v>1306</v>
      </c>
      <c r="C604" s="106" t="s">
        <v>655</v>
      </c>
      <c r="D604" s="106"/>
      <c r="E604" s="106"/>
      <c r="F604" s="106"/>
      <c r="G604" s="106" t="s">
        <v>1154</v>
      </c>
      <c r="H604" s="106"/>
      <c r="I604" s="106"/>
      <c r="J604" s="106"/>
      <c r="K604" s="106" t="b">
        <v>1</v>
      </c>
      <c r="L604" s="106"/>
      <c r="M604" s="106"/>
      <c r="N604" s="106" t="s">
        <v>59</v>
      </c>
      <c r="O604" s="106" t="str">
        <f>"$D$"&amp;A604</f>
        <v>$D$172</v>
      </c>
      <c r="P604" s="106" t="str">
        <f>"$M$"&amp;A604+1</f>
        <v>$M$173</v>
      </c>
      <c r="Q604" s="106">
        <v>1</v>
      </c>
      <c r="R604" s="106">
        <v>2</v>
      </c>
      <c r="S604" s="106"/>
      <c r="T604" s="106">
        <v>2</v>
      </c>
      <c r="U604" s="106" t="b">
        <v>1</v>
      </c>
      <c r="V604" s="106" t="s">
        <v>1344</v>
      </c>
      <c r="W604" s="106" t="s">
        <v>1343</v>
      </c>
      <c r="X604" s="106"/>
      <c r="Y604" s="106"/>
      <c r="Z604" s="106"/>
      <c r="AA604" s="106"/>
      <c r="AB604" s="106"/>
      <c r="AC604" s="106"/>
      <c r="AD604" s="106"/>
      <c r="AE604" s="106"/>
      <c r="AF604" s="106"/>
      <c r="AG604" s="106"/>
      <c r="AH604" s="106"/>
      <c r="AI604" s="106"/>
      <c r="AJ604" s="106"/>
      <c r="AK604" s="106"/>
      <c r="AL604" s="106"/>
      <c r="AM604" s="106"/>
      <c r="AN604" s="106"/>
      <c r="AO604" s="106"/>
      <c r="AP604" s="106"/>
    </row>
    <row r="605" spans="1:48" ht="16.5" customHeight="1" x14ac:dyDescent="0.2">
      <c r="A605" s="109">
        <f>$A$604+-1</f>
        <v>171</v>
      </c>
      <c r="B605" s="109" t="s">
        <v>1304</v>
      </c>
      <c r="C605" s="109" t="s">
        <v>96</v>
      </c>
      <c r="D605" s="109"/>
      <c r="E605" s="109"/>
      <c r="F605" s="109"/>
      <c r="G605" s="109" t="s">
        <v>1154</v>
      </c>
      <c r="H605" s="109">
        <v>1</v>
      </c>
      <c r="I605" s="109"/>
      <c r="J605" s="109" t="b">
        <f t="shared" ref="J605:J613" si="65">$E$4</f>
        <v>1</v>
      </c>
      <c r="K605" s="109" t="b">
        <v>1</v>
      </c>
      <c r="L605" s="109"/>
      <c r="M605" s="109"/>
      <c r="N605" s="109"/>
      <c r="O605" s="109" t="str">
        <f>"$D$"&amp;A605</f>
        <v>$D$171</v>
      </c>
      <c r="P605" s="109" t="str">
        <f>"$I$"&amp;A605</f>
        <v>$I$171</v>
      </c>
      <c r="Q605" s="109"/>
      <c r="R605" s="109"/>
      <c r="S605" s="109"/>
      <c r="T605" s="109">
        <v>25</v>
      </c>
      <c r="U605" s="109" t="b">
        <v>1</v>
      </c>
      <c r="V605" s="109" t="s">
        <v>1342</v>
      </c>
      <c r="W605" s="109" t="s">
        <v>1342</v>
      </c>
      <c r="X605" s="109"/>
      <c r="Y605" s="109"/>
      <c r="Z605" s="109"/>
      <c r="AA605" s="109"/>
      <c r="AB605" s="109"/>
      <c r="AC605" s="109">
        <v>5</v>
      </c>
      <c r="AD605" s="109" t="s">
        <v>105</v>
      </c>
      <c r="AE605" s="109">
        <v>14</v>
      </c>
      <c r="AF605" s="109"/>
      <c r="AG605" s="109" t="s">
        <v>1360</v>
      </c>
      <c r="AH605" s="109" t="s">
        <v>29</v>
      </c>
      <c r="AI605" s="109" t="s">
        <v>28</v>
      </c>
      <c r="AJ605" s="109"/>
      <c r="AK605" s="109"/>
      <c r="AL605" s="109">
        <v>5</v>
      </c>
      <c r="AM605" s="109"/>
      <c r="AN605" s="109"/>
      <c r="AO605" s="109"/>
      <c r="AP605" s="109" t="b">
        <v>1</v>
      </c>
      <c r="AQ605" s="296">
        <v>2013</v>
      </c>
      <c r="AR605" s="296"/>
      <c r="AS605" s="296"/>
      <c r="AT605" s="296"/>
      <c r="AU605" s="296"/>
      <c r="AV605" s="296"/>
    </row>
    <row r="606" spans="1:48" ht="16.5" customHeight="1" x14ac:dyDescent="0.2">
      <c r="A606" s="110">
        <f>$A$604+-1</f>
        <v>171</v>
      </c>
      <c r="B606" s="110" t="str">
        <f>D606&amp;"Red"</f>
        <v>FP_Main1OmkostIY_1Red</v>
      </c>
      <c r="C606" s="110" t="s">
        <v>656</v>
      </c>
      <c r="D606" s="110" t="s">
        <v>1304</v>
      </c>
      <c r="E606" s="110" t="s">
        <v>1302</v>
      </c>
      <c r="F606" s="110"/>
      <c r="G606" s="110" t="s">
        <v>1154</v>
      </c>
      <c r="H606" s="110">
        <v>1</v>
      </c>
      <c r="I606" s="110" t="s">
        <v>1247</v>
      </c>
      <c r="J606" s="110" t="b">
        <f t="shared" si="65"/>
        <v>1</v>
      </c>
      <c r="K606" s="110" t="b">
        <v>1</v>
      </c>
      <c r="L606" s="110"/>
      <c r="M606" s="110" t="str">
        <f>"'editNorm """&amp;D606&amp;""","""&amp;B606&amp;""","""&amp;E606&amp;"""'"</f>
        <v>'editNorm "FP_Main1OmkostIY_1","FP_Main1OmkostIY_1Red","OmkostIY"'</v>
      </c>
      <c r="N606" s="110" t="s">
        <v>59</v>
      </c>
      <c r="O606" s="110" t="str">
        <f>"$L$"&amp;A606</f>
        <v>$L$171</v>
      </c>
      <c r="P606" s="110" t="str">
        <f>"$M$"&amp;A606</f>
        <v>$M$171</v>
      </c>
      <c r="Q606" s="110">
        <v>5</v>
      </c>
      <c r="R606" s="110">
        <v>1</v>
      </c>
      <c r="S606" s="110"/>
      <c r="T606" s="110">
        <v>22</v>
      </c>
      <c r="U606" s="110" t="b">
        <v>1</v>
      </c>
      <c r="V606" s="110" t="s">
        <v>1344</v>
      </c>
      <c r="W606" s="110" t="s">
        <v>1343</v>
      </c>
      <c r="X606" s="110"/>
      <c r="Y606" s="110"/>
      <c r="Z606" s="110"/>
      <c r="AA606" s="110"/>
      <c r="AB606" s="110">
        <v>3</v>
      </c>
      <c r="AC606" s="110">
        <v>5</v>
      </c>
      <c r="AD606" s="110" t="s">
        <v>105</v>
      </c>
      <c r="AE606" s="110">
        <v>12</v>
      </c>
      <c r="AF606" s="110"/>
      <c r="AG606" s="110" t="s">
        <v>1351</v>
      </c>
      <c r="AH606" s="110" t="s">
        <v>29</v>
      </c>
      <c r="AI606" s="110" t="s">
        <v>29</v>
      </c>
      <c r="AJ606" s="110"/>
      <c r="AK606" s="110"/>
      <c r="AL606" s="110"/>
      <c r="AM606" s="110"/>
      <c r="AN606" s="110">
        <v>2</v>
      </c>
      <c r="AO606" s="110"/>
      <c r="AP606" s="110"/>
    </row>
    <row r="607" spans="1:48" ht="16.5" customHeight="1" x14ac:dyDescent="0.2">
      <c r="A607" s="110">
        <f>$A$604+-1</f>
        <v>171</v>
      </c>
      <c r="B607" s="110" t="str">
        <f>D607&amp;"Gem"</f>
        <v>FP_Main1OmkostIY_1Gem</v>
      </c>
      <c r="C607" s="110" t="s">
        <v>656</v>
      </c>
      <c r="D607" s="110" t="s">
        <v>1304</v>
      </c>
      <c r="E607" s="110" t="s">
        <v>1302</v>
      </c>
      <c r="F607" s="110"/>
      <c r="G607" s="110" t="s">
        <v>1154</v>
      </c>
      <c r="H607" s="110">
        <v>1</v>
      </c>
      <c r="I607" s="110" t="s">
        <v>238</v>
      </c>
      <c r="J607" s="110" t="b">
        <f t="shared" si="65"/>
        <v>1</v>
      </c>
      <c r="K607" s="110"/>
      <c r="L607" s="110"/>
      <c r="M607" s="110" t="str">
        <f>"'editNorm """&amp;D607&amp;""","""&amp;B607&amp;""","""&amp;E607&amp;"""'"</f>
        <v>'editNorm "FP_Main1OmkostIY_1","FP_Main1OmkostIY_1Gem","OmkostIY"'</v>
      </c>
      <c r="N607" s="110" t="s">
        <v>59</v>
      </c>
      <c r="O607" s="110" t="str">
        <f>"$L$"&amp;A607</f>
        <v>$L$171</v>
      </c>
      <c r="P607" s="110" t="str">
        <f>"$L$"&amp;A607</f>
        <v>$L$171</v>
      </c>
      <c r="Q607" s="110">
        <v>5</v>
      </c>
      <c r="R607" s="110">
        <v>1</v>
      </c>
      <c r="S607" s="110"/>
      <c r="T607" s="110">
        <v>22</v>
      </c>
      <c r="U607" s="110" t="b">
        <v>1</v>
      </c>
      <c r="V607" s="110" t="s">
        <v>1345</v>
      </c>
      <c r="W607" s="110" t="s">
        <v>1343</v>
      </c>
      <c r="X607" s="110"/>
      <c r="Y607" s="110"/>
      <c r="Z607" s="110"/>
      <c r="AA607" s="110"/>
      <c r="AB607" s="110">
        <v>3</v>
      </c>
      <c r="AC607" s="110">
        <v>5</v>
      </c>
      <c r="AD607" s="110" t="s">
        <v>105</v>
      </c>
      <c r="AE607" s="110">
        <v>12</v>
      </c>
      <c r="AF607" s="110"/>
      <c r="AG607" s="110" t="s">
        <v>1351</v>
      </c>
      <c r="AH607" s="110" t="s">
        <v>29</v>
      </c>
      <c r="AI607" s="110" t="s">
        <v>29</v>
      </c>
      <c r="AJ607" s="110"/>
      <c r="AK607" s="110"/>
      <c r="AL607" s="110"/>
      <c r="AM607" s="110"/>
      <c r="AN607" s="110">
        <v>2</v>
      </c>
      <c r="AO607" s="110"/>
      <c r="AP607" s="110"/>
    </row>
    <row r="608" spans="1:48" ht="16.5" customHeight="1" x14ac:dyDescent="0.2">
      <c r="A608" s="110">
        <f>$A$604+-1</f>
        <v>171</v>
      </c>
      <c r="B608" s="110" t="str">
        <f>D608&amp;"Cancel"</f>
        <v>FP_Main1OmkostIY_1Cancel</v>
      </c>
      <c r="C608" s="110" t="s">
        <v>656</v>
      </c>
      <c r="D608" s="110" t="s">
        <v>1304</v>
      </c>
      <c r="E608" s="110" t="s">
        <v>1302</v>
      </c>
      <c r="F608" s="110"/>
      <c r="G608" s="110" t="s">
        <v>1154</v>
      </c>
      <c r="H608" s="110">
        <v>1</v>
      </c>
      <c r="I608" s="110" t="s">
        <v>838</v>
      </c>
      <c r="J608" s="110" t="b">
        <f t="shared" si="65"/>
        <v>1</v>
      </c>
      <c r="K608" s="110"/>
      <c r="L608" s="110"/>
      <c r="M608" s="110" t="str">
        <f>"'editNorm """&amp;D608&amp;""","""&amp;B608&amp;""","""&amp;E608&amp;"""'"</f>
        <v>'editNorm "FP_Main1OmkostIY_1","FP_Main1OmkostIY_1Cancel","OmkostIY"'</v>
      </c>
      <c r="N608" s="110" t="s">
        <v>59</v>
      </c>
      <c r="O608" s="110" t="str">
        <f>"$M$"&amp;A608</f>
        <v>$M$171</v>
      </c>
      <c r="P608" s="110" t="str">
        <f>"$M$"&amp;A608</f>
        <v>$M$171</v>
      </c>
      <c r="Q608" s="110">
        <v>7</v>
      </c>
      <c r="R608" s="110">
        <v>1</v>
      </c>
      <c r="S608" s="110"/>
      <c r="T608" s="110">
        <v>22</v>
      </c>
      <c r="U608" s="110" t="b">
        <v>1</v>
      </c>
      <c r="V608" s="110" t="s">
        <v>1344</v>
      </c>
      <c r="W608" s="110" t="s">
        <v>1343</v>
      </c>
      <c r="X608" s="110"/>
      <c r="Y608" s="110"/>
      <c r="Z608" s="110"/>
      <c r="AA608" s="110"/>
      <c r="AB608" s="110">
        <v>3</v>
      </c>
      <c r="AC608" s="110">
        <v>5</v>
      </c>
      <c r="AD608" s="110" t="s">
        <v>105</v>
      </c>
      <c r="AE608" s="110">
        <v>12</v>
      </c>
      <c r="AF608" s="110"/>
      <c r="AG608" s="110" t="s">
        <v>1351</v>
      </c>
      <c r="AH608" s="110" t="s">
        <v>29</v>
      </c>
      <c r="AI608" s="110" t="s">
        <v>29</v>
      </c>
      <c r="AJ608" s="110"/>
      <c r="AK608" s="110"/>
      <c r="AL608" s="110"/>
      <c r="AM608" s="110"/>
      <c r="AN608" s="110">
        <v>2</v>
      </c>
      <c r="AO608" s="110"/>
      <c r="AP608" s="110"/>
    </row>
    <row r="609" spans="1:48" ht="16.5" customHeight="1" x14ac:dyDescent="0.2">
      <c r="A609" s="110">
        <f>$A$604+-1</f>
        <v>171</v>
      </c>
      <c r="B609" s="110" t="str">
        <f>D609&amp;"Delete"</f>
        <v>FP_Main1OmkostIY_1Delete</v>
      </c>
      <c r="C609" s="110" t="s">
        <v>656</v>
      </c>
      <c r="D609" s="110" t="s">
        <v>1304</v>
      </c>
      <c r="E609" s="110" t="s">
        <v>1302</v>
      </c>
      <c r="F609" s="110"/>
      <c r="G609" s="110" t="s">
        <v>1154</v>
      </c>
      <c r="H609" s="110">
        <v>1</v>
      </c>
      <c r="I609" s="110" t="s">
        <v>1266</v>
      </c>
      <c r="J609" s="110" t="b">
        <f t="shared" si="65"/>
        <v>1</v>
      </c>
      <c r="K609" s="110"/>
      <c r="L609" s="110"/>
      <c r="M609" s="110" t="str">
        <f>"'editNorm """&amp;D609&amp;""","""&amp;B609&amp;""","""&amp;E609&amp;"""'"</f>
        <v>'editNorm "FP_Main1OmkostIY_1","FP_Main1OmkostIY_1Delete","OmkostIY"'</v>
      </c>
      <c r="N609" s="110" t="s">
        <v>59</v>
      </c>
      <c r="O609" s="110" t="str">
        <f>"$N$"&amp;A609</f>
        <v>$N$171</v>
      </c>
      <c r="P609" s="110" t="str">
        <f>"$N$"&amp;A609</f>
        <v>$N$171</v>
      </c>
      <c r="Q609" s="110">
        <v>7</v>
      </c>
      <c r="R609" s="110">
        <v>1</v>
      </c>
      <c r="S609" s="110"/>
      <c r="T609" s="110">
        <v>22</v>
      </c>
      <c r="U609" s="110" t="b">
        <v>1</v>
      </c>
      <c r="V609" s="110" t="s">
        <v>1346</v>
      </c>
      <c r="W609" s="110" t="s">
        <v>1343</v>
      </c>
      <c r="X609" s="110"/>
      <c r="Y609" s="110"/>
      <c r="Z609" s="110"/>
      <c r="AA609" s="110"/>
      <c r="AB609" s="110">
        <v>3</v>
      </c>
      <c r="AC609" s="110">
        <v>5</v>
      </c>
      <c r="AD609" s="110" t="s">
        <v>105</v>
      </c>
      <c r="AE609" s="110">
        <v>12</v>
      </c>
      <c r="AF609" s="110"/>
      <c r="AG609" s="110" t="s">
        <v>1351</v>
      </c>
      <c r="AH609" s="110" t="s">
        <v>29</v>
      </c>
      <c r="AI609" s="110" t="s">
        <v>29</v>
      </c>
      <c r="AJ609" s="110"/>
      <c r="AK609" s="110"/>
      <c r="AL609" s="110"/>
      <c r="AM609" s="110"/>
      <c r="AN609" s="110">
        <v>2</v>
      </c>
      <c r="AO609" s="110"/>
      <c r="AP609" s="110"/>
    </row>
    <row r="610" spans="1:48" ht="16.5" customHeight="1" x14ac:dyDescent="0.2">
      <c r="A610" s="106">
        <f>$A$604+0</f>
        <v>172</v>
      </c>
      <c r="B610" s="106" t="s">
        <v>1307</v>
      </c>
      <c r="C610" s="106" t="s">
        <v>655</v>
      </c>
      <c r="D610" s="106"/>
      <c r="E610" s="106"/>
      <c r="F610" s="106"/>
      <c r="G610" s="106" t="s">
        <v>1154</v>
      </c>
      <c r="H610" s="106">
        <v>1</v>
      </c>
      <c r="I610" s="106"/>
      <c r="J610" s="106" t="b">
        <f t="shared" si="65"/>
        <v>1</v>
      </c>
      <c r="K610" s="106" t="b">
        <v>1</v>
      </c>
      <c r="L610" s="106"/>
      <c r="M610" s="106"/>
      <c r="N610" s="106" t="s">
        <v>59</v>
      </c>
      <c r="O610" s="106" t="str">
        <f>"$D$"&amp;A610</f>
        <v>$D$172</v>
      </c>
      <c r="P610" s="106" t="str">
        <f>"$M$"&amp;A610+1</f>
        <v>$M$173</v>
      </c>
      <c r="Q610" s="106">
        <v>1</v>
      </c>
      <c r="R610" s="106">
        <v>2</v>
      </c>
      <c r="S610" s="106"/>
      <c r="T610" s="106">
        <v>2</v>
      </c>
      <c r="U610" s="106" t="b">
        <v>1</v>
      </c>
      <c r="V610" s="106" t="s">
        <v>1344</v>
      </c>
      <c r="W610" s="106" t="s">
        <v>1343</v>
      </c>
      <c r="X610" s="106"/>
      <c r="Y610" s="106"/>
      <c r="Z610" s="106"/>
      <c r="AA610" s="106"/>
      <c r="AB610" s="106"/>
      <c r="AC610" s="106"/>
      <c r="AD610" s="106"/>
      <c r="AE610" s="106"/>
      <c r="AF610" s="106"/>
      <c r="AG610" s="106"/>
      <c r="AH610" s="106"/>
      <c r="AI610" s="106"/>
      <c r="AJ610" s="106"/>
      <c r="AK610" s="106"/>
      <c r="AL610" s="106"/>
      <c r="AM610" s="106"/>
      <c r="AN610" s="106"/>
      <c r="AO610" s="106"/>
      <c r="AP610" s="106"/>
    </row>
    <row r="611" spans="1:48" ht="16.5" customHeight="1" x14ac:dyDescent="0.2">
      <c r="A611" s="107">
        <f>$O$598+(P598-O598+1)*(H598-1)-1</f>
        <v>173</v>
      </c>
      <c r="B611" s="107" t="s">
        <v>1302</v>
      </c>
      <c r="C611" s="107" t="s">
        <v>663</v>
      </c>
      <c r="D611" s="107"/>
      <c r="E611" s="107"/>
      <c r="F611" s="107"/>
      <c r="G611" s="107" t="s">
        <v>1154</v>
      </c>
      <c r="H611" s="107"/>
      <c r="I611" s="107"/>
      <c r="J611" s="107" t="b">
        <f t="shared" si="65"/>
        <v>1</v>
      </c>
      <c r="K611" s="107"/>
      <c r="L611" s="107"/>
      <c r="M611" s="107"/>
      <c r="N611" s="107"/>
      <c r="O611" s="107"/>
      <c r="P611" s="107"/>
      <c r="Q611" s="107"/>
      <c r="R611" s="107"/>
      <c r="S611" s="107"/>
      <c r="T611" s="107"/>
      <c r="U611" s="107"/>
      <c r="V611" s="107"/>
      <c r="W611" s="107"/>
      <c r="X611" s="107"/>
      <c r="Y611" s="107"/>
      <c r="Z611" s="107"/>
      <c r="AA611" s="107"/>
      <c r="AB611" s="107"/>
      <c r="AC611" s="107"/>
      <c r="AD611" s="107"/>
      <c r="AE611" s="107"/>
      <c r="AF611" s="107"/>
      <c r="AG611" s="107"/>
      <c r="AH611" s="107"/>
      <c r="AI611" s="107"/>
      <c r="AJ611" s="107"/>
      <c r="AK611" s="107"/>
      <c r="AL611" s="107"/>
      <c r="AM611" s="107"/>
      <c r="AN611" s="107"/>
      <c r="AO611" s="107"/>
      <c r="AP611" s="107"/>
    </row>
    <row r="612" spans="1:48" ht="16.5" customHeight="1" x14ac:dyDescent="0.2">
      <c r="A612" s="100">
        <f>$A$611+1</f>
        <v>174</v>
      </c>
      <c r="B612" s="100" t="s">
        <v>1309</v>
      </c>
      <c r="C612" s="100" t="s">
        <v>649</v>
      </c>
      <c r="D612" s="100"/>
      <c r="E612" s="100"/>
      <c r="F612" s="100"/>
      <c r="G612" s="100" t="s">
        <v>1154</v>
      </c>
      <c r="H612" s="100"/>
      <c r="I612" s="100" t="s">
        <v>1301</v>
      </c>
      <c r="J612" s="100" t="b">
        <f t="shared" si="65"/>
        <v>1</v>
      </c>
      <c r="K612" s="100" t="b">
        <v>1</v>
      </c>
      <c r="L612" s="100"/>
      <c r="M612" s="100"/>
      <c r="N612" s="100" t="s">
        <v>59</v>
      </c>
      <c r="O612" s="100" t="str">
        <f>"$B$"&amp;A612</f>
        <v>$B$174</v>
      </c>
      <c r="P612" s="100" t="str">
        <f>"$E$"&amp;A612</f>
        <v>$E$174</v>
      </c>
      <c r="Q612" s="100">
        <v>2</v>
      </c>
      <c r="R612" s="100"/>
      <c r="S612" s="100"/>
      <c r="T612" s="100">
        <v>30</v>
      </c>
      <c r="U612" s="100" t="b">
        <v>1</v>
      </c>
      <c r="V612" s="100" t="s">
        <v>1342</v>
      </c>
      <c r="W612" s="100" t="s">
        <v>1342</v>
      </c>
      <c r="X612" s="100"/>
      <c r="Y612" s="100"/>
      <c r="Z612" s="100"/>
      <c r="AA612" s="100"/>
      <c r="AB612" s="100"/>
      <c r="AC612" s="100">
        <v>5</v>
      </c>
      <c r="AD612" s="100" t="s">
        <v>105</v>
      </c>
      <c r="AE612" s="100">
        <v>14</v>
      </c>
      <c r="AF612" s="100" t="b">
        <v>1</v>
      </c>
      <c r="AG612" s="100" t="s">
        <v>1355</v>
      </c>
      <c r="AH612" s="100" t="s">
        <v>29</v>
      </c>
      <c r="AI612" s="100" t="s">
        <v>28</v>
      </c>
      <c r="AJ612" s="100"/>
      <c r="AK612" s="100"/>
      <c r="AL612" s="100">
        <v>0</v>
      </c>
      <c r="AM612" s="100"/>
      <c r="AN612" s="100"/>
      <c r="AO612" s="100"/>
      <c r="AP612" s="100"/>
    </row>
    <row r="613" spans="1:48" ht="16.5" customHeight="1" x14ac:dyDescent="0.2">
      <c r="A613" s="107">
        <f>$A$611+2</f>
        <v>175</v>
      </c>
      <c r="B613" s="107" t="s">
        <v>935</v>
      </c>
      <c r="C613" s="107" t="s">
        <v>663</v>
      </c>
      <c r="D613" s="107"/>
      <c r="E613" s="107"/>
      <c r="F613" s="107"/>
      <c r="G613" s="107" t="s">
        <v>1154</v>
      </c>
      <c r="H613" s="107">
        <v>2</v>
      </c>
      <c r="I613" s="107">
        <v>6</v>
      </c>
      <c r="J613" s="107" t="b">
        <f t="shared" si="65"/>
        <v>1</v>
      </c>
      <c r="K613" s="107"/>
      <c r="L613" s="107"/>
      <c r="M613" s="107"/>
      <c r="N613" s="107"/>
      <c r="O613" s="107">
        <f>A613</f>
        <v>175</v>
      </c>
      <c r="P613" s="107">
        <f>O613+2</f>
        <v>177</v>
      </c>
      <c r="Q613" s="107"/>
      <c r="R613" s="107"/>
      <c r="S613" s="107"/>
      <c r="T613" s="107"/>
      <c r="U613" s="107"/>
      <c r="V613" s="107"/>
      <c r="W613" s="107"/>
      <c r="X613" s="107"/>
      <c r="Y613" s="107"/>
      <c r="Z613" s="107"/>
      <c r="AA613" s="107"/>
      <c r="AB613" s="107"/>
      <c r="AC613" s="107"/>
      <c r="AD613" s="107"/>
      <c r="AE613" s="107"/>
      <c r="AF613" s="107"/>
      <c r="AG613" s="107"/>
      <c r="AH613" s="107"/>
      <c r="AI613" s="107"/>
      <c r="AJ613" s="107"/>
      <c r="AK613" s="107"/>
      <c r="AL613" s="107"/>
      <c r="AM613" s="107"/>
      <c r="AN613" s="107"/>
      <c r="AO613" s="107"/>
      <c r="AP613" s="107"/>
      <c r="AQ613" s="93">
        <f>AQ620</f>
        <v>2014</v>
      </c>
    </row>
    <row r="614" spans="1:48" ht="16.5" customHeight="1" x14ac:dyDescent="0.2">
      <c r="A614" s="108">
        <f>$A$613+0</f>
        <v>175</v>
      </c>
      <c r="B614" s="109" t="s">
        <v>936</v>
      </c>
      <c r="C614" s="109" t="s">
        <v>96</v>
      </c>
      <c r="D614" s="109"/>
      <c r="E614" s="109"/>
      <c r="F614" s="109"/>
      <c r="G614" s="109" t="s">
        <v>1154</v>
      </c>
      <c r="H614" s="109"/>
      <c r="I614" s="109"/>
      <c r="J614" s="109"/>
      <c r="K614" s="109" t="b">
        <v>1</v>
      </c>
      <c r="L614" s="109"/>
      <c r="M614" s="109"/>
      <c r="N614" s="109"/>
      <c r="O614" s="109" t="str">
        <f>"$D$"&amp;A614</f>
        <v>$D$175</v>
      </c>
      <c r="P614" s="109" t="str">
        <f>"$I$"&amp;A614</f>
        <v>$I$175</v>
      </c>
      <c r="Q614" s="109"/>
      <c r="R614" s="109"/>
      <c r="S614" s="109"/>
      <c r="T614" s="109">
        <v>25</v>
      </c>
      <c r="U614" s="109" t="b">
        <v>1</v>
      </c>
      <c r="V614" s="109" t="s">
        <v>1342</v>
      </c>
      <c r="W614" s="109" t="s">
        <v>1342</v>
      </c>
      <c r="X614" s="109"/>
      <c r="Y614" s="109"/>
      <c r="Z614" s="109"/>
      <c r="AA614" s="109"/>
      <c r="AB614" s="109"/>
      <c r="AC614" s="109">
        <v>5</v>
      </c>
      <c r="AD614" s="109" t="s">
        <v>105</v>
      </c>
      <c r="AE614" s="109">
        <v>14</v>
      </c>
      <c r="AF614" s="109"/>
      <c r="AG614" s="109" t="s">
        <v>1360</v>
      </c>
      <c r="AH614" s="109" t="s">
        <v>29</v>
      </c>
      <c r="AI614" s="109" t="s">
        <v>28</v>
      </c>
      <c r="AJ614" s="109"/>
      <c r="AK614" s="109"/>
      <c r="AL614" s="109">
        <v>5</v>
      </c>
      <c r="AM614" s="109"/>
      <c r="AN614" s="109"/>
      <c r="AO614" s="109"/>
      <c r="AP614" s="109" t="b">
        <v>1</v>
      </c>
      <c r="AQ614" s="296" t="s">
        <v>1297</v>
      </c>
      <c r="AR614" s="296"/>
      <c r="AS614" s="296"/>
      <c r="AT614" s="296"/>
      <c r="AU614" s="296"/>
      <c r="AV614" s="296"/>
    </row>
    <row r="615" spans="1:48" ht="16.5" customHeight="1" x14ac:dyDescent="0.2">
      <c r="A615" s="108">
        <f>$A$613+0</f>
        <v>175</v>
      </c>
      <c r="B615" s="110" t="str">
        <f>D615&amp;"Red"</f>
        <v>FP_Main1OmkostEYRed</v>
      </c>
      <c r="C615" s="110" t="s">
        <v>656</v>
      </c>
      <c r="D615" s="110" t="s">
        <v>936</v>
      </c>
      <c r="E615" s="110" t="s">
        <v>935</v>
      </c>
      <c r="F615" s="110"/>
      <c r="G615" s="110" t="s">
        <v>1154</v>
      </c>
      <c r="H615" s="110"/>
      <c r="I615" s="110" t="s">
        <v>1247</v>
      </c>
      <c r="J615" s="110"/>
      <c r="K615" s="110" t="b">
        <v>1</v>
      </c>
      <c r="L615" s="110"/>
      <c r="M615" s="110" t="str">
        <f>"'editNorm """&amp;D615&amp;""","""&amp;B615&amp;""","""&amp;E615&amp;"""'"</f>
        <v>'editNorm "FP_Main1OmkostEY","FP_Main1OmkostEYRed","OmkosEY"'</v>
      </c>
      <c r="N615" s="110" t="s">
        <v>59</v>
      </c>
      <c r="O615" s="110" t="str">
        <f>"$L$"&amp;A615</f>
        <v>$L$175</v>
      </c>
      <c r="P615" s="110" t="str">
        <f>"$M$"&amp;A615</f>
        <v>$M$175</v>
      </c>
      <c r="Q615" s="110">
        <v>5</v>
      </c>
      <c r="R615" s="110">
        <v>1</v>
      </c>
      <c r="S615" s="110"/>
      <c r="T615" s="110">
        <v>22</v>
      </c>
      <c r="U615" s="110" t="b">
        <v>1</v>
      </c>
      <c r="V615" s="110" t="s">
        <v>1344</v>
      </c>
      <c r="W615" s="110" t="s">
        <v>1343</v>
      </c>
      <c r="X615" s="110"/>
      <c r="Y615" s="110"/>
      <c r="Z615" s="110"/>
      <c r="AA615" s="110"/>
      <c r="AB615" s="110">
        <v>3</v>
      </c>
      <c r="AC615" s="110">
        <v>5</v>
      </c>
      <c r="AD615" s="110" t="s">
        <v>105</v>
      </c>
      <c r="AE615" s="110">
        <v>12</v>
      </c>
      <c r="AF615" s="110"/>
      <c r="AG615" s="110" t="s">
        <v>1351</v>
      </c>
      <c r="AH615" s="110" t="s">
        <v>29</v>
      </c>
      <c r="AI615" s="110" t="s">
        <v>29</v>
      </c>
      <c r="AJ615" s="110"/>
      <c r="AK615" s="110"/>
      <c r="AL615" s="110"/>
      <c r="AM615" s="110"/>
      <c r="AN615" s="110">
        <v>2</v>
      </c>
      <c r="AO615" s="110"/>
      <c r="AP615" s="110"/>
    </row>
    <row r="616" spans="1:48" ht="16.5" customHeight="1" x14ac:dyDescent="0.2">
      <c r="A616" s="108">
        <f>$A$613+0</f>
        <v>175</v>
      </c>
      <c r="B616" s="110" t="str">
        <f>D616&amp;"Gem"</f>
        <v>FP_Main1OmkostEYGem</v>
      </c>
      <c r="C616" s="110" t="s">
        <v>656</v>
      </c>
      <c r="D616" s="110" t="s">
        <v>936</v>
      </c>
      <c r="E616" s="110" t="s">
        <v>935</v>
      </c>
      <c r="F616" s="110"/>
      <c r="G616" s="110" t="s">
        <v>1154</v>
      </c>
      <c r="H616" s="110"/>
      <c r="I616" s="110" t="s">
        <v>238</v>
      </c>
      <c r="J616" s="110"/>
      <c r="K616" s="110"/>
      <c r="L616" s="110"/>
      <c r="M616" s="110" t="str">
        <f>"'editNorm """&amp;D616&amp;""","""&amp;B616&amp;""","""&amp;E616&amp;"""'"</f>
        <v>'editNorm "FP_Main1OmkostEY","FP_Main1OmkostEYGem","OmkosEY"'</v>
      </c>
      <c r="N616" s="110" t="s">
        <v>59</v>
      </c>
      <c r="O616" s="110" t="str">
        <f>"$L$"&amp;A616</f>
        <v>$L$175</v>
      </c>
      <c r="P616" s="110" t="str">
        <f>"$L$"&amp;A616</f>
        <v>$L$175</v>
      </c>
      <c r="Q616" s="110">
        <v>5</v>
      </c>
      <c r="R616" s="110">
        <v>1</v>
      </c>
      <c r="S616" s="110"/>
      <c r="T616" s="110">
        <v>22</v>
      </c>
      <c r="U616" s="110" t="b">
        <v>1</v>
      </c>
      <c r="V616" s="110" t="s">
        <v>1345</v>
      </c>
      <c r="W616" s="110" t="s">
        <v>1343</v>
      </c>
      <c r="X616" s="110"/>
      <c r="Y616" s="110"/>
      <c r="Z616" s="110"/>
      <c r="AA616" s="110"/>
      <c r="AB616" s="110">
        <v>3</v>
      </c>
      <c r="AC616" s="110">
        <v>5</v>
      </c>
      <c r="AD616" s="110" t="s">
        <v>105</v>
      </c>
      <c r="AE616" s="110">
        <v>12</v>
      </c>
      <c r="AF616" s="110"/>
      <c r="AG616" s="110" t="s">
        <v>1351</v>
      </c>
      <c r="AH616" s="110" t="s">
        <v>29</v>
      </c>
      <c r="AI616" s="110" t="s">
        <v>29</v>
      </c>
      <c r="AJ616" s="110"/>
      <c r="AK616" s="110"/>
      <c r="AL616" s="110"/>
      <c r="AM616" s="110"/>
      <c r="AN616" s="110">
        <v>2</v>
      </c>
      <c r="AO616" s="110"/>
      <c r="AP616" s="110"/>
    </row>
    <row r="617" spans="1:48" ht="16.5" customHeight="1" x14ac:dyDescent="0.2">
      <c r="A617" s="108">
        <f>$A$613+0</f>
        <v>175</v>
      </c>
      <c r="B617" s="110" t="str">
        <f>D617&amp;"Cancel"</f>
        <v>FP_Main1OmkostEYCancel</v>
      </c>
      <c r="C617" s="110" t="s">
        <v>656</v>
      </c>
      <c r="D617" s="110" t="s">
        <v>936</v>
      </c>
      <c r="E617" s="110" t="s">
        <v>935</v>
      </c>
      <c r="F617" s="110"/>
      <c r="G617" s="110" t="s">
        <v>1154</v>
      </c>
      <c r="H617" s="110"/>
      <c r="I617" s="110" t="s">
        <v>838</v>
      </c>
      <c r="J617" s="110"/>
      <c r="K617" s="110"/>
      <c r="L617" s="110"/>
      <c r="M617" s="110" t="str">
        <f>"'editNorm """&amp;D617&amp;""","""&amp;B617&amp;""","""&amp;E617&amp;"""'"</f>
        <v>'editNorm "FP_Main1OmkostEY","FP_Main1OmkostEYCancel","OmkosEY"'</v>
      </c>
      <c r="N617" s="110" t="s">
        <v>59</v>
      </c>
      <c r="O617" s="110" t="str">
        <f>"$M$"&amp;A617</f>
        <v>$M$175</v>
      </c>
      <c r="P617" s="110" t="str">
        <f>"$M$"&amp;A617</f>
        <v>$M$175</v>
      </c>
      <c r="Q617" s="110">
        <v>7</v>
      </c>
      <c r="R617" s="110">
        <v>1</v>
      </c>
      <c r="S617" s="110"/>
      <c r="T617" s="110">
        <v>22</v>
      </c>
      <c r="U617" s="110" t="b">
        <v>1</v>
      </c>
      <c r="V617" s="110" t="s">
        <v>1344</v>
      </c>
      <c r="W617" s="110" t="s">
        <v>1343</v>
      </c>
      <c r="X617" s="110"/>
      <c r="Y617" s="110"/>
      <c r="Z617" s="110"/>
      <c r="AA617" s="110"/>
      <c r="AB617" s="110">
        <v>3</v>
      </c>
      <c r="AC617" s="110">
        <v>5</v>
      </c>
      <c r="AD617" s="110" t="s">
        <v>105</v>
      </c>
      <c r="AE617" s="110">
        <v>12</v>
      </c>
      <c r="AF617" s="110"/>
      <c r="AG617" s="110" t="s">
        <v>1351</v>
      </c>
      <c r="AH617" s="110" t="s">
        <v>29</v>
      </c>
      <c r="AI617" s="110" t="s">
        <v>29</v>
      </c>
      <c r="AJ617" s="110"/>
      <c r="AK617" s="110"/>
      <c r="AL617" s="110"/>
      <c r="AM617" s="110"/>
      <c r="AN617" s="110">
        <v>2</v>
      </c>
      <c r="AO617" s="110"/>
      <c r="AP617" s="110"/>
    </row>
    <row r="618" spans="1:48" ht="16.5" customHeight="1" x14ac:dyDescent="0.2">
      <c r="A618" s="108">
        <f>$A$613+0</f>
        <v>175</v>
      </c>
      <c r="B618" s="110" t="str">
        <f>D618&amp;"Delete"</f>
        <v>FP_Main1OmkostEYDelete</v>
      </c>
      <c r="C618" s="110" t="s">
        <v>656</v>
      </c>
      <c r="D618" s="110" t="s">
        <v>936</v>
      </c>
      <c r="E618" s="110" t="s">
        <v>935</v>
      </c>
      <c r="F618" s="110"/>
      <c r="G618" s="110" t="s">
        <v>1154</v>
      </c>
      <c r="H618" s="110"/>
      <c r="I618" s="110" t="s">
        <v>1266</v>
      </c>
      <c r="J618" s="110"/>
      <c r="K618" s="110"/>
      <c r="L618" s="110"/>
      <c r="M618" s="110" t="str">
        <f>"'editNorm """&amp;D618&amp;""","""&amp;B618&amp;""","""&amp;E618&amp;"""'"</f>
        <v>'editNorm "FP_Main1OmkostEY","FP_Main1OmkostEYDelete","OmkosEY"'</v>
      </c>
      <c r="N618" s="110" t="s">
        <v>59</v>
      </c>
      <c r="O618" s="110" t="str">
        <f>"$N$"&amp;A618</f>
        <v>$N$175</v>
      </c>
      <c r="P618" s="110" t="str">
        <f>"$N$"&amp;A618</f>
        <v>$N$175</v>
      </c>
      <c r="Q618" s="110">
        <v>7</v>
      </c>
      <c r="R618" s="110">
        <v>1</v>
      </c>
      <c r="S618" s="110"/>
      <c r="T618" s="110">
        <v>22</v>
      </c>
      <c r="U618" s="110" t="b">
        <v>1</v>
      </c>
      <c r="V618" s="110" t="s">
        <v>1346</v>
      </c>
      <c r="W618" s="110" t="s">
        <v>1343</v>
      </c>
      <c r="X618" s="110"/>
      <c r="Y618" s="110"/>
      <c r="Z618" s="110"/>
      <c r="AA618" s="110"/>
      <c r="AB618" s="110">
        <v>3</v>
      </c>
      <c r="AC618" s="110">
        <v>5</v>
      </c>
      <c r="AD618" s="110" t="s">
        <v>105</v>
      </c>
      <c r="AE618" s="110">
        <v>12</v>
      </c>
      <c r="AF618" s="110"/>
      <c r="AG618" s="110" t="s">
        <v>1351</v>
      </c>
      <c r="AH618" s="110" t="s">
        <v>29</v>
      </c>
      <c r="AI618" s="110" t="s">
        <v>29</v>
      </c>
      <c r="AJ618" s="110"/>
      <c r="AK618" s="110"/>
      <c r="AL618" s="110"/>
      <c r="AM618" s="110"/>
      <c r="AN618" s="110">
        <v>2</v>
      </c>
      <c r="AO618" s="110"/>
      <c r="AP618" s="110"/>
    </row>
    <row r="619" spans="1:48" ht="16.5" customHeight="1" x14ac:dyDescent="0.2">
      <c r="A619" s="108">
        <f>$A$613+1</f>
        <v>176</v>
      </c>
      <c r="B619" s="106" t="s">
        <v>940</v>
      </c>
      <c r="C619" s="106" t="s">
        <v>655</v>
      </c>
      <c r="D619" s="106"/>
      <c r="E619" s="106"/>
      <c r="F619" s="106"/>
      <c r="G619" s="106" t="s">
        <v>1154</v>
      </c>
      <c r="H619" s="106"/>
      <c r="I619" s="106"/>
      <c r="J619" s="106"/>
      <c r="K619" s="106" t="b">
        <v>1</v>
      </c>
      <c r="L619" s="106"/>
      <c r="M619" s="106"/>
      <c r="N619" s="106" t="s">
        <v>59</v>
      </c>
      <c r="O619" s="106" t="str">
        <f>"$D$"&amp;A619</f>
        <v>$D$176</v>
      </c>
      <c r="P619" s="106" t="str">
        <f>"$M$"&amp;A619+1</f>
        <v>$M$177</v>
      </c>
      <c r="Q619" s="106">
        <v>1</v>
      </c>
      <c r="R619" s="106">
        <v>2</v>
      </c>
      <c r="S619" s="106"/>
      <c r="T619" s="106">
        <v>2</v>
      </c>
      <c r="U619" s="106" t="b">
        <v>1</v>
      </c>
      <c r="V619" s="106" t="s">
        <v>1344</v>
      </c>
      <c r="W619" s="106" t="s">
        <v>1343</v>
      </c>
      <c r="X619" s="106"/>
      <c r="Y619" s="106"/>
      <c r="Z619" s="106"/>
      <c r="AA619" s="106"/>
      <c r="AB619" s="106"/>
      <c r="AC619" s="106"/>
      <c r="AD619" s="106"/>
      <c r="AE619" s="106"/>
      <c r="AF619" s="106"/>
      <c r="AG619" s="106"/>
      <c r="AH619" s="106"/>
      <c r="AI619" s="106"/>
      <c r="AJ619" s="106"/>
      <c r="AK619" s="106"/>
      <c r="AL619" s="106"/>
      <c r="AM619" s="106"/>
      <c r="AN619" s="106"/>
      <c r="AO619" s="106"/>
      <c r="AP619" s="106"/>
    </row>
    <row r="620" spans="1:48" ht="16.5" customHeight="1" x14ac:dyDescent="0.2">
      <c r="A620" s="109">
        <f>$A$619+-1</f>
        <v>175</v>
      </c>
      <c r="B620" s="109" t="s">
        <v>937</v>
      </c>
      <c r="C620" s="109" t="s">
        <v>96</v>
      </c>
      <c r="D620" s="109"/>
      <c r="E620" s="109"/>
      <c r="F620" s="109"/>
      <c r="G620" s="109" t="s">
        <v>1154</v>
      </c>
      <c r="H620" s="109">
        <v>1</v>
      </c>
      <c r="I620" s="109"/>
      <c r="J620" s="109" t="b">
        <f t="shared" ref="J620:J627" si="66">$E$4</f>
        <v>1</v>
      </c>
      <c r="K620" s="109" t="b">
        <v>1</v>
      </c>
      <c r="L620" s="109"/>
      <c r="M620" s="109"/>
      <c r="N620" s="109"/>
      <c r="O620" s="109" t="str">
        <f>"$D$"&amp;A620</f>
        <v>$D$175</v>
      </c>
      <c r="P620" s="109" t="str">
        <f>"$I$"&amp;A620</f>
        <v>$I$175</v>
      </c>
      <c r="Q620" s="109"/>
      <c r="R620" s="109"/>
      <c r="S620" s="109"/>
      <c r="T620" s="109">
        <v>25</v>
      </c>
      <c r="U620" s="109" t="b">
        <v>1</v>
      </c>
      <c r="V620" s="109" t="s">
        <v>1342</v>
      </c>
      <c r="W620" s="109" t="s">
        <v>1342</v>
      </c>
      <c r="X620" s="109"/>
      <c r="Y620" s="109"/>
      <c r="Z620" s="109"/>
      <c r="AA620" s="109"/>
      <c r="AB620" s="109"/>
      <c r="AC620" s="109">
        <v>5</v>
      </c>
      <c r="AD620" s="109" t="s">
        <v>105</v>
      </c>
      <c r="AE620" s="109">
        <v>14</v>
      </c>
      <c r="AF620" s="109"/>
      <c r="AG620" s="109" t="s">
        <v>1360</v>
      </c>
      <c r="AH620" s="109" t="s">
        <v>29</v>
      </c>
      <c r="AI620" s="109" t="s">
        <v>28</v>
      </c>
      <c r="AJ620" s="109"/>
      <c r="AK620" s="109"/>
      <c r="AL620" s="109">
        <v>5</v>
      </c>
      <c r="AM620" s="109"/>
      <c r="AN620" s="109"/>
      <c r="AO620" s="109"/>
      <c r="AP620" s="109" t="b">
        <v>1</v>
      </c>
      <c r="AQ620" s="296">
        <v>2014</v>
      </c>
      <c r="AR620" s="296"/>
      <c r="AS620" s="296"/>
      <c r="AT620" s="296"/>
      <c r="AU620" s="296"/>
      <c r="AV620" s="296"/>
    </row>
    <row r="621" spans="1:48" ht="16.5" customHeight="1" x14ac:dyDescent="0.2">
      <c r="A621" s="110">
        <f>$A$619+-1</f>
        <v>175</v>
      </c>
      <c r="B621" s="110" t="str">
        <f>D621&amp;"Red"</f>
        <v>FP_Main1OmkostEY_1Red</v>
      </c>
      <c r="C621" s="110" t="s">
        <v>656</v>
      </c>
      <c r="D621" s="110" t="s">
        <v>937</v>
      </c>
      <c r="E621" s="110" t="s">
        <v>935</v>
      </c>
      <c r="F621" s="110"/>
      <c r="G621" s="110" t="s">
        <v>1154</v>
      </c>
      <c r="H621" s="110">
        <v>1</v>
      </c>
      <c r="I621" s="110" t="s">
        <v>1247</v>
      </c>
      <c r="J621" s="110" t="b">
        <f t="shared" si="66"/>
        <v>1</v>
      </c>
      <c r="K621" s="110" t="b">
        <v>1</v>
      </c>
      <c r="L621" s="110"/>
      <c r="M621" s="110" t="str">
        <f>"'editNorm """&amp;D621&amp;""","""&amp;B621&amp;""","""&amp;E621&amp;"""'"</f>
        <v>'editNorm "FP_Main1OmkostEY_1","FP_Main1OmkostEY_1Red","OmkosEY"'</v>
      </c>
      <c r="N621" s="110" t="s">
        <v>59</v>
      </c>
      <c r="O621" s="110" t="str">
        <f>"$L$"&amp;A621</f>
        <v>$L$175</v>
      </c>
      <c r="P621" s="110" t="str">
        <f>"$M$"&amp;A621</f>
        <v>$M$175</v>
      </c>
      <c r="Q621" s="110">
        <v>5</v>
      </c>
      <c r="R621" s="110">
        <v>1</v>
      </c>
      <c r="S621" s="110"/>
      <c r="T621" s="110">
        <v>22</v>
      </c>
      <c r="U621" s="110" t="b">
        <v>1</v>
      </c>
      <c r="V621" s="110" t="s">
        <v>1344</v>
      </c>
      <c r="W621" s="110" t="s">
        <v>1343</v>
      </c>
      <c r="X621" s="110"/>
      <c r="Y621" s="110"/>
      <c r="Z621" s="110"/>
      <c r="AA621" s="110"/>
      <c r="AB621" s="110">
        <v>3</v>
      </c>
      <c r="AC621" s="110">
        <v>5</v>
      </c>
      <c r="AD621" s="110" t="s">
        <v>105</v>
      </c>
      <c r="AE621" s="110">
        <v>12</v>
      </c>
      <c r="AF621" s="110"/>
      <c r="AG621" s="110" t="s">
        <v>1351</v>
      </c>
      <c r="AH621" s="110" t="s">
        <v>29</v>
      </c>
      <c r="AI621" s="110" t="s">
        <v>29</v>
      </c>
      <c r="AJ621" s="110"/>
      <c r="AK621" s="110"/>
      <c r="AL621" s="110"/>
      <c r="AM621" s="110"/>
      <c r="AN621" s="110">
        <v>2</v>
      </c>
      <c r="AO621" s="110"/>
      <c r="AP621" s="110"/>
    </row>
    <row r="622" spans="1:48" ht="16.5" customHeight="1" x14ac:dyDescent="0.2">
      <c r="A622" s="110">
        <f>$A$619+-1</f>
        <v>175</v>
      </c>
      <c r="B622" s="110" t="str">
        <f>D622&amp;"Gem"</f>
        <v>FP_Main1OmkostEY_1Gem</v>
      </c>
      <c r="C622" s="110" t="s">
        <v>656</v>
      </c>
      <c r="D622" s="110" t="s">
        <v>937</v>
      </c>
      <c r="E622" s="110" t="s">
        <v>935</v>
      </c>
      <c r="F622" s="110"/>
      <c r="G622" s="110" t="s">
        <v>1154</v>
      </c>
      <c r="H622" s="110">
        <v>1</v>
      </c>
      <c r="I622" s="110" t="s">
        <v>238</v>
      </c>
      <c r="J622" s="110" t="b">
        <f t="shared" si="66"/>
        <v>1</v>
      </c>
      <c r="K622" s="110"/>
      <c r="L622" s="110"/>
      <c r="M622" s="110" t="str">
        <f>"'editNorm """&amp;D622&amp;""","""&amp;B622&amp;""","""&amp;E622&amp;"""'"</f>
        <v>'editNorm "FP_Main1OmkostEY_1","FP_Main1OmkostEY_1Gem","OmkosEY"'</v>
      </c>
      <c r="N622" s="110" t="s">
        <v>59</v>
      </c>
      <c r="O622" s="110" t="str">
        <f>"$L$"&amp;A622</f>
        <v>$L$175</v>
      </c>
      <c r="P622" s="110" t="str">
        <f>"$L$"&amp;A622</f>
        <v>$L$175</v>
      </c>
      <c r="Q622" s="110">
        <v>5</v>
      </c>
      <c r="R622" s="110">
        <v>1</v>
      </c>
      <c r="S622" s="110"/>
      <c r="T622" s="110">
        <v>22</v>
      </c>
      <c r="U622" s="110" t="b">
        <v>1</v>
      </c>
      <c r="V622" s="110" t="s">
        <v>1345</v>
      </c>
      <c r="W622" s="110" t="s">
        <v>1343</v>
      </c>
      <c r="X622" s="110"/>
      <c r="Y622" s="110"/>
      <c r="Z622" s="110"/>
      <c r="AA622" s="110"/>
      <c r="AB622" s="110">
        <v>3</v>
      </c>
      <c r="AC622" s="110">
        <v>5</v>
      </c>
      <c r="AD622" s="110" t="s">
        <v>105</v>
      </c>
      <c r="AE622" s="110">
        <v>12</v>
      </c>
      <c r="AF622" s="110"/>
      <c r="AG622" s="110" t="s">
        <v>1351</v>
      </c>
      <c r="AH622" s="110" t="s">
        <v>29</v>
      </c>
      <c r="AI622" s="110" t="s">
        <v>29</v>
      </c>
      <c r="AJ622" s="110"/>
      <c r="AK622" s="110"/>
      <c r="AL622" s="110"/>
      <c r="AM622" s="110"/>
      <c r="AN622" s="110">
        <v>2</v>
      </c>
      <c r="AO622" s="110"/>
      <c r="AP622" s="110"/>
    </row>
    <row r="623" spans="1:48" ht="16.5" customHeight="1" x14ac:dyDescent="0.2">
      <c r="A623" s="110">
        <f>$A$619+-1</f>
        <v>175</v>
      </c>
      <c r="B623" s="110" t="str">
        <f>D623&amp;"Cancel"</f>
        <v>FP_Main1OmkostEY_1Cancel</v>
      </c>
      <c r="C623" s="110" t="s">
        <v>656</v>
      </c>
      <c r="D623" s="110" t="s">
        <v>937</v>
      </c>
      <c r="E623" s="110" t="s">
        <v>935</v>
      </c>
      <c r="F623" s="110"/>
      <c r="G623" s="110" t="s">
        <v>1154</v>
      </c>
      <c r="H623" s="110">
        <v>1</v>
      </c>
      <c r="I623" s="110" t="s">
        <v>838</v>
      </c>
      <c r="J623" s="110" t="b">
        <f t="shared" si="66"/>
        <v>1</v>
      </c>
      <c r="K623" s="110"/>
      <c r="L623" s="110"/>
      <c r="M623" s="110" t="str">
        <f>"'editNorm """&amp;D623&amp;""","""&amp;B623&amp;""","""&amp;E623&amp;"""'"</f>
        <v>'editNorm "FP_Main1OmkostEY_1","FP_Main1OmkostEY_1Cancel","OmkosEY"'</v>
      </c>
      <c r="N623" s="110" t="s">
        <v>59</v>
      </c>
      <c r="O623" s="110" t="str">
        <f>"$M$"&amp;A623</f>
        <v>$M$175</v>
      </c>
      <c r="P623" s="110" t="str">
        <f>"$M$"&amp;A623</f>
        <v>$M$175</v>
      </c>
      <c r="Q623" s="110">
        <v>7</v>
      </c>
      <c r="R623" s="110">
        <v>1</v>
      </c>
      <c r="S623" s="110"/>
      <c r="T623" s="110">
        <v>22</v>
      </c>
      <c r="U623" s="110" t="b">
        <v>1</v>
      </c>
      <c r="V623" s="110" t="s">
        <v>1344</v>
      </c>
      <c r="W623" s="110" t="s">
        <v>1343</v>
      </c>
      <c r="X623" s="110"/>
      <c r="Y623" s="110"/>
      <c r="Z623" s="110"/>
      <c r="AA623" s="110"/>
      <c r="AB623" s="110">
        <v>3</v>
      </c>
      <c r="AC623" s="110">
        <v>5</v>
      </c>
      <c r="AD623" s="110" t="s">
        <v>105</v>
      </c>
      <c r="AE623" s="110">
        <v>12</v>
      </c>
      <c r="AF623" s="110"/>
      <c r="AG623" s="110" t="s">
        <v>1351</v>
      </c>
      <c r="AH623" s="110" t="s">
        <v>29</v>
      </c>
      <c r="AI623" s="110" t="s">
        <v>29</v>
      </c>
      <c r="AJ623" s="110"/>
      <c r="AK623" s="110"/>
      <c r="AL623" s="110"/>
      <c r="AM623" s="110"/>
      <c r="AN623" s="110">
        <v>2</v>
      </c>
      <c r="AO623" s="110"/>
      <c r="AP623" s="110"/>
    </row>
    <row r="624" spans="1:48" ht="16.5" customHeight="1" x14ac:dyDescent="0.2">
      <c r="A624" s="110">
        <f>$A$619+-1</f>
        <v>175</v>
      </c>
      <c r="B624" s="110" t="str">
        <f>D624&amp;"Delete"</f>
        <v>FP_Main1OmkostEY_1Delete</v>
      </c>
      <c r="C624" s="110" t="s">
        <v>656</v>
      </c>
      <c r="D624" s="110" t="s">
        <v>937</v>
      </c>
      <c r="E624" s="110" t="s">
        <v>935</v>
      </c>
      <c r="F624" s="110"/>
      <c r="G624" s="110" t="s">
        <v>1154</v>
      </c>
      <c r="H624" s="110">
        <v>1</v>
      </c>
      <c r="I624" s="110" t="s">
        <v>1266</v>
      </c>
      <c r="J624" s="110" t="b">
        <f t="shared" si="66"/>
        <v>1</v>
      </c>
      <c r="K624" s="110"/>
      <c r="L624" s="110"/>
      <c r="M624" s="110" t="str">
        <f>"'editNorm """&amp;D624&amp;""","""&amp;B624&amp;""","""&amp;E624&amp;"""'"</f>
        <v>'editNorm "FP_Main1OmkostEY_1","FP_Main1OmkostEY_1Delete","OmkosEY"'</v>
      </c>
      <c r="N624" s="110" t="s">
        <v>59</v>
      </c>
      <c r="O624" s="110" t="str">
        <f>"$N$"&amp;A624</f>
        <v>$N$175</v>
      </c>
      <c r="P624" s="110" t="str">
        <f>"$N$"&amp;A624</f>
        <v>$N$175</v>
      </c>
      <c r="Q624" s="110">
        <v>7</v>
      </c>
      <c r="R624" s="110">
        <v>1</v>
      </c>
      <c r="S624" s="110"/>
      <c r="T624" s="110">
        <v>22</v>
      </c>
      <c r="U624" s="110" t="b">
        <v>1</v>
      </c>
      <c r="V624" s="110" t="s">
        <v>1346</v>
      </c>
      <c r="W624" s="110" t="s">
        <v>1343</v>
      </c>
      <c r="X624" s="110"/>
      <c r="Y624" s="110"/>
      <c r="Z624" s="110"/>
      <c r="AA624" s="110"/>
      <c r="AB624" s="110">
        <v>3</v>
      </c>
      <c r="AC624" s="110">
        <v>5</v>
      </c>
      <c r="AD624" s="110" t="s">
        <v>105</v>
      </c>
      <c r="AE624" s="110">
        <v>12</v>
      </c>
      <c r="AF624" s="110"/>
      <c r="AG624" s="110" t="s">
        <v>1351</v>
      </c>
      <c r="AH624" s="110" t="s">
        <v>29</v>
      </c>
      <c r="AI624" s="110" t="s">
        <v>29</v>
      </c>
      <c r="AJ624" s="110"/>
      <c r="AK624" s="110"/>
      <c r="AL624" s="110"/>
      <c r="AM624" s="110"/>
      <c r="AN624" s="110">
        <v>2</v>
      </c>
      <c r="AO624" s="110"/>
      <c r="AP624" s="110"/>
    </row>
    <row r="625" spans="1:103" ht="16.5" customHeight="1" x14ac:dyDescent="0.2">
      <c r="A625" s="106">
        <f>$A$619+0</f>
        <v>176</v>
      </c>
      <c r="B625" s="106" t="s">
        <v>941</v>
      </c>
      <c r="C625" s="106" t="s">
        <v>655</v>
      </c>
      <c r="D625" s="106"/>
      <c r="E625" s="106"/>
      <c r="F625" s="106"/>
      <c r="G625" s="106" t="s">
        <v>1154</v>
      </c>
      <c r="H625" s="106">
        <v>1</v>
      </c>
      <c r="I625" s="106"/>
      <c r="J625" s="106" t="b">
        <f t="shared" si="66"/>
        <v>1</v>
      </c>
      <c r="K625" s="106" t="b">
        <v>1</v>
      </c>
      <c r="L625" s="106"/>
      <c r="M625" s="106"/>
      <c r="N625" s="106" t="s">
        <v>59</v>
      </c>
      <c r="O625" s="106" t="str">
        <f>"$D$"&amp;A625</f>
        <v>$D$176</v>
      </c>
      <c r="P625" s="106" t="str">
        <f>"$M$"&amp;A625+1</f>
        <v>$M$177</v>
      </c>
      <c r="Q625" s="106">
        <v>1</v>
      </c>
      <c r="R625" s="106">
        <v>2</v>
      </c>
      <c r="S625" s="106"/>
      <c r="T625" s="106">
        <v>2</v>
      </c>
      <c r="U625" s="106" t="b">
        <v>1</v>
      </c>
      <c r="V625" s="106" t="s">
        <v>1344</v>
      </c>
      <c r="W625" s="106" t="s">
        <v>1343</v>
      </c>
      <c r="X625" s="106"/>
      <c r="Y625" s="106"/>
      <c r="Z625" s="106"/>
      <c r="AA625" s="106"/>
      <c r="AB625" s="106"/>
      <c r="AC625" s="106"/>
      <c r="AD625" s="106"/>
      <c r="AE625" s="106"/>
      <c r="AF625" s="106"/>
      <c r="AG625" s="106"/>
      <c r="AH625" s="106"/>
      <c r="AI625" s="106"/>
      <c r="AJ625" s="106"/>
      <c r="AK625" s="106"/>
      <c r="AL625" s="106"/>
      <c r="AM625" s="106"/>
      <c r="AN625" s="106"/>
      <c r="AO625" s="106"/>
      <c r="AP625" s="106"/>
    </row>
    <row r="626" spans="1:103" ht="16.5" customHeight="1" x14ac:dyDescent="0.2">
      <c r="A626" s="107">
        <f>$O$613+(P613-O613+1)*(H613-1)-1</f>
        <v>177</v>
      </c>
      <c r="B626" s="107" t="s">
        <v>935</v>
      </c>
      <c r="C626" s="107" t="s">
        <v>663</v>
      </c>
      <c r="D626" s="107"/>
      <c r="E626" s="107"/>
      <c r="F626" s="107"/>
      <c r="G626" s="107" t="s">
        <v>1154</v>
      </c>
      <c r="H626" s="107"/>
      <c r="I626" s="107"/>
      <c r="J626" s="107" t="b">
        <f t="shared" si="66"/>
        <v>1</v>
      </c>
      <c r="K626" s="107"/>
      <c r="L626" s="107"/>
      <c r="M626" s="107"/>
      <c r="N626" s="107"/>
      <c r="O626" s="107"/>
      <c r="P626" s="107"/>
      <c r="Q626" s="107"/>
      <c r="R626" s="107"/>
      <c r="S626" s="107"/>
      <c r="T626" s="107"/>
      <c r="U626" s="107"/>
      <c r="V626" s="107"/>
      <c r="W626" s="107"/>
      <c r="X626" s="107"/>
      <c r="Y626" s="107"/>
      <c r="Z626" s="107"/>
      <c r="AA626" s="107"/>
      <c r="AB626" s="107"/>
      <c r="AC626" s="107"/>
      <c r="AD626" s="107"/>
      <c r="AE626" s="107"/>
      <c r="AF626" s="107"/>
      <c r="AG626" s="107"/>
      <c r="AH626" s="107"/>
      <c r="AI626" s="107"/>
      <c r="AJ626" s="107"/>
      <c r="AK626" s="107"/>
      <c r="AL626" s="107"/>
      <c r="AM626" s="107"/>
      <c r="AN626" s="107"/>
      <c r="AO626" s="107"/>
      <c r="AP626" s="107"/>
    </row>
    <row r="627" spans="1:103" ht="16.5" customHeight="1" x14ac:dyDescent="0.2">
      <c r="A627" s="107">
        <f>$A$626+2</f>
        <v>179</v>
      </c>
      <c r="B627" s="107" t="s">
        <v>930</v>
      </c>
      <c r="C627" s="107" t="s">
        <v>663</v>
      </c>
      <c r="D627" s="107"/>
      <c r="E627" s="107"/>
      <c r="F627" s="107"/>
      <c r="G627" s="107" t="s">
        <v>1154</v>
      </c>
      <c r="H627" s="107">
        <v>2</v>
      </c>
      <c r="I627" s="107">
        <v>19</v>
      </c>
      <c r="J627" s="107" t="b">
        <f t="shared" si="66"/>
        <v>1</v>
      </c>
      <c r="K627" s="107"/>
      <c r="L627" s="107"/>
      <c r="M627" s="107"/>
      <c r="N627" s="107"/>
      <c r="O627" s="107">
        <f>A627</f>
        <v>179</v>
      </c>
      <c r="P627" s="107">
        <f>O627+14</f>
        <v>193</v>
      </c>
      <c r="Q627" s="107" t="str">
        <f ca="1">MID(CELL("address",K628),1,FIND("$",CELL("address",K628),2))&amp;A628</f>
        <v>$K$180</v>
      </c>
      <c r="R627" s="107"/>
      <c r="S627" s="107"/>
      <c r="T627" s="107"/>
      <c r="U627" s="107"/>
      <c r="V627" s="107"/>
      <c r="W627" s="107"/>
      <c r="X627" s="107"/>
      <c r="Y627" s="107"/>
      <c r="Z627" s="107"/>
      <c r="AA627" s="107"/>
      <c r="AB627" s="107"/>
      <c r="AC627" s="107"/>
      <c r="AD627" s="107"/>
      <c r="AE627" s="107"/>
      <c r="AF627" s="107"/>
      <c r="AG627" s="107"/>
      <c r="AH627" s="107"/>
      <c r="AI627" s="107"/>
      <c r="AJ627" s="107"/>
      <c r="AK627" s="107"/>
      <c r="AL627" s="107"/>
      <c r="AM627" s="107"/>
      <c r="AN627" s="107"/>
      <c r="AO627" s="107"/>
      <c r="AP627" s="107"/>
      <c r="AQ627" s="93" t="str">
        <f>AQ648</f>
        <v>Omkostningsbaseret økonomi</v>
      </c>
      <c r="AR627" s="93" t="str">
        <f>AQ649</f>
        <v>FF4-gæld, ultimo året</v>
      </c>
      <c r="AS627" s="93" t="str">
        <f>AQ651</f>
        <v>Værdi anlægsaktiv, ultimo året</v>
      </c>
      <c r="AT627" s="93" t="str">
        <f>AQ653</f>
        <v>Køb af immaterielle anlægsaktiver (investeringer)</v>
      </c>
      <c r="AU627" s="93" t="str">
        <f>AQ654</f>
        <v>Køb af materialle anlægsaktiver</v>
      </c>
      <c r="AV627" s="93" t="str">
        <f>AQ655</f>
        <v>Driftsomkostninger (projektdrift samt projektløn ekskl. anlægsløn)</v>
      </c>
      <c r="AW627" s="93" t="str">
        <f>AQ656</f>
        <v>Anlægsløn, aktiverbar (anlægsløn)</v>
      </c>
      <c r="AX627" s="93" t="str">
        <f>AQ658</f>
        <v>Renteomkostninger (FF4)</v>
      </c>
      <c r="AY627" s="93" t="str">
        <f>AQ660</f>
        <v>Afskrivninger</v>
      </c>
      <c r="AZ627" s="93" t="str">
        <f>AQ661</f>
        <v>Nedskrivninger</v>
      </c>
    </row>
    <row r="628" spans="1:103" ht="16.5" customHeight="1" x14ac:dyDescent="0.2">
      <c r="A628" s="108">
        <f>$A$627+1</f>
        <v>180</v>
      </c>
      <c r="B628" s="112" t="s">
        <v>247</v>
      </c>
      <c r="C628" s="112" t="s">
        <v>90</v>
      </c>
      <c r="D628" s="112"/>
      <c r="E628" s="112"/>
      <c r="F628" s="112"/>
      <c r="G628" s="112" t="s">
        <v>1154</v>
      </c>
      <c r="H628" s="112"/>
      <c r="I628" s="112"/>
      <c r="J628" s="112"/>
      <c r="K628" s="112" t="b">
        <v>1</v>
      </c>
      <c r="L628" s="112"/>
      <c r="M628" s="112"/>
      <c r="N628" s="112"/>
      <c r="O628" s="112" t="str">
        <f t="shared" ref="O628:O642" si="67">"$B$"&amp;A628</f>
        <v>$B$180</v>
      </c>
      <c r="P628" s="112" t="str">
        <f>"$BK$"&amp;A628+13</f>
        <v>$BK$193</v>
      </c>
      <c r="Q628" s="112"/>
      <c r="R628" s="112"/>
      <c r="S628" s="112"/>
      <c r="T628" s="112"/>
      <c r="U628" s="112" t="b">
        <v>1</v>
      </c>
      <c r="V628" s="112" t="s">
        <v>1342</v>
      </c>
      <c r="W628" s="112" t="s">
        <v>1342</v>
      </c>
      <c r="X628" s="112"/>
      <c r="Y628" s="112"/>
      <c r="Z628" s="112"/>
      <c r="AA628" s="112"/>
      <c r="AB628" s="112"/>
      <c r="AC628" s="112"/>
      <c r="AD628" s="112" t="s">
        <v>105</v>
      </c>
      <c r="AE628" s="112">
        <v>12</v>
      </c>
      <c r="AF628" s="112"/>
      <c r="AG628" s="112" t="s">
        <v>1355</v>
      </c>
      <c r="AH628" s="112" t="s">
        <v>27</v>
      </c>
      <c r="AI628" s="112" t="s">
        <v>28</v>
      </c>
      <c r="AJ628" s="112"/>
      <c r="AK628" s="112" t="s">
        <v>1342</v>
      </c>
      <c r="AL628" s="112"/>
      <c r="AM628" s="112"/>
      <c r="AN628" s="112"/>
      <c r="AO628" s="112"/>
      <c r="AP628" s="112"/>
    </row>
    <row r="629" spans="1:103" ht="16.5" customHeight="1" thickBot="1" x14ac:dyDescent="0.25">
      <c r="A629" s="108">
        <f>$A$628+0</f>
        <v>180</v>
      </c>
      <c r="B629" s="113" t="s">
        <v>906</v>
      </c>
      <c r="C629" s="113" t="s">
        <v>92</v>
      </c>
      <c r="D629" s="113"/>
      <c r="E629" s="113"/>
      <c r="F629" s="113"/>
      <c r="G629" s="113" t="s">
        <v>1154</v>
      </c>
      <c r="H629" s="113"/>
      <c r="I629" s="113"/>
      <c r="J629" s="113"/>
      <c r="K629" s="113" t="b">
        <v>1</v>
      </c>
      <c r="L629" s="113"/>
      <c r="M629" s="113"/>
      <c r="N629" s="113"/>
      <c r="O629" s="113" t="str">
        <f t="shared" si="67"/>
        <v>$B$180</v>
      </c>
      <c r="P629" s="113" t="str">
        <f t="shared" ref="P629:P642" si="68">"$BK$"&amp;A629</f>
        <v>$BK$180</v>
      </c>
      <c r="Q629" s="113"/>
      <c r="R629" s="113"/>
      <c r="S629" s="113"/>
      <c r="T629" s="113">
        <v>34</v>
      </c>
      <c r="U629" s="113"/>
      <c r="V629" s="113" t="s">
        <v>1342</v>
      </c>
      <c r="W629" s="113"/>
      <c r="X629" s="113"/>
      <c r="Y629" s="113"/>
      <c r="Z629" s="113"/>
      <c r="AA629" s="113"/>
      <c r="AB629" s="113"/>
      <c r="AC629" s="113"/>
      <c r="AD629" s="113"/>
      <c r="AE629" s="113"/>
      <c r="AF629" s="113"/>
      <c r="AG629" s="113"/>
      <c r="AH629" s="113"/>
      <c r="AI629" s="113"/>
      <c r="AJ629" s="113"/>
      <c r="AK629" s="113"/>
      <c r="AL629" s="113"/>
      <c r="AM629" s="113"/>
      <c r="AN629" s="113"/>
      <c r="AO629" s="113"/>
      <c r="AP629" s="113" t="b">
        <v>1</v>
      </c>
      <c r="AQ629" s="297" t="s">
        <v>919</v>
      </c>
      <c r="AR629" s="297"/>
      <c r="AS629" s="297"/>
      <c r="AT629" s="297"/>
      <c r="AU629" s="297"/>
      <c r="AV629" s="297"/>
      <c r="AW629" s="86" t="s">
        <v>1296</v>
      </c>
      <c r="AX629" s="86" t="s">
        <v>1296</v>
      </c>
      <c r="AY629" s="37"/>
      <c r="AZ629" s="37"/>
      <c r="BA629" s="37"/>
      <c r="BB629" s="37"/>
      <c r="BC629" s="37"/>
      <c r="BD629" s="37"/>
      <c r="BE629" s="37"/>
      <c r="BF629" s="37"/>
      <c r="BG629" s="37"/>
      <c r="BH629" s="37"/>
      <c r="BI629" s="37"/>
      <c r="BJ629" s="37"/>
      <c r="BK629" s="37"/>
      <c r="BL629" s="37"/>
      <c r="BM629" s="37"/>
      <c r="BN629" s="37"/>
      <c r="BO629" s="37"/>
      <c r="BP629" s="37"/>
      <c r="BQ629" s="37"/>
      <c r="BR629" s="37"/>
      <c r="BS629" s="37"/>
      <c r="BT629" s="37"/>
      <c r="BU629" s="37"/>
      <c r="BV629" s="37"/>
      <c r="BW629" s="37"/>
      <c r="BX629" s="37"/>
      <c r="BY629" s="37"/>
      <c r="BZ629" s="37"/>
      <c r="CA629" s="37"/>
      <c r="CB629" s="37"/>
      <c r="CC629" s="37"/>
      <c r="CD629" s="37"/>
      <c r="CE629" s="37"/>
      <c r="CF629" s="37"/>
      <c r="CG629" s="37"/>
      <c r="CH629" s="37"/>
      <c r="CI629" s="37"/>
      <c r="CJ629" s="37"/>
      <c r="CK629" s="37"/>
      <c r="CL629" s="37"/>
      <c r="CM629" s="37"/>
      <c r="CN629" s="37"/>
      <c r="CO629" s="37"/>
      <c r="CP629" s="37"/>
      <c r="CQ629" s="37"/>
      <c r="CR629" s="37"/>
      <c r="CS629" s="37"/>
      <c r="CT629" s="37"/>
      <c r="CU629" s="37"/>
      <c r="CV629" s="37"/>
      <c r="CW629" s="37"/>
      <c r="CX629" s="37"/>
      <c r="CY629" s="37"/>
    </row>
    <row r="630" spans="1:103" ht="16.5" customHeight="1" x14ac:dyDescent="0.2">
      <c r="A630" s="108">
        <f>$A$628+1</f>
        <v>181</v>
      </c>
      <c r="B630" s="113" t="s">
        <v>905</v>
      </c>
      <c r="C630" s="113" t="s">
        <v>92</v>
      </c>
      <c r="D630" s="113"/>
      <c r="E630" s="113"/>
      <c r="F630" s="113"/>
      <c r="G630" s="113" t="s">
        <v>1154</v>
      </c>
      <c r="H630" s="113"/>
      <c r="I630" s="113"/>
      <c r="J630" s="113"/>
      <c r="K630" s="113" t="b">
        <v>1</v>
      </c>
      <c r="L630" s="113"/>
      <c r="M630" s="113"/>
      <c r="N630" s="113"/>
      <c r="O630" s="113" t="str">
        <f t="shared" si="67"/>
        <v>$B$181</v>
      </c>
      <c r="P630" s="113" t="str">
        <f t="shared" si="68"/>
        <v>$BK$181</v>
      </c>
      <c r="Q630" s="113"/>
      <c r="R630" s="113"/>
      <c r="S630" s="113"/>
      <c r="T630" s="113">
        <v>25</v>
      </c>
      <c r="U630" s="113"/>
      <c r="V630" s="113" t="s">
        <v>1342</v>
      </c>
      <c r="W630" s="113"/>
      <c r="X630" s="113"/>
      <c r="Y630" s="113"/>
      <c r="Z630" s="113"/>
      <c r="AA630" s="113"/>
      <c r="AB630" s="113"/>
      <c r="AC630" s="113"/>
      <c r="AD630" s="113"/>
      <c r="AE630" s="113"/>
      <c r="AF630" s="113"/>
      <c r="AG630" s="113"/>
      <c r="AH630" s="113"/>
      <c r="AI630" s="113"/>
      <c r="AJ630" s="113"/>
      <c r="AK630" s="113"/>
      <c r="AL630" s="113"/>
      <c r="AM630" s="113"/>
      <c r="AN630" s="113"/>
      <c r="AO630" s="113"/>
      <c r="AP630" s="113" t="b">
        <v>1</v>
      </c>
      <c r="AQ630" s="300" t="s">
        <v>248</v>
      </c>
      <c r="AR630" s="300"/>
      <c r="AS630" s="300"/>
      <c r="AT630" s="300"/>
      <c r="AU630" s="300"/>
      <c r="AV630" s="300"/>
      <c r="AW630" s="6">
        <f>IFERROR(AV630+AW634+AW635+AW637-AW641,0)</f>
        <v>0</v>
      </c>
      <c r="AX630" s="6">
        <f>IFERROR(AW630+AX634+AX635+AX637-AX641,0)</f>
        <v>0</v>
      </c>
      <c r="AY630" s="38"/>
      <c r="AZ630" s="38"/>
      <c r="BA630" s="38"/>
      <c r="BB630" s="38"/>
      <c r="BC630" s="38"/>
      <c r="BD630" s="38"/>
      <c r="BE630" s="38"/>
      <c r="BF630" s="38"/>
      <c r="BG630" s="38"/>
      <c r="BH630" s="38"/>
      <c r="BI630" s="38"/>
      <c r="BJ630" s="38"/>
      <c r="BK630" s="38"/>
      <c r="BL630" s="38"/>
      <c r="BM630" s="38"/>
      <c r="BN630" s="38"/>
      <c r="BO630" s="38"/>
      <c r="BP630" s="38"/>
      <c r="BQ630" s="38"/>
      <c r="BR630" s="38"/>
      <c r="BS630" s="38"/>
      <c r="BT630" s="38"/>
      <c r="BU630" s="38"/>
      <c r="BV630" s="38"/>
      <c r="BW630" s="38"/>
      <c r="BX630" s="38"/>
      <c r="BY630" s="38"/>
      <c r="BZ630" s="38"/>
      <c r="CA630" s="38"/>
      <c r="CB630" s="38"/>
      <c r="CC630" s="38"/>
      <c r="CD630" s="38"/>
      <c r="CE630" s="38"/>
      <c r="CF630" s="38"/>
      <c r="CG630" s="38"/>
      <c r="CH630" s="38"/>
      <c r="CI630" s="38"/>
      <c r="CJ630" s="38"/>
      <c r="CK630" s="38"/>
      <c r="CL630" s="38"/>
      <c r="CM630" s="38"/>
      <c r="CN630" s="38"/>
      <c r="CO630" s="38"/>
      <c r="CP630" s="38"/>
      <c r="CQ630" s="38"/>
      <c r="CR630" s="38"/>
      <c r="CS630" s="38"/>
      <c r="CT630" s="38"/>
      <c r="CU630" s="38"/>
      <c r="CV630" s="38"/>
      <c r="CW630" s="38"/>
      <c r="CX630" s="38"/>
      <c r="CY630" s="38"/>
    </row>
    <row r="631" spans="1:103" ht="16.5" customHeight="1" x14ac:dyDescent="0.2">
      <c r="A631" s="108">
        <f>$A$628+2</f>
        <v>182</v>
      </c>
      <c r="B631" s="113" t="s">
        <v>907</v>
      </c>
      <c r="C631" s="113" t="s">
        <v>92</v>
      </c>
      <c r="D631" s="113"/>
      <c r="E631" s="113"/>
      <c r="F631" s="113"/>
      <c r="G631" s="113" t="s">
        <v>1154</v>
      </c>
      <c r="H631" s="113"/>
      <c r="I631" s="113"/>
      <c r="J631" s="113"/>
      <c r="K631" s="113" t="b">
        <v>1</v>
      </c>
      <c r="L631" s="113"/>
      <c r="M631" s="113"/>
      <c r="N631" s="113"/>
      <c r="O631" s="113" t="str">
        <f t="shared" si="67"/>
        <v>$B$182</v>
      </c>
      <c r="P631" s="113" t="str">
        <f t="shared" si="68"/>
        <v>$BK$182</v>
      </c>
      <c r="Q631" s="113"/>
      <c r="R631" s="113"/>
      <c r="S631" s="113"/>
      <c r="T631" s="113">
        <v>25</v>
      </c>
      <c r="U631" s="113"/>
      <c r="V631" s="113" t="s">
        <v>1342</v>
      </c>
      <c r="W631" s="113"/>
      <c r="X631" s="113"/>
      <c r="Y631" s="113"/>
      <c r="Z631" s="113"/>
      <c r="AA631" s="113"/>
      <c r="AB631" s="113"/>
      <c r="AC631" s="113"/>
      <c r="AD631" s="113"/>
      <c r="AE631" s="113"/>
      <c r="AF631" s="113"/>
      <c r="AG631" s="113"/>
      <c r="AH631" s="113"/>
      <c r="AI631" s="113"/>
      <c r="AJ631" s="113"/>
      <c r="AK631" s="113"/>
      <c r="AL631" s="113"/>
      <c r="AM631" s="113"/>
      <c r="AN631" s="113"/>
      <c r="AO631" s="113"/>
      <c r="AP631" s="113" t="b">
        <v>1</v>
      </c>
      <c r="AQ631" s="307"/>
      <c r="AR631" s="307"/>
      <c r="AS631" s="307"/>
      <c r="AT631" s="307"/>
      <c r="AU631" s="307"/>
      <c r="AV631" s="307"/>
      <c r="AW631" s="7"/>
      <c r="AX631" s="7"/>
      <c r="AY631" s="38"/>
      <c r="AZ631" s="38"/>
      <c r="BA631" s="38"/>
      <c r="BB631" s="38"/>
      <c r="BC631" s="38"/>
      <c r="BD631" s="38"/>
      <c r="BE631" s="38"/>
      <c r="BF631" s="38"/>
      <c r="BG631" s="38"/>
      <c r="BH631" s="38"/>
      <c r="BI631" s="38"/>
      <c r="BJ631" s="38"/>
      <c r="BK631" s="38"/>
      <c r="BL631" s="38"/>
      <c r="BM631" s="38"/>
      <c r="BN631" s="38"/>
      <c r="BO631" s="38"/>
      <c r="BP631" s="38"/>
      <c r="BQ631" s="38"/>
      <c r="BR631" s="38"/>
      <c r="BS631" s="38"/>
      <c r="BT631" s="38"/>
      <c r="BU631" s="38"/>
      <c r="BV631" s="38"/>
      <c r="BW631" s="38"/>
      <c r="BX631" s="38"/>
      <c r="BY631" s="38"/>
      <c r="BZ631" s="38"/>
      <c r="CA631" s="38"/>
      <c r="CB631" s="38"/>
      <c r="CC631" s="38"/>
      <c r="CD631" s="38"/>
      <c r="CE631" s="38"/>
      <c r="CF631" s="38"/>
      <c r="CG631" s="38"/>
      <c r="CH631" s="38"/>
      <c r="CI631" s="38"/>
      <c r="CJ631" s="38"/>
      <c r="CK631" s="38"/>
      <c r="CL631" s="38"/>
      <c r="CM631" s="38"/>
      <c r="CN631" s="38"/>
      <c r="CO631" s="38"/>
      <c r="CP631" s="38"/>
      <c r="CQ631" s="38"/>
      <c r="CR631" s="38"/>
      <c r="CS631" s="38"/>
      <c r="CT631" s="38"/>
      <c r="CU631" s="38"/>
      <c r="CV631" s="38"/>
      <c r="CW631" s="38"/>
      <c r="CX631" s="38"/>
      <c r="CY631" s="38"/>
    </row>
    <row r="632" spans="1:103" ht="16.5" customHeight="1" x14ac:dyDescent="0.2">
      <c r="A632" s="108">
        <f>$A$628+3</f>
        <v>183</v>
      </c>
      <c r="B632" s="113" t="s">
        <v>908</v>
      </c>
      <c r="C632" s="113" t="s">
        <v>92</v>
      </c>
      <c r="D632" s="113"/>
      <c r="E632" s="113"/>
      <c r="F632" s="113"/>
      <c r="G632" s="113" t="s">
        <v>1154</v>
      </c>
      <c r="H632" s="113"/>
      <c r="I632" s="113"/>
      <c r="J632" s="113"/>
      <c r="K632" s="113" t="b">
        <v>1</v>
      </c>
      <c r="L632" s="113"/>
      <c r="M632" s="113"/>
      <c r="N632" s="113"/>
      <c r="O632" s="113" t="str">
        <f t="shared" si="67"/>
        <v>$B$183</v>
      </c>
      <c r="P632" s="113" t="str">
        <f t="shared" si="68"/>
        <v>$BK$183</v>
      </c>
      <c r="Q632" s="113"/>
      <c r="R632" s="113"/>
      <c r="S632" s="113"/>
      <c r="T632" s="113">
        <v>25</v>
      </c>
      <c r="U632" s="113"/>
      <c r="V632" s="113" t="s">
        <v>1342</v>
      </c>
      <c r="W632" s="113"/>
      <c r="X632" s="113"/>
      <c r="Y632" s="113"/>
      <c r="Z632" s="113"/>
      <c r="AA632" s="113"/>
      <c r="AB632" s="113"/>
      <c r="AC632" s="113"/>
      <c r="AD632" s="113"/>
      <c r="AE632" s="113"/>
      <c r="AF632" s="113"/>
      <c r="AG632" s="113"/>
      <c r="AH632" s="113"/>
      <c r="AI632" s="113"/>
      <c r="AJ632" s="113"/>
      <c r="AK632" s="113"/>
      <c r="AL632" s="113"/>
      <c r="AM632" s="113"/>
      <c r="AN632" s="113"/>
      <c r="AO632" s="113"/>
      <c r="AP632" s="113" t="b">
        <v>1</v>
      </c>
      <c r="AQ632" s="307" t="s">
        <v>249</v>
      </c>
      <c r="AR632" s="307"/>
      <c r="AS632" s="307"/>
      <c r="AT632" s="307"/>
      <c r="AU632" s="307"/>
      <c r="AV632" s="307"/>
      <c r="AW632" s="7">
        <f>IFERROR(AV632+AW634+AW635+AW637-SUM(AW641:AW642),0)</f>
        <v>0</v>
      </c>
      <c r="AX632" s="7">
        <f>IFERROR(AW632+AX634+AX635+AX637-SUM(AX641:AX642),0)</f>
        <v>0</v>
      </c>
      <c r="AY632" s="38"/>
      <c r="AZ632" s="38"/>
      <c r="BA632" s="38"/>
      <c r="BB632" s="38"/>
      <c r="BC632" s="38"/>
      <c r="BD632" s="38"/>
      <c r="BE632" s="38"/>
      <c r="BF632" s="38"/>
      <c r="BG632" s="38"/>
      <c r="BH632" s="38"/>
      <c r="BI632" s="38"/>
      <c r="BJ632" s="38"/>
      <c r="BK632" s="38"/>
      <c r="BL632" s="38"/>
      <c r="BM632" s="38"/>
      <c r="BN632" s="38"/>
      <c r="BO632" s="38"/>
      <c r="BP632" s="38"/>
      <c r="BQ632" s="38"/>
      <c r="BR632" s="38"/>
      <c r="BS632" s="38"/>
      <c r="BT632" s="38"/>
      <c r="BU632" s="38"/>
      <c r="BV632" s="38"/>
      <c r="BW632" s="38"/>
      <c r="BX632" s="38"/>
      <c r="BY632" s="38"/>
      <c r="BZ632" s="38"/>
      <c r="CA632" s="38"/>
      <c r="CB632" s="38"/>
      <c r="CC632" s="38"/>
      <c r="CD632" s="38"/>
      <c r="CE632" s="38"/>
      <c r="CF632" s="38"/>
      <c r="CG632" s="38"/>
      <c r="CH632" s="38"/>
      <c r="CI632" s="38"/>
      <c r="CJ632" s="38"/>
      <c r="CK632" s="38"/>
      <c r="CL632" s="38"/>
      <c r="CM632" s="38"/>
      <c r="CN632" s="38"/>
      <c r="CO632" s="38"/>
      <c r="CP632" s="38"/>
      <c r="CQ632" s="38"/>
      <c r="CR632" s="38"/>
      <c r="CS632" s="38"/>
      <c r="CT632" s="38"/>
      <c r="CU632" s="38"/>
      <c r="CV632" s="38"/>
      <c r="CW632" s="38"/>
      <c r="CX632" s="38"/>
      <c r="CY632" s="38"/>
    </row>
    <row r="633" spans="1:103" ht="16.5" customHeight="1" x14ac:dyDescent="0.2">
      <c r="A633" s="108">
        <f>$A$628+4</f>
        <v>184</v>
      </c>
      <c r="B633" s="113" t="s">
        <v>909</v>
      </c>
      <c r="C633" s="113" t="s">
        <v>92</v>
      </c>
      <c r="D633" s="113"/>
      <c r="E633" s="113"/>
      <c r="F633" s="113"/>
      <c r="G633" s="113" t="s">
        <v>1154</v>
      </c>
      <c r="H633" s="113"/>
      <c r="I633" s="113"/>
      <c r="J633" s="113"/>
      <c r="K633" s="113" t="b">
        <v>1</v>
      </c>
      <c r="L633" s="113"/>
      <c r="M633" s="113"/>
      <c r="N633" s="113"/>
      <c r="O633" s="113" t="str">
        <f t="shared" si="67"/>
        <v>$B$184</v>
      </c>
      <c r="P633" s="113" t="str">
        <f t="shared" si="68"/>
        <v>$BK$184</v>
      </c>
      <c r="Q633" s="113"/>
      <c r="R633" s="113"/>
      <c r="S633" s="113"/>
      <c r="T633" s="113">
        <v>25</v>
      </c>
      <c r="U633" s="113"/>
      <c r="V633" s="113" t="s">
        <v>1342</v>
      </c>
      <c r="W633" s="113"/>
      <c r="X633" s="113"/>
      <c r="Y633" s="113"/>
      <c r="Z633" s="113"/>
      <c r="AA633" s="113"/>
      <c r="AB633" s="113"/>
      <c r="AC633" s="113"/>
      <c r="AD633" s="113"/>
      <c r="AE633" s="113"/>
      <c r="AF633" s="113"/>
      <c r="AG633" s="113"/>
      <c r="AH633" s="113"/>
      <c r="AI633" s="113"/>
      <c r="AJ633" s="113"/>
      <c r="AK633" s="113"/>
      <c r="AL633" s="113"/>
      <c r="AM633" s="113"/>
      <c r="AN633" s="113"/>
      <c r="AO633" s="113"/>
      <c r="AP633" s="113" t="b">
        <v>1</v>
      </c>
      <c r="AQ633" s="307"/>
      <c r="AR633" s="307"/>
      <c r="AS633" s="307"/>
      <c r="AT633" s="307"/>
      <c r="AU633" s="307"/>
      <c r="AV633" s="307"/>
      <c r="AW633" s="8"/>
      <c r="AX633" s="8"/>
      <c r="AY633" s="39"/>
      <c r="AZ633" s="39"/>
      <c r="BA633" s="39"/>
      <c r="BB633" s="39"/>
      <c r="BC633" s="39"/>
      <c r="BD633" s="39"/>
      <c r="BE633" s="39"/>
      <c r="BF633" s="39"/>
      <c r="BG633" s="39"/>
      <c r="BH633" s="39"/>
      <c r="BI633" s="39"/>
      <c r="BJ633" s="39"/>
      <c r="BK633" s="39"/>
      <c r="BL633" s="39"/>
      <c r="BM633" s="39"/>
      <c r="BN633" s="39"/>
      <c r="BO633" s="39"/>
      <c r="BP633" s="39"/>
      <c r="BQ633" s="39"/>
      <c r="BR633" s="39"/>
      <c r="BS633" s="39"/>
      <c r="BT633" s="39"/>
      <c r="BU633" s="39"/>
      <c r="BV633" s="39"/>
      <c r="BW633" s="39"/>
      <c r="BX633" s="39"/>
      <c r="BY633" s="39"/>
      <c r="BZ633" s="39"/>
      <c r="CA633" s="39"/>
      <c r="CB633" s="39"/>
      <c r="CC633" s="39"/>
      <c r="CD633" s="39"/>
      <c r="CE633" s="39"/>
      <c r="CF633" s="39"/>
      <c r="CG633" s="39"/>
      <c r="CH633" s="39"/>
      <c r="CI633" s="39"/>
      <c r="CJ633" s="39"/>
      <c r="CK633" s="39"/>
      <c r="CL633" s="39"/>
      <c r="CM633" s="39"/>
      <c r="CN633" s="39"/>
      <c r="CO633" s="39"/>
      <c r="CP633" s="39"/>
      <c r="CQ633" s="39"/>
      <c r="CR633" s="39"/>
      <c r="CS633" s="39"/>
      <c r="CT633" s="39"/>
      <c r="CU633" s="39"/>
      <c r="CV633" s="39"/>
      <c r="CW633" s="39"/>
      <c r="CX633" s="39"/>
      <c r="CY633" s="39"/>
    </row>
    <row r="634" spans="1:103" ht="16.5" customHeight="1" x14ac:dyDescent="0.2">
      <c r="A634" s="108">
        <f>$A$628+5</f>
        <v>185</v>
      </c>
      <c r="B634" s="113" t="s">
        <v>910</v>
      </c>
      <c r="C634" s="113" t="s">
        <v>92</v>
      </c>
      <c r="D634" s="113"/>
      <c r="E634" s="113"/>
      <c r="F634" s="113"/>
      <c r="G634" s="113" t="s">
        <v>1154</v>
      </c>
      <c r="H634" s="113"/>
      <c r="I634" s="113"/>
      <c r="J634" s="113"/>
      <c r="K634" s="113" t="b">
        <v>1</v>
      </c>
      <c r="L634" s="113"/>
      <c r="M634" s="113"/>
      <c r="N634" s="113"/>
      <c r="O634" s="113" t="str">
        <f t="shared" si="67"/>
        <v>$B$185</v>
      </c>
      <c r="P634" s="113" t="str">
        <f t="shared" si="68"/>
        <v>$BK$185</v>
      </c>
      <c r="Q634" s="113"/>
      <c r="R634" s="113"/>
      <c r="S634" s="113"/>
      <c r="T634" s="113">
        <v>25</v>
      </c>
      <c r="U634" s="113"/>
      <c r="V634" s="113" t="s">
        <v>1342</v>
      </c>
      <c r="W634" s="113"/>
      <c r="X634" s="113"/>
      <c r="Y634" s="113"/>
      <c r="Z634" s="113"/>
      <c r="AA634" s="113"/>
      <c r="AB634" s="113"/>
      <c r="AC634" s="113"/>
      <c r="AD634" s="113"/>
      <c r="AE634" s="113"/>
      <c r="AF634" s="113"/>
      <c r="AG634" s="113"/>
      <c r="AH634" s="113"/>
      <c r="AI634" s="113"/>
      <c r="AJ634" s="113"/>
      <c r="AK634" s="113"/>
      <c r="AL634" s="113"/>
      <c r="AM634" s="113"/>
      <c r="AN634" s="113"/>
      <c r="AO634" s="113"/>
      <c r="AP634" s="113" t="b">
        <v>1</v>
      </c>
      <c r="AQ634" s="307" t="s">
        <v>250</v>
      </c>
      <c r="AR634" s="307"/>
      <c r="AS634" s="307"/>
      <c r="AT634" s="307"/>
      <c r="AU634" s="307"/>
      <c r="AV634" s="307"/>
      <c r="AW634" s="9"/>
      <c r="AX634" s="9"/>
      <c r="AY634" s="39"/>
      <c r="AZ634" s="39"/>
      <c r="BA634" s="39"/>
      <c r="BB634" s="39"/>
      <c r="BC634" s="39"/>
      <c r="BD634" s="39"/>
      <c r="BE634" s="39"/>
      <c r="BF634" s="39"/>
      <c r="BG634" s="39"/>
      <c r="BH634" s="39"/>
      <c r="BI634" s="39"/>
      <c r="BJ634" s="39"/>
      <c r="BK634" s="39"/>
      <c r="BL634" s="39"/>
      <c r="BM634" s="39"/>
      <c r="BN634" s="39"/>
      <c r="BO634" s="39"/>
      <c r="BP634" s="39"/>
      <c r="BQ634" s="39"/>
      <c r="BR634" s="39"/>
      <c r="BS634" s="39"/>
      <c r="BT634" s="39"/>
      <c r="BU634" s="39"/>
      <c r="BV634" s="39"/>
      <c r="BW634" s="39"/>
      <c r="BX634" s="39"/>
      <c r="BY634" s="39"/>
      <c r="BZ634" s="39"/>
      <c r="CA634" s="39"/>
      <c r="CB634" s="39"/>
      <c r="CC634" s="39"/>
      <c r="CD634" s="39"/>
      <c r="CE634" s="39"/>
      <c r="CF634" s="39"/>
      <c r="CG634" s="39"/>
      <c r="CH634" s="39"/>
      <c r="CI634" s="39"/>
      <c r="CJ634" s="39"/>
      <c r="CK634" s="39"/>
      <c r="CL634" s="39"/>
      <c r="CM634" s="39"/>
      <c r="CN634" s="39"/>
      <c r="CO634" s="39"/>
      <c r="CP634" s="39"/>
      <c r="CQ634" s="39"/>
      <c r="CR634" s="39"/>
      <c r="CS634" s="39"/>
      <c r="CT634" s="39"/>
      <c r="CU634" s="39"/>
      <c r="CV634" s="39"/>
      <c r="CW634" s="39"/>
      <c r="CX634" s="39"/>
      <c r="CY634" s="39"/>
    </row>
    <row r="635" spans="1:103" ht="16.5" customHeight="1" x14ac:dyDescent="0.2">
      <c r="A635" s="108">
        <f>$A$628+6</f>
        <v>186</v>
      </c>
      <c r="B635" s="113" t="s">
        <v>911</v>
      </c>
      <c r="C635" s="113" t="s">
        <v>92</v>
      </c>
      <c r="D635" s="113"/>
      <c r="E635" s="113"/>
      <c r="F635" s="113"/>
      <c r="G635" s="113" t="s">
        <v>1154</v>
      </c>
      <c r="H635" s="113"/>
      <c r="I635" s="113"/>
      <c r="J635" s="113"/>
      <c r="K635" s="113" t="b">
        <v>1</v>
      </c>
      <c r="L635" s="113"/>
      <c r="M635" s="113"/>
      <c r="N635" s="113"/>
      <c r="O635" s="113" t="str">
        <f t="shared" si="67"/>
        <v>$B$186</v>
      </c>
      <c r="P635" s="113" t="str">
        <f t="shared" si="68"/>
        <v>$BK$186</v>
      </c>
      <c r="Q635" s="113"/>
      <c r="R635" s="113"/>
      <c r="S635" s="113"/>
      <c r="T635" s="113">
        <v>25</v>
      </c>
      <c r="U635" s="113"/>
      <c r="V635" s="113" t="s">
        <v>1342</v>
      </c>
      <c r="W635" s="113"/>
      <c r="X635" s="113"/>
      <c r="Y635" s="113"/>
      <c r="Z635" s="113"/>
      <c r="AA635" s="113"/>
      <c r="AB635" s="113"/>
      <c r="AC635" s="113"/>
      <c r="AD635" s="113"/>
      <c r="AE635" s="113"/>
      <c r="AF635" s="113"/>
      <c r="AG635" s="113"/>
      <c r="AH635" s="113"/>
      <c r="AI635" s="113"/>
      <c r="AJ635" s="113"/>
      <c r="AK635" s="113"/>
      <c r="AL635" s="113"/>
      <c r="AM635" s="113"/>
      <c r="AN635" s="113"/>
      <c r="AO635" s="113"/>
      <c r="AP635" s="113" t="b">
        <v>1</v>
      </c>
      <c r="AQ635" s="307" t="s">
        <v>80</v>
      </c>
      <c r="AR635" s="307"/>
      <c r="AS635" s="307"/>
      <c r="AT635" s="307"/>
      <c r="AU635" s="307"/>
      <c r="AV635" s="307"/>
      <c r="AW635" s="9"/>
      <c r="AX635" s="9"/>
      <c r="AY635" s="39"/>
      <c r="AZ635" s="39"/>
      <c r="BA635" s="39"/>
      <c r="BB635" s="39"/>
      <c r="BC635" s="39"/>
      <c r="BD635" s="39"/>
      <c r="BE635" s="39"/>
      <c r="BF635" s="39"/>
      <c r="BG635" s="39"/>
      <c r="BH635" s="39"/>
      <c r="BI635" s="39"/>
      <c r="BJ635" s="39"/>
      <c r="BK635" s="39"/>
      <c r="BL635" s="39"/>
      <c r="BM635" s="39"/>
      <c r="BN635" s="39"/>
      <c r="BO635" s="39"/>
      <c r="BP635" s="39"/>
      <c r="BQ635" s="39"/>
      <c r="BR635" s="39"/>
      <c r="BS635" s="39"/>
      <c r="BT635" s="39"/>
      <c r="BU635" s="39"/>
      <c r="BV635" s="39"/>
      <c r="BW635" s="39"/>
      <c r="BX635" s="39"/>
      <c r="BY635" s="39"/>
      <c r="BZ635" s="39"/>
      <c r="CA635" s="39"/>
      <c r="CB635" s="39"/>
      <c r="CC635" s="39"/>
      <c r="CD635" s="39"/>
      <c r="CE635" s="39"/>
      <c r="CF635" s="39"/>
      <c r="CG635" s="39"/>
      <c r="CH635" s="39"/>
      <c r="CI635" s="39"/>
      <c r="CJ635" s="39"/>
      <c r="CK635" s="39"/>
      <c r="CL635" s="39"/>
      <c r="CM635" s="39"/>
      <c r="CN635" s="39"/>
      <c r="CO635" s="39"/>
      <c r="CP635" s="39"/>
      <c r="CQ635" s="39"/>
      <c r="CR635" s="39"/>
      <c r="CS635" s="39"/>
      <c r="CT635" s="39"/>
      <c r="CU635" s="39"/>
      <c r="CV635" s="39"/>
      <c r="CW635" s="39"/>
      <c r="CX635" s="39"/>
      <c r="CY635" s="39"/>
    </row>
    <row r="636" spans="1:103" ht="16.5" customHeight="1" x14ac:dyDescent="0.2">
      <c r="A636" s="108">
        <f>$A$628+7</f>
        <v>187</v>
      </c>
      <c r="B636" s="113" t="s">
        <v>912</v>
      </c>
      <c r="C636" s="113" t="s">
        <v>92</v>
      </c>
      <c r="D636" s="113"/>
      <c r="E636" s="113"/>
      <c r="F636" s="113"/>
      <c r="G636" s="113" t="s">
        <v>1154</v>
      </c>
      <c r="H636" s="113"/>
      <c r="I636" s="113"/>
      <c r="J636" s="113"/>
      <c r="K636" s="113" t="b">
        <v>1</v>
      </c>
      <c r="L636" s="113"/>
      <c r="M636" s="113"/>
      <c r="N636" s="113"/>
      <c r="O636" s="113" t="str">
        <f t="shared" si="67"/>
        <v>$B$187</v>
      </c>
      <c r="P636" s="113" t="str">
        <f t="shared" si="68"/>
        <v>$BK$187</v>
      </c>
      <c r="Q636" s="113"/>
      <c r="R636" s="113"/>
      <c r="S636" s="113"/>
      <c r="T636" s="113">
        <v>30</v>
      </c>
      <c r="U636" s="113"/>
      <c r="V636" s="113" t="s">
        <v>1342</v>
      </c>
      <c r="W636" s="113"/>
      <c r="X636" s="113"/>
      <c r="Y636" s="113"/>
      <c r="Z636" s="113"/>
      <c r="AA636" s="113"/>
      <c r="AB636" s="113"/>
      <c r="AC636" s="113"/>
      <c r="AD636" s="113"/>
      <c r="AE636" s="113"/>
      <c r="AF636" s="113"/>
      <c r="AG636" s="113"/>
      <c r="AH636" s="113"/>
      <c r="AI636" s="113"/>
      <c r="AJ636" s="113"/>
      <c r="AK636" s="113"/>
      <c r="AL636" s="113"/>
      <c r="AM636" s="113"/>
      <c r="AN636" s="113"/>
      <c r="AO636" s="113"/>
      <c r="AP636" s="113" t="b">
        <v>1</v>
      </c>
      <c r="AQ636" s="307" t="s">
        <v>251</v>
      </c>
      <c r="AR636" s="307"/>
      <c r="AS636" s="307"/>
      <c r="AT636" s="307"/>
      <c r="AU636" s="307"/>
      <c r="AV636" s="307"/>
      <c r="AW636" s="9"/>
      <c r="AX636" s="9"/>
      <c r="AY636" s="39"/>
      <c r="AZ636" s="39"/>
      <c r="BA636" s="39"/>
      <c r="BB636" s="39"/>
      <c r="BC636" s="39"/>
      <c r="BD636" s="39"/>
      <c r="BE636" s="39"/>
      <c r="BF636" s="39"/>
      <c r="BG636" s="39"/>
      <c r="BH636" s="39"/>
      <c r="BI636" s="39"/>
      <c r="BJ636" s="39"/>
      <c r="BK636" s="39"/>
      <c r="BL636" s="39"/>
      <c r="BM636" s="39"/>
      <c r="BN636" s="39"/>
      <c r="BO636" s="39"/>
      <c r="BP636" s="39"/>
      <c r="BQ636" s="39"/>
      <c r="BR636" s="39"/>
      <c r="BS636" s="39"/>
      <c r="BT636" s="39"/>
      <c r="BU636" s="39"/>
      <c r="BV636" s="39"/>
      <c r="BW636" s="39"/>
      <c r="BX636" s="39"/>
      <c r="BY636" s="39"/>
      <c r="BZ636" s="39"/>
      <c r="CA636" s="39"/>
      <c r="CB636" s="39"/>
      <c r="CC636" s="39"/>
      <c r="CD636" s="39"/>
      <c r="CE636" s="39"/>
      <c r="CF636" s="39"/>
      <c r="CG636" s="39"/>
      <c r="CH636" s="39"/>
      <c r="CI636" s="39"/>
      <c r="CJ636" s="39"/>
      <c r="CK636" s="39"/>
      <c r="CL636" s="39"/>
      <c r="CM636" s="39"/>
      <c r="CN636" s="39"/>
      <c r="CO636" s="39"/>
      <c r="CP636" s="39"/>
      <c r="CQ636" s="39"/>
      <c r="CR636" s="39"/>
      <c r="CS636" s="39"/>
      <c r="CT636" s="39"/>
      <c r="CU636" s="39"/>
      <c r="CV636" s="39"/>
      <c r="CW636" s="39"/>
      <c r="CX636" s="39"/>
      <c r="CY636" s="39"/>
    </row>
    <row r="637" spans="1:103" ht="16.5" customHeight="1" x14ac:dyDescent="0.2">
      <c r="A637" s="108">
        <f>$A$628+8</f>
        <v>188</v>
      </c>
      <c r="B637" s="113" t="s">
        <v>913</v>
      </c>
      <c r="C637" s="113" t="s">
        <v>92</v>
      </c>
      <c r="D637" s="113"/>
      <c r="E637" s="113"/>
      <c r="F637" s="113"/>
      <c r="G637" s="113" t="s">
        <v>1154</v>
      </c>
      <c r="H637" s="113"/>
      <c r="I637" s="113"/>
      <c r="J637" s="113"/>
      <c r="K637" s="113" t="b">
        <v>1</v>
      </c>
      <c r="L637" s="113"/>
      <c r="M637" s="113"/>
      <c r="N637" s="113"/>
      <c r="O637" s="113" t="str">
        <f t="shared" si="67"/>
        <v>$B$188</v>
      </c>
      <c r="P637" s="113" t="str">
        <f t="shared" si="68"/>
        <v>$BK$188</v>
      </c>
      <c r="Q637" s="113"/>
      <c r="R637" s="113"/>
      <c r="S637" s="113"/>
      <c r="T637" s="113">
        <v>25</v>
      </c>
      <c r="U637" s="113"/>
      <c r="V637" s="113" t="s">
        <v>1342</v>
      </c>
      <c r="W637" s="113"/>
      <c r="X637" s="113"/>
      <c r="Y637" s="113"/>
      <c r="Z637" s="113"/>
      <c r="AA637" s="113"/>
      <c r="AB637" s="113"/>
      <c r="AC637" s="113"/>
      <c r="AD637" s="113"/>
      <c r="AE637" s="113"/>
      <c r="AF637" s="113"/>
      <c r="AG637" s="113"/>
      <c r="AH637" s="113"/>
      <c r="AI637" s="113"/>
      <c r="AJ637" s="113"/>
      <c r="AK637" s="113"/>
      <c r="AL637" s="113"/>
      <c r="AM637" s="113"/>
      <c r="AN637" s="113"/>
      <c r="AO637" s="113"/>
      <c r="AP637" s="113" t="b">
        <v>1</v>
      </c>
      <c r="AQ637" s="307" t="s">
        <v>252</v>
      </c>
      <c r="AR637" s="307"/>
      <c r="AS637" s="307"/>
      <c r="AT637" s="307"/>
      <c r="AU637" s="307"/>
      <c r="AV637" s="307"/>
      <c r="AW637" s="9"/>
      <c r="AX637" s="9"/>
      <c r="AY637" s="39"/>
      <c r="AZ637" s="39"/>
      <c r="BA637" s="39"/>
      <c r="BB637" s="39"/>
      <c r="BC637" s="39"/>
      <c r="BD637" s="39"/>
      <c r="BE637" s="39"/>
      <c r="BF637" s="39"/>
      <c r="BG637" s="39"/>
      <c r="BH637" s="39"/>
      <c r="BI637" s="39"/>
      <c r="BJ637" s="39"/>
      <c r="BK637" s="39"/>
      <c r="BL637" s="39"/>
      <c r="BM637" s="39"/>
      <c r="BN637" s="39"/>
      <c r="BO637" s="39"/>
      <c r="BP637" s="39"/>
      <c r="BQ637" s="39"/>
      <c r="BR637" s="39"/>
      <c r="BS637" s="39"/>
      <c r="BT637" s="39"/>
      <c r="BU637" s="39"/>
      <c r="BV637" s="39"/>
      <c r="BW637" s="39"/>
      <c r="BX637" s="39"/>
      <c r="BY637" s="39"/>
      <c r="BZ637" s="39"/>
      <c r="CA637" s="39"/>
      <c r="CB637" s="39"/>
      <c r="CC637" s="39"/>
      <c r="CD637" s="39"/>
      <c r="CE637" s="39"/>
      <c r="CF637" s="39"/>
      <c r="CG637" s="39"/>
      <c r="CH637" s="39"/>
      <c r="CI637" s="39"/>
      <c r="CJ637" s="39"/>
      <c r="CK637" s="39"/>
      <c r="CL637" s="39"/>
      <c r="CM637" s="39"/>
      <c r="CN637" s="39"/>
      <c r="CO637" s="39"/>
      <c r="CP637" s="39"/>
      <c r="CQ637" s="39"/>
      <c r="CR637" s="39"/>
      <c r="CS637" s="39"/>
      <c r="CT637" s="39"/>
      <c r="CU637" s="39"/>
      <c r="CV637" s="39"/>
      <c r="CW637" s="39"/>
      <c r="CX637" s="39"/>
      <c r="CY637" s="39"/>
    </row>
    <row r="638" spans="1:103" ht="16.5" customHeight="1" x14ac:dyDescent="0.2">
      <c r="A638" s="108">
        <f>$A$628+9</f>
        <v>189</v>
      </c>
      <c r="B638" s="113" t="s">
        <v>914</v>
      </c>
      <c r="C638" s="113" t="s">
        <v>92</v>
      </c>
      <c r="D638" s="113"/>
      <c r="E638" s="113"/>
      <c r="F638" s="113"/>
      <c r="G638" s="113" t="s">
        <v>1154</v>
      </c>
      <c r="H638" s="113"/>
      <c r="I638" s="113"/>
      <c r="J638" s="113"/>
      <c r="K638" s="113" t="b">
        <v>1</v>
      </c>
      <c r="L638" s="113"/>
      <c r="M638" s="113"/>
      <c r="N638" s="113"/>
      <c r="O638" s="113" t="str">
        <f t="shared" si="67"/>
        <v>$B$189</v>
      </c>
      <c r="P638" s="113" t="str">
        <f t="shared" si="68"/>
        <v>$BK$189</v>
      </c>
      <c r="Q638" s="113"/>
      <c r="R638" s="113"/>
      <c r="S638" s="113"/>
      <c r="T638" s="113">
        <v>25</v>
      </c>
      <c r="U638" s="113"/>
      <c r="V638" s="113" t="s">
        <v>1342</v>
      </c>
      <c r="W638" s="113"/>
      <c r="X638" s="113"/>
      <c r="Y638" s="113"/>
      <c r="Z638" s="113"/>
      <c r="AA638" s="113"/>
      <c r="AB638" s="113"/>
      <c r="AC638" s="113"/>
      <c r="AD638" s="113"/>
      <c r="AE638" s="113"/>
      <c r="AF638" s="113"/>
      <c r="AG638" s="113"/>
      <c r="AH638" s="113"/>
      <c r="AI638" s="113"/>
      <c r="AJ638" s="113"/>
      <c r="AK638" s="113"/>
      <c r="AL638" s="113"/>
      <c r="AM638" s="113"/>
      <c r="AN638" s="113"/>
      <c r="AO638" s="113"/>
      <c r="AP638" s="113" t="b">
        <v>1</v>
      </c>
      <c r="AQ638" s="307"/>
      <c r="AR638" s="307"/>
      <c r="AS638" s="307"/>
      <c r="AT638" s="307"/>
      <c r="AU638" s="307"/>
      <c r="AV638" s="307"/>
      <c r="AW638" s="8"/>
      <c r="AX638" s="8"/>
      <c r="AY638" s="39"/>
      <c r="AZ638" s="39"/>
      <c r="BA638" s="39"/>
      <c r="BB638" s="39"/>
      <c r="BC638" s="39"/>
      <c r="BD638" s="39"/>
      <c r="BE638" s="39"/>
      <c r="BF638" s="39"/>
      <c r="BG638" s="39"/>
      <c r="BH638" s="39"/>
      <c r="BI638" s="39"/>
      <c r="BJ638" s="39"/>
      <c r="BK638" s="39"/>
      <c r="BL638" s="39"/>
      <c r="BM638" s="39"/>
      <c r="BN638" s="39"/>
      <c r="BO638" s="39"/>
      <c r="BP638" s="39"/>
      <c r="BQ638" s="39"/>
      <c r="BR638" s="39"/>
      <c r="BS638" s="39"/>
      <c r="BT638" s="39"/>
      <c r="BU638" s="39"/>
      <c r="BV638" s="39"/>
      <c r="BW638" s="39"/>
      <c r="BX638" s="39"/>
      <c r="BY638" s="39"/>
      <c r="BZ638" s="39"/>
      <c r="CA638" s="39"/>
      <c r="CB638" s="39"/>
      <c r="CC638" s="39"/>
      <c r="CD638" s="39"/>
      <c r="CE638" s="39"/>
      <c r="CF638" s="39"/>
      <c r="CG638" s="39"/>
      <c r="CH638" s="39"/>
      <c r="CI638" s="39"/>
      <c r="CJ638" s="39"/>
      <c r="CK638" s="39"/>
      <c r="CL638" s="39"/>
      <c r="CM638" s="39"/>
      <c r="CN638" s="39"/>
      <c r="CO638" s="39"/>
      <c r="CP638" s="39"/>
      <c r="CQ638" s="39"/>
      <c r="CR638" s="39"/>
      <c r="CS638" s="39"/>
      <c r="CT638" s="39"/>
      <c r="CU638" s="39"/>
      <c r="CV638" s="39"/>
      <c r="CW638" s="39"/>
      <c r="CX638" s="39"/>
      <c r="CY638" s="39"/>
    </row>
    <row r="639" spans="1:103" ht="16.5" customHeight="1" x14ac:dyDescent="0.2">
      <c r="A639" s="108">
        <f>$A$628+10</f>
        <v>190</v>
      </c>
      <c r="B639" s="113" t="s">
        <v>915</v>
      </c>
      <c r="C639" s="113" t="s">
        <v>92</v>
      </c>
      <c r="D639" s="113"/>
      <c r="E639" s="113"/>
      <c r="F639" s="113"/>
      <c r="G639" s="113" t="s">
        <v>1154</v>
      </c>
      <c r="H639" s="113"/>
      <c r="I639" s="113"/>
      <c r="J639" s="113"/>
      <c r="K639" s="113" t="b">
        <v>1</v>
      </c>
      <c r="L639" s="113"/>
      <c r="M639" s="113"/>
      <c r="N639" s="113"/>
      <c r="O639" s="113" t="str">
        <f t="shared" si="67"/>
        <v>$B$190</v>
      </c>
      <c r="P639" s="113" t="str">
        <f t="shared" si="68"/>
        <v>$BK$190</v>
      </c>
      <c r="Q639" s="113"/>
      <c r="R639" s="113"/>
      <c r="S639" s="113"/>
      <c r="T639" s="113">
        <v>25</v>
      </c>
      <c r="U639" s="113"/>
      <c r="V639" s="113" t="s">
        <v>1342</v>
      </c>
      <c r="W639" s="113"/>
      <c r="X639" s="113"/>
      <c r="Y639" s="113"/>
      <c r="Z639" s="113"/>
      <c r="AA639" s="113"/>
      <c r="AB639" s="113"/>
      <c r="AC639" s="113"/>
      <c r="AD639" s="113"/>
      <c r="AE639" s="113"/>
      <c r="AF639" s="113"/>
      <c r="AG639" s="113"/>
      <c r="AH639" s="113"/>
      <c r="AI639" s="113"/>
      <c r="AJ639" s="113"/>
      <c r="AK639" s="113"/>
      <c r="AL639" s="113"/>
      <c r="AM639" s="113"/>
      <c r="AN639" s="113"/>
      <c r="AO639" s="113"/>
      <c r="AP639" s="113" t="b">
        <v>1</v>
      </c>
      <c r="AQ639" s="307" t="s">
        <v>81</v>
      </c>
      <c r="AR639" s="307"/>
      <c r="AS639" s="307"/>
      <c r="AT639" s="307"/>
      <c r="AU639" s="307"/>
      <c r="AV639" s="307"/>
      <c r="AW639" s="7">
        <f>IFERROR(5%*(AV630+(AW634+AW635+AW637)/2-AW641/2),0)</f>
        <v>0</v>
      </c>
      <c r="AX639" s="7">
        <f>IFERROR(5%*(AW630+(AX634+AX635+AX637)/2-AX641/2),0)</f>
        <v>0</v>
      </c>
      <c r="AY639" s="38"/>
      <c r="AZ639" s="38"/>
      <c r="BA639" s="38"/>
      <c r="BB639" s="38"/>
      <c r="BC639" s="38"/>
      <c r="BD639" s="38"/>
      <c r="BE639" s="38"/>
      <c r="BF639" s="38"/>
      <c r="BG639" s="38"/>
      <c r="BH639" s="38"/>
      <c r="BI639" s="38"/>
      <c r="BJ639" s="38"/>
      <c r="BK639" s="38"/>
      <c r="BL639" s="38"/>
      <c r="BM639" s="38"/>
      <c r="BN639" s="38"/>
      <c r="BO639" s="38"/>
      <c r="BP639" s="38"/>
      <c r="BQ639" s="38"/>
      <c r="BR639" s="38"/>
      <c r="BS639" s="38"/>
      <c r="BT639" s="38"/>
      <c r="BU639" s="38"/>
      <c r="BV639" s="38"/>
      <c r="BW639" s="38"/>
      <c r="BX639" s="38"/>
      <c r="BY639" s="38"/>
      <c r="BZ639" s="38"/>
      <c r="CA639" s="38"/>
      <c r="CB639" s="38"/>
      <c r="CC639" s="38"/>
      <c r="CD639" s="38"/>
      <c r="CE639" s="38"/>
      <c r="CF639" s="38"/>
      <c r="CG639" s="38"/>
      <c r="CH639" s="38"/>
      <c r="CI639" s="38"/>
      <c r="CJ639" s="38"/>
      <c r="CK639" s="38"/>
      <c r="CL639" s="38"/>
      <c r="CM639" s="38"/>
      <c r="CN639" s="38"/>
      <c r="CO639" s="38"/>
      <c r="CP639" s="38"/>
      <c r="CQ639" s="38"/>
      <c r="CR639" s="38"/>
      <c r="CS639" s="38"/>
      <c r="CT639" s="38"/>
      <c r="CU639" s="38"/>
      <c r="CV639" s="38"/>
      <c r="CW639" s="38"/>
      <c r="CX639" s="38"/>
      <c r="CY639" s="38"/>
    </row>
    <row r="640" spans="1:103" ht="16.5" customHeight="1" x14ac:dyDescent="0.2">
      <c r="A640" s="108">
        <f>$A$628+11</f>
        <v>191</v>
      </c>
      <c r="B640" s="113" t="s">
        <v>916</v>
      </c>
      <c r="C640" s="113" t="s">
        <v>92</v>
      </c>
      <c r="D640" s="113"/>
      <c r="E640" s="113"/>
      <c r="F640" s="113"/>
      <c r="G640" s="113" t="s">
        <v>1154</v>
      </c>
      <c r="H640" s="113"/>
      <c r="I640" s="113"/>
      <c r="J640" s="113"/>
      <c r="K640" s="113" t="b">
        <v>1</v>
      </c>
      <c r="L640" s="113"/>
      <c r="M640" s="113"/>
      <c r="N640" s="113"/>
      <c r="O640" s="113" t="str">
        <f t="shared" si="67"/>
        <v>$B$191</v>
      </c>
      <c r="P640" s="113" t="str">
        <f t="shared" si="68"/>
        <v>$BK$191</v>
      </c>
      <c r="Q640" s="113"/>
      <c r="R640" s="113"/>
      <c r="S640" s="113"/>
      <c r="T640" s="113">
        <v>25</v>
      </c>
      <c r="U640" s="113"/>
      <c r="V640" s="113" t="s">
        <v>1342</v>
      </c>
      <c r="W640" s="113"/>
      <c r="X640" s="113"/>
      <c r="Y640" s="113"/>
      <c r="Z640" s="113"/>
      <c r="AA640" s="113"/>
      <c r="AB640" s="113"/>
      <c r="AC640" s="113"/>
      <c r="AD640" s="113"/>
      <c r="AE640" s="113"/>
      <c r="AF640" s="113"/>
      <c r="AG640" s="113"/>
      <c r="AH640" s="113"/>
      <c r="AI640" s="113"/>
      <c r="AJ640" s="113"/>
      <c r="AK640" s="113"/>
      <c r="AL640" s="113"/>
      <c r="AM640" s="113"/>
      <c r="AN640" s="113"/>
      <c r="AO640" s="113"/>
      <c r="AP640" s="113" t="b">
        <v>1</v>
      </c>
      <c r="AQ640" s="307"/>
      <c r="AR640" s="307"/>
      <c r="AS640" s="307"/>
      <c r="AT640" s="307"/>
      <c r="AU640" s="307"/>
      <c r="AV640" s="307"/>
      <c r="AW640" s="8"/>
      <c r="AX640" s="8"/>
      <c r="AY640" s="39"/>
      <c r="AZ640" s="39"/>
      <c r="BA640" s="39"/>
      <c r="BB640" s="39"/>
      <c r="BC640" s="39"/>
      <c r="BD640" s="39"/>
      <c r="BE640" s="39"/>
      <c r="BF640" s="39"/>
      <c r="BG640" s="39"/>
      <c r="BH640" s="39"/>
      <c r="BI640" s="39"/>
      <c r="BJ640" s="39"/>
      <c r="BK640" s="39"/>
      <c r="BL640" s="39"/>
      <c r="BM640" s="39"/>
      <c r="BN640" s="39"/>
      <c r="BO640" s="39"/>
      <c r="BP640" s="39"/>
      <c r="BQ640" s="39"/>
      <c r="BR640" s="39"/>
      <c r="BS640" s="39"/>
      <c r="BT640" s="39"/>
      <c r="BU640" s="39"/>
      <c r="BV640" s="39"/>
      <c r="BW640" s="39"/>
      <c r="BX640" s="39"/>
      <c r="BY640" s="39"/>
      <c r="BZ640" s="39"/>
      <c r="CA640" s="39"/>
      <c r="CB640" s="39"/>
      <c r="CC640" s="39"/>
      <c r="CD640" s="39"/>
      <c r="CE640" s="39"/>
      <c r="CF640" s="39"/>
      <c r="CG640" s="39"/>
      <c r="CH640" s="39"/>
      <c r="CI640" s="39"/>
      <c r="CJ640" s="39"/>
      <c r="CK640" s="39"/>
      <c r="CL640" s="39"/>
      <c r="CM640" s="39"/>
      <c r="CN640" s="39"/>
      <c r="CO640" s="39"/>
      <c r="CP640" s="39"/>
      <c r="CQ640" s="39"/>
      <c r="CR640" s="39"/>
      <c r="CS640" s="39"/>
      <c r="CT640" s="39"/>
      <c r="CU640" s="39"/>
      <c r="CV640" s="39"/>
      <c r="CW640" s="39"/>
      <c r="CX640" s="39"/>
      <c r="CY640" s="39"/>
    </row>
    <row r="641" spans="1:103" ht="16.5" customHeight="1" x14ac:dyDescent="0.2">
      <c r="A641" s="108">
        <f>$A$628+12</f>
        <v>192</v>
      </c>
      <c r="B641" s="113" t="s">
        <v>917</v>
      </c>
      <c r="C641" s="113" t="s">
        <v>92</v>
      </c>
      <c r="D641" s="113"/>
      <c r="E641" s="113"/>
      <c r="F641" s="113"/>
      <c r="G641" s="113" t="s">
        <v>1154</v>
      </c>
      <c r="H641" s="113"/>
      <c r="I641" s="113"/>
      <c r="J641" s="113"/>
      <c r="K641" s="113" t="b">
        <v>1</v>
      </c>
      <c r="L641" s="113"/>
      <c r="M641" s="113"/>
      <c r="N641" s="113"/>
      <c r="O641" s="113" t="str">
        <f t="shared" si="67"/>
        <v>$B$192</v>
      </c>
      <c r="P641" s="113" t="str">
        <f t="shared" si="68"/>
        <v>$BK$192</v>
      </c>
      <c r="Q641" s="113"/>
      <c r="R641" s="113"/>
      <c r="S641" s="113"/>
      <c r="T641" s="113">
        <v>25</v>
      </c>
      <c r="U641" s="113"/>
      <c r="V641" s="113" t="s">
        <v>1342</v>
      </c>
      <c r="W641" s="113"/>
      <c r="X641" s="113"/>
      <c r="Y641" s="113"/>
      <c r="Z641" s="113"/>
      <c r="AA641" s="113"/>
      <c r="AB641" s="113"/>
      <c r="AC641" s="113"/>
      <c r="AD641" s="113"/>
      <c r="AE641" s="113"/>
      <c r="AF641" s="113"/>
      <c r="AG641" s="113"/>
      <c r="AH641" s="113"/>
      <c r="AI641" s="113"/>
      <c r="AJ641" s="113"/>
      <c r="AK641" s="113"/>
      <c r="AL641" s="113"/>
      <c r="AM641" s="113"/>
      <c r="AN641" s="113"/>
      <c r="AO641" s="113"/>
      <c r="AP641" s="113" t="b">
        <v>1</v>
      </c>
      <c r="AQ641" s="307" t="s">
        <v>82</v>
      </c>
      <c r="AR641" s="307"/>
      <c r="AS641" s="307"/>
      <c r="AT641" s="307"/>
      <c r="AU641" s="307"/>
      <c r="AV641" s="307"/>
      <c r="AW641" s="9"/>
      <c r="AX641" s="9"/>
      <c r="AY641" s="39"/>
      <c r="AZ641" s="39"/>
      <c r="BA641" s="39"/>
      <c r="BB641" s="39"/>
      <c r="BC641" s="39"/>
      <c r="BD641" s="39"/>
      <c r="BE641" s="39"/>
      <c r="BF641" s="39"/>
      <c r="BG641" s="39"/>
      <c r="BH641" s="39"/>
      <c r="BI641" s="39"/>
      <c r="BJ641" s="39"/>
      <c r="BK641" s="39"/>
      <c r="BL641" s="39"/>
      <c r="BM641" s="39"/>
      <c r="BN641" s="39"/>
      <c r="BO641" s="39"/>
      <c r="BP641" s="39"/>
      <c r="BQ641" s="39"/>
      <c r="BR641" s="39"/>
      <c r="BS641" s="39"/>
      <c r="BT641" s="39"/>
      <c r="BU641" s="39"/>
      <c r="BV641" s="39"/>
      <c r="BW641" s="39"/>
      <c r="BX641" s="39"/>
      <c r="BY641" s="39"/>
      <c r="BZ641" s="39"/>
      <c r="CA641" s="39"/>
      <c r="CB641" s="39"/>
      <c r="CC641" s="39"/>
      <c r="CD641" s="39"/>
      <c r="CE641" s="39"/>
      <c r="CF641" s="39"/>
      <c r="CG641" s="39"/>
      <c r="CH641" s="39"/>
      <c r="CI641" s="39"/>
      <c r="CJ641" s="39"/>
      <c r="CK641" s="39"/>
      <c r="CL641" s="39"/>
      <c r="CM641" s="39"/>
      <c r="CN641" s="39"/>
      <c r="CO641" s="39"/>
      <c r="CP641" s="39"/>
      <c r="CQ641" s="39"/>
      <c r="CR641" s="39"/>
      <c r="CS641" s="39"/>
      <c r="CT641" s="39"/>
      <c r="CU641" s="39"/>
      <c r="CV641" s="39"/>
      <c r="CW641" s="39"/>
      <c r="CX641" s="39"/>
      <c r="CY641" s="39"/>
    </row>
    <row r="642" spans="1:103" ht="16.5" customHeight="1" x14ac:dyDescent="0.2">
      <c r="A642" s="108">
        <f>$A$628+13</f>
        <v>193</v>
      </c>
      <c r="B642" s="113" t="s">
        <v>918</v>
      </c>
      <c r="C642" s="113" t="s">
        <v>92</v>
      </c>
      <c r="D642" s="113"/>
      <c r="E642" s="113"/>
      <c r="F642" s="113"/>
      <c r="G642" s="113" t="s">
        <v>1154</v>
      </c>
      <c r="H642" s="113"/>
      <c r="I642" s="113"/>
      <c r="J642" s="113"/>
      <c r="K642" s="113" t="b">
        <v>1</v>
      </c>
      <c r="L642" s="113"/>
      <c r="M642" s="113"/>
      <c r="N642" s="113"/>
      <c r="O642" s="113" t="str">
        <f t="shared" si="67"/>
        <v>$B$193</v>
      </c>
      <c r="P642" s="113" t="str">
        <f t="shared" si="68"/>
        <v>$BK$193</v>
      </c>
      <c r="Q642" s="113"/>
      <c r="R642" s="113"/>
      <c r="S642" s="113"/>
      <c r="T642" s="113">
        <v>25</v>
      </c>
      <c r="U642" s="113"/>
      <c r="V642" s="113" t="s">
        <v>1342</v>
      </c>
      <c r="W642" s="113"/>
      <c r="X642" s="113"/>
      <c r="Y642" s="113"/>
      <c r="Z642" s="113"/>
      <c r="AA642" s="113"/>
      <c r="AB642" s="113"/>
      <c r="AC642" s="113"/>
      <c r="AD642" s="113"/>
      <c r="AE642" s="113"/>
      <c r="AF642" s="113"/>
      <c r="AG642" s="113"/>
      <c r="AH642" s="113"/>
      <c r="AI642" s="113"/>
      <c r="AJ642" s="113"/>
      <c r="AK642" s="113"/>
      <c r="AL642" s="113"/>
      <c r="AM642" s="113"/>
      <c r="AN642" s="113"/>
      <c r="AO642" s="113"/>
      <c r="AP642" s="113" t="b">
        <v>1</v>
      </c>
      <c r="AQ642" s="316" t="s">
        <v>83</v>
      </c>
      <c r="AR642" s="316"/>
      <c r="AS642" s="316"/>
      <c r="AT642" s="316"/>
      <c r="AU642" s="316"/>
      <c r="AV642" s="316"/>
      <c r="AW642" s="85"/>
      <c r="AX642" s="85"/>
      <c r="AY642" s="39"/>
      <c r="AZ642" s="39"/>
      <c r="BA642" s="39"/>
      <c r="BB642" s="39"/>
      <c r="BC642" s="39"/>
      <c r="BD642" s="39"/>
      <c r="BE642" s="39"/>
      <c r="BF642" s="39"/>
      <c r="BG642" s="39"/>
      <c r="BH642" s="39"/>
      <c r="BI642" s="39"/>
      <c r="BJ642" s="39"/>
      <c r="BK642" s="39"/>
      <c r="BL642" s="39"/>
      <c r="BM642" s="39"/>
      <c r="BN642" s="39"/>
      <c r="BO642" s="39"/>
      <c r="BP642" s="39"/>
      <c r="BQ642" s="39"/>
      <c r="BR642" s="39"/>
      <c r="BS642" s="39"/>
      <c r="BT642" s="39"/>
      <c r="BU642" s="39"/>
      <c r="BV642" s="39"/>
      <c r="BW642" s="39"/>
      <c r="BX642" s="39"/>
      <c r="BY642" s="39"/>
      <c r="BZ642" s="39"/>
      <c r="CA642" s="39"/>
      <c r="CB642" s="39"/>
      <c r="CC642" s="39"/>
      <c r="CD642" s="39"/>
      <c r="CE642" s="39"/>
      <c r="CF642" s="39"/>
      <c r="CG642" s="39"/>
      <c r="CH642" s="39"/>
      <c r="CI642" s="39"/>
      <c r="CJ642" s="39"/>
      <c r="CK642" s="39"/>
      <c r="CL642" s="39"/>
      <c r="CM642" s="39"/>
      <c r="CN642" s="39"/>
      <c r="CO642" s="39"/>
      <c r="CP642" s="39"/>
      <c r="CQ642" s="39"/>
      <c r="CR642" s="39"/>
      <c r="CS642" s="39"/>
      <c r="CT642" s="39"/>
      <c r="CU642" s="39"/>
      <c r="CV642" s="39"/>
      <c r="CW642" s="39"/>
      <c r="CX642" s="39"/>
      <c r="CY642" s="39"/>
    </row>
    <row r="643" spans="1:103" ht="16.5" customHeight="1" x14ac:dyDescent="0.2">
      <c r="A643" s="108">
        <f>$A$628+-1</f>
        <v>179</v>
      </c>
      <c r="B643" s="110" t="str">
        <f>D643&amp;"Red"</f>
        <v>FP_Main1OmkostTableRed</v>
      </c>
      <c r="C643" s="110" t="s">
        <v>656</v>
      </c>
      <c r="D643" s="110" t="s">
        <v>247</v>
      </c>
      <c r="E643" s="110" t="s">
        <v>930</v>
      </c>
      <c r="F643" s="110"/>
      <c r="G643" s="110" t="s">
        <v>1154</v>
      </c>
      <c r="H643" s="110"/>
      <c r="I643" s="110" t="s">
        <v>1247</v>
      </c>
      <c r="J643" s="110"/>
      <c r="K643" s="110" t="b">
        <v>1</v>
      </c>
      <c r="L643" s="110"/>
      <c r="M643" s="110" t="str">
        <f>"'editNorm """&amp;D643&amp;""","""&amp;B643&amp;""","""&amp;E643&amp;"""'"</f>
        <v>'editNorm "FP_Main1OmkostTable","FP_Main1OmkostTableRed","OmkostTable"'</v>
      </c>
      <c r="N643" s="110" t="s">
        <v>59</v>
      </c>
      <c r="O643" s="110" t="str">
        <f>"$L$"&amp;A643</f>
        <v>$L$179</v>
      </c>
      <c r="P643" s="110" t="str">
        <f>"$M$"&amp;A643</f>
        <v>$M$179</v>
      </c>
      <c r="Q643" s="110">
        <v>5</v>
      </c>
      <c r="R643" s="110">
        <v>1</v>
      </c>
      <c r="S643" s="110"/>
      <c r="T643" s="110">
        <v>22</v>
      </c>
      <c r="U643" s="110" t="b">
        <v>1</v>
      </c>
      <c r="V643" s="110" t="s">
        <v>1344</v>
      </c>
      <c r="W643" s="110" t="s">
        <v>1343</v>
      </c>
      <c r="X643" s="110"/>
      <c r="Y643" s="110"/>
      <c r="Z643" s="110"/>
      <c r="AA643" s="110"/>
      <c r="AB643" s="110">
        <v>3</v>
      </c>
      <c r="AC643" s="110">
        <v>5</v>
      </c>
      <c r="AD643" s="110" t="s">
        <v>105</v>
      </c>
      <c r="AE643" s="110">
        <v>12</v>
      </c>
      <c r="AF643" s="110"/>
      <c r="AG643" s="110" t="s">
        <v>1351</v>
      </c>
      <c r="AH643" s="110" t="s">
        <v>29</v>
      </c>
      <c r="AI643" s="110" t="s">
        <v>29</v>
      </c>
      <c r="AJ643" s="110"/>
      <c r="AK643" s="110"/>
      <c r="AL643" s="110"/>
      <c r="AM643" s="110"/>
      <c r="AN643" s="110">
        <v>2</v>
      </c>
      <c r="AO643" s="110"/>
      <c r="AP643" s="110"/>
    </row>
    <row r="644" spans="1:103" ht="16.5" customHeight="1" x14ac:dyDescent="0.2">
      <c r="A644" s="108">
        <f>$A$628+-1</f>
        <v>179</v>
      </c>
      <c r="B644" s="110" t="str">
        <f>D644&amp;"Gem"</f>
        <v>FP_Main1OmkostTableGem</v>
      </c>
      <c r="C644" s="110" t="s">
        <v>656</v>
      </c>
      <c r="D644" s="110" t="s">
        <v>247</v>
      </c>
      <c r="E644" s="110" t="s">
        <v>930</v>
      </c>
      <c r="F644" s="110"/>
      <c r="G644" s="110" t="s">
        <v>1154</v>
      </c>
      <c r="H644" s="110"/>
      <c r="I644" s="110" t="s">
        <v>238</v>
      </c>
      <c r="J644" s="110"/>
      <c r="K644" s="110"/>
      <c r="L644" s="110"/>
      <c r="M644" s="110" t="str">
        <f>"'editNorm """&amp;D644&amp;""","""&amp;B644&amp;""","""&amp;E644&amp;"""'"</f>
        <v>'editNorm "FP_Main1OmkostTable","FP_Main1OmkostTableGem","OmkostTable"'</v>
      </c>
      <c r="N644" s="110" t="s">
        <v>59</v>
      </c>
      <c r="O644" s="110" t="str">
        <f>"$L$"&amp;A644</f>
        <v>$L$179</v>
      </c>
      <c r="P644" s="110" t="str">
        <f>"$L$"&amp;A644</f>
        <v>$L$179</v>
      </c>
      <c r="Q644" s="110">
        <v>5</v>
      </c>
      <c r="R644" s="110">
        <v>1</v>
      </c>
      <c r="S644" s="110"/>
      <c r="T644" s="110">
        <v>22</v>
      </c>
      <c r="U644" s="110" t="b">
        <v>1</v>
      </c>
      <c r="V644" s="110" t="s">
        <v>1345</v>
      </c>
      <c r="W644" s="110" t="s">
        <v>1343</v>
      </c>
      <c r="X644" s="110"/>
      <c r="Y644" s="110"/>
      <c r="Z644" s="110"/>
      <c r="AA644" s="110"/>
      <c r="AB644" s="110">
        <v>3</v>
      </c>
      <c r="AC644" s="110">
        <v>5</v>
      </c>
      <c r="AD644" s="110" t="s">
        <v>105</v>
      </c>
      <c r="AE644" s="110">
        <v>12</v>
      </c>
      <c r="AF644" s="110"/>
      <c r="AG644" s="110" t="s">
        <v>1351</v>
      </c>
      <c r="AH644" s="110" t="s">
        <v>29</v>
      </c>
      <c r="AI644" s="110" t="s">
        <v>29</v>
      </c>
      <c r="AJ644" s="110"/>
      <c r="AK644" s="110"/>
      <c r="AL644" s="110"/>
      <c r="AM644" s="110"/>
      <c r="AN644" s="110">
        <v>2</v>
      </c>
      <c r="AO644" s="110"/>
      <c r="AP644" s="110"/>
    </row>
    <row r="645" spans="1:103" ht="16.5" customHeight="1" x14ac:dyDescent="0.2">
      <c r="A645" s="108">
        <f>$A$628+-1</f>
        <v>179</v>
      </c>
      <c r="B645" s="110" t="str">
        <f>D645&amp;"Cancel"</f>
        <v>FP_Main1OmkostTableCancel</v>
      </c>
      <c r="C645" s="110" t="s">
        <v>656</v>
      </c>
      <c r="D645" s="110" t="s">
        <v>247</v>
      </c>
      <c r="E645" s="110" t="s">
        <v>930</v>
      </c>
      <c r="F645" s="110"/>
      <c r="G645" s="110" t="s">
        <v>1154</v>
      </c>
      <c r="H645" s="110"/>
      <c r="I645" s="110" t="s">
        <v>838</v>
      </c>
      <c r="J645" s="110"/>
      <c r="K645" s="110"/>
      <c r="L645" s="110"/>
      <c r="M645" s="110" t="str">
        <f>"'editNorm """&amp;D645&amp;""","""&amp;B645&amp;""","""&amp;E645&amp;"""'"</f>
        <v>'editNorm "FP_Main1OmkostTable","FP_Main1OmkostTableCancel","OmkostTable"'</v>
      </c>
      <c r="N645" s="110" t="s">
        <v>59</v>
      </c>
      <c r="O645" s="110" t="str">
        <f>"$M$"&amp;A645</f>
        <v>$M$179</v>
      </c>
      <c r="P645" s="110" t="str">
        <f>"$M$"&amp;A645</f>
        <v>$M$179</v>
      </c>
      <c r="Q645" s="110">
        <v>7</v>
      </c>
      <c r="R645" s="110">
        <v>1</v>
      </c>
      <c r="S645" s="110"/>
      <c r="T645" s="110">
        <v>22</v>
      </c>
      <c r="U645" s="110" t="b">
        <v>1</v>
      </c>
      <c r="V645" s="110" t="s">
        <v>1344</v>
      </c>
      <c r="W645" s="110" t="s">
        <v>1343</v>
      </c>
      <c r="X645" s="110"/>
      <c r="Y645" s="110"/>
      <c r="Z645" s="110"/>
      <c r="AA645" s="110"/>
      <c r="AB645" s="110">
        <v>3</v>
      </c>
      <c r="AC645" s="110">
        <v>5</v>
      </c>
      <c r="AD645" s="110" t="s">
        <v>105</v>
      </c>
      <c r="AE645" s="110">
        <v>12</v>
      </c>
      <c r="AF645" s="110"/>
      <c r="AG645" s="110" t="s">
        <v>1351</v>
      </c>
      <c r="AH645" s="110" t="s">
        <v>29</v>
      </c>
      <c r="AI645" s="110" t="s">
        <v>29</v>
      </c>
      <c r="AJ645" s="110"/>
      <c r="AK645" s="110"/>
      <c r="AL645" s="110"/>
      <c r="AM645" s="110"/>
      <c r="AN645" s="110">
        <v>2</v>
      </c>
      <c r="AO645" s="110"/>
      <c r="AP645" s="110"/>
    </row>
    <row r="646" spans="1:103" ht="16.5" customHeight="1" x14ac:dyDescent="0.2">
      <c r="A646" s="108">
        <f>$A$628+-1</f>
        <v>179</v>
      </c>
      <c r="B646" s="110" t="str">
        <f>D646&amp;"Delete"</f>
        <v>FP_Main1OmkostTableDelete</v>
      </c>
      <c r="C646" s="110" t="s">
        <v>656</v>
      </c>
      <c r="D646" s="110" t="s">
        <v>247</v>
      </c>
      <c r="E646" s="110" t="s">
        <v>930</v>
      </c>
      <c r="F646" s="110"/>
      <c r="G646" s="110" t="s">
        <v>1154</v>
      </c>
      <c r="H646" s="110"/>
      <c r="I646" s="110" t="s">
        <v>1266</v>
      </c>
      <c r="J646" s="110"/>
      <c r="K646" s="110"/>
      <c r="L646" s="110"/>
      <c r="M646" s="110" t="str">
        <f>"'editNorm """&amp;D646&amp;""","""&amp;B646&amp;""","""&amp;E646&amp;"""'"</f>
        <v>'editNorm "FP_Main1OmkostTable","FP_Main1OmkostTableDelete","OmkostTable"'</v>
      </c>
      <c r="N646" s="110" t="s">
        <v>59</v>
      </c>
      <c r="O646" s="110" t="str">
        <f>"$N$"&amp;A646</f>
        <v>$N$179</v>
      </c>
      <c r="P646" s="110" t="str">
        <f>"$N$"&amp;A646</f>
        <v>$N$179</v>
      </c>
      <c r="Q646" s="110">
        <v>7</v>
      </c>
      <c r="R646" s="110">
        <v>1</v>
      </c>
      <c r="S646" s="110"/>
      <c r="T646" s="110">
        <v>22</v>
      </c>
      <c r="U646" s="110" t="b">
        <v>1</v>
      </c>
      <c r="V646" s="110" t="s">
        <v>1346</v>
      </c>
      <c r="W646" s="110" t="s">
        <v>1343</v>
      </c>
      <c r="X646" s="110"/>
      <c r="Y646" s="110"/>
      <c r="Z646" s="110"/>
      <c r="AA646" s="110"/>
      <c r="AB646" s="110">
        <v>3</v>
      </c>
      <c r="AC646" s="110">
        <v>5</v>
      </c>
      <c r="AD646" s="110" t="s">
        <v>105</v>
      </c>
      <c r="AE646" s="110">
        <v>12</v>
      </c>
      <c r="AF646" s="110"/>
      <c r="AG646" s="110" t="s">
        <v>1351</v>
      </c>
      <c r="AH646" s="110" t="s">
        <v>29</v>
      </c>
      <c r="AI646" s="110" t="s">
        <v>29</v>
      </c>
      <c r="AJ646" s="110"/>
      <c r="AK646" s="110"/>
      <c r="AL646" s="110"/>
      <c r="AM646" s="110"/>
      <c r="AN646" s="110">
        <v>2</v>
      </c>
      <c r="AO646" s="110"/>
      <c r="AP646" s="110"/>
    </row>
    <row r="647" spans="1:103" ht="16.5" customHeight="1" x14ac:dyDescent="0.2">
      <c r="A647" s="112">
        <f>$A$628+0</f>
        <v>180</v>
      </c>
      <c r="B647" s="112" t="s">
        <v>931</v>
      </c>
      <c r="C647" s="112" t="s">
        <v>90</v>
      </c>
      <c r="D647" s="112"/>
      <c r="E647" s="112"/>
      <c r="F647" s="112"/>
      <c r="G647" s="112" t="s">
        <v>1154</v>
      </c>
      <c r="H647" s="112">
        <v>1</v>
      </c>
      <c r="I647" s="112"/>
      <c r="J647" s="112" t="b">
        <f t="shared" ref="J647:J668" si="69">$E$4</f>
        <v>1</v>
      </c>
      <c r="K647" s="112" t="b">
        <v>1</v>
      </c>
      <c r="L647" s="112"/>
      <c r="M647" s="112"/>
      <c r="N647" s="112"/>
      <c r="O647" s="112" t="str">
        <f t="shared" ref="O647:O661" si="70">"$B$"&amp;A647</f>
        <v>$B$180</v>
      </c>
      <c r="P647" s="112" t="str">
        <f>"$BK$"&amp;A647+13</f>
        <v>$BK$193</v>
      </c>
      <c r="Q647" s="112"/>
      <c r="R647" s="112"/>
      <c r="S647" s="112"/>
      <c r="T647" s="112"/>
      <c r="U647" s="112" t="b">
        <v>1</v>
      </c>
      <c r="V647" s="112" t="s">
        <v>1342</v>
      </c>
      <c r="W647" s="112" t="s">
        <v>1342</v>
      </c>
      <c r="X647" s="112"/>
      <c r="Y647" s="112"/>
      <c r="Z647" s="112"/>
      <c r="AA647" s="112"/>
      <c r="AB647" s="112"/>
      <c r="AC647" s="112"/>
      <c r="AD647" s="112" t="s">
        <v>105</v>
      </c>
      <c r="AE647" s="112">
        <v>12</v>
      </c>
      <c r="AF647" s="112"/>
      <c r="AG647" s="112" t="s">
        <v>1355</v>
      </c>
      <c r="AH647" s="112" t="s">
        <v>27</v>
      </c>
      <c r="AI647" s="112" t="s">
        <v>28</v>
      </c>
      <c r="AJ647" s="112"/>
      <c r="AK647" s="112" t="s">
        <v>1342</v>
      </c>
      <c r="AL647" s="112"/>
      <c r="AM647" s="112"/>
      <c r="AN647" s="112"/>
      <c r="AO647" s="112"/>
      <c r="AP647" s="112"/>
    </row>
    <row r="648" spans="1:103" ht="16.5" customHeight="1" thickBot="1" x14ac:dyDescent="0.25">
      <c r="A648" s="113">
        <f>$A$647+0</f>
        <v>180</v>
      </c>
      <c r="B648" s="113" t="s">
        <v>1132</v>
      </c>
      <c r="C648" s="113" t="s">
        <v>92</v>
      </c>
      <c r="D648" s="113"/>
      <c r="E648" s="113"/>
      <c r="F648" s="113"/>
      <c r="G648" s="113" t="s">
        <v>1154</v>
      </c>
      <c r="H648" s="113">
        <v>1</v>
      </c>
      <c r="I648" s="113"/>
      <c r="J648" s="113" t="b">
        <f t="shared" si="69"/>
        <v>1</v>
      </c>
      <c r="K648" s="113" t="b">
        <v>1</v>
      </c>
      <c r="L648" s="113"/>
      <c r="M648" s="113"/>
      <c r="N648" s="113"/>
      <c r="O648" s="113" t="str">
        <f t="shared" si="70"/>
        <v>$B$180</v>
      </c>
      <c r="P648" s="113" t="str">
        <f t="shared" ref="P648:P661" si="71">"$BK$"&amp;A648</f>
        <v>$BK$180</v>
      </c>
      <c r="Q648" s="113"/>
      <c r="R648" s="113"/>
      <c r="S648" s="113"/>
      <c r="T648" s="113">
        <v>34</v>
      </c>
      <c r="U648" s="113"/>
      <c r="V648" s="113" t="s">
        <v>1342</v>
      </c>
      <c r="W648" s="113"/>
      <c r="X648" s="113"/>
      <c r="Y648" s="113"/>
      <c r="Z648" s="113"/>
      <c r="AA648" s="113"/>
      <c r="AB648" s="113"/>
      <c r="AC648" s="113"/>
      <c r="AD648" s="113"/>
      <c r="AE648" s="113"/>
      <c r="AF648" s="113"/>
      <c r="AG648" s="113"/>
      <c r="AH648" s="113"/>
      <c r="AI648" s="113"/>
      <c r="AJ648" s="113"/>
      <c r="AK648" s="113"/>
      <c r="AL648" s="113"/>
      <c r="AM648" s="113"/>
      <c r="AN648" s="113"/>
      <c r="AO648" s="113"/>
      <c r="AP648" s="113" t="b">
        <v>1</v>
      </c>
      <c r="AQ648" s="297" t="s">
        <v>919</v>
      </c>
      <c r="AR648" s="297"/>
      <c r="AS648" s="297"/>
      <c r="AT648" s="297"/>
      <c r="AU648" s="297"/>
      <c r="AV648" s="297"/>
      <c r="AW648" s="86">
        <v>2013</v>
      </c>
      <c r="AX648" s="86">
        <v>2014</v>
      </c>
      <c r="AY648" s="37"/>
      <c r="AZ648" s="37"/>
      <c r="BA648" s="37"/>
      <c r="BB648" s="37"/>
      <c r="BC648" s="37"/>
      <c r="BD648" s="37"/>
      <c r="BE648" s="37"/>
      <c r="BF648" s="37"/>
      <c r="BG648" s="37"/>
      <c r="BH648" s="37"/>
      <c r="BI648" s="37"/>
      <c r="BJ648" s="37"/>
      <c r="BK648" s="37"/>
      <c r="BL648" s="37"/>
      <c r="BM648" s="37"/>
      <c r="BN648" s="37"/>
      <c r="BO648" s="37"/>
      <c r="BP648" s="37"/>
      <c r="BQ648" s="37"/>
      <c r="BR648" s="37"/>
      <c r="BS648" s="37"/>
      <c r="BT648" s="37"/>
      <c r="BU648" s="37"/>
      <c r="BV648" s="37"/>
      <c r="BW648" s="37"/>
      <c r="BX648" s="37"/>
      <c r="BY648" s="37"/>
      <c r="BZ648" s="37"/>
      <c r="CA648" s="37"/>
      <c r="CB648" s="37"/>
      <c r="CC648" s="37"/>
      <c r="CD648" s="37"/>
      <c r="CE648" s="37"/>
      <c r="CF648" s="37"/>
      <c r="CG648" s="37"/>
      <c r="CH648" s="37"/>
      <c r="CI648" s="37"/>
      <c r="CJ648" s="37"/>
      <c r="CK648" s="37"/>
      <c r="CL648" s="37"/>
      <c r="CM648" s="37"/>
      <c r="CN648" s="37"/>
      <c r="CO648" s="37"/>
      <c r="CP648" s="37"/>
      <c r="CQ648" s="37"/>
      <c r="CR648" s="37"/>
      <c r="CS648" s="37"/>
      <c r="CT648" s="37"/>
      <c r="CU648" s="37"/>
      <c r="CV648" s="115"/>
    </row>
    <row r="649" spans="1:103" ht="16.5" customHeight="1" x14ac:dyDescent="0.2">
      <c r="A649" s="113">
        <f>$A$647+1</f>
        <v>181</v>
      </c>
      <c r="B649" s="113" t="s">
        <v>1133</v>
      </c>
      <c r="C649" s="113" t="s">
        <v>92</v>
      </c>
      <c r="D649" s="113"/>
      <c r="E649" s="113"/>
      <c r="F649" s="113"/>
      <c r="G649" s="113" t="s">
        <v>1154</v>
      </c>
      <c r="H649" s="113">
        <v>1</v>
      </c>
      <c r="I649" s="113"/>
      <c r="J649" s="113" t="b">
        <f t="shared" si="69"/>
        <v>1</v>
      </c>
      <c r="K649" s="113" t="b">
        <v>1</v>
      </c>
      <c r="L649" s="113"/>
      <c r="M649" s="113"/>
      <c r="N649" s="113"/>
      <c r="O649" s="113" t="str">
        <f t="shared" si="70"/>
        <v>$B$181</v>
      </c>
      <c r="P649" s="113" t="str">
        <f t="shared" si="71"/>
        <v>$BK$181</v>
      </c>
      <c r="Q649" s="113"/>
      <c r="R649" s="113"/>
      <c r="S649" s="113"/>
      <c r="T649" s="113">
        <v>25</v>
      </c>
      <c r="U649" s="113"/>
      <c r="V649" s="113" t="s">
        <v>1342</v>
      </c>
      <c r="W649" s="113"/>
      <c r="X649" s="113"/>
      <c r="Y649" s="113"/>
      <c r="Z649" s="113"/>
      <c r="AA649" s="113"/>
      <c r="AB649" s="113"/>
      <c r="AC649" s="113"/>
      <c r="AD649" s="113"/>
      <c r="AE649" s="113"/>
      <c r="AF649" s="113"/>
      <c r="AG649" s="113"/>
      <c r="AH649" s="113"/>
      <c r="AI649" s="113"/>
      <c r="AJ649" s="113"/>
      <c r="AK649" s="113"/>
      <c r="AL649" s="113"/>
      <c r="AM649" s="113"/>
      <c r="AN649" s="113"/>
      <c r="AO649" s="113"/>
      <c r="AP649" s="113" t="b">
        <v>1</v>
      </c>
      <c r="AQ649" s="300" t="s">
        <v>248</v>
      </c>
      <c r="AR649" s="300"/>
      <c r="AS649" s="300"/>
      <c r="AT649" s="300"/>
      <c r="AU649" s="300"/>
      <c r="AV649" s="300"/>
      <c r="AW649" s="6">
        <f t="shared" ref="AW649:AX649" si="72">IFERROR(AV649+AW653+AW654+AW656-AW660,0)</f>
        <v>0</v>
      </c>
      <c r="AX649" s="6">
        <f t="shared" si="72"/>
        <v>0</v>
      </c>
      <c r="AY649" s="38"/>
      <c r="AZ649" s="38"/>
      <c r="BA649" s="38"/>
      <c r="BB649" s="38"/>
      <c r="BC649" s="38"/>
      <c r="BD649" s="38"/>
      <c r="BE649" s="38"/>
      <c r="BF649" s="38"/>
      <c r="BG649" s="38"/>
      <c r="BH649" s="38"/>
      <c r="BI649" s="38"/>
      <c r="BJ649" s="38"/>
      <c r="BK649" s="38"/>
      <c r="BL649" s="38"/>
      <c r="BM649" s="38"/>
      <c r="BN649" s="38"/>
      <c r="BO649" s="38"/>
      <c r="BP649" s="38"/>
      <c r="BQ649" s="38"/>
      <c r="BR649" s="38"/>
      <c r="BS649" s="38"/>
      <c r="BT649" s="38"/>
      <c r="BU649" s="38"/>
      <c r="BV649" s="38"/>
      <c r="BW649" s="38"/>
      <c r="BX649" s="38"/>
      <c r="BY649" s="38"/>
      <c r="BZ649" s="38"/>
      <c r="CA649" s="38"/>
      <c r="CB649" s="38"/>
      <c r="CC649" s="38"/>
      <c r="CD649" s="38"/>
      <c r="CE649" s="38"/>
      <c r="CF649" s="38"/>
      <c r="CG649" s="38"/>
      <c r="CH649" s="38"/>
      <c r="CI649" s="38"/>
      <c r="CJ649" s="38"/>
      <c r="CK649" s="38"/>
      <c r="CL649" s="38"/>
      <c r="CM649" s="38"/>
      <c r="CN649" s="38"/>
      <c r="CO649" s="38"/>
      <c r="CP649" s="38"/>
      <c r="CQ649" s="38"/>
      <c r="CR649" s="38"/>
      <c r="CS649" s="38"/>
      <c r="CT649" s="38"/>
      <c r="CU649" s="38"/>
      <c r="CV649" s="115"/>
    </row>
    <row r="650" spans="1:103" ht="16.5" customHeight="1" x14ac:dyDescent="0.2">
      <c r="A650" s="113">
        <f>$A$647+2</f>
        <v>182</v>
      </c>
      <c r="B650" s="113" t="s">
        <v>1134</v>
      </c>
      <c r="C650" s="113" t="s">
        <v>92</v>
      </c>
      <c r="D650" s="113"/>
      <c r="E650" s="113"/>
      <c r="F650" s="113"/>
      <c r="G650" s="113" t="s">
        <v>1154</v>
      </c>
      <c r="H650" s="113">
        <v>1</v>
      </c>
      <c r="I650" s="113"/>
      <c r="J650" s="113" t="b">
        <f t="shared" si="69"/>
        <v>1</v>
      </c>
      <c r="K650" s="113" t="b">
        <v>1</v>
      </c>
      <c r="L650" s="113"/>
      <c r="M650" s="113"/>
      <c r="N650" s="113"/>
      <c r="O650" s="113" t="str">
        <f t="shared" si="70"/>
        <v>$B$182</v>
      </c>
      <c r="P650" s="113" t="str">
        <f t="shared" si="71"/>
        <v>$BK$182</v>
      </c>
      <c r="Q650" s="113"/>
      <c r="R650" s="113"/>
      <c r="S650" s="113"/>
      <c r="T650" s="113">
        <v>25</v>
      </c>
      <c r="U650" s="113"/>
      <c r="V650" s="113" t="s">
        <v>1342</v>
      </c>
      <c r="W650" s="113"/>
      <c r="X650" s="113"/>
      <c r="Y650" s="113"/>
      <c r="Z650" s="113"/>
      <c r="AA650" s="113"/>
      <c r="AB650" s="113"/>
      <c r="AC650" s="113"/>
      <c r="AD650" s="113"/>
      <c r="AE650" s="113"/>
      <c r="AF650" s="113"/>
      <c r="AG650" s="113"/>
      <c r="AH650" s="113"/>
      <c r="AI650" s="113"/>
      <c r="AJ650" s="113"/>
      <c r="AK650" s="113"/>
      <c r="AL650" s="113"/>
      <c r="AM650" s="113"/>
      <c r="AN650" s="113"/>
      <c r="AO650" s="113"/>
      <c r="AP650" s="113" t="b">
        <v>1</v>
      </c>
      <c r="AQ650" s="307"/>
      <c r="AR650" s="307"/>
      <c r="AS650" s="307"/>
      <c r="AT650" s="307"/>
      <c r="AU650" s="307"/>
      <c r="AV650" s="307"/>
      <c r="AW650" s="7"/>
      <c r="AX650" s="7"/>
      <c r="AY650" s="38"/>
      <c r="AZ650" s="38"/>
      <c r="BA650" s="38"/>
      <c r="BB650" s="38"/>
      <c r="BC650" s="38"/>
      <c r="BD650" s="38"/>
      <c r="BE650" s="38"/>
      <c r="BF650" s="38"/>
      <c r="BG650" s="38"/>
      <c r="BH650" s="38"/>
      <c r="BI650" s="38"/>
      <c r="BJ650" s="38"/>
      <c r="BK650" s="38"/>
      <c r="BL650" s="38"/>
      <c r="BM650" s="38"/>
      <c r="BN650" s="38"/>
      <c r="BO650" s="38"/>
      <c r="BP650" s="38"/>
      <c r="BQ650" s="38"/>
      <c r="BR650" s="38"/>
      <c r="BS650" s="38"/>
      <c r="BT650" s="38"/>
      <c r="BU650" s="38"/>
      <c r="BV650" s="38"/>
      <c r="BW650" s="38"/>
      <c r="BX650" s="38"/>
      <c r="BY650" s="38"/>
      <c r="BZ650" s="38"/>
      <c r="CA650" s="38"/>
      <c r="CB650" s="38"/>
      <c r="CC650" s="38"/>
      <c r="CD650" s="38"/>
      <c r="CE650" s="38"/>
      <c r="CF650" s="38"/>
      <c r="CG650" s="38"/>
      <c r="CH650" s="38"/>
      <c r="CI650" s="38"/>
      <c r="CJ650" s="38"/>
      <c r="CK650" s="38"/>
      <c r="CL650" s="38"/>
      <c r="CM650" s="38"/>
      <c r="CN650" s="38"/>
      <c r="CO650" s="38"/>
      <c r="CP650" s="38"/>
      <c r="CQ650" s="38"/>
      <c r="CR650" s="38"/>
      <c r="CS650" s="38"/>
      <c r="CT650" s="38"/>
      <c r="CU650" s="38"/>
      <c r="CV650" s="115"/>
    </row>
    <row r="651" spans="1:103" ht="16.5" customHeight="1" x14ac:dyDescent="0.2">
      <c r="A651" s="113">
        <f>$A$647+3</f>
        <v>183</v>
      </c>
      <c r="B651" s="113" t="s">
        <v>1135</v>
      </c>
      <c r="C651" s="113" t="s">
        <v>92</v>
      </c>
      <c r="D651" s="113"/>
      <c r="E651" s="113"/>
      <c r="F651" s="113"/>
      <c r="G651" s="113" t="s">
        <v>1154</v>
      </c>
      <c r="H651" s="113">
        <v>1</v>
      </c>
      <c r="I651" s="113"/>
      <c r="J651" s="113" t="b">
        <f t="shared" si="69"/>
        <v>1</v>
      </c>
      <c r="K651" s="113" t="b">
        <v>1</v>
      </c>
      <c r="L651" s="113"/>
      <c r="M651" s="113"/>
      <c r="N651" s="113"/>
      <c r="O651" s="113" t="str">
        <f t="shared" si="70"/>
        <v>$B$183</v>
      </c>
      <c r="P651" s="113" t="str">
        <f t="shared" si="71"/>
        <v>$BK$183</v>
      </c>
      <c r="Q651" s="113"/>
      <c r="R651" s="113"/>
      <c r="S651" s="113"/>
      <c r="T651" s="113">
        <v>25</v>
      </c>
      <c r="U651" s="113"/>
      <c r="V651" s="113" t="s">
        <v>1342</v>
      </c>
      <c r="W651" s="113"/>
      <c r="X651" s="113"/>
      <c r="Y651" s="113"/>
      <c r="Z651" s="113"/>
      <c r="AA651" s="113"/>
      <c r="AB651" s="113"/>
      <c r="AC651" s="113"/>
      <c r="AD651" s="113"/>
      <c r="AE651" s="113"/>
      <c r="AF651" s="113"/>
      <c r="AG651" s="113"/>
      <c r="AH651" s="113"/>
      <c r="AI651" s="113"/>
      <c r="AJ651" s="113"/>
      <c r="AK651" s="113"/>
      <c r="AL651" s="113"/>
      <c r="AM651" s="113"/>
      <c r="AN651" s="113"/>
      <c r="AO651" s="113"/>
      <c r="AP651" s="113" t="b">
        <v>1</v>
      </c>
      <c r="AQ651" s="307" t="s">
        <v>249</v>
      </c>
      <c r="AR651" s="307"/>
      <c r="AS651" s="307"/>
      <c r="AT651" s="307"/>
      <c r="AU651" s="307"/>
      <c r="AV651" s="307"/>
      <c r="AW651" s="7">
        <f t="shared" ref="AW651:AX651" si="73">IFERROR(AV651+AW653+AW654+AW656-SUM(AW660:AW661),0)</f>
        <v>0</v>
      </c>
      <c r="AX651" s="7">
        <f t="shared" si="73"/>
        <v>0</v>
      </c>
      <c r="AY651" s="38"/>
      <c r="AZ651" s="38"/>
      <c r="BA651" s="38"/>
      <c r="BB651" s="38"/>
      <c r="BC651" s="38"/>
      <c r="BD651" s="38"/>
      <c r="BE651" s="38"/>
      <c r="BF651" s="38"/>
      <c r="BG651" s="38"/>
      <c r="BH651" s="38"/>
      <c r="BI651" s="38"/>
      <c r="BJ651" s="38"/>
      <c r="BK651" s="38"/>
      <c r="BL651" s="38"/>
      <c r="BM651" s="38"/>
      <c r="BN651" s="38"/>
      <c r="BO651" s="38"/>
      <c r="BP651" s="38"/>
      <c r="BQ651" s="38"/>
      <c r="BR651" s="38"/>
      <c r="BS651" s="38"/>
      <c r="BT651" s="38"/>
      <c r="BU651" s="38"/>
      <c r="BV651" s="38"/>
      <c r="BW651" s="38"/>
      <c r="BX651" s="38"/>
      <c r="BY651" s="38"/>
      <c r="BZ651" s="38"/>
      <c r="CA651" s="38"/>
      <c r="CB651" s="38"/>
      <c r="CC651" s="38"/>
      <c r="CD651" s="38"/>
      <c r="CE651" s="38"/>
      <c r="CF651" s="38"/>
      <c r="CG651" s="38"/>
      <c r="CH651" s="38"/>
      <c r="CI651" s="38"/>
      <c r="CJ651" s="38"/>
      <c r="CK651" s="38"/>
      <c r="CL651" s="38"/>
      <c r="CM651" s="38"/>
      <c r="CN651" s="38"/>
      <c r="CO651" s="38"/>
      <c r="CP651" s="38"/>
      <c r="CQ651" s="38"/>
      <c r="CR651" s="38"/>
      <c r="CS651" s="38"/>
      <c r="CT651" s="38"/>
      <c r="CU651" s="38"/>
      <c r="CV651" s="115"/>
    </row>
    <row r="652" spans="1:103" ht="16.5" customHeight="1" x14ac:dyDescent="0.2">
      <c r="A652" s="113">
        <f>$A$647+4</f>
        <v>184</v>
      </c>
      <c r="B652" s="113" t="s">
        <v>1136</v>
      </c>
      <c r="C652" s="113" t="s">
        <v>92</v>
      </c>
      <c r="D652" s="113"/>
      <c r="E652" s="113"/>
      <c r="F652" s="113"/>
      <c r="G652" s="113" t="s">
        <v>1154</v>
      </c>
      <c r="H652" s="113">
        <v>1</v>
      </c>
      <c r="I652" s="113"/>
      <c r="J652" s="113" t="b">
        <f t="shared" si="69"/>
        <v>1</v>
      </c>
      <c r="K652" s="113" t="b">
        <v>1</v>
      </c>
      <c r="L652" s="113"/>
      <c r="M652" s="113"/>
      <c r="N652" s="113"/>
      <c r="O652" s="113" t="str">
        <f t="shared" si="70"/>
        <v>$B$184</v>
      </c>
      <c r="P652" s="113" t="str">
        <f t="shared" si="71"/>
        <v>$BK$184</v>
      </c>
      <c r="Q652" s="113"/>
      <c r="R652" s="113"/>
      <c r="S652" s="113"/>
      <c r="T652" s="113">
        <v>25</v>
      </c>
      <c r="U652" s="113"/>
      <c r="V652" s="113" t="s">
        <v>1342</v>
      </c>
      <c r="W652" s="113"/>
      <c r="X652" s="113"/>
      <c r="Y652" s="113"/>
      <c r="Z652" s="113"/>
      <c r="AA652" s="113"/>
      <c r="AB652" s="113"/>
      <c r="AC652" s="113"/>
      <c r="AD652" s="113"/>
      <c r="AE652" s="113"/>
      <c r="AF652" s="113"/>
      <c r="AG652" s="113"/>
      <c r="AH652" s="113"/>
      <c r="AI652" s="113"/>
      <c r="AJ652" s="113"/>
      <c r="AK652" s="113"/>
      <c r="AL652" s="113"/>
      <c r="AM652" s="113"/>
      <c r="AN652" s="113"/>
      <c r="AO652" s="113"/>
      <c r="AP652" s="113" t="b">
        <v>1</v>
      </c>
      <c r="AQ652" s="307"/>
      <c r="AR652" s="307"/>
      <c r="AS652" s="307"/>
      <c r="AT652" s="307"/>
      <c r="AU652" s="307"/>
      <c r="AV652" s="307"/>
      <c r="AW652" s="8"/>
      <c r="AX652" s="8"/>
      <c r="AY652" s="39"/>
      <c r="AZ652" s="39"/>
      <c r="BA652" s="39"/>
      <c r="BB652" s="39"/>
      <c r="BC652" s="39"/>
      <c r="BD652" s="39"/>
      <c r="BE652" s="39"/>
      <c r="BF652" s="39"/>
      <c r="BG652" s="39"/>
      <c r="BH652" s="39"/>
      <c r="BI652" s="39"/>
      <c r="BJ652" s="39"/>
      <c r="BK652" s="39"/>
      <c r="BL652" s="39"/>
      <c r="BM652" s="39"/>
      <c r="BN652" s="39"/>
      <c r="BO652" s="39"/>
      <c r="BP652" s="39"/>
      <c r="BQ652" s="39"/>
      <c r="BR652" s="39"/>
      <c r="BS652" s="39"/>
      <c r="BT652" s="39"/>
      <c r="BU652" s="39"/>
      <c r="BV652" s="39"/>
      <c r="BW652" s="39"/>
      <c r="BX652" s="39"/>
      <c r="BY652" s="39"/>
      <c r="BZ652" s="39"/>
      <c r="CA652" s="39"/>
      <c r="CB652" s="39"/>
      <c r="CC652" s="39"/>
      <c r="CD652" s="39"/>
      <c r="CE652" s="39"/>
      <c r="CF652" s="39"/>
      <c r="CG652" s="39"/>
      <c r="CH652" s="39"/>
      <c r="CI652" s="39"/>
      <c r="CJ652" s="39"/>
      <c r="CK652" s="39"/>
      <c r="CL652" s="39"/>
      <c r="CM652" s="39"/>
      <c r="CN652" s="39"/>
      <c r="CO652" s="39"/>
      <c r="CP652" s="39"/>
      <c r="CQ652" s="39"/>
      <c r="CR652" s="39"/>
      <c r="CS652" s="39"/>
      <c r="CT652" s="39"/>
      <c r="CU652" s="39"/>
      <c r="CV652" s="115"/>
    </row>
    <row r="653" spans="1:103" ht="16.5" customHeight="1" x14ac:dyDescent="0.2">
      <c r="A653" s="113">
        <f>$A$647+5</f>
        <v>185</v>
      </c>
      <c r="B653" s="113" t="s">
        <v>1137</v>
      </c>
      <c r="C653" s="113" t="s">
        <v>92</v>
      </c>
      <c r="D653" s="113"/>
      <c r="E653" s="113"/>
      <c r="F653" s="113"/>
      <c r="G653" s="113" t="s">
        <v>1154</v>
      </c>
      <c r="H653" s="113">
        <v>1</v>
      </c>
      <c r="I653" s="113"/>
      <c r="J653" s="113" t="b">
        <f t="shared" si="69"/>
        <v>1</v>
      </c>
      <c r="K653" s="113" t="b">
        <v>1</v>
      </c>
      <c r="L653" s="113"/>
      <c r="M653" s="113"/>
      <c r="N653" s="113"/>
      <c r="O653" s="113" t="str">
        <f t="shared" si="70"/>
        <v>$B$185</v>
      </c>
      <c r="P653" s="113" t="str">
        <f t="shared" si="71"/>
        <v>$BK$185</v>
      </c>
      <c r="Q653" s="113"/>
      <c r="R653" s="113"/>
      <c r="S653" s="113"/>
      <c r="T653" s="113">
        <v>25</v>
      </c>
      <c r="U653" s="113"/>
      <c r="V653" s="113" t="s">
        <v>1342</v>
      </c>
      <c r="W653" s="113"/>
      <c r="X653" s="113"/>
      <c r="Y653" s="113"/>
      <c r="Z653" s="113"/>
      <c r="AA653" s="113"/>
      <c r="AB653" s="113"/>
      <c r="AC653" s="113"/>
      <c r="AD653" s="113"/>
      <c r="AE653" s="113"/>
      <c r="AF653" s="113"/>
      <c r="AG653" s="113"/>
      <c r="AH653" s="113"/>
      <c r="AI653" s="113"/>
      <c r="AJ653" s="113"/>
      <c r="AK653" s="113"/>
      <c r="AL653" s="113"/>
      <c r="AM653" s="113"/>
      <c r="AN653" s="113"/>
      <c r="AO653" s="113"/>
      <c r="AP653" s="113" t="b">
        <v>1</v>
      </c>
      <c r="AQ653" s="307" t="s">
        <v>250</v>
      </c>
      <c r="AR653" s="307"/>
      <c r="AS653" s="307"/>
      <c r="AT653" s="307"/>
      <c r="AU653" s="307"/>
      <c r="AV653" s="307"/>
      <c r="AW653" s="9"/>
      <c r="AX653" s="9"/>
      <c r="AY653" s="39"/>
      <c r="AZ653" s="39"/>
      <c r="BA653" s="39"/>
      <c r="BB653" s="39"/>
      <c r="BC653" s="39"/>
      <c r="BD653" s="39"/>
      <c r="BE653" s="39"/>
      <c r="BF653" s="39"/>
      <c r="BG653" s="39"/>
      <c r="BH653" s="39"/>
      <c r="BI653" s="39"/>
      <c r="BJ653" s="39"/>
      <c r="BK653" s="39"/>
      <c r="BL653" s="39"/>
      <c r="BM653" s="39"/>
      <c r="BN653" s="39"/>
      <c r="BO653" s="39"/>
      <c r="BP653" s="39"/>
      <c r="BQ653" s="39"/>
      <c r="BR653" s="39"/>
      <c r="BS653" s="39"/>
      <c r="BT653" s="39"/>
      <c r="BU653" s="39"/>
      <c r="BV653" s="39"/>
      <c r="BW653" s="39"/>
      <c r="BX653" s="39"/>
      <c r="BY653" s="39"/>
      <c r="BZ653" s="39"/>
      <c r="CA653" s="39"/>
      <c r="CB653" s="39"/>
      <c r="CC653" s="39"/>
      <c r="CD653" s="39"/>
      <c r="CE653" s="39"/>
      <c r="CF653" s="39"/>
      <c r="CG653" s="39"/>
      <c r="CH653" s="39"/>
      <c r="CI653" s="39"/>
      <c r="CJ653" s="39"/>
      <c r="CK653" s="39"/>
      <c r="CL653" s="39"/>
      <c r="CM653" s="39"/>
      <c r="CN653" s="39"/>
      <c r="CO653" s="39"/>
      <c r="CP653" s="39"/>
      <c r="CQ653" s="39"/>
      <c r="CR653" s="39"/>
      <c r="CS653" s="39"/>
      <c r="CT653" s="39"/>
      <c r="CU653" s="39"/>
      <c r="CV653" s="115"/>
    </row>
    <row r="654" spans="1:103" ht="16.5" customHeight="1" x14ac:dyDescent="0.2">
      <c r="A654" s="113">
        <f>$A$647+6</f>
        <v>186</v>
      </c>
      <c r="B654" s="113" t="s">
        <v>1138</v>
      </c>
      <c r="C654" s="113" t="s">
        <v>92</v>
      </c>
      <c r="D654" s="113"/>
      <c r="E654" s="113"/>
      <c r="F654" s="113"/>
      <c r="G654" s="113" t="s">
        <v>1154</v>
      </c>
      <c r="H654" s="113">
        <v>1</v>
      </c>
      <c r="I654" s="113"/>
      <c r="J654" s="113" t="b">
        <f t="shared" si="69"/>
        <v>1</v>
      </c>
      <c r="K654" s="113" t="b">
        <v>1</v>
      </c>
      <c r="L654" s="113"/>
      <c r="M654" s="113"/>
      <c r="N654" s="113"/>
      <c r="O654" s="113" t="str">
        <f t="shared" si="70"/>
        <v>$B$186</v>
      </c>
      <c r="P654" s="113" t="str">
        <f t="shared" si="71"/>
        <v>$BK$186</v>
      </c>
      <c r="Q654" s="113"/>
      <c r="R654" s="113"/>
      <c r="S654" s="113"/>
      <c r="T654" s="113">
        <v>25</v>
      </c>
      <c r="U654" s="113"/>
      <c r="V654" s="113" t="s">
        <v>1342</v>
      </c>
      <c r="W654" s="113"/>
      <c r="X654" s="113"/>
      <c r="Y654" s="113"/>
      <c r="Z654" s="113"/>
      <c r="AA654" s="113"/>
      <c r="AB654" s="113"/>
      <c r="AC654" s="113"/>
      <c r="AD654" s="113"/>
      <c r="AE654" s="113"/>
      <c r="AF654" s="113"/>
      <c r="AG654" s="113"/>
      <c r="AH654" s="113"/>
      <c r="AI654" s="113"/>
      <c r="AJ654" s="113"/>
      <c r="AK654" s="113"/>
      <c r="AL654" s="113"/>
      <c r="AM654" s="113"/>
      <c r="AN654" s="113"/>
      <c r="AO654" s="113"/>
      <c r="AP654" s="113" t="b">
        <v>1</v>
      </c>
      <c r="AQ654" s="307" t="s">
        <v>80</v>
      </c>
      <c r="AR654" s="307"/>
      <c r="AS654" s="307"/>
      <c r="AT654" s="307"/>
      <c r="AU654" s="307"/>
      <c r="AV654" s="307"/>
      <c r="AW654" s="9"/>
      <c r="AX654" s="9"/>
      <c r="AY654" s="39"/>
      <c r="AZ654" s="39"/>
      <c r="BA654" s="39"/>
      <c r="BB654" s="39"/>
      <c r="BC654" s="39"/>
      <c r="BD654" s="39"/>
      <c r="BE654" s="39"/>
      <c r="BF654" s="39"/>
      <c r="BG654" s="39"/>
      <c r="BH654" s="39"/>
      <c r="BI654" s="39"/>
      <c r="BJ654" s="39"/>
      <c r="BK654" s="39"/>
      <c r="BL654" s="39"/>
      <c r="BM654" s="39"/>
      <c r="BN654" s="39"/>
      <c r="BO654" s="39"/>
      <c r="BP654" s="39"/>
      <c r="BQ654" s="39"/>
      <c r="BR654" s="39"/>
      <c r="BS654" s="39"/>
      <c r="BT654" s="39"/>
      <c r="BU654" s="39"/>
      <c r="BV654" s="39"/>
      <c r="BW654" s="39"/>
      <c r="BX654" s="39"/>
      <c r="BY654" s="39"/>
      <c r="BZ654" s="39"/>
      <c r="CA654" s="39"/>
      <c r="CB654" s="39"/>
      <c r="CC654" s="39"/>
      <c r="CD654" s="39"/>
      <c r="CE654" s="39"/>
      <c r="CF654" s="39"/>
      <c r="CG654" s="39"/>
      <c r="CH654" s="39"/>
      <c r="CI654" s="39"/>
      <c r="CJ654" s="39"/>
      <c r="CK654" s="39"/>
      <c r="CL654" s="39"/>
      <c r="CM654" s="39"/>
      <c r="CN654" s="39"/>
      <c r="CO654" s="39"/>
      <c r="CP654" s="39"/>
      <c r="CQ654" s="39"/>
      <c r="CR654" s="39"/>
      <c r="CS654" s="39"/>
      <c r="CT654" s="39"/>
      <c r="CU654" s="39"/>
      <c r="CV654" s="115"/>
    </row>
    <row r="655" spans="1:103" ht="16.5" customHeight="1" x14ac:dyDescent="0.2">
      <c r="A655" s="113">
        <f>$A$647+7</f>
        <v>187</v>
      </c>
      <c r="B655" s="113" t="s">
        <v>1139</v>
      </c>
      <c r="C655" s="113" t="s">
        <v>92</v>
      </c>
      <c r="D655" s="113"/>
      <c r="E655" s="113"/>
      <c r="F655" s="113"/>
      <c r="G655" s="113" t="s">
        <v>1154</v>
      </c>
      <c r="H655" s="113">
        <v>1</v>
      </c>
      <c r="I655" s="113"/>
      <c r="J655" s="113" t="b">
        <f t="shared" si="69"/>
        <v>1</v>
      </c>
      <c r="K655" s="113" t="b">
        <v>1</v>
      </c>
      <c r="L655" s="113"/>
      <c r="M655" s="113"/>
      <c r="N655" s="113"/>
      <c r="O655" s="113" t="str">
        <f t="shared" si="70"/>
        <v>$B$187</v>
      </c>
      <c r="P655" s="113" t="str">
        <f t="shared" si="71"/>
        <v>$BK$187</v>
      </c>
      <c r="Q655" s="113"/>
      <c r="R655" s="113"/>
      <c r="S655" s="113"/>
      <c r="T655" s="113">
        <v>30</v>
      </c>
      <c r="U655" s="113"/>
      <c r="V655" s="113" t="s">
        <v>1342</v>
      </c>
      <c r="W655" s="113"/>
      <c r="X655" s="113"/>
      <c r="Y655" s="113"/>
      <c r="Z655" s="113"/>
      <c r="AA655" s="113"/>
      <c r="AB655" s="113"/>
      <c r="AC655" s="113"/>
      <c r="AD655" s="113"/>
      <c r="AE655" s="113"/>
      <c r="AF655" s="113"/>
      <c r="AG655" s="113"/>
      <c r="AH655" s="113"/>
      <c r="AI655" s="113"/>
      <c r="AJ655" s="113"/>
      <c r="AK655" s="113"/>
      <c r="AL655" s="113"/>
      <c r="AM655" s="113"/>
      <c r="AN655" s="113"/>
      <c r="AO655" s="113"/>
      <c r="AP655" s="113" t="b">
        <v>1</v>
      </c>
      <c r="AQ655" s="307" t="s">
        <v>251</v>
      </c>
      <c r="AR655" s="307"/>
      <c r="AS655" s="307"/>
      <c r="AT655" s="307"/>
      <c r="AU655" s="307"/>
      <c r="AV655" s="307"/>
      <c r="AW655" s="9"/>
      <c r="AX655" s="9"/>
      <c r="AY655" s="39"/>
      <c r="AZ655" s="39"/>
      <c r="BA655" s="39"/>
      <c r="BB655" s="39"/>
      <c r="BC655" s="39"/>
      <c r="BD655" s="39"/>
      <c r="BE655" s="39"/>
      <c r="BF655" s="39"/>
      <c r="BG655" s="39"/>
      <c r="BH655" s="39"/>
      <c r="BI655" s="39"/>
      <c r="BJ655" s="39"/>
      <c r="BK655" s="39"/>
      <c r="BL655" s="39"/>
      <c r="BM655" s="39"/>
      <c r="BN655" s="39"/>
      <c r="BO655" s="39"/>
      <c r="BP655" s="39"/>
      <c r="BQ655" s="39"/>
      <c r="BR655" s="39"/>
      <c r="BS655" s="39"/>
      <c r="BT655" s="39"/>
      <c r="BU655" s="39"/>
      <c r="BV655" s="39"/>
      <c r="BW655" s="39"/>
      <c r="BX655" s="39"/>
      <c r="BY655" s="39"/>
      <c r="BZ655" s="39"/>
      <c r="CA655" s="39"/>
      <c r="CB655" s="39"/>
      <c r="CC655" s="39"/>
      <c r="CD655" s="39"/>
      <c r="CE655" s="39"/>
      <c r="CF655" s="39"/>
      <c r="CG655" s="39"/>
      <c r="CH655" s="39"/>
      <c r="CI655" s="39"/>
      <c r="CJ655" s="39"/>
      <c r="CK655" s="39"/>
      <c r="CL655" s="39"/>
      <c r="CM655" s="39"/>
      <c r="CN655" s="39"/>
      <c r="CO655" s="39"/>
      <c r="CP655" s="39"/>
      <c r="CQ655" s="39"/>
      <c r="CR655" s="39"/>
      <c r="CS655" s="39"/>
      <c r="CT655" s="39"/>
      <c r="CU655" s="39"/>
      <c r="CV655" s="115"/>
    </row>
    <row r="656" spans="1:103" ht="16.5" customHeight="1" x14ac:dyDescent="0.2">
      <c r="A656" s="113">
        <f>$A$647+8</f>
        <v>188</v>
      </c>
      <c r="B656" s="113" t="s">
        <v>1140</v>
      </c>
      <c r="C656" s="113" t="s">
        <v>92</v>
      </c>
      <c r="D656" s="113"/>
      <c r="E656" s="113"/>
      <c r="F656" s="113"/>
      <c r="G656" s="113" t="s">
        <v>1154</v>
      </c>
      <c r="H656" s="113">
        <v>1</v>
      </c>
      <c r="I656" s="113"/>
      <c r="J656" s="113" t="b">
        <f t="shared" si="69"/>
        <v>1</v>
      </c>
      <c r="K656" s="113" t="b">
        <v>1</v>
      </c>
      <c r="L656" s="113"/>
      <c r="M656" s="113"/>
      <c r="N656" s="113"/>
      <c r="O656" s="113" t="str">
        <f t="shared" si="70"/>
        <v>$B$188</v>
      </c>
      <c r="P656" s="113" t="str">
        <f t="shared" si="71"/>
        <v>$BK$188</v>
      </c>
      <c r="Q656" s="113"/>
      <c r="R656" s="113"/>
      <c r="S656" s="113"/>
      <c r="T656" s="113">
        <v>25</v>
      </c>
      <c r="U656" s="113"/>
      <c r="V656" s="113" t="s">
        <v>1342</v>
      </c>
      <c r="W656" s="113"/>
      <c r="X656" s="113"/>
      <c r="Y656" s="113"/>
      <c r="Z656" s="113"/>
      <c r="AA656" s="113"/>
      <c r="AB656" s="113"/>
      <c r="AC656" s="113"/>
      <c r="AD656" s="113"/>
      <c r="AE656" s="113"/>
      <c r="AF656" s="113"/>
      <c r="AG656" s="113"/>
      <c r="AH656" s="113"/>
      <c r="AI656" s="113"/>
      <c r="AJ656" s="113"/>
      <c r="AK656" s="113"/>
      <c r="AL656" s="113"/>
      <c r="AM656" s="113"/>
      <c r="AN656" s="113"/>
      <c r="AO656" s="113"/>
      <c r="AP656" s="113" t="b">
        <v>1</v>
      </c>
      <c r="AQ656" s="307" t="s">
        <v>252</v>
      </c>
      <c r="AR656" s="307"/>
      <c r="AS656" s="307"/>
      <c r="AT656" s="307"/>
      <c r="AU656" s="307"/>
      <c r="AV656" s="307"/>
      <c r="AW656" s="9"/>
      <c r="AX656" s="9"/>
      <c r="AY656" s="39"/>
      <c r="AZ656" s="39"/>
      <c r="BA656" s="39"/>
      <c r="BB656" s="39"/>
      <c r="BC656" s="39"/>
      <c r="BD656" s="39"/>
      <c r="BE656" s="39"/>
      <c r="BF656" s="39"/>
      <c r="BG656" s="39"/>
      <c r="BH656" s="39"/>
      <c r="BI656" s="39"/>
      <c r="BJ656" s="39"/>
      <c r="BK656" s="39"/>
      <c r="BL656" s="39"/>
      <c r="BM656" s="39"/>
      <c r="BN656" s="39"/>
      <c r="BO656" s="39"/>
      <c r="BP656" s="39"/>
      <c r="BQ656" s="39"/>
      <c r="BR656" s="39"/>
      <c r="BS656" s="39"/>
      <c r="BT656" s="39"/>
      <c r="BU656" s="39"/>
      <c r="BV656" s="39"/>
      <c r="BW656" s="39"/>
      <c r="BX656" s="39"/>
      <c r="BY656" s="39"/>
      <c r="BZ656" s="39"/>
      <c r="CA656" s="39"/>
      <c r="CB656" s="39"/>
      <c r="CC656" s="39"/>
      <c r="CD656" s="39"/>
      <c r="CE656" s="39"/>
      <c r="CF656" s="39"/>
      <c r="CG656" s="39"/>
      <c r="CH656" s="39"/>
      <c r="CI656" s="39"/>
      <c r="CJ656" s="39"/>
      <c r="CK656" s="39"/>
      <c r="CL656" s="39"/>
      <c r="CM656" s="39"/>
      <c r="CN656" s="39"/>
      <c r="CO656" s="39"/>
      <c r="CP656" s="39"/>
      <c r="CQ656" s="39"/>
      <c r="CR656" s="39"/>
      <c r="CS656" s="39"/>
      <c r="CT656" s="39"/>
      <c r="CU656" s="39"/>
      <c r="CV656" s="115"/>
    </row>
    <row r="657" spans="1:100" ht="16.5" customHeight="1" x14ac:dyDescent="0.2">
      <c r="A657" s="113">
        <f>$A$647+9</f>
        <v>189</v>
      </c>
      <c r="B657" s="113" t="s">
        <v>1141</v>
      </c>
      <c r="C657" s="113" t="s">
        <v>92</v>
      </c>
      <c r="D657" s="113"/>
      <c r="E657" s="113"/>
      <c r="F657" s="113"/>
      <c r="G657" s="113" t="s">
        <v>1154</v>
      </c>
      <c r="H657" s="113">
        <v>1</v>
      </c>
      <c r="I657" s="113"/>
      <c r="J657" s="113" t="b">
        <f t="shared" si="69"/>
        <v>1</v>
      </c>
      <c r="K657" s="113" t="b">
        <v>1</v>
      </c>
      <c r="L657" s="113"/>
      <c r="M657" s="113"/>
      <c r="N657" s="113"/>
      <c r="O657" s="113" t="str">
        <f t="shared" si="70"/>
        <v>$B$189</v>
      </c>
      <c r="P657" s="113" t="str">
        <f t="shared" si="71"/>
        <v>$BK$189</v>
      </c>
      <c r="Q657" s="113"/>
      <c r="R657" s="113"/>
      <c r="S657" s="113"/>
      <c r="T657" s="113">
        <v>25</v>
      </c>
      <c r="U657" s="113"/>
      <c r="V657" s="113" t="s">
        <v>1342</v>
      </c>
      <c r="W657" s="113"/>
      <c r="X657" s="113"/>
      <c r="Y657" s="113"/>
      <c r="Z657" s="113"/>
      <c r="AA657" s="113"/>
      <c r="AB657" s="113"/>
      <c r="AC657" s="113"/>
      <c r="AD657" s="113"/>
      <c r="AE657" s="113"/>
      <c r="AF657" s="113"/>
      <c r="AG657" s="113"/>
      <c r="AH657" s="113"/>
      <c r="AI657" s="113"/>
      <c r="AJ657" s="113"/>
      <c r="AK657" s="113"/>
      <c r="AL657" s="113"/>
      <c r="AM657" s="113"/>
      <c r="AN657" s="113"/>
      <c r="AO657" s="113"/>
      <c r="AP657" s="113" t="b">
        <v>1</v>
      </c>
      <c r="AQ657" s="307"/>
      <c r="AR657" s="307"/>
      <c r="AS657" s="307"/>
      <c r="AT657" s="307"/>
      <c r="AU657" s="307"/>
      <c r="AV657" s="307"/>
      <c r="AW657" s="8"/>
      <c r="AX657" s="8"/>
      <c r="AY657" s="39"/>
      <c r="AZ657" s="39"/>
      <c r="BA657" s="39"/>
      <c r="BB657" s="39"/>
      <c r="BC657" s="39"/>
      <c r="BD657" s="39"/>
      <c r="BE657" s="39"/>
      <c r="BF657" s="39"/>
      <c r="BG657" s="39"/>
      <c r="BH657" s="39"/>
      <c r="BI657" s="39"/>
      <c r="BJ657" s="39"/>
      <c r="BK657" s="39"/>
      <c r="BL657" s="39"/>
      <c r="BM657" s="39"/>
      <c r="BN657" s="39"/>
      <c r="BO657" s="39"/>
      <c r="BP657" s="39"/>
      <c r="BQ657" s="39"/>
      <c r="BR657" s="39"/>
      <c r="BS657" s="39"/>
      <c r="BT657" s="39"/>
      <c r="BU657" s="39"/>
      <c r="BV657" s="39"/>
      <c r="BW657" s="39"/>
      <c r="BX657" s="39"/>
      <c r="BY657" s="39"/>
      <c r="BZ657" s="39"/>
      <c r="CA657" s="39"/>
      <c r="CB657" s="39"/>
      <c r="CC657" s="39"/>
      <c r="CD657" s="39"/>
      <c r="CE657" s="39"/>
      <c r="CF657" s="39"/>
      <c r="CG657" s="39"/>
      <c r="CH657" s="39"/>
      <c r="CI657" s="39"/>
      <c r="CJ657" s="39"/>
      <c r="CK657" s="39"/>
      <c r="CL657" s="39"/>
      <c r="CM657" s="39"/>
      <c r="CN657" s="39"/>
      <c r="CO657" s="39"/>
      <c r="CP657" s="39"/>
      <c r="CQ657" s="39"/>
      <c r="CR657" s="39"/>
      <c r="CS657" s="39"/>
      <c r="CT657" s="39"/>
      <c r="CU657" s="39"/>
      <c r="CV657" s="115"/>
    </row>
    <row r="658" spans="1:100" ht="16.5" customHeight="1" x14ac:dyDescent="0.2">
      <c r="A658" s="113">
        <f>$A$647+10</f>
        <v>190</v>
      </c>
      <c r="B658" s="113" t="s">
        <v>1142</v>
      </c>
      <c r="C658" s="113" t="s">
        <v>92</v>
      </c>
      <c r="D658" s="113"/>
      <c r="E658" s="113"/>
      <c r="F658" s="113"/>
      <c r="G658" s="113" t="s">
        <v>1154</v>
      </c>
      <c r="H658" s="113">
        <v>1</v>
      </c>
      <c r="I658" s="113"/>
      <c r="J658" s="113" t="b">
        <f t="shared" si="69"/>
        <v>1</v>
      </c>
      <c r="K658" s="113" t="b">
        <v>1</v>
      </c>
      <c r="L658" s="113"/>
      <c r="M658" s="113"/>
      <c r="N658" s="113"/>
      <c r="O658" s="113" t="str">
        <f t="shared" si="70"/>
        <v>$B$190</v>
      </c>
      <c r="P658" s="113" t="str">
        <f t="shared" si="71"/>
        <v>$BK$190</v>
      </c>
      <c r="Q658" s="113"/>
      <c r="R658" s="113"/>
      <c r="S658" s="113"/>
      <c r="T658" s="113">
        <v>25</v>
      </c>
      <c r="U658" s="113"/>
      <c r="V658" s="113" t="s">
        <v>1342</v>
      </c>
      <c r="W658" s="113"/>
      <c r="X658" s="113"/>
      <c r="Y658" s="113"/>
      <c r="Z658" s="113"/>
      <c r="AA658" s="113"/>
      <c r="AB658" s="113"/>
      <c r="AC658" s="113"/>
      <c r="AD658" s="113"/>
      <c r="AE658" s="113"/>
      <c r="AF658" s="113"/>
      <c r="AG658" s="113"/>
      <c r="AH658" s="113"/>
      <c r="AI658" s="113"/>
      <c r="AJ658" s="113"/>
      <c r="AK658" s="113"/>
      <c r="AL658" s="113"/>
      <c r="AM658" s="113"/>
      <c r="AN658" s="113"/>
      <c r="AO658" s="113"/>
      <c r="AP658" s="113" t="b">
        <v>1</v>
      </c>
      <c r="AQ658" s="307" t="s">
        <v>81</v>
      </c>
      <c r="AR658" s="307"/>
      <c r="AS658" s="307"/>
      <c r="AT658" s="307"/>
      <c r="AU658" s="307"/>
      <c r="AV658" s="307"/>
      <c r="AW658" s="7">
        <f t="shared" ref="AW658:AX658" si="74">IFERROR(5%*(AV649+(AW653+AW654+AW656)/2-AW660/2),0)</f>
        <v>0</v>
      </c>
      <c r="AX658" s="7">
        <f t="shared" si="74"/>
        <v>0</v>
      </c>
      <c r="AY658" s="38"/>
      <c r="AZ658" s="38"/>
      <c r="BA658" s="38"/>
      <c r="BB658" s="38"/>
      <c r="BC658" s="38"/>
      <c r="BD658" s="38"/>
      <c r="BE658" s="38"/>
      <c r="BF658" s="38"/>
      <c r="BG658" s="38"/>
      <c r="BH658" s="38"/>
      <c r="BI658" s="38"/>
      <c r="BJ658" s="38"/>
      <c r="BK658" s="38"/>
      <c r="BL658" s="38"/>
      <c r="BM658" s="38"/>
      <c r="BN658" s="38"/>
      <c r="BO658" s="38"/>
      <c r="BP658" s="38"/>
      <c r="BQ658" s="38"/>
      <c r="BR658" s="38"/>
      <c r="BS658" s="38"/>
      <c r="BT658" s="38"/>
      <c r="BU658" s="38"/>
      <c r="BV658" s="38"/>
      <c r="BW658" s="38"/>
      <c r="BX658" s="38"/>
      <c r="BY658" s="38"/>
      <c r="BZ658" s="38"/>
      <c r="CA658" s="38"/>
      <c r="CB658" s="38"/>
      <c r="CC658" s="38"/>
      <c r="CD658" s="38"/>
      <c r="CE658" s="38"/>
      <c r="CF658" s="38"/>
      <c r="CG658" s="38"/>
      <c r="CH658" s="38"/>
      <c r="CI658" s="38"/>
      <c r="CJ658" s="38"/>
      <c r="CK658" s="38"/>
      <c r="CL658" s="38"/>
      <c r="CM658" s="38"/>
      <c r="CN658" s="38"/>
      <c r="CO658" s="38"/>
      <c r="CP658" s="38"/>
      <c r="CQ658" s="38"/>
      <c r="CR658" s="38"/>
      <c r="CS658" s="38"/>
      <c r="CT658" s="38"/>
      <c r="CU658" s="38"/>
      <c r="CV658" s="115"/>
    </row>
    <row r="659" spans="1:100" ht="16.5" customHeight="1" x14ac:dyDescent="0.2">
      <c r="A659" s="113">
        <f>$A$647+11</f>
        <v>191</v>
      </c>
      <c r="B659" s="113" t="s">
        <v>1143</v>
      </c>
      <c r="C659" s="113" t="s">
        <v>92</v>
      </c>
      <c r="D659" s="113"/>
      <c r="E659" s="113"/>
      <c r="F659" s="113"/>
      <c r="G659" s="113" t="s">
        <v>1154</v>
      </c>
      <c r="H659" s="113">
        <v>1</v>
      </c>
      <c r="I659" s="113"/>
      <c r="J659" s="113" t="b">
        <f t="shared" si="69"/>
        <v>1</v>
      </c>
      <c r="K659" s="113" t="b">
        <v>1</v>
      </c>
      <c r="L659" s="113"/>
      <c r="M659" s="113"/>
      <c r="N659" s="113"/>
      <c r="O659" s="113" t="str">
        <f t="shared" si="70"/>
        <v>$B$191</v>
      </c>
      <c r="P659" s="113" t="str">
        <f t="shared" si="71"/>
        <v>$BK$191</v>
      </c>
      <c r="Q659" s="113"/>
      <c r="R659" s="113"/>
      <c r="S659" s="113"/>
      <c r="T659" s="113">
        <v>25</v>
      </c>
      <c r="U659" s="113"/>
      <c r="V659" s="113" t="s">
        <v>1342</v>
      </c>
      <c r="W659" s="113"/>
      <c r="X659" s="113"/>
      <c r="Y659" s="113"/>
      <c r="Z659" s="113"/>
      <c r="AA659" s="113"/>
      <c r="AB659" s="113"/>
      <c r="AC659" s="113"/>
      <c r="AD659" s="113"/>
      <c r="AE659" s="113"/>
      <c r="AF659" s="113"/>
      <c r="AG659" s="113"/>
      <c r="AH659" s="113"/>
      <c r="AI659" s="113"/>
      <c r="AJ659" s="113"/>
      <c r="AK659" s="113"/>
      <c r="AL659" s="113"/>
      <c r="AM659" s="113"/>
      <c r="AN659" s="113"/>
      <c r="AO659" s="113"/>
      <c r="AP659" s="113" t="b">
        <v>1</v>
      </c>
      <c r="AQ659" s="307"/>
      <c r="AR659" s="307"/>
      <c r="AS659" s="307"/>
      <c r="AT659" s="307"/>
      <c r="AU659" s="307"/>
      <c r="AV659" s="307"/>
      <c r="AW659" s="8"/>
      <c r="AX659" s="8"/>
      <c r="AY659" s="39"/>
      <c r="AZ659" s="39"/>
      <c r="BA659" s="39"/>
      <c r="BB659" s="39"/>
      <c r="BC659" s="39"/>
      <c r="BD659" s="39"/>
      <c r="BE659" s="39"/>
      <c r="BF659" s="39"/>
      <c r="BG659" s="39"/>
      <c r="BH659" s="39"/>
      <c r="BI659" s="39"/>
      <c r="BJ659" s="39"/>
      <c r="BK659" s="39"/>
      <c r="BL659" s="39"/>
      <c r="BM659" s="39"/>
      <c r="BN659" s="39"/>
      <c r="BO659" s="39"/>
      <c r="BP659" s="39"/>
      <c r="BQ659" s="39"/>
      <c r="BR659" s="39"/>
      <c r="BS659" s="39"/>
      <c r="BT659" s="39"/>
      <c r="BU659" s="39"/>
      <c r="BV659" s="39"/>
      <c r="BW659" s="39"/>
      <c r="BX659" s="39"/>
      <c r="BY659" s="39"/>
      <c r="BZ659" s="39"/>
      <c r="CA659" s="39"/>
      <c r="CB659" s="39"/>
      <c r="CC659" s="39"/>
      <c r="CD659" s="39"/>
      <c r="CE659" s="39"/>
      <c r="CF659" s="39"/>
      <c r="CG659" s="39"/>
      <c r="CH659" s="39"/>
      <c r="CI659" s="39"/>
      <c r="CJ659" s="39"/>
      <c r="CK659" s="39"/>
      <c r="CL659" s="39"/>
      <c r="CM659" s="39"/>
      <c r="CN659" s="39"/>
      <c r="CO659" s="39"/>
      <c r="CP659" s="39"/>
      <c r="CQ659" s="39"/>
      <c r="CR659" s="39"/>
      <c r="CS659" s="39"/>
      <c r="CT659" s="39"/>
      <c r="CU659" s="39"/>
      <c r="CV659" s="115"/>
    </row>
    <row r="660" spans="1:100" ht="16.5" customHeight="1" x14ac:dyDescent="0.2">
      <c r="A660" s="113">
        <f>$A$647+12</f>
        <v>192</v>
      </c>
      <c r="B660" s="113" t="s">
        <v>1144</v>
      </c>
      <c r="C660" s="113" t="s">
        <v>92</v>
      </c>
      <c r="D660" s="113"/>
      <c r="E660" s="113"/>
      <c r="F660" s="113"/>
      <c r="G660" s="113" t="s">
        <v>1154</v>
      </c>
      <c r="H660" s="113">
        <v>1</v>
      </c>
      <c r="I660" s="113"/>
      <c r="J660" s="113" t="b">
        <f t="shared" si="69"/>
        <v>1</v>
      </c>
      <c r="K660" s="113" t="b">
        <v>1</v>
      </c>
      <c r="L660" s="113"/>
      <c r="M660" s="113"/>
      <c r="N660" s="113"/>
      <c r="O660" s="113" t="str">
        <f t="shared" si="70"/>
        <v>$B$192</v>
      </c>
      <c r="P660" s="113" t="str">
        <f t="shared" si="71"/>
        <v>$BK$192</v>
      </c>
      <c r="Q660" s="113"/>
      <c r="R660" s="113"/>
      <c r="S660" s="113"/>
      <c r="T660" s="113">
        <v>25</v>
      </c>
      <c r="U660" s="113"/>
      <c r="V660" s="113" t="s">
        <v>1342</v>
      </c>
      <c r="W660" s="113"/>
      <c r="X660" s="113"/>
      <c r="Y660" s="113"/>
      <c r="Z660" s="113"/>
      <c r="AA660" s="113"/>
      <c r="AB660" s="113"/>
      <c r="AC660" s="113"/>
      <c r="AD660" s="113"/>
      <c r="AE660" s="113"/>
      <c r="AF660" s="113"/>
      <c r="AG660" s="113"/>
      <c r="AH660" s="113"/>
      <c r="AI660" s="113"/>
      <c r="AJ660" s="113"/>
      <c r="AK660" s="113"/>
      <c r="AL660" s="113"/>
      <c r="AM660" s="113"/>
      <c r="AN660" s="113"/>
      <c r="AO660" s="113"/>
      <c r="AP660" s="113" t="b">
        <v>1</v>
      </c>
      <c r="AQ660" s="307" t="s">
        <v>82</v>
      </c>
      <c r="AR660" s="307"/>
      <c r="AS660" s="307"/>
      <c r="AT660" s="307"/>
      <c r="AU660" s="307"/>
      <c r="AV660" s="307"/>
      <c r="AW660" s="9"/>
      <c r="AX660" s="9"/>
      <c r="AY660" s="39"/>
      <c r="AZ660" s="39"/>
      <c r="BA660" s="39"/>
      <c r="BB660" s="39"/>
      <c r="BC660" s="39"/>
      <c r="BD660" s="39"/>
      <c r="BE660" s="39"/>
      <c r="BF660" s="39"/>
      <c r="BG660" s="39"/>
      <c r="BH660" s="39"/>
      <c r="BI660" s="39"/>
      <c r="BJ660" s="39"/>
      <c r="BK660" s="39"/>
      <c r="BL660" s="39"/>
      <c r="BM660" s="39"/>
      <c r="BN660" s="39"/>
      <c r="BO660" s="39"/>
      <c r="BP660" s="39"/>
      <c r="BQ660" s="39"/>
      <c r="BR660" s="39"/>
      <c r="BS660" s="39"/>
      <c r="BT660" s="39"/>
      <c r="BU660" s="39"/>
      <c r="BV660" s="39"/>
      <c r="BW660" s="39"/>
      <c r="BX660" s="39"/>
      <c r="BY660" s="39"/>
      <c r="BZ660" s="39"/>
      <c r="CA660" s="39"/>
      <c r="CB660" s="39"/>
      <c r="CC660" s="39"/>
      <c r="CD660" s="39"/>
      <c r="CE660" s="39"/>
      <c r="CF660" s="39"/>
      <c r="CG660" s="39"/>
      <c r="CH660" s="39"/>
      <c r="CI660" s="39"/>
      <c r="CJ660" s="39"/>
      <c r="CK660" s="39"/>
      <c r="CL660" s="39"/>
      <c r="CM660" s="39"/>
      <c r="CN660" s="39"/>
      <c r="CO660" s="39"/>
      <c r="CP660" s="39"/>
      <c r="CQ660" s="39"/>
      <c r="CR660" s="39"/>
      <c r="CS660" s="39"/>
      <c r="CT660" s="39"/>
      <c r="CU660" s="39"/>
      <c r="CV660" s="115"/>
    </row>
    <row r="661" spans="1:100" ht="16.5" customHeight="1" x14ac:dyDescent="0.2">
      <c r="A661" s="113">
        <f>$A$647+13</f>
        <v>193</v>
      </c>
      <c r="B661" s="113" t="s">
        <v>1145</v>
      </c>
      <c r="C661" s="113" t="s">
        <v>92</v>
      </c>
      <c r="D661" s="113"/>
      <c r="E661" s="113"/>
      <c r="F661" s="113"/>
      <c r="G661" s="113" t="s">
        <v>1154</v>
      </c>
      <c r="H661" s="113">
        <v>1</v>
      </c>
      <c r="I661" s="113"/>
      <c r="J661" s="113" t="b">
        <f t="shared" si="69"/>
        <v>1</v>
      </c>
      <c r="K661" s="113" t="b">
        <v>1</v>
      </c>
      <c r="L661" s="113"/>
      <c r="M661" s="113"/>
      <c r="N661" s="113"/>
      <c r="O661" s="113" t="str">
        <f t="shared" si="70"/>
        <v>$B$193</v>
      </c>
      <c r="P661" s="113" t="str">
        <f t="shared" si="71"/>
        <v>$BK$193</v>
      </c>
      <c r="Q661" s="113"/>
      <c r="R661" s="113"/>
      <c r="S661" s="113"/>
      <c r="T661" s="113">
        <v>25</v>
      </c>
      <c r="U661" s="113"/>
      <c r="V661" s="113" t="s">
        <v>1342</v>
      </c>
      <c r="W661" s="113"/>
      <c r="X661" s="113"/>
      <c r="Y661" s="113"/>
      <c r="Z661" s="113"/>
      <c r="AA661" s="113"/>
      <c r="AB661" s="113"/>
      <c r="AC661" s="113"/>
      <c r="AD661" s="113"/>
      <c r="AE661" s="113"/>
      <c r="AF661" s="113"/>
      <c r="AG661" s="113"/>
      <c r="AH661" s="113"/>
      <c r="AI661" s="113"/>
      <c r="AJ661" s="113"/>
      <c r="AK661" s="113"/>
      <c r="AL661" s="113"/>
      <c r="AM661" s="113"/>
      <c r="AN661" s="113"/>
      <c r="AO661" s="113"/>
      <c r="AP661" s="113" t="b">
        <v>1</v>
      </c>
      <c r="AQ661" s="316" t="s">
        <v>83</v>
      </c>
      <c r="AR661" s="316"/>
      <c r="AS661" s="316"/>
      <c r="AT661" s="316"/>
      <c r="AU661" s="316"/>
      <c r="AV661" s="316"/>
      <c r="AW661" s="85"/>
      <c r="AX661" s="85"/>
      <c r="AY661" s="39"/>
      <c r="AZ661" s="39"/>
      <c r="BA661" s="39"/>
      <c r="BB661" s="39"/>
      <c r="BC661" s="39"/>
      <c r="BD661" s="39"/>
      <c r="BE661" s="39"/>
      <c r="BF661" s="39"/>
      <c r="BG661" s="39"/>
      <c r="BH661" s="39"/>
      <c r="BI661" s="39"/>
      <c r="BJ661" s="39"/>
      <c r="BK661" s="39"/>
      <c r="BL661" s="39"/>
      <c r="BM661" s="39"/>
      <c r="BN661" s="39"/>
      <c r="BO661" s="39"/>
      <c r="BP661" s="39"/>
      <c r="BQ661" s="39"/>
      <c r="BR661" s="39"/>
      <c r="BS661" s="39"/>
      <c r="BT661" s="39"/>
      <c r="BU661" s="39"/>
      <c r="BV661" s="39"/>
      <c r="BW661" s="39"/>
      <c r="BX661" s="39"/>
      <c r="BY661" s="39"/>
      <c r="BZ661" s="39"/>
      <c r="CA661" s="39"/>
      <c r="CB661" s="39"/>
      <c r="CC661" s="39"/>
      <c r="CD661" s="39"/>
      <c r="CE661" s="39"/>
      <c r="CF661" s="39"/>
      <c r="CG661" s="39"/>
      <c r="CH661" s="39"/>
      <c r="CI661" s="39"/>
      <c r="CJ661" s="39"/>
      <c r="CK661" s="39"/>
      <c r="CL661" s="39"/>
      <c r="CM661" s="39"/>
      <c r="CN661" s="39"/>
      <c r="CO661" s="39"/>
      <c r="CP661" s="39"/>
      <c r="CQ661" s="39"/>
      <c r="CR661" s="39"/>
      <c r="CS661" s="39"/>
      <c r="CT661" s="39"/>
      <c r="CU661" s="39"/>
      <c r="CV661" s="115"/>
    </row>
    <row r="662" spans="1:100" ht="16.5" customHeight="1" x14ac:dyDescent="0.2">
      <c r="A662" s="110">
        <f>$A$647+-1</f>
        <v>179</v>
      </c>
      <c r="B662" s="110" t="str">
        <f>D662&amp;"Red"</f>
        <v>FP_Main1OmkostTable_1Red</v>
      </c>
      <c r="C662" s="110" t="s">
        <v>656</v>
      </c>
      <c r="D662" s="110" t="s">
        <v>931</v>
      </c>
      <c r="E662" s="110" t="s">
        <v>930</v>
      </c>
      <c r="F662" s="110"/>
      <c r="G662" s="110" t="s">
        <v>1154</v>
      </c>
      <c r="H662" s="110">
        <v>1</v>
      </c>
      <c r="I662" s="110" t="s">
        <v>1247</v>
      </c>
      <c r="J662" s="110" t="b">
        <f t="shared" si="69"/>
        <v>1</v>
      </c>
      <c r="K662" s="110" t="b">
        <v>1</v>
      </c>
      <c r="L662" s="110"/>
      <c r="M662" s="110" t="str">
        <f>"'editNorm """&amp;D662&amp;""","""&amp;B662&amp;""","""&amp;E662&amp;"""'"</f>
        <v>'editNorm "FP_Main1OmkostTable_1","FP_Main1OmkostTable_1Red","OmkostTable"'</v>
      </c>
      <c r="N662" s="110" t="s">
        <v>59</v>
      </c>
      <c r="O662" s="110" t="str">
        <f>"$L$"&amp;A662</f>
        <v>$L$179</v>
      </c>
      <c r="P662" s="110" t="str">
        <f>"$M$"&amp;A662</f>
        <v>$M$179</v>
      </c>
      <c r="Q662" s="110">
        <v>5</v>
      </c>
      <c r="R662" s="110">
        <v>1</v>
      </c>
      <c r="S662" s="110"/>
      <c r="T662" s="110">
        <v>22</v>
      </c>
      <c r="U662" s="110" t="b">
        <v>1</v>
      </c>
      <c r="V662" s="110" t="s">
        <v>1344</v>
      </c>
      <c r="W662" s="110" t="s">
        <v>1343</v>
      </c>
      <c r="X662" s="110"/>
      <c r="Y662" s="110"/>
      <c r="Z662" s="110"/>
      <c r="AA662" s="110"/>
      <c r="AB662" s="110">
        <v>3</v>
      </c>
      <c r="AC662" s="110">
        <v>5</v>
      </c>
      <c r="AD662" s="110" t="s">
        <v>105</v>
      </c>
      <c r="AE662" s="110">
        <v>12</v>
      </c>
      <c r="AF662" s="110"/>
      <c r="AG662" s="110" t="s">
        <v>1351</v>
      </c>
      <c r="AH662" s="110" t="s">
        <v>29</v>
      </c>
      <c r="AI662" s="110" t="s">
        <v>29</v>
      </c>
      <c r="AJ662" s="110"/>
      <c r="AK662" s="110"/>
      <c r="AL662" s="110"/>
      <c r="AM662" s="110"/>
      <c r="AN662" s="110">
        <v>2</v>
      </c>
      <c r="AO662" s="110"/>
      <c r="AP662" s="110"/>
    </row>
    <row r="663" spans="1:100" ht="16.5" customHeight="1" x14ac:dyDescent="0.2">
      <c r="A663" s="110">
        <f>$A$647+-1</f>
        <v>179</v>
      </c>
      <c r="B663" s="110" t="str">
        <f>D663&amp;"Gem"</f>
        <v>FP_Main1OmkostTable_1Gem</v>
      </c>
      <c r="C663" s="110" t="s">
        <v>656</v>
      </c>
      <c r="D663" s="110" t="s">
        <v>931</v>
      </c>
      <c r="E663" s="110" t="s">
        <v>930</v>
      </c>
      <c r="F663" s="110"/>
      <c r="G663" s="110" t="s">
        <v>1154</v>
      </c>
      <c r="H663" s="110">
        <v>1</v>
      </c>
      <c r="I663" s="110" t="s">
        <v>238</v>
      </c>
      <c r="J663" s="110" t="b">
        <f t="shared" si="69"/>
        <v>1</v>
      </c>
      <c r="K663" s="110"/>
      <c r="L663" s="110"/>
      <c r="M663" s="110" t="str">
        <f>"'editNorm """&amp;D663&amp;""","""&amp;B663&amp;""","""&amp;E663&amp;"""'"</f>
        <v>'editNorm "FP_Main1OmkostTable_1","FP_Main1OmkostTable_1Gem","OmkostTable"'</v>
      </c>
      <c r="N663" s="110" t="s">
        <v>59</v>
      </c>
      <c r="O663" s="110" t="str">
        <f>"$L$"&amp;A663</f>
        <v>$L$179</v>
      </c>
      <c r="P663" s="110" t="str">
        <f>"$L$"&amp;A663</f>
        <v>$L$179</v>
      </c>
      <c r="Q663" s="110">
        <v>5</v>
      </c>
      <c r="R663" s="110">
        <v>1</v>
      </c>
      <c r="S663" s="110"/>
      <c r="T663" s="110">
        <v>22</v>
      </c>
      <c r="U663" s="110" t="b">
        <v>1</v>
      </c>
      <c r="V663" s="110" t="s">
        <v>1345</v>
      </c>
      <c r="W663" s="110" t="s">
        <v>1343</v>
      </c>
      <c r="X663" s="110"/>
      <c r="Y663" s="110"/>
      <c r="Z663" s="110"/>
      <c r="AA663" s="110"/>
      <c r="AB663" s="110">
        <v>3</v>
      </c>
      <c r="AC663" s="110">
        <v>5</v>
      </c>
      <c r="AD663" s="110" t="s">
        <v>105</v>
      </c>
      <c r="AE663" s="110">
        <v>12</v>
      </c>
      <c r="AF663" s="110"/>
      <c r="AG663" s="110" t="s">
        <v>1351</v>
      </c>
      <c r="AH663" s="110" t="s">
        <v>29</v>
      </c>
      <c r="AI663" s="110" t="s">
        <v>29</v>
      </c>
      <c r="AJ663" s="110"/>
      <c r="AK663" s="110"/>
      <c r="AL663" s="110"/>
      <c r="AM663" s="110"/>
      <c r="AN663" s="110">
        <v>2</v>
      </c>
      <c r="AO663" s="110"/>
      <c r="AP663" s="110"/>
    </row>
    <row r="664" spans="1:100" ht="16.5" customHeight="1" x14ac:dyDescent="0.2">
      <c r="A664" s="110">
        <f>$A$647+-1</f>
        <v>179</v>
      </c>
      <c r="B664" s="110" t="str">
        <f>D664&amp;"Cancel"</f>
        <v>FP_Main1OmkostTable_1Cancel</v>
      </c>
      <c r="C664" s="110" t="s">
        <v>656</v>
      </c>
      <c r="D664" s="110" t="s">
        <v>931</v>
      </c>
      <c r="E664" s="110" t="s">
        <v>930</v>
      </c>
      <c r="F664" s="110"/>
      <c r="G664" s="110" t="s">
        <v>1154</v>
      </c>
      <c r="H664" s="110">
        <v>1</v>
      </c>
      <c r="I664" s="110" t="s">
        <v>838</v>
      </c>
      <c r="J664" s="110" t="b">
        <f t="shared" si="69"/>
        <v>1</v>
      </c>
      <c r="K664" s="110"/>
      <c r="L664" s="110"/>
      <c r="M664" s="110" t="str">
        <f>"'editNorm """&amp;D664&amp;""","""&amp;B664&amp;""","""&amp;E664&amp;"""'"</f>
        <v>'editNorm "FP_Main1OmkostTable_1","FP_Main1OmkostTable_1Cancel","OmkostTable"'</v>
      </c>
      <c r="N664" s="110" t="s">
        <v>59</v>
      </c>
      <c r="O664" s="110" t="str">
        <f>"$M$"&amp;A664</f>
        <v>$M$179</v>
      </c>
      <c r="P664" s="110" t="str">
        <f>"$M$"&amp;A664</f>
        <v>$M$179</v>
      </c>
      <c r="Q664" s="110">
        <v>7</v>
      </c>
      <c r="R664" s="110">
        <v>1</v>
      </c>
      <c r="S664" s="110"/>
      <c r="T664" s="110">
        <v>22</v>
      </c>
      <c r="U664" s="110" t="b">
        <v>1</v>
      </c>
      <c r="V664" s="110" t="s">
        <v>1344</v>
      </c>
      <c r="W664" s="110" t="s">
        <v>1343</v>
      </c>
      <c r="X664" s="110"/>
      <c r="Y664" s="110"/>
      <c r="Z664" s="110"/>
      <c r="AA664" s="110"/>
      <c r="AB664" s="110">
        <v>3</v>
      </c>
      <c r="AC664" s="110">
        <v>5</v>
      </c>
      <c r="AD664" s="110" t="s">
        <v>105</v>
      </c>
      <c r="AE664" s="110">
        <v>12</v>
      </c>
      <c r="AF664" s="110"/>
      <c r="AG664" s="110" t="s">
        <v>1351</v>
      </c>
      <c r="AH664" s="110" t="s">
        <v>29</v>
      </c>
      <c r="AI664" s="110" t="s">
        <v>29</v>
      </c>
      <c r="AJ664" s="110"/>
      <c r="AK664" s="110"/>
      <c r="AL664" s="110"/>
      <c r="AM664" s="110"/>
      <c r="AN664" s="110">
        <v>2</v>
      </c>
      <c r="AO664" s="110"/>
      <c r="AP664" s="110"/>
    </row>
    <row r="665" spans="1:100" ht="16.5" customHeight="1" x14ac:dyDescent="0.2">
      <c r="A665" s="110">
        <f>$A$647+-1</f>
        <v>179</v>
      </c>
      <c r="B665" s="110" t="str">
        <f>D665&amp;"Delete"</f>
        <v>FP_Main1OmkostTable_1Delete</v>
      </c>
      <c r="C665" s="110" t="s">
        <v>656</v>
      </c>
      <c r="D665" s="110" t="s">
        <v>931</v>
      </c>
      <c r="E665" s="110" t="s">
        <v>930</v>
      </c>
      <c r="F665" s="110"/>
      <c r="G665" s="110" t="s">
        <v>1154</v>
      </c>
      <c r="H665" s="110">
        <v>1</v>
      </c>
      <c r="I665" s="110" t="s">
        <v>1266</v>
      </c>
      <c r="J665" s="110" t="b">
        <f t="shared" si="69"/>
        <v>1</v>
      </c>
      <c r="K665" s="110"/>
      <c r="L665" s="110"/>
      <c r="M665" s="110" t="str">
        <f>"'editNorm """&amp;D665&amp;""","""&amp;B665&amp;""","""&amp;E665&amp;"""'"</f>
        <v>'editNorm "FP_Main1OmkostTable_1","FP_Main1OmkostTable_1Delete","OmkostTable"'</v>
      </c>
      <c r="N665" s="110" t="s">
        <v>59</v>
      </c>
      <c r="O665" s="110" t="str">
        <f>"$N$"&amp;A665</f>
        <v>$N$179</v>
      </c>
      <c r="P665" s="110" t="str">
        <f>"$N$"&amp;A665</f>
        <v>$N$179</v>
      </c>
      <c r="Q665" s="110">
        <v>7</v>
      </c>
      <c r="R665" s="110">
        <v>1</v>
      </c>
      <c r="S665" s="110"/>
      <c r="T665" s="110">
        <v>22</v>
      </c>
      <c r="U665" s="110" t="b">
        <v>1</v>
      </c>
      <c r="V665" s="110" t="s">
        <v>1346</v>
      </c>
      <c r="W665" s="110" t="s">
        <v>1343</v>
      </c>
      <c r="X665" s="110"/>
      <c r="Y665" s="110"/>
      <c r="Z665" s="110"/>
      <c r="AA665" s="110"/>
      <c r="AB665" s="110">
        <v>3</v>
      </c>
      <c r="AC665" s="110">
        <v>5</v>
      </c>
      <c r="AD665" s="110" t="s">
        <v>105</v>
      </c>
      <c r="AE665" s="110">
        <v>12</v>
      </c>
      <c r="AF665" s="110"/>
      <c r="AG665" s="110" t="s">
        <v>1351</v>
      </c>
      <c r="AH665" s="110" t="s">
        <v>29</v>
      </c>
      <c r="AI665" s="110" t="s">
        <v>29</v>
      </c>
      <c r="AJ665" s="110"/>
      <c r="AK665" s="110"/>
      <c r="AL665" s="110"/>
      <c r="AM665" s="110"/>
      <c r="AN665" s="110">
        <v>2</v>
      </c>
      <c r="AO665" s="110"/>
      <c r="AP665" s="110"/>
    </row>
    <row r="666" spans="1:100" ht="16.5" customHeight="1" x14ac:dyDescent="0.2">
      <c r="A666" s="107">
        <f>$O$627+(P627-O627+1)*(H627-1)-1</f>
        <v>193</v>
      </c>
      <c r="B666" s="107" t="s">
        <v>930</v>
      </c>
      <c r="C666" s="107" t="s">
        <v>663</v>
      </c>
      <c r="D666" s="107"/>
      <c r="E666" s="107"/>
      <c r="F666" s="107"/>
      <c r="G666" s="107" t="s">
        <v>1154</v>
      </c>
      <c r="H666" s="107"/>
      <c r="I666" s="107"/>
      <c r="J666" s="107" t="b">
        <f t="shared" si="69"/>
        <v>1</v>
      </c>
      <c r="K666" s="107"/>
      <c r="L666" s="107"/>
      <c r="M666" s="107"/>
      <c r="N666" s="107"/>
      <c r="O666" s="107"/>
      <c r="P666" s="107"/>
      <c r="Q666" s="107"/>
      <c r="R666" s="107"/>
      <c r="S666" s="107"/>
      <c r="T666" s="107"/>
      <c r="U666" s="107"/>
      <c r="V666" s="107"/>
      <c r="W666" s="107"/>
      <c r="X666" s="107"/>
      <c r="Y666" s="107"/>
      <c r="Z666" s="107"/>
      <c r="AA666" s="107"/>
      <c r="AB666" s="107"/>
      <c r="AC666" s="107"/>
      <c r="AD666" s="107"/>
      <c r="AE666" s="107"/>
      <c r="AF666" s="107"/>
      <c r="AG666" s="107"/>
      <c r="AH666" s="107"/>
      <c r="AI666" s="107"/>
      <c r="AJ666" s="107"/>
      <c r="AK666" s="107"/>
      <c r="AL666" s="107"/>
      <c r="AM666" s="107"/>
      <c r="AN666" s="107"/>
      <c r="AO666" s="107"/>
      <c r="AP666" s="107"/>
    </row>
    <row r="667" spans="1:100" ht="16.5" customHeight="1" x14ac:dyDescent="0.2">
      <c r="A667" s="103">
        <f>$A$666+3</f>
        <v>196</v>
      </c>
      <c r="B667" s="103" t="s">
        <v>1207</v>
      </c>
      <c r="C667" s="103" t="s">
        <v>654</v>
      </c>
      <c r="D667" s="103"/>
      <c r="E667" s="103"/>
      <c r="F667" s="103"/>
      <c r="G667" s="103" t="s">
        <v>1154</v>
      </c>
      <c r="H667" s="103" t="s">
        <v>1126</v>
      </c>
      <c r="I667" s="103" t="s">
        <v>292</v>
      </c>
      <c r="J667" s="103" t="b">
        <f t="shared" si="69"/>
        <v>1</v>
      </c>
      <c r="K667" s="103" t="b">
        <v>1</v>
      </c>
      <c r="L667" s="103" t="b">
        <v>1</v>
      </c>
      <c r="M667" s="103" t="str">
        <f>"'expand """&amp;B667&amp;""","""&amp;G667&amp;""",TRUE'"</f>
        <v>'expand "FP_Main1PloY","Forside",TRUE'</v>
      </c>
      <c r="N667" s="103" t="s">
        <v>59</v>
      </c>
      <c r="O667" s="103" t="str">
        <f>"$B$"&amp;A667</f>
        <v>$B$196</v>
      </c>
      <c r="P667" s="103" t="str">
        <f>"$M$" &amp;A680 -1</f>
        <v>$M$199</v>
      </c>
      <c r="Q667" s="103"/>
      <c r="R667" s="103">
        <v>1</v>
      </c>
      <c r="S667" s="103"/>
      <c r="T667" s="103">
        <v>40</v>
      </c>
      <c r="U667" s="103" t="b">
        <v>1</v>
      </c>
      <c r="V667" s="103" t="s">
        <v>1344</v>
      </c>
      <c r="W667" s="103" t="s">
        <v>1343</v>
      </c>
      <c r="X667" s="103"/>
      <c r="Y667" s="103"/>
      <c r="Z667" s="103"/>
      <c r="AA667" s="103"/>
      <c r="AB667" s="103"/>
      <c r="AC667" s="103">
        <v>30</v>
      </c>
      <c r="AD667" s="103" t="s">
        <v>105</v>
      </c>
      <c r="AE667" s="103">
        <v>18</v>
      </c>
      <c r="AF667" s="103" t="b">
        <v>0</v>
      </c>
      <c r="AG667" s="103" t="s">
        <v>1351</v>
      </c>
      <c r="AH667" s="103" t="s">
        <v>29</v>
      </c>
      <c r="AI667" s="103" t="s">
        <v>28</v>
      </c>
      <c r="AJ667" s="103"/>
      <c r="AK667" s="103"/>
      <c r="AL667" s="103"/>
      <c r="AM667" s="103"/>
      <c r="AN667" s="103">
        <v>8</v>
      </c>
      <c r="AO667" s="103">
        <v>135</v>
      </c>
      <c r="AP667" s="103"/>
    </row>
    <row r="668" spans="1:100" ht="16.5" customHeight="1" x14ac:dyDescent="0.2">
      <c r="A668" s="107">
        <f>$A$667+2</f>
        <v>198</v>
      </c>
      <c r="B668" s="107" t="s">
        <v>1208</v>
      </c>
      <c r="C668" s="107" t="s">
        <v>663</v>
      </c>
      <c r="D668" s="107"/>
      <c r="E668" s="107" t="s">
        <v>1208</v>
      </c>
      <c r="F668" s="107"/>
      <c r="G668" s="107" t="s">
        <v>1154</v>
      </c>
      <c r="H668" s="107">
        <v>2</v>
      </c>
      <c r="I668" s="107">
        <v>5</v>
      </c>
      <c r="J668" s="107" t="b">
        <f t="shared" si="69"/>
        <v>1</v>
      </c>
      <c r="K668" s="107"/>
      <c r="L668" s="107"/>
      <c r="M668" s="107"/>
      <c r="N668" s="107"/>
      <c r="O668" s="107">
        <f>A668</f>
        <v>198</v>
      </c>
      <c r="P668" s="107">
        <f>O668</f>
        <v>198</v>
      </c>
      <c r="Q668" s="107"/>
      <c r="R668" s="107"/>
      <c r="S668" s="107"/>
      <c r="T668" s="107"/>
      <c r="U668" s="107"/>
      <c r="V668" s="107"/>
      <c r="W668" s="107"/>
      <c r="X668" s="107"/>
      <c r="Y668" s="107"/>
      <c r="Z668" s="107"/>
      <c r="AA668" s="107"/>
      <c r="AB668" s="107"/>
      <c r="AC668" s="107"/>
      <c r="AD668" s="107"/>
      <c r="AE668" s="107"/>
      <c r="AF668" s="107"/>
      <c r="AG668" s="107"/>
      <c r="AH668" s="107"/>
      <c r="AI668" s="107"/>
      <c r="AJ668" s="107"/>
      <c r="AK668" s="107"/>
      <c r="AL668" s="107"/>
      <c r="AM668" s="107"/>
      <c r="AN668" s="107"/>
      <c r="AO668" s="107"/>
      <c r="AP668" s="107"/>
      <c r="AQ668" s="93">
        <f>AQ674</f>
        <v>2013</v>
      </c>
    </row>
    <row r="669" spans="1:100" ht="16.5" customHeight="1" x14ac:dyDescent="0.2">
      <c r="A669" s="108">
        <f t="shared" ref="A669:A678" si="75">$A$668+0</f>
        <v>198</v>
      </c>
      <c r="B669" s="109" t="s">
        <v>1209</v>
      </c>
      <c r="C669" s="109" t="s">
        <v>96</v>
      </c>
      <c r="D669" s="109"/>
      <c r="E669" s="109" t="s">
        <v>1208</v>
      </c>
      <c r="F669" s="109"/>
      <c r="G669" s="109" t="s">
        <v>1154</v>
      </c>
      <c r="H669" s="109"/>
      <c r="I669" s="109"/>
      <c r="J669" s="109"/>
      <c r="K669" s="109" t="b">
        <v>1</v>
      </c>
      <c r="L669" s="109"/>
      <c r="M669" s="109"/>
      <c r="N669" s="109"/>
      <c r="O669" s="109" t="str">
        <f>"$D$"&amp;A669</f>
        <v>$D$198</v>
      </c>
      <c r="P669" s="109" t="str">
        <f>"$I$"&amp;A669</f>
        <v>$I$198</v>
      </c>
      <c r="Q669" s="109"/>
      <c r="R669" s="109"/>
      <c r="S669" s="109"/>
      <c r="T669" s="109">
        <v>25</v>
      </c>
      <c r="U669" s="109"/>
      <c r="V669" s="109" t="s">
        <v>1342</v>
      </c>
      <c r="W669" s="109"/>
      <c r="X669" s="109"/>
      <c r="Y669" s="109"/>
      <c r="Z669" s="109"/>
      <c r="AA669" s="109"/>
      <c r="AB669" s="109"/>
      <c r="AC669" s="109"/>
      <c r="AD669" s="109"/>
      <c r="AE669" s="109"/>
      <c r="AF669" s="109"/>
      <c r="AG669" s="109"/>
      <c r="AH669" s="109"/>
      <c r="AI669" s="109"/>
      <c r="AJ669" s="109"/>
      <c r="AK669" s="109"/>
      <c r="AL669" s="109"/>
      <c r="AM669" s="109"/>
      <c r="AN669" s="109"/>
      <c r="AO669" s="109"/>
      <c r="AP669" s="109" t="b">
        <v>1</v>
      </c>
      <c r="AQ669" s="296">
        <v>2013</v>
      </c>
      <c r="AR669" s="296"/>
      <c r="AS669" s="296"/>
      <c r="AT669" s="296"/>
      <c r="AU669" s="296"/>
      <c r="AV669" s="296"/>
    </row>
    <row r="670" spans="1:100" ht="16.5" customHeight="1" x14ac:dyDescent="0.2">
      <c r="A670" s="108">
        <f t="shared" si="75"/>
        <v>198</v>
      </c>
      <c r="B670" s="110" t="str">
        <f>D670&amp;"Red"</f>
        <v>FP_PloYRepYRed</v>
      </c>
      <c r="C670" s="110" t="s">
        <v>656</v>
      </c>
      <c r="D670" s="110" t="s">
        <v>1209</v>
      </c>
      <c r="E670" s="110" t="s">
        <v>1208</v>
      </c>
      <c r="F670" s="110"/>
      <c r="G670" s="110" t="s">
        <v>1154</v>
      </c>
      <c r="H670" s="110"/>
      <c r="I670" s="110" t="s">
        <v>1247</v>
      </c>
      <c r="J670" s="110"/>
      <c r="K670" s="110" t="b">
        <v>1</v>
      </c>
      <c r="L670" s="110"/>
      <c r="M670" s="110" t="str">
        <f>"'editNorm """&amp;D670&amp;""","""&amp;B670&amp;""","""&amp;E670&amp;"""'"</f>
        <v>'editNorm "FP_PloYRepY","FP_PloYRepYRed","PloYRep"'</v>
      </c>
      <c r="N670" s="110" t="s">
        <v>59</v>
      </c>
      <c r="O670" s="110" t="str">
        <f>"$L$"&amp;A670</f>
        <v>$L$198</v>
      </c>
      <c r="P670" s="110" t="str">
        <f>"$M$"&amp;A670</f>
        <v>$M$198</v>
      </c>
      <c r="Q670" s="110">
        <v>5</v>
      </c>
      <c r="R670" s="110">
        <v>1</v>
      </c>
      <c r="S670" s="110"/>
      <c r="T670" s="110">
        <v>22</v>
      </c>
      <c r="U670" s="110" t="b">
        <v>1</v>
      </c>
      <c r="V670" s="110" t="s">
        <v>1344</v>
      </c>
      <c r="W670" s="110" t="s">
        <v>1343</v>
      </c>
      <c r="X670" s="110"/>
      <c r="Y670" s="110"/>
      <c r="Z670" s="110"/>
      <c r="AA670" s="110"/>
      <c r="AB670" s="110">
        <v>3</v>
      </c>
      <c r="AC670" s="110">
        <v>5</v>
      </c>
      <c r="AD670" s="110" t="s">
        <v>105</v>
      </c>
      <c r="AE670" s="110">
        <v>12</v>
      </c>
      <c r="AF670" s="110"/>
      <c r="AG670" s="110" t="s">
        <v>1351</v>
      </c>
      <c r="AH670" s="110" t="s">
        <v>29</v>
      </c>
      <c r="AI670" s="110" t="s">
        <v>29</v>
      </c>
      <c r="AJ670" s="110"/>
      <c r="AK670" s="110"/>
      <c r="AL670" s="110"/>
      <c r="AM670" s="110"/>
      <c r="AN670" s="110">
        <v>2</v>
      </c>
      <c r="AO670" s="110"/>
      <c r="AP670" s="110"/>
    </row>
    <row r="671" spans="1:100" ht="16.5" customHeight="1" x14ac:dyDescent="0.2">
      <c r="A671" s="108">
        <f t="shared" si="75"/>
        <v>198</v>
      </c>
      <c r="B671" s="110" t="str">
        <f>D671&amp;"Gem"</f>
        <v>FP_PloYRepYGem</v>
      </c>
      <c r="C671" s="110" t="s">
        <v>656</v>
      </c>
      <c r="D671" s="110" t="s">
        <v>1209</v>
      </c>
      <c r="E671" s="110" t="s">
        <v>1208</v>
      </c>
      <c r="F671" s="110"/>
      <c r="G671" s="110" t="s">
        <v>1154</v>
      </c>
      <c r="H671" s="110"/>
      <c r="I671" s="110" t="s">
        <v>238</v>
      </c>
      <c r="J671" s="110"/>
      <c r="K671" s="110"/>
      <c r="L671" s="110"/>
      <c r="M671" s="110" t="str">
        <f>"'editNorm """&amp;D671&amp;""","""&amp;B671&amp;""","""&amp;E671&amp;"""'"</f>
        <v>'editNorm "FP_PloYRepY","FP_PloYRepYGem","PloYRep"'</v>
      </c>
      <c r="N671" s="110" t="s">
        <v>59</v>
      </c>
      <c r="O671" s="110" t="str">
        <f>"$L$"&amp;A671</f>
        <v>$L$198</v>
      </c>
      <c r="P671" s="110" t="str">
        <f>"$L$"&amp;A671</f>
        <v>$L$198</v>
      </c>
      <c r="Q671" s="110">
        <v>5</v>
      </c>
      <c r="R671" s="110">
        <v>1</v>
      </c>
      <c r="S671" s="110"/>
      <c r="T671" s="110">
        <v>22</v>
      </c>
      <c r="U671" s="110" t="b">
        <v>1</v>
      </c>
      <c r="V671" s="110" t="s">
        <v>1345</v>
      </c>
      <c r="W671" s="110" t="s">
        <v>1343</v>
      </c>
      <c r="X671" s="110"/>
      <c r="Y671" s="110"/>
      <c r="Z671" s="110"/>
      <c r="AA671" s="110"/>
      <c r="AB671" s="110">
        <v>3</v>
      </c>
      <c r="AC671" s="110">
        <v>5</v>
      </c>
      <c r="AD671" s="110" t="s">
        <v>105</v>
      </c>
      <c r="AE671" s="110">
        <v>12</v>
      </c>
      <c r="AF671" s="110"/>
      <c r="AG671" s="110" t="s">
        <v>1351</v>
      </c>
      <c r="AH671" s="110" t="s">
        <v>29</v>
      </c>
      <c r="AI671" s="110" t="s">
        <v>29</v>
      </c>
      <c r="AJ671" s="110"/>
      <c r="AK671" s="110"/>
      <c r="AL671" s="110"/>
      <c r="AM671" s="110"/>
      <c r="AN671" s="110">
        <v>2</v>
      </c>
      <c r="AO671" s="110"/>
      <c r="AP671" s="110"/>
    </row>
    <row r="672" spans="1:100" ht="16.5" customHeight="1" x14ac:dyDescent="0.2">
      <c r="A672" s="108">
        <f t="shared" si="75"/>
        <v>198</v>
      </c>
      <c r="B672" s="110" t="str">
        <f>D672&amp;"Cancel"</f>
        <v>FP_PloYRepYCancel</v>
      </c>
      <c r="C672" s="110" t="s">
        <v>656</v>
      </c>
      <c r="D672" s="110" t="s">
        <v>1209</v>
      </c>
      <c r="E672" s="110" t="s">
        <v>1208</v>
      </c>
      <c r="F672" s="110"/>
      <c r="G672" s="110" t="s">
        <v>1154</v>
      </c>
      <c r="H672" s="110"/>
      <c r="I672" s="110" t="s">
        <v>838</v>
      </c>
      <c r="J672" s="110"/>
      <c r="K672" s="110"/>
      <c r="L672" s="110"/>
      <c r="M672" s="110" t="str">
        <f>"'editNorm """&amp;D672&amp;""","""&amp;B672&amp;""","""&amp;E672&amp;"""'"</f>
        <v>'editNorm "FP_PloYRepY","FP_PloYRepYCancel","PloYRep"'</v>
      </c>
      <c r="N672" s="110" t="s">
        <v>59</v>
      </c>
      <c r="O672" s="110" t="str">
        <f>"$M$"&amp;A672</f>
        <v>$M$198</v>
      </c>
      <c r="P672" s="110" t="str">
        <f>"$M$"&amp;A672</f>
        <v>$M$198</v>
      </c>
      <c r="Q672" s="110">
        <v>7</v>
      </c>
      <c r="R672" s="110">
        <v>1</v>
      </c>
      <c r="S672" s="110"/>
      <c r="T672" s="110">
        <v>22</v>
      </c>
      <c r="U672" s="110" t="b">
        <v>1</v>
      </c>
      <c r="V672" s="110" t="s">
        <v>1344</v>
      </c>
      <c r="W672" s="110" t="s">
        <v>1343</v>
      </c>
      <c r="X672" s="110"/>
      <c r="Y672" s="110"/>
      <c r="Z672" s="110"/>
      <c r="AA672" s="110"/>
      <c r="AB672" s="110">
        <v>3</v>
      </c>
      <c r="AC672" s="110">
        <v>5</v>
      </c>
      <c r="AD672" s="110" t="s">
        <v>105</v>
      </c>
      <c r="AE672" s="110">
        <v>12</v>
      </c>
      <c r="AF672" s="110"/>
      <c r="AG672" s="110" t="s">
        <v>1351</v>
      </c>
      <c r="AH672" s="110" t="s">
        <v>29</v>
      </c>
      <c r="AI672" s="110" t="s">
        <v>29</v>
      </c>
      <c r="AJ672" s="110"/>
      <c r="AK672" s="110"/>
      <c r="AL672" s="110"/>
      <c r="AM672" s="110"/>
      <c r="AN672" s="110">
        <v>2</v>
      </c>
      <c r="AO672" s="110"/>
      <c r="AP672" s="110"/>
    </row>
    <row r="673" spans="1:52" ht="16.5" customHeight="1" x14ac:dyDescent="0.2">
      <c r="A673" s="108">
        <f t="shared" si="75"/>
        <v>198</v>
      </c>
      <c r="B673" s="110" t="str">
        <f>D673&amp;"Delete"</f>
        <v>FP_PloYRepYDelete</v>
      </c>
      <c r="C673" s="110" t="s">
        <v>656</v>
      </c>
      <c r="D673" s="110" t="s">
        <v>1209</v>
      </c>
      <c r="E673" s="110" t="s">
        <v>1208</v>
      </c>
      <c r="F673" s="110"/>
      <c r="G673" s="110" t="s">
        <v>1154</v>
      </c>
      <c r="H673" s="110"/>
      <c r="I673" s="110" t="s">
        <v>1266</v>
      </c>
      <c r="J673" s="110"/>
      <c r="K673" s="110"/>
      <c r="L673" s="110"/>
      <c r="M673" s="110" t="str">
        <f>"'editNorm """&amp;D673&amp;""","""&amp;B673&amp;""","""&amp;E673&amp;"""'"</f>
        <v>'editNorm "FP_PloYRepY","FP_PloYRepYDelete","PloYRep"'</v>
      </c>
      <c r="N673" s="110" t="s">
        <v>59</v>
      </c>
      <c r="O673" s="110" t="str">
        <f>"$N$"&amp;A673</f>
        <v>$N$198</v>
      </c>
      <c r="P673" s="110" t="str">
        <f>"$N$"&amp;A673</f>
        <v>$N$198</v>
      </c>
      <c r="Q673" s="110">
        <v>7</v>
      </c>
      <c r="R673" s="110">
        <v>1</v>
      </c>
      <c r="S673" s="110"/>
      <c r="T673" s="110">
        <v>22</v>
      </c>
      <c r="U673" s="110" t="b">
        <v>1</v>
      </c>
      <c r="V673" s="110" t="s">
        <v>1346</v>
      </c>
      <c r="W673" s="110" t="s">
        <v>1343</v>
      </c>
      <c r="X673" s="110"/>
      <c r="Y673" s="110"/>
      <c r="Z673" s="110"/>
      <c r="AA673" s="110"/>
      <c r="AB673" s="110">
        <v>3</v>
      </c>
      <c r="AC673" s="110">
        <v>5</v>
      </c>
      <c r="AD673" s="110" t="s">
        <v>105</v>
      </c>
      <c r="AE673" s="110">
        <v>12</v>
      </c>
      <c r="AF673" s="110"/>
      <c r="AG673" s="110" t="s">
        <v>1351</v>
      </c>
      <c r="AH673" s="110" t="s">
        <v>29</v>
      </c>
      <c r="AI673" s="110" t="s">
        <v>29</v>
      </c>
      <c r="AJ673" s="110"/>
      <c r="AK673" s="110"/>
      <c r="AL673" s="110"/>
      <c r="AM673" s="110"/>
      <c r="AN673" s="110">
        <v>2</v>
      </c>
      <c r="AO673" s="110"/>
      <c r="AP673" s="110"/>
    </row>
    <row r="674" spans="1:52" ht="16.5" customHeight="1" x14ac:dyDescent="0.2">
      <c r="A674" s="109">
        <f t="shared" si="75"/>
        <v>198</v>
      </c>
      <c r="B674" s="109" t="s">
        <v>1210</v>
      </c>
      <c r="C674" s="109" t="s">
        <v>96</v>
      </c>
      <c r="D674" s="109"/>
      <c r="E674" s="109" t="s">
        <v>1208</v>
      </c>
      <c r="F674" s="109"/>
      <c r="G674" s="109" t="s">
        <v>1154</v>
      </c>
      <c r="H674" s="109">
        <v>1</v>
      </c>
      <c r="I674" s="109"/>
      <c r="J674" s="109" t="b">
        <f t="shared" ref="J674:J683" si="76">$E$4</f>
        <v>1</v>
      </c>
      <c r="K674" s="109" t="b">
        <v>1</v>
      </c>
      <c r="L674" s="109"/>
      <c r="M674" s="109"/>
      <c r="N674" s="109"/>
      <c r="O674" s="109" t="str">
        <f>"$D$"&amp;A674</f>
        <v>$D$198</v>
      </c>
      <c r="P674" s="109" t="str">
        <f>"$I$"&amp;A674</f>
        <v>$I$198</v>
      </c>
      <c r="Q674" s="109"/>
      <c r="R674" s="109"/>
      <c r="S674" s="109"/>
      <c r="T674" s="109">
        <v>25</v>
      </c>
      <c r="U674" s="109"/>
      <c r="V674" s="109" t="s">
        <v>1342</v>
      </c>
      <c r="W674" s="109"/>
      <c r="X674" s="109"/>
      <c r="Y674" s="109"/>
      <c r="Z674" s="109"/>
      <c r="AA674" s="109"/>
      <c r="AB674" s="109"/>
      <c r="AC674" s="109"/>
      <c r="AD674" s="109"/>
      <c r="AE674" s="109"/>
      <c r="AF674" s="109"/>
      <c r="AG674" s="109"/>
      <c r="AH674" s="109"/>
      <c r="AI674" s="109"/>
      <c r="AJ674" s="109"/>
      <c r="AK674" s="109"/>
      <c r="AL674" s="109"/>
      <c r="AM674" s="109"/>
      <c r="AN674" s="109"/>
      <c r="AO674" s="109"/>
      <c r="AP674" s="109" t="b">
        <v>1</v>
      </c>
      <c r="AQ674" s="296">
        <v>2013</v>
      </c>
      <c r="AR674" s="296"/>
      <c r="AS674" s="296"/>
      <c r="AT674" s="296"/>
      <c r="AU674" s="296"/>
      <c r="AV674" s="296"/>
    </row>
    <row r="675" spans="1:52" ht="16.5" customHeight="1" x14ac:dyDescent="0.2">
      <c r="A675" s="110">
        <f t="shared" si="75"/>
        <v>198</v>
      </c>
      <c r="B675" s="110" t="str">
        <f>D675&amp;"Red"</f>
        <v>FP_PloYRepY_1Red</v>
      </c>
      <c r="C675" s="110" t="s">
        <v>656</v>
      </c>
      <c r="D675" s="110" t="s">
        <v>1210</v>
      </c>
      <c r="E675" s="110" t="s">
        <v>1208</v>
      </c>
      <c r="F675" s="110"/>
      <c r="G675" s="110" t="s">
        <v>1154</v>
      </c>
      <c r="H675" s="110">
        <v>1</v>
      </c>
      <c r="I675" s="110" t="s">
        <v>1247</v>
      </c>
      <c r="J675" s="110" t="b">
        <f t="shared" si="76"/>
        <v>1</v>
      </c>
      <c r="K675" s="110" t="b">
        <v>1</v>
      </c>
      <c r="L675" s="110"/>
      <c r="M675" s="110" t="str">
        <f>"'editNorm """&amp;D675&amp;""","""&amp;B675&amp;""","""&amp;E675&amp;"""'"</f>
        <v>'editNorm "FP_PloYRepY_1","FP_PloYRepY_1Red","PloYRep"'</v>
      </c>
      <c r="N675" s="110" t="s">
        <v>59</v>
      </c>
      <c r="O675" s="110" t="str">
        <f>"$L$"&amp;A675</f>
        <v>$L$198</v>
      </c>
      <c r="P675" s="110" t="str">
        <f>"$M$"&amp;A675</f>
        <v>$M$198</v>
      </c>
      <c r="Q675" s="110">
        <v>5</v>
      </c>
      <c r="R675" s="110">
        <v>1</v>
      </c>
      <c r="S675" s="110"/>
      <c r="T675" s="110">
        <v>22</v>
      </c>
      <c r="U675" s="110" t="b">
        <v>1</v>
      </c>
      <c r="V675" s="110" t="s">
        <v>1344</v>
      </c>
      <c r="W675" s="110" t="s">
        <v>1343</v>
      </c>
      <c r="X675" s="110"/>
      <c r="Y675" s="110"/>
      <c r="Z675" s="110"/>
      <c r="AA675" s="110"/>
      <c r="AB675" s="110">
        <v>3</v>
      </c>
      <c r="AC675" s="110">
        <v>5</v>
      </c>
      <c r="AD675" s="110" t="s">
        <v>105</v>
      </c>
      <c r="AE675" s="110">
        <v>12</v>
      </c>
      <c r="AF675" s="110"/>
      <c r="AG675" s="110" t="s">
        <v>1351</v>
      </c>
      <c r="AH675" s="110" t="s">
        <v>29</v>
      </c>
      <c r="AI675" s="110" t="s">
        <v>29</v>
      </c>
      <c r="AJ675" s="110"/>
      <c r="AK675" s="110"/>
      <c r="AL675" s="110"/>
      <c r="AM675" s="110"/>
      <c r="AN675" s="110">
        <v>2</v>
      </c>
      <c r="AO675" s="110"/>
      <c r="AP675" s="110"/>
    </row>
    <row r="676" spans="1:52" ht="16.5" customHeight="1" x14ac:dyDescent="0.2">
      <c r="A676" s="110">
        <f t="shared" si="75"/>
        <v>198</v>
      </c>
      <c r="B676" s="110" t="str">
        <f>D676&amp;"Gem"</f>
        <v>FP_PloYRepY_1Gem</v>
      </c>
      <c r="C676" s="110" t="s">
        <v>656</v>
      </c>
      <c r="D676" s="110" t="s">
        <v>1210</v>
      </c>
      <c r="E676" s="110" t="s">
        <v>1208</v>
      </c>
      <c r="F676" s="110"/>
      <c r="G676" s="110" t="s">
        <v>1154</v>
      </c>
      <c r="H676" s="110">
        <v>1</v>
      </c>
      <c r="I676" s="110" t="s">
        <v>238</v>
      </c>
      <c r="J676" s="110" t="b">
        <f t="shared" si="76"/>
        <v>1</v>
      </c>
      <c r="K676" s="110"/>
      <c r="L676" s="110"/>
      <c r="M676" s="110" t="str">
        <f>"'editNorm """&amp;D676&amp;""","""&amp;B676&amp;""","""&amp;E676&amp;"""'"</f>
        <v>'editNorm "FP_PloYRepY_1","FP_PloYRepY_1Gem","PloYRep"'</v>
      </c>
      <c r="N676" s="110" t="s">
        <v>59</v>
      </c>
      <c r="O676" s="110" t="str">
        <f>"$L$"&amp;A676</f>
        <v>$L$198</v>
      </c>
      <c r="P676" s="110" t="str">
        <f>"$L$"&amp;A676</f>
        <v>$L$198</v>
      </c>
      <c r="Q676" s="110">
        <v>5</v>
      </c>
      <c r="R676" s="110">
        <v>1</v>
      </c>
      <c r="S676" s="110"/>
      <c r="T676" s="110">
        <v>22</v>
      </c>
      <c r="U676" s="110" t="b">
        <v>1</v>
      </c>
      <c r="V676" s="110" t="s">
        <v>1345</v>
      </c>
      <c r="W676" s="110" t="s">
        <v>1343</v>
      </c>
      <c r="X676" s="110"/>
      <c r="Y676" s="110"/>
      <c r="Z676" s="110"/>
      <c r="AA676" s="110"/>
      <c r="AB676" s="110">
        <v>3</v>
      </c>
      <c r="AC676" s="110">
        <v>5</v>
      </c>
      <c r="AD676" s="110" t="s">
        <v>105</v>
      </c>
      <c r="AE676" s="110">
        <v>12</v>
      </c>
      <c r="AF676" s="110"/>
      <c r="AG676" s="110" t="s">
        <v>1351</v>
      </c>
      <c r="AH676" s="110" t="s">
        <v>29</v>
      </c>
      <c r="AI676" s="110" t="s">
        <v>29</v>
      </c>
      <c r="AJ676" s="110"/>
      <c r="AK676" s="110"/>
      <c r="AL676" s="110"/>
      <c r="AM676" s="110"/>
      <c r="AN676" s="110">
        <v>2</v>
      </c>
      <c r="AO676" s="110"/>
      <c r="AP676" s="110"/>
    </row>
    <row r="677" spans="1:52" ht="16.5" customHeight="1" x14ac:dyDescent="0.2">
      <c r="A677" s="110">
        <f t="shared" si="75"/>
        <v>198</v>
      </c>
      <c r="B677" s="110" t="str">
        <f>D677&amp;"Cancel"</f>
        <v>FP_PloYRepY_1Cancel</v>
      </c>
      <c r="C677" s="110" t="s">
        <v>656</v>
      </c>
      <c r="D677" s="110" t="s">
        <v>1210</v>
      </c>
      <c r="E677" s="110" t="s">
        <v>1208</v>
      </c>
      <c r="F677" s="110"/>
      <c r="G677" s="110" t="s">
        <v>1154</v>
      </c>
      <c r="H677" s="110">
        <v>1</v>
      </c>
      <c r="I677" s="110" t="s">
        <v>838</v>
      </c>
      <c r="J677" s="110" t="b">
        <f t="shared" si="76"/>
        <v>1</v>
      </c>
      <c r="K677" s="110"/>
      <c r="L677" s="110"/>
      <c r="M677" s="110" t="str">
        <f>"'editNorm """&amp;D677&amp;""","""&amp;B677&amp;""","""&amp;E677&amp;"""'"</f>
        <v>'editNorm "FP_PloYRepY_1","FP_PloYRepY_1Cancel","PloYRep"'</v>
      </c>
      <c r="N677" s="110" t="s">
        <v>59</v>
      </c>
      <c r="O677" s="110" t="str">
        <f>"$M$"&amp;A677</f>
        <v>$M$198</v>
      </c>
      <c r="P677" s="110" t="str">
        <f>"$M$"&amp;A677</f>
        <v>$M$198</v>
      </c>
      <c r="Q677" s="110">
        <v>7</v>
      </c>
      <c r="R677" s="110">
        <v>1</v>
      </c>
      <c r="S677" s="110"/>
      <c r="T677" s="110">
        <v>22</v>
      </c>
      <c r="U677" s="110" t="b">
        <v>1</v>
      </c>
      <c r="V677" s="110" t="s">
        <v>1344</v>
      </c>
      <c r="W677" s="110" t="s">
        <v>1343</v>
      </c>
      <c r="X677" s="110"/>
      <c r="Y677" s="110"/>
      <c r="Z677" s="110"/>
      <c r="AA677" s="110"/>
      <c r="AB677" s="110">
        <v>3</v>
      </c>
      <c r="AC677" s="110">
        <v>5</v>
      </c>
      <c r="AD677" s="110" t="s">
        <v>105</v>
      </c>
      <c r="AE677" s="110">
        <v>12</v>
      </c>
      <c r="AF677" s="110"/>
      <c r="AG677" s="110" t="s">
        <v>1351</v>
      </c>
      <c r="AH677" s="110" t="s">
        <v>29</v>
      </c>
      <c r="AI677" s="110" t="s">
        <v>29</v>
      </c>
      <c r="AJ677" s="110"/>
      <c r="AK677" s="110"/>
      <c r="AL677" s="110"/>
      <c r="AM677" s="110"/>
      <c r="AN677" s="110">
        <v>2</v>
      </c>
      <c r="AO677" s="110"/>
      <c r="AP677" s="110"/>
    </row>
    <row r="678" spans="1:52" ht="16.5" customHeight="1" x14ac:dyDescent="0.2">
      <c r="A678" s="110">
        <f t="shared" si="75"/>
        <v>198</v>
      </c>
      <c r="B678" s="110" t="str">
        <f>D678&amp;"Delete"</f>
        <v>FP_PloYRepY_1Delete</v>
      </c>
      <c r="C678" s="110" t="s">
        <v>656</v>
      </c>
      <c r="D678" s="110" t="s">
        <v>1210</v>
      </c>
      <c r="E678" s="110" t="s">
        <v>1208</v>
      </c>
      <c r="F678" s="110"/>
      <c r="G678" s="110" t="s">
        <v>1154</v>
      </c>
      <c r="H678" s="110">
        <v>1</v>
      </c>
      <c r="I678" s="110" t="s">
        <v>1266</v>
      </c>
      <c r="J678" s="110" t="b">
        <f t="shared" si="76"/>
        <v>1</v>
      </c>
      <c r="K678" s="110"/>
      <c r="L678" s="110"/>
      <c r="M678" s="110" t="str">
        <f>"'editNorm """&amp;D678&amp;""","""&amp;B678&amp;""","""&amp;E678&amp;"""'"</f>
        <v>'editNorm "FP_PloYRepY_1","FP_PloYRepY_1Delete","PloYRep"'</v>
      </c>
      <c r="N678" s="110" t="s">
        <v>59</v>
      </c>
      <c r="O678" s="110" t="str">
        <f>"$N$"&amp;A678</f>
        <v>$N$198</v>
      </c>
      <c r="P678" s="110" t="str">
        <f>"$N$"&amp;A678</f>
        <v>$N$198</v>
      </c>
      <c r="Q678" s="110">
        <v>7</v>
      </c>
      <c r="R678" s="110">
        <v>1</v>
      </c>
      <c r="S678" s="110"/>
      <c r="T678" s="110">
        <v>22</v>
      </c>
      <c r="U678" s="110" t="b">
        <v>1</v>
      </c>
      <c r="V678" s="110" t="s">
        <v>1346</v>
      </c>
      <c r="W678" s="110" t="s">
        <v>1343</v>
      </c>
      <c r="X678" s="110"/>
      <c r="Y678" s="110"/>
      <c r="Z678" s="110"/>
      <c r="AA678" s="110"/>
      <c r="AB678" s="110">
        <v>3</v>
      </c>
      <c r="AC678" s="110">
        <v>5</v>
      </c>
      <c r="AD678" s="110" t="s">
        <v>105</v>
      </c>
      <c r="AE678" s="110">
        <v>12</v>
      </c>
      <c r="AF678" s="110"/>
      <c r="AG678" s="110" t="s">
        <v>1351</v>
      </c>
      <c r="AH678" s="110" t="s">
        <v>29</v>
      </c>
      <c r="AI678" s="110" t="s">
        <v>29</v>
      </c>
      <c r="AJ678" s="110"/>
      <c r="AK678" s="110"/>
      <c r="AL678" s="110"/>
      <c r="AM678" s="110"/>
      <c r="AN678" s="110">
        <v>2</v>
      </c>
      <c r="AO678" s="110"/>
      <c r="AP678" s="110"/>
    </row>
    <row r="679" spans="1:52" ht="16.5" customHeight="1" x14ac:dyDescent="0.2">
      <c r="A679" s="107">
        <f>$O$668+(P668-O668+1)*(H668-1)-1</f>
        <v>198</v>
      </c>
      <c r="B679" s="107" t="s">
        <v>1208</v>
      </c>
      <c r="C679" s="107" t="s">
        <v>663</v>
      </c>
      <c r="D679" s="107"/>
      <c r="E679" s="107" t="s">
        <v>1208</v>
      </c>
      <c r="F679" s="107"/>
      <c r="G679" s="107" t="s">
        <v>1154</v>
      </c>
      <c r="H679" s="107"/>
      <c r="I679" s="107"/>
      <c r="J679" s="107" t="b">
        <f t="shared" si="76"/>
        <v>1</v>
      </c>
      <c r="K679" s="107"/>
      <c r="L679" s="107"/>
      <c r="M679" s="107"/>
      <c r="N679" s="107"/>
      <c r="O679" s="107"/>
      <c r="P679" s="107"/>
      <c r="Q679" s="107"/>
      <c r="R679" s="107"/>
      <c r="S679" s="107"/>
      <c r="T679" s="107"/>
      <c r="U679" s="107"/>
      <c r="V679" s="107"/>
      <c r="W679" s="107"/>
      <c r="X679" s="107"/>
      <c r="Y679" s="107"/>
      <c r="Z679" s="107"/>
      <c r="AA679" s="107"/>
      <c r="AB679" s="107"/>
      <c r="AC679" s="107"/>
      <c r="AD679" s="107"/>
      <c r="AE679" s="107"/>
      <c r="AF679" s="107"/>
      <c r="AG679" s="107"/>
      <c r="AH679" s="107"/>
      <c r="AI679" s="107"/>
      <c r="AJ679" s="107"/>
      <c r="AK679" s="107"/>
      <c r="AL679" s="107"/>
      <c r="AM679" s="107"/>
      <c r="AN679" s="107"/>
      <c r="AO679" s="107"/>
      <c r="AP679" s="107"/>
    </row>
    <row r="680" spans="1:52" ht="16.5" customHeight="1" x14ac:dyDescent="0.2">
      <c r="A680" s="103">
        <f>$A$679+2</f>
        <v>200</v>
      </c>
      <c r="B680" s="103" t="s">
        <v>253</v>
      </c>
      <c r="C680" s="103" t="s">
        <v>654</v>
      </c>
      <c r="D680" s="103"/>
      <c r="E680" s="103"/>
      <c r="F680" s="103"/>
      <c r="G680" s="103" t="s">
        <v>1154</v>
      </c>
      <c r="H680" s="103" t="s">
        <v>1158</v>
      </c>
      <c r="I680" s="103" t="s">
        <v>254</v>
      </c>
      <c r="J680" s="103" t="b">
        <f t="shared" si="76"/>
        <v>1</v>
      </c>
      <c r="K680" s="103" t="b">
        <v>1</v>
      </c>
      <c r="L680" s="103" t="b">
        <v>1</v>
      </c>
      <c r="M680" s="103" t="str">
        <f>"'expand """&amp;B680&amp;""","""&amp;G680&amp;""",TRUE'"</f>
        <v>'expand "FP_Main1Version","Forside",TRUE'</v>
      </c>
      <c r="N680" s="103" t="s">
        <v>59</v>
      </c>
      <c r="O680" s="103" t="str">
        <f>"$B$"&amp;A680</f>
        <v>$B$200</v>
      </c>
      <c r="P680" s="103" t="str">
        <f>"$M$" &amp;A696-1</f>
        <v>$M$206</v>
      </c>
      <c r="Q680" s="103"/>
      <c r="R680" s="103">
        <v>1</v>
      </c>
      <c r="S680" s="103"/>
      <c r="T680" s="103">
        <v>40</v>
      </c>
      <c r="U680" s="103" t="b">
        <v>1</v>
      </c>
      <c r="V680" s="103" t="s">
        <v>1344</v>
      </c>
      <c r="W680" s="103" t="s">
        <v>1343</v>
      </c>
      <c r="X680" s="103"/>
      <c r="Y680" s="103"/>
      <c r="Z680" s="103"/>
      <c r="AA680" s="103"/>
      <c r="AB680" s="103"/>
      <c r="AC680" s="103">
        <v>30</v>
      </c>
      <c r="AD680" s="103"/>
      <c r="AE680" s="103">
        <v>18</v>
      </c>
      <c r="AF680" s="103" t="b">
        <v>0</v>
      </c>
      <c r="AG680" s="103" t="s">
        <v>1351</v>
      </c>
      <c r="AH680" s="103" t="s">
        <v>29</v>
      </c>
      <c r="AI680" s="103" t="s">
        <v>28</v>
      </c>
      <c r="AJ680" s="103"/>
      <c r="AK680" s="103"/>
      <c r="AL680" s="103"/>
      <c r="AM680" s="103"/>
      <c r="AN680" s="103">
        <v>8</v>
      </c>
      <c r="AO680" s="103">
        <v>135</v>
      </c>
      <c r="AP680" s="103"/>
    </row>
    <row r="681" spans="1:52" ht="16.5" customHeight="1" x14ac:dyDescent="0.2">
      <c r="A681" s="112">
        <f>$A$680+2</f>
        <v>202</v>
      </c>
      <c r="B681" s="112" t="s">
        <v>258</v>
      </c>
      <c r="C681" s="112" t="s">
        <v>90</v>
      </c>
      <c r="D681" s="112"/>
      <c r="E681" s="112"/>
      <c r="F681" s="112"/>
      <c r="G681" s="112" t="s">
        <v>1154</v>
      </c>
      <c r="H681" s="112"/>
      <c r="I681" s="112"/>
      <c r="J681" s="112" t="b">
        <f t="shared" si="76"/>
        <v>1</v>
      </c>
      <c r="K681" s="112" t="b">
        <v>1</v>
      </c>
      <c r="L681" s="112"/>
      <c r="M681" s="112"/>
      <c r="N681" s="112"/>
      <c r="O681" s="112" t="str">
        <f>"$B$"&amp;A681</f>
        <v>$B$202</v>
      </c>
      <c r="P681" s="112" t="str">
        <f>"$K$"&amp;A694</f>
        <v>$K$203</v>
      </c>
      <c r="Q681" s="112"/>
      <c r="R681" s="112"/>
      <c r="S681" s="112"/>
      <c r="T681" s="112"/>
      <c r="U681" s="112" t="b">
        <v>1</v>
      </c>
      <c r="V681" s="112" t="s">
        <v>1342</v>
      </c>
      <c r="W681" s="112"/>
      <c r="X681" s="112"/>
      <c r="Y681" s="112"/>
      <c r="Z681" s="112"/>
      <c r="AA681" s="112"/>
      <c r="AB681" s="112"/>
      <c r="AC681" s="112"/>
      <c r="AD681" s="112" t="s">
        <v>105</v>
      </c>
      <c r="AE681" s="112">
        <v>12</v>
      </c>
      <c r="AF681" s="112" t="b">
        <v>1</v>
      </c>
      <c r="AG681" s="112" t="s">
        <v>1355</v>
      </c>
      <c r="AH681" s="112" t="s">
        <v>27</v>
      </c>
      <c r="AI681" s="112" t="s">
        <v>28</v>
      </c>
      <c r="AJ681" s="112"/>
      <c r="AK681" s="112" t="s">
        <v>1342</v>
      </c>
      <c r="AL681" s="112"/>
      <c r="AM681" s="112"/>
      <c r="AN681" s="112"/>
      <c r="AO681" s="112"/>
      <c r="AP681" s="112"/>
    </row>
    <row r="682" spans="1:52" ht="16.5" customHeight="1" thickBot="1" x14ac:dyDescent="0.25">
      <c r="A682" s="113">
        <f>$A$681+0</f>
        <v>202</v>
      </c>
      <c r="B682" s="113" t="s">
        <v>698</v>
      </c>
      <c r="C682" s="113" t="s">
        <v>92</v>
      </c>
      <c r="D682" s="113"/>
      <c r="E682" s="113"/>
      <c r="F682" s="113"/>
      <c r="G682" s="113" t="s">
        <v>1154</v>
      </c>
      <c r="H682" s="113"/>
      <c r="I682" s="113"/>
      <c r="J682" s="113" t="b">
        <f t="shared" si="76"/>
        <v>1</v>
      </c>
      <c r="K682" s="113" t="b">
        <v>1</v>
      </c>
      <c r="L682" s="113"/>
      <c r="M682" s="113"/>
      <c r="N682" s="113"/>
      <c r="O682" s="113" t="str">
        <f>"$B$"&amp;A682</f>
        <v>$B$202</v>
      </c>
      <c r="P682" s="113" t="str">
        <f>"$K$"&amp;A682</f>
        <v>$K$202</v>
      </c>
      <c r="Q682" s="113"/>
      <c r="R682" s="113"/>
      <c r="S682" s="113"/>
      <c r="T682" s="113">
        <v>34</v>
      </c>
      <c r="U682" s="113"/>
      <c r="V682" s="113" t="s">
        <v>1342</v>
      </c>
      <c r="W682" s="113"/>
      <c r="X682" s="113"/>
      <c r="Y682" s="113"/>
      <c r="Z682" s="113"/>
      <c r="AA682" s="113"/>
      <c r="AB682" s="113"/>
      <c r="AC682" s="113"/>
      <c r="AD682" s="113"/>
      <c r="AE682" s="113"/>
      <c r="AF682" s="113"/>
      <c r="AG682" s="113"/>
      <c r="AH682" s="113"/>
      <c r="AI682" s="113"/>
      <c r="AJ682" s="113"/>
      <c r="AK682" s="113"/>
      <c r="AL682" s="113"/>
      <c r="AM682" s="113"/>
      <c r="AN682" s="113"/>
      <c r="AO682" s="113"/>
      <c r="AP682" s="113" t="b">
        <v>1</v>
      </c>
      <c r="AQ682" s="339" t="s">
        <v>701</v>
      </c>
      <c r="AR682" s="339"/>
      <c r="AS682" s="331" t="s">
        <v>255</v>
      </c>
      <c r="AT682" s="333"/>
      <c r="AU682" s="331" t="s">
        <v>256</v>
      </c>
      <c r="AV682" s="333"/>
      <c r="AW682" s="331" t="s">
        <v>257</v>
      </c>
      <c r="AX682" s="333"/>
      <c r="AY682" s="333"/>
      <c r="AZ682" s="333"/>
    </row>
    <row r="683" spans="1:52" ht="16.5" customHeight="1" x14ac:dyDescent="0.2">
      <c r="A683" s="107">
        <f>$A$681+1</f>
        <v>203</v>
      </c>
      <c r="B683" s="107" t="s">
        <v>697</v>
      </c>
      <c r="C683" s="107" t="s">
        <v>663</v>
      </c>
      <c r="D683" s="107"/>
      <c r="E683" s="107"/>
      <c r="F683" s="107"/>
      <c r="G683" s="107" t="s">
        <v>1154</v>
      </c>
      <c r="H683" s="107">
        <v>2</v>
      </c>
      <c r="I683" s="107">
        <v>5</v>
      </c>
      <c r="J683" s="107" t="b">
        <f t="shared" si="76"/>
        <v>1</v>
      </c>
      <c r="K683" s="107"/>
      <c r="L683" s="107"/>
      <c r="M683" s="107"/>
      <c r="N683" s="107"/>
      <c r="O683" s="107">
        <f>A683</f>
        <v>203</v>
      </c>
      <c r="P683" s="107">
        <f>O683</f>
        <v>203</v>
      </c>
      <c r="Q683" s="107"/>
      <c r="R683" s="107"/>
      <c r="S683" s="107"/>
      <c r="T683" s="107"/>
      <c r="U683" s="107"/>
      <c r="V683" s="107"/>
      <c r="W683" s="107"/>
      <c r="X683" s="107"/>
      <c r="Y683" s="107"/>
      <c r="Z683" s="107"/>
      <c r="AA683" s="107"/>
      <c r="AB683" s="107"/>
      <c r="AC683" s="107"/>
      <c r="AD683" s="107"/>
      <c r="AE683" s="107"/>
      <c r="AF683" s="107"/>
      <c r="AG683" s="107"/>
      <c r="AH683" s="107"/>
      <c r="AI683" s="107"/>
      <c r="AJ683" s="107"/>
      <c r="AK683" s="107"/>
      <c r="AL683" s="107"/>
      <c r="AM683" s="107"/>
      <c r="AN683" s="107"/>
      <c r="AO683" s="107"/>
      <c r="AP683" s="107"/>
      <c r="AQ683" s="116" t="str">
        <f>AQ689</f>
        <v>[Dato]</v>
      </c>
    </row>
    <row r="684" spans="1:52" ht="16.5" customHeight="1" x14ac:dyDescent="0.2">
      <c r="A684" s="108">
        <f t="shared" ref="A684:A693" si="77">$A$683+0</f>
        <v>203</v>
      </c>
      <c r="B684" s="113" t="s">
        <v>699</v>
      </c>
      <c r="C684" s="113" t="s">
        <v>92</v>
      </c>
      <c r="D684" s="113"/>
      <c r="E684" s="113" t="s">
        <v>697</v>
      </c>
      <c r="F684" s="113"/>
      <c r="G684" s="113" t="s">
        <v>1154</v>
      </c>
      <c r="H684" s="113"/>
      <c r="I684" s="113"/>
      <c r="J684" s="113"/>
      <c r="K684" s="113" t="b">
        <v>1</v>
      </c>
      <c r="L684" s="113"/>
      <c r="M684" s="113"/>
      <c r="N684" s="113"/>
      <c r="O684" s="113" t="str">
        <f>"$B$"&amp;A684</f>
        <v>$B$203</v>
      </c>
      <c r="P684" s="113" t="str">
        <f>"$K$"&amp;A684</f>
        <v>$K$203</v>
      </c>
      <c r="Q684" s="113"/>
      <c r="R684" s="113"/>
      <c r="S684" s="113"/>
      <c r="T684" s="113">
        <v>30</v>
      </c>
      <c r="U684" s="113"/>
      <c r="V684" s="113" t="s">
        <v>1342</v>
      </c>
      <c r="W684" s="113"/>
      <c r="X684" s="113"/>
      <c r="Y684" s="113"/>
      <c r="Z684" s="113"/>
      <c r="AA684" s="113"/>
      <c r="AB684" s="113"/>
      <c r="AC684" s="113"/>
      <c r="AD684" s="113"/>
      <c r="AE684" s="113"/>
      <c r="AF684" s="113"/>
      <c r="AG684" s="113"/>
      <c r="AH684" s="113"/>
      <c r="AI684" s="113"/>
      <c r="AJ684" s="113"/>
      <c r="AK684" s="113"/>
      <c r="AL684" s="113"/>
      <c r="AM684" s="113"/>
      <c r="AN684" s="113"/>
      <c r="AO684" s="113"/>
      <c r="AP684" s="113" t="b">
        <v>1</v>
      </c>
      <c r="AQ684" s="340" t="s">
        <v>702</v>
      </c>
      <c r="AR684" s="340"/>
      <c r="AS684" s="324" t="s">
        <v>703</v>
      </c>
      <c r="AT684" s="325"/>
      <c r="AU684" s="324" t="s">
        <v>704</v>
      </c>
      <c r="AV684" s="325"/>
      <c r="AW684" s="324" t="s">
        <v>705</v>
      </c>
      <c r="AX684" s="325"/>
      <c r="AY684" s="325"/>
      <c r="AZ684" s="325"/>
    </row>
    <row r="685" spans="1:52" ht="16.5" customHeight="1" x14ac:dyDescent="0.2">
      <c r="A685" s="108">
        <f t="shared" si="77"/>
        <v>203</v>
      </c>
      <c r="B685" s="110" t="str">
        <f>D685&amp;"Red"</f>
        <v>FP_Main1VersionTable_VRed</v>
      </c>
      <c r="C685" s="110" t="s">
        <v>656</v>
      </c>
      <c r="D685" s="110" t="s">
        <v>699</v>
      </c>
      <c r="E685" s="110" t="s">
        <v>697</v>
      </c>
      <c r="F685" s="110"/>
      <c r="G685" s="110" t="s">
        <v>1154</v>
      </c>
      <c r="H685" s="110"/>
      <c r="I685" s="110" t="s">
        <v>1247</v>
      </c>
      <c r="J685" s="110"/>
      <c r="K685" s="110" t="b">
        <v>1</v>
      </c>
      <c r="L685" s="110"/>
      <c r="M685" s="110" t="str">
        <f>"'editNorm """&amp;D685&amp;""","""&amp;B685&amp;""","""&amp;E685&amp;"""'"</f>
        <v>'editNorm "FP_Main1VersionTable_V","FP_Main1VersionTable_VRed","Version"'</v>
      </c>
      <c r="N685" s="110" t="s">
        <v>59</v>
      </c>
      <c r="O685" s="110" t="str">
        <f>"$L$"&amp;A685</f>
        <v>$L$203</v>
      </c>
      <c r="P685" s="110" t="str">
        <f>"$M$"&amp;A685</f>
        <v>$M$203</v>
      </c>
      <c r="Q685" s="110">
        <v>5</v>
      </c>
      <c r="R685" s="110">
        <v>8</v>
      </c>
      <c r="S685" s="110"/>
      <c r="T685" s="110"/>
      <c r="U685" s="110" t="b">
        <v>1</v>
      </c>
      <c r="V685" s="110" t="s">
        <v>1344</v>
      </c>
      <c r="W685" s="110" t="s">
        <v>1343</v>
      </c>
      <c r="X685" s="110"/>
      <c r="Y685" s="110"/>
      <c r="Z685" s="110"/>
      <c r="AA685" s="110"/>
      <c r="AB685" s="110">
        <v>3</v>
      </c>
      <c r="AC685" s="110">
        <v>5</v>
      </c>
      <c r="AD685" s="110" t="s">
        <v>105</v>
      </c>
      <c r="AE685" s="110">
        <v>12</v>
      </c>
      <c r="AF685" s="110"/>
      <c r="AG685" s="110" t="s">
        <v>1351</v>
      </c>
      <c r="AH685" s="110" t="s">
        <v>29</v>
      </c>
      <c r="AI685" s="110" t="s">
        <v>29</v>
      </c>
      <c r="AJ685" s="110"/>
      <c r="AK685" s="110"/>
      <c r="AL685" s="110"/>
      <c r="AM685" s="110"/>
      <c r="AN685" s="110">
        <v>2</v>
      </c>
      <c r="AO685" s="110"/>
      <c r="AP685" s="110"/>
    </row>
    <row r="686" spans="1:52" ht="16.5" customHeight="1" x14ac:dyDescent="0.2">
      <c r="A686" s="108">
        <f t="shared" si="77"/>
        <v>203</v>
      </c>
      <c r="B686" s="110" t="str">
        <f>D686&amp;"Gem"</f>
        <v>FP_Main1VersionTable_VGem</v>
      </c>
      <c r="C686" s="110" t="s">
        <v>656</v>
      </c>
      <c r="D686" s="110" t="s">
        <v>699</v>
      </c>
      <c r="E686" s="110" t="s">
        <v>697</v>
      </c>
      <c r="F686" s="110"/>
      <c r="G686" s="110" t="s">
        <v>1154</v>
      </c>
      <c r="H686" s="110"/>
      <c r="I686" s="110" t="s">
        <v>238</v>
      </c>
      <c r="J686" s="110"/>
      <c r="K686" s="110"/>
      <c r="L686" s="110"/>
      <c r="M686" s="110" t="str">
        <f>"'editNorm """&amp;D686&amp;""","""&amp;B686&amp;""","""&amp;E686&amp;"""'"</f>
        <v>'editNorm "FP_Main1VersionTable_V","FP_Main1VersionTable_VGem","Version"'</v>
      </c>
      <c r="N686" s="110" t="s">
        <v>59</v>
      </c>
      <c r="O686" s="110" t="str">
        <f>"$L$"&amp;A686</f>
        <v>$L$203</v>
      </c>
      <c r="P686" s="110" t="str">
        <f>"$L$"&amp;A686</f>
        <v>$L$203</v>
      </c>
      <c r="Q686" s="110">
        <v>5</v>
      </c>
      <c r="R686" s="110">
        <v>8</v>
      </c>
      <c r="S686" s="110"/>
      <c r="T686" s="110"/>
      <c r="U686" s="110" t="b">
        <v>1</v>
      </c>
      <c r="V686" s="110" t="s">
        <v>1345</v>
      </c>
      <c r="W686" s="110" t="s">
        <v>1343</v>
      </c>
      <c r="X686" s="110"/>
      <c r="Y686" s="110"/>
      <c r="Z686" s="110"/>
      <c r="AA686" s="110"/>
      <c r="AB686" s="110">
        <v>3</v>
      </c>
      <c r="AC686" s="110">
        <v>5</v>
      </c>
      <c r="AD686" s="110" t="s">
        <v>105</v>
      </c>
      <c r="AE686" s="110">
        <v>12</v>
      </c>
      <c r="AF686" s="110"/>
      <c r="AG686" s="110" t="s">
        <v>1351</v>
      </c>
      <c r="AH686" s="110" t="s">
        <v>29</v>
      </c>
      <c r="AI686" s="110" t="s">
        <v>29</v>
      </c>
      <c r="AJ686" s="110"/>
      <c r="AK686" s="110"/>
      <c r="AL686" s="110"/>
      <c r="AM686" s="110"/>
      <c r="AN686" s="110">
        <v>2</v>
      </c>
      <c r="AO686" s="110"/>
      <c r="AP686" s="110"/>
    </row>
    <row r="687" spans="1:52" ht="16.5" customHeight="1" x14ac:dyDescent="0.2">
      <c r="A687" s="108">
        <f t="shared" si="77"/>
        <v>203</v>
      </c>
      <c r="B687" s="110" t="str">
        <f>D687&amp;"Cancel"</f>
        <v>FP_Main1VersionTable_VCancel</v>
      </c>
      <c r="C687" s="110" t="s">
        <v>656</v>
      </c>
      <c r="D687" s="110" t="s">
        <v>699</v>
      </c>
      <c r="E687" s="110" t="s">
        <v>697</v>
      </c>
      <c r="F687" s="110"/>
      <c r="G687" s="110" t="s">
        <v>1154</v>
      </c>
      <c r="H687" s="110"/>
      <c r="I687" s="110" t="s">
        <v>838</v>
      </c>
      <c r="J687" s="110"/>
      <c r="K687" s="110"/>
      <c r="L687" s="110"/>
      <c r="M687" s="110" t="str">
        <f>"'editNorm """&amp;D687&amp;""","""&amp;B687&amp;""","""&amp;E687&amp;"""'"</f>
        <v>'editNorm "FP_Main1VersionTable_V","FP_Main1VersionTable_VCancel","Version"'</v>
      </c>
      <c r="N687" s="110" t="s">
        <v>59</v>
      </c>
      <c r="O687" s="110" t="str">
        <f>"$M$"&amp;A687</f>
        <v>$M$203</v>
      </c>
      <c r="P687" s="110" t="str">
        <f>"$M$"&amp;A687</f>
        <v>$M$203</v>
      </c>
      <c r="Q687" s="110">
        <v>7</v>
      </c>
      <c r="R687" s="110">
        <v>8</v>
      </c>
      <c r="S687" s="110"/>
      <c r="T687" s="110"/>
      <c r="U687" s="110" t="b">
        <v>1</v>
      </c>
      <c r="V687" s="110" t="s">
        <v>1344</v>
      </c>
      <c r="W687" s="110" t="s">
        <v>1343</v>
      </c>
      <c r="X687" s="110"/>
      <c r="Y687" s="110"/>
      <c r="Z687" s="110"/>
      <c r="AA687" s="110"/>
      <c r="AB687" s="110">
        <v>3</v>
      </c>
      <c r="AC687" s="110">
        <v>5</v>
      </c>
      <c r="AD687" s="110" t="s">
        <v>105</v>
      </c>
      <c r="AE687" s="110">
        <v>12</v>
      </c>
      <c r="AF687" s="110"/>
      <c r="AG687" s="110" t="s">
        <v>1351</v>
      </c>
      <c r="AH687" s="110" t="s">
        <v>29</v>
      </c>
      <c r="AI687" s="110" t="s">
        <v>29</v>
      </c>
      <c r="AJ687" s="110"/>
      <c r="AK687" s="110"/>
      <c r="AL687" s="110"/>
      <c r="AM687" s="110"/>
      <c r="AN687" s="110">
        <v>2</v>
      </c>
      <c r="AO687" s="110"/>
      <c r="AP687" s="110"/>
    </row>
    <row r="688" spans="1:52" ht="16.5" customHeight="1" x14ac:dyDescent="0.2">
      <c r="A688" s="108">
        <f t="shared" si="77"/>
        <v>203</v>
      </c>
      <c r="B688" s="110" t="str">
        <f>D688&amp;"Delete"</f>
        <v>FP_Main1VersionTable_VDelete</v>
      </c>
      <c r="C688" s="110" t="s">
        <v>656</v>
      </c>
      <c r="D688" s="110" t="s">
        <v>699</v>
      </c>
      <c r="E688" s="110" t="s">
        <v>697</v>
      </c>
      <c r="F688" s="110"/>
      <c r="G688" s="110" t="s">
        <v>1154</v>
      </c>
      <c r="H688" s="110"/>
      <c r="I688" s="110" t="s">
        <v>839</v>
      </c>
      <c r="J688" s="110"/>
      <c r="K688" s="110"/>
      <c r="L688" s="110"/>
      <c r="M688" s="110" t="str">
        <f>"'editNorm """&amp;D688&amp;""","""&amp;B688&amp;""","""&amp;E688&amp;"""'"</f>
        <v>'editNorm "FP_Main1VersionTable_V","FP_Main1VersionTable_VDelete","Version"'</v>
      </c>
      <c r="N688" s="110" t="s">
        <v>59</v>
      </c>
      <c r="O688" s="110" t="str">
        <f>"$N$"&amp;A688</f>
        <v>$N$203</v>
      </c>
      <c r="P688" s="110" t="str">
        <f>"$N$"&amp;A688</f>
        <v>$N$203</v>
      </c>
      <c r="Q688" s="110">
        <v>7</v>
      </c>
      <c r="R688" s="110">
        <v>8</v>
      </c>
      <c r="S688" s="110"/>
      <c r="T688" s="110"/>
      <c r="U688" s="110" t="b">
        <v>1</v>
      </c>
      <c r="V688" s="110" t="s">
        <v>1346</v>
      </c>
      <c r="W688" s="110" t="s">
        <v>1343</v>
      </c>
      <c r="X688" s="110"/>
      <c r="Y688" s="110"/>
      <c r="Z688" s="110"/>
      <c r="AA688" s="110"/>
      <c r="AB688" s="110">
        <v>3</v>
      </c>
      <c r="AC688" s="110">
        <v>5</v>
      </c>
      <c r="AD688" s="110" t="s">
        <v>105</v>
      </c>
      <c r="AE688" s="110">
        <v>12</v>
      </c>
      <c r="AF688" s="110"/>
      <c r="AG688" s="110" t="s">
        <v>1351</v>
      </c>
      <c r="AH688" s="110" t="s">
        <v>29</v>
      </c>
      <c r="AI688" s="110" t="s">
        <v>29</v>
      </c>
      <c r="AJ688" s="110"/>
      <c r="AK688" s="110"/>
      <c r="AL688" s="110"/>
      <c r="AM688" s="110"/>
      <c r="AN688" s="110">
        <v>2</v>
      </c>
      <c r="AO688" s="110"/>
      <c r="AP688" s="110"/>
    </row>
    <row r="689" spans="1:52" ht="16.5" customHeight="1" x14ac:dyDescent="0.2">
      <c r="A689" s="113">
        <f t="shared" si="77"/>
        <v>203</v>
      </c>
      <c r="B689" s="113" t="s">
        <v>845</v>
      </c>
      <c r="C689" s="113" t="s">
        <v>92</v>
      </c>
      <c r="D689" s="113"/>
      <c r="E689" s="113" t="s">
        <v>697</v>
      </c>
      <c r="F689" s="113"/>
      <c r="G689" s="113" t="s">
        <v>1154</v>
      </c>
      <c r="H689" s="113">
        <v>1</v>
      </c>
      <c r="I689" s="113"/>
      <c r="J689" s="113" t="b">
        <f t="shared" ref="J689:J711" si="78">$E$4</f>
        <v>1</v>
      </c>
      <c r="K689" s="113" t="b">
        <v>1</v>
      </c>
      <c r="L689" s="113"/>
      <c r="M689" s="113"/>
      <c r="N689" s="113"/>
      <c r="O689" s="113" t="str">
        <f>"$B$"&amp;A689</f>
        <v>$B$203</v>
      </c>
      <c r="P689" s="113" t="str">
        <f>"$K$"&amp;A689</f>
        <v>$K$203</v>
      </c>
      <c r="Q689" s="113"/>
      <c r="R689" s="113"/>
      <c r="S689" s="113"/>
      <c r="T689" s="113">
        <v>30</v>
      </c>
      <c r="U689" s="113"/>
      <c r="V689" s="113" t="s">
        <v>1342</v>
      </c>
      <c r="W689" s="113"/>
      <c r="X689" s="113"/>
      <c r="Y689" s="113"/>
      <c r="Z689" s="113"/>
      <c r="AA689" s="113"/>
      <c r="AB689" s="113"/>
      <c r="AC689" s="113"/>
      <c r="AD689" s="113"/>
      <c r="AE689" s="113"/>
      <c r="AF689" s="113"/>
      <c r="AG689" s="113"/>
      <c r="AH689" s="113"/>
      <c r="AI689" s="113"/>
      <c r="AJ689" s="113"/>
      <c r="AK689" s="113"/>
      <c r="AL689" s="113"/>
      <c r="AM689" s="113"/>
      <c r="AN689" s="113"/>
      <c r="AO689" s="113"/>
      <c r="AP689" s="113" t="b">
        <v>1</v>
      </c>
      <c r="AQ689" s="340" t="s">
        <v>702</v>
      </c>
      <c r="AR689" s="340"/>
      <c r="AS689" s="324" t="s">
        <v>703</v>
      </c>
      <c r="AT689" s="325"/>
      <c r="AU689" s="324" t="s">
        <v>704</v>
      </c>
      <c r="AV689" s="325"/>
      <c r="AW689" s="324" t="s">
        <v>705</v>
      </c>
      <c r="AX689" s="325"/>
      <c r="AY689" s="325"/>
      <c r="AZ689" s="325"/>
    </row>
    <row r="690" spans="1:52" ht="16.5" customHeight="1" x14ac:dyDescent="0.2">
      <c r="A690" s="110">
        <f t="shared" si="77"/>
        <v>203</v>
      </c>
      <c r="B690" s="110" t="str">
        <f>D690&amp;"Red"</f>
        <v>FP_Main1VersionTable_V_1Red</v>
      </c>
      <c r="C690" s="110" t="s">
        <v>656</v>
      </c>
      <c r="D690" s="110" t="s">
        <v>845</v>
      </c>
      <c r="E690" s="110" t="s">
        <v>697</v>
      </c>
      <c r="F690" s="110"/>
      <c r="G690" s="110" t="s">
        <v>1154</v>
      </c>
      <c r="H690" s="110">
        <v>1</v>
      </c>
      <c r="I690" s="110" t="s">
        <v>1247</v>
      </c>
      <c r="J690" s="110" t="b">
        <f t="shared" si="78"/>
        <v>1</v>
      </c>
      <c r="K690" s="110" t="b">
        <v>1</v>
      </c>
      <c r="L690" s="110"/>
      <c r="M690" s="110" t="str">
        <f>"'editNorm """&amp;D690&amp;""","""&amp;B690&amp;""","""&amp;E690&amp;"""'"</f>
        <v>'editNorm "FP_Main1VersionTable_V_1","FP_Main1VersionTable_V_1Red","Version"'</v>
      </c>
      <c r="N690" s="110" t="s">
        <v>59</v>
      </c>
      <c r="O690" s="110" t="str">
        <f>"$L$"&amp;A690</f>
        <v>$L$203</v>
      </c>
      <c r="P690" s="110" t="str">
        <f>"$M$"&amp;A690</f>
        <v>$M$203</v>
      </c>
      <c r="Q690" s="110">
        <v>5</v>
      </c>
      <c r="R690" s="110">
        <v>8</v>
      </c>
      <c r="S690" s="110"/>
      <c r="T690" s="110"/>
      <c r="U690" s="110" t="b">
        <v>1</v>
      </c>
      <c r="V690" s="110" t="s">
        <v>1344</v>
      </c>
      <c r="W690" s="110" t="s">
        <v>1343</v>
      </c>
      <c r="X690" s="110"/>
      <c r="Y690" s="110"/>
      <c r="Z690" s="110"/>
      <c r="AA690" s="110"/>
      <c r="AB690" s="110">
        <v>3</v>
      </c>
      <c r="AC690" s="110">
        <v>5</v>
      </c>
      <c r="AD690" s="110" t="s">
        <v>105</v>
      </c>
      <c r="AE690" s="110">
        <v>12</v>
      </c>
      <c r="AF690" s="110"/>
      <c r="AG690" s="110" t="s">
        <v>1351</v>
      </c>
      <c r="AH690" s="110" t="s">
        <v>29</v>
      </c>
      <c r="AI690" s="110" t="s">
        <v>29</v>
      </c>
      <c r="AJ690" s="110"/>
      <c r="AK690" s="110"/>
      <c r="AL690" s="110"/>
      <c r="AM690" s="110"/>
      <c r="AN690" s="110">
        <v>2</v>
      </c>
      <c r="AO690" s="110"/>
      <c r="AP690" s="110"/>
    </row>
    <row r="691" spans="1:52" ht="16.5" customHeight="1" x14ac:dyDescent="0.2">
      <c r="A691" s="110">
        <f t="shared" si="77"/>
        <v>203</v>
      </c>
      <c r="B691" s="110" t="str">
        <f>D691&amp;"Gem"</f>
        <v>FP_Main1VersionTable_V_1Gem</v>
      </c>
      <c r="C691" s="110" t="s">
        <v>656</v>
      </c>
      <c r="D691" s="110" t="s">
        <v>845</v>
      </c>
      <c r="E691" s="110" t="s">
        <v>697</v>
      </c>
      <c r="F691" s="110"/>
      <c r="G691" s="110" t="s">
        <v>1154</v>
      </c>
      <c r="H691" s="110">
        <v>1</v>
      </c>
      <c r="I691" s="110" t="s">
        <v>238</v>
      </c>
      <c r="J691" s="110" t="b">
        <f t="shared" si="78"/>
        <v>1</v>
      </c>
      <c r="K691" s="110"/>
      <c r="L691" s="110"/>
      <c r="M691" s="110" t="str">
        <f>"'editNorm """&amp;D691&amp;""","""&amp;B691&amp;""","""&amp;E691&amp;"""'"</f>
        <v>'editNorm "FP_Main1VersionTable_V_1","FP_Main1VersionTable_V_1Gem","Version"'</v>
      </c>
      <c r="N691" s="110" t="s">
        <v>59</v>
      </c>
      <c r="O691" s="110" t="str">
        <f>"$L$"&amp;A691</f>
        <v>$L$203</v>
      </c>
      <c r="P691" s="110" t="str">
        <f>"$L$"&amp;A691</f>
        <v>$L$203</v>
      </c>
      <c r="Q691" s="110">
        <v>5</v>
      </c>
      <c r="R691" s="110">
        <v>8</v>
      </c>
      <c r="S691" s="110"/>
      <c r="T691" s="110"/>
      <c r="U691" s="110" t="b">
        <v>1</v>
      </c>
      <c r="V691" s="110" t="s">
        <v>1345</v>
      </c>
      <c r="W691" s="110" t="s">
        <v>1343</v>
      </c>
      <c r="X691" s="110"/>
      <c r="Y691" s="110"/>
      <c r="Z691" s="110"/>
      <c r="AA691" s="110"/>
      <c r="AB691" s="110">
        <v>3</v>
      </c>
      <c r="AC691" s="110">
        <v>5</v>
      </c>
      <c r="AD691" s="110" t="s">
        <v>105</v>
      </c>
      <c r="AE691" s="110">
        <v>12</v>
      </c>
      <c r="AF691" s="110"/>
      <c r="AG691" s="110" t="s">
        <v>1351</v>
      </c>
      <c r="AH691" s="110" t="s">
        <v>29</v>
      </c>
      <c r="AI691" s="110" t="s">
        <v>29</v>
      </c>
      <c r="AJ691" s="110"/>
      <c r="AK691" s="110"/>
      <c r="AL691" s="110"/>
      <c r="AM691" s="110"/>
      <c r="AN691" s="110">
        <v>2</v>
      </c>
      <c r="AO691" s="110"/>
      <c r="AP691" s="110"/>
    </row>
    <row r="692" spans="1:52" ht="16.5" customHeight="1" x14ac:dyDescent="0.2">
      <c r="A692" s="110">
        <f t="shared" si="77"/>
        <v>203</v>
      </c>
      <c r="B692" s="110" t="str">
        <f>D692&amp;"Cancel"</f>
        <v>FP_Main1VersionTable_V_1Cancel</v>
      </c>
      <c r="C692" s="110" t="s">
        <v>656</v>
      </c>
      <c r="D692" s="110" t="s">
        <v>845</v>
      </c>
      <c r="E692" s="110" t="s">
        <v>697</v>
      </c>
      <c r="F692" s="110"/>
      <c r="G692" s="110" t="s">
        <v>1154</v>
      </c>
      <c r="H692" s="110">
        <v>1</v>
      </c>
      <c r="I692" s="110" t="s">
        <v>838</v>
      </c>
      <c r="J692" s="110" t="b">
        <f t="shared" si="78"/>
        <v>1</v>
      </c>
      <c r="K692" s="110"/>
      <c r="L692" s="110"/>
      <c r="M692" s="110" t="str">
        <f>"'editNorm """&amp;D692&amp;""","""&amp;B692&amp;""","""&amp;E692&amp;"""'"</f>
        <v>'editNorm "FP_Main1VersionTable_V_1","FP_Main1VersionTable_V_1Cancel","Version"'</v>
      </c>
      <c r="N692" s="110" t="s">
        <v>59</v>
      </c>
      <c r="O692" s="110" t="str">
        <f>"$M$"&amp;A692</f>
        <v>$M$203</v>
      </c>
      <c r="P692" s="110" t="str">
        <f>"$M$"&amp;A692</f>
        <v>$M$203</v>
      </c>
      <c r="Q692" s="110">
        <v>7</v>
      </c>
      <c r="R692" s="110">
        <v>8</v>
      </c>
      <c r="S692" s="110"/>
      <c r="T692" s="110"/>
      <c r="U692" s="110" t="b">
        <v>1</v>
      </c>
      <c r="V692" s="110" t="s">
        <v>1344</v>
      </c>
      <c r="W692" s="110" t="s">
        <v>1343</v>
      </c>
      <c r="X692" s="110"/>
      <c r="Y692" s="110"/>
      <c r="Z692" s="110"/>
      <c r="AA692" s="110"/>
      <c r="AB692" s="110">
        <v>3</v>
      </c>
      <c r="AC692" s="110">
        <v>5</v>
      </c>
      <c r="AD692" s="110" t="s">
        <v>105</v>
      </c>
      <c r="AE692" s="110">
        <v>12</v>
      </c>
      <c r="AF692" s="110"/>
      <c r="AG692" s="110" t="s">
        <v>1351</v>
      </c>
      <c r="AH692" s="110" t="s">
        <v>29</v>
      </c>
      <c r="AI692" s="110" t="s">
        <v>29</v>
      </c>
      <c r="AJ692" s="110"/>
      <c r="AK692" s="110"/>
      <c r="AL692" s="110"/>
      <c r="AM692" s="110"/>
      <c r="AN692" s="110">
        <v>2</v>
      </c>
      <c r="AO692" s="110"/>
      <c r="AP692" s="110"/>
    </row>
    <row r="693" spans="1:52" ht="16.5" customHeight="1" x14ac:dyDescent="0.2">
      <c r="A693" s="110">
        <f t="shared" si="77"/>
        <v>203</v>
      </c>
      <c r="B693" s="110" t="str">
        <f>D693&amp;"Delete"</f>
        <v>FP_Main1VersionTable_V_1Delete</v>
      </c>
      <c r="C693" s="110" t="s">
        <v>656</v>
      </c>
      <c r="D693" s="110" t="s">
        <v>845</v>
      </c>
      <c r="E693" s="110" t="s">
        <v>697</v>
      </c>
      <c r="F693" s="110"/>
      <c r="G693" s="110" t="s">
        <v>1154</v>
      </c>
      <c r="H693" s="110">
        <v>1</v>
      </c>
      <c r="I693" s="110" t="s">
        <v>839</v>
      </c>
      <c r="J693" s="110" t="b">
        <f t="shared" si="78"/>
        <v>1</v>
      </c>
      <c r="K693" s="110"/>
      <c r="L693" s="110"/>
      <c r="M693" s="110" t="str">
        <f>"'editNorm """&amp;D693&amp;""","""&amp;B693&amp;""","""&amp;E693&amp;"""'"</f>
        <v>'editNorm "FP_Main1VersionTable_V_1","FP_Main1VersionTable_V_1Delete","Version"'</v>
      </c>
      <c r="N693" s="110" t="s">
        <v>59</v>
      </c>
      <c r="O693" s="110" t="str">
        <f>"$N$"&amp;A693</f>
        <v>$N$203</v>
      </c>
      <c r="P693" s="110" t="str">
        <f>"$N$"&amp;A693</f>
        <v>$N$203</v>
      </c>
      <c r="Q693" s="110">
        <v>7</v>
      </c>
      <c r="R693" s="110">
        <v>8</v>
      </c>
      <c r="S693" s="110"/>
      <c r="T693" s="110"/>
      <c r="U693" s="110" t="b">
        <v>1</v>
      </c>
      <c r="V693" s="110" t="s">
        <v>1346</v>
      </c>
      <c r="W693" s="110" t="s">
        <v>1343</v>
      </c>
      <c r="X693" s="110"/>
      <c r="Y693" s="110"/>
      <c r="Z693" s="110"/>
      <c r="AA693" s="110"/>
      <c r="AB693" s="110">
        <v>3</v>
      </c>
      <c r="AC693" s="110">
        <v>5</v>
      </c>
      <c r="AD693" s="110" t="s">
        <v>105</v>
      </c>
      <c r="AE693" s="110">
        <v>12</v>
      </c>
      <c r="AF693" s="110"/>
      <c r="AG693" s="110" t="s">
        <v>1351</v>
      </c>
      <c r="AH693" s="110" t="s">
        <v>29</v>
      </c>
      <c r="AI693" s="110" t="s">
        <v>29</v>
      </c>
      <c r="AJ693" s="110"/>
      <c r="AK693" s="110"/>
      <c r="AL693" s="110"/>
      <c r="AM693" s="110"/>
      <c r="AN693" s="110">
        <v>2</v>
      </c>
      <c r="AO693" s="110"/>
      <c r="AP693" s="110"/>
    </row>
    <row r="694" spans="1:52" ht="16.5" customHeight="1" x14ac:dyDescent="0.2">
      <c r="A694" s="107">
        <f>$O$683+(P683-O683+1)*(H683-1)-1</f>
        <v>203</v>
      </c>
      <c r="B694" s="107" t="s">
        <v>697</v>
      </c>
      <c r="C694" s="107" t="s">
        <v>663</v>
      </c>
      <c r="D694" s="107"/>
      <c r="E694" s="107"/>
      <c r="F694" s="107"/>
      <c r="G694" s="107" t="s">
        <v>1154</v>
      </c>
      <c r="H694" s="107"/>
      <c r="I694" s="107"/>
      <c r="J694" s="107" t="b">
        <f t="shared" si="78"/>
        <v>1</v>
      </c>
      <c r="K694" s="107"/>
      <c r="L694" s="107"/>
      <c r="M694" s="107"/>
      <c r="N694" s="107"/>
      <c r="O694" s="107"/>
      <c r="P694" s="107"/>
      <c r="Q694" s="107"/>
      <c r="R694" s="107"/>
      <c r="S694" s="107"/>
      <c r="T694" s="107"/>
      <c r="U694" s="107"/>
      <c r="V694" s="107"/>
      <c r="W694" s="107"/>
      <c r="X694" s="107"/>
      <c r="Y694" s="107"/>
      <c r="Z694" s="107"/>
      <c r="AA694" s="107"/>
      <c r="AB694" s="107"/>
      <c r="AC694" s="107"/>
      <c r="AD694" s="107"/>
      <c r="AE694" s="107"/>
      <c r="AF694" s="107"/>
      <c r="AG694" s="107"/>
      <c r="AH694" s="107"/>
      <c r="AI694" s="107"/>
      <c r="AJ694" s="107"/>
      <c r="AK694" s="107"/>
      <c r="AL694" s="107"/>
      <c r="AM694" s="107"/>
      <c r="AN694" s="107"/>
      <c r="AO694" s="107"/>
      <c r="AP694" s="107"/>
    </row>
    <row r="695" spans="1:52" ht="16.5" customHeight="1" x14ac:dyDescent="0.2">
      <c r="A695" s="110">
        <f>$A$694+2</f>
        <v>205</v>
      </c>
      <c r="B695" s="110" t="s">
        <v>700</v>
      </c>
      <c r="C695" s="110" t="s">
        <v>656</v>
      </c>
      <c r="D695" s="110"/>
      <c r="E695" s="110" t="s">
        <v>697</v>
      </c>
      <c r="F695" s="110"/>
      <c r="G695" s="110" t="s">
        <v>1154</v>
      </c>
      <c r="H695" s="110"/>
      <c r="I695" s="110" t="s">
        <v>199</v>
      </c>
      <c r="J695" s="110" t="b">
        <f t="shared" si="78"/>
        <v>1</v>
      </c>
      <c r="K695" s="110" t="b">
        <v>1</v>
      </c>
      <c r="L695" s="110"/>
      <c r="M695" s="110" t="str">
        <f>"'groupAdd """&amp;E695&amp;"""'"</f>
        <v>'groupAdd "Version"'</v>
      </c>
      <c r="N695" s="110" t="s">
        <v>59</v>
      </c>
      <c r="O695" s="110" t="str">
        <f>"$L$"&amp;A695</f>
        <v>$L$205</v>
      </c>
      <c r="P695" s="110" t="str">
        <f>"$M$"&amp;A695</f>
        <v>$M$205</v>
      </c>
      <c r="Q695" s="110">
        <v>5</v>
      </c>
      <c r="R695" s="110">
        <v>1</v>
      </c>
      <c r="S695" s="110"/>
      <c r="T695" s="110">
        <v>22</v>
      </c>
      <c r="U695" s="110" t="b">
        <v>1</v>
      </c>
      <c r="V695" s="110" t="s">
        <v>1344</v>
      </c>
      <c r="W695" s="110" t="s">
        <v>1343</v>
      </c>
      <c r="X695" s="110"/>
      <c r="Y695" s="110"/>
      <c r="Z695" s="110"/>
      <c r="AA695" s="110"/>
      <c r="AB695" s="110">
        <v>3</v>
      </c>
      <c r="AC695" s="110">
        <v>5</v>
      </c>
      <c r="AD695" s="110" t="s">
        <v>105</v>
      </c>
      <c r="AE695" s="110">
        <v>12</v>
      </c>
      <c r="AF695" s="110"/>
      <c r="AG695" s="110" t="s">
        <v>1351</v>
      </c>
      <c r="AH695" s="110" t="s">
        <v>29</v>
      </c>
      <c r="AI695" s="110" t="s">
        <v>29</v>
      </c>
      <c r="AJ695" s="110"/>
      <c r="AK695" s="110"/>
      <c r="AL695" s="110"/>
      <c r="AM695" s="110"/>
      <c r="AN695" s="110">
        <v>2</v>
      </c>
      <c r="AO695" s="110"/>
      <c r="AP695" s="110"/>
    </row>
    <row r="696" spans="1:52" ht="16.5" customHeight="1" x14ac:dyDescent="0.2">
      <c r="A696" s="103">
        <f>$A$694+4</f>
        <v>207</v>
      </c>
      <c r="B696" s="103" t="s">
        <v>259</v>
      </c>
      <c r="C696" s="103" t="s">
        <v>654</v>
      </c>
      <c r="D696" s="103"/>
      <c r="E696" s="103"/>
      <c r="F696" s="103"/>
      <c r="G696" s="103" t="s">
        <v>1154</v>
      </c>
      <c r="H696" s="103" t="s">
        <v>1442</v>
      </c>
      <c r="I696" s="103" t="s">
        <v>172</v>
      </c>
      <c r="J696" s="103" t="b">
        <f t="shared" si="78"/>
        <v>1</v>
      </c>
      <c r="K696" s="103" t="b">
        <v>1</v>
      </c>
      <c r="L696" s="103" t="b">
        <v>0</v>
      </c>
      <c r="M696" s="103" t="str">
        <f>"'expand """&amp;B696&amp;""","""&amp;G696&amp;""",TRUE'"</f>
        <v>'expand "FP_Main2","Forside",TRUE'</v>
      </c>
      <c r="N696" s="103" t="s">
        <v>59</v>
      </c>
      <c r="O696" s="103" t="str">
        <f>"$B$"&amp;A696</f>
        <v>$B$207</v>
      </c>
      <c r="P696" s="103" t="str">
        <f>"$N$"&amp;A711+1</f>
        <v>$N$258</v>
      </c>
      <c r="Q696" s="103"/>
      <c r="R696" s="103">
        <v>1</v>
      </c>
      <c r="S696" s="103"/>
      <c r="T696" s="103">
        <v>60</v>
      </c>
      <c r="U696" s="103" t="b">
        <v>1</v>
      </c>
      <c r="V696" s="103" t="s">
        <v>1343</v>
      </c>
      <c r="W696" s="103" t="s">
        <v>1355</v>
      </c>
      <c r="X696" s="103"/>
      <c r="Y696" s="103"/>
      <c r="Z696" s="103"/>
      <c r="AA696" s="103"/>
      <c r="AB696" s="103"/>
      <c r="AC696" s="103">
        <v>30</v>
      </c>
      <c r="AD696" s="103"/>
      <c r="AE696" s="103">
        <v>20</v>
      </c>
      <c r="AF696" s="103" t="b">
        <v>0</v>
      </c>
      <c r="AG696" s="103" t="s">
        <v>1351</v>
      </c>
      <c r="AH696" s="103" t="s">
        <v>29</v>
      </c>
      <c r="AI696" s="103" t="s">
        <v>28</v>
      </c>
      <c r="AJ696" s="103"/>
      <c r="AK696" s="103"/>
      <c r="AL696" s="103"/>
      <c r="AM696" s="103"/>
      <c r="AN696" s="103">
        <v>10</v>
      </c>
      <c r="AO696" s="103">
        <v>225</v>
      </c>
      <c r="AP696" s="103"/>
    </row>
    <row r="697" spans="1:52" ht="16.5" customHeight="1" x14ac:dyDescent="0.2">
      <c r="A697" s="100">
        <f>$A$696+2</f>
        <v>209</v>
      </c>
      <c r="B697" s="100" t="s">
        <v>260</v>
      </c>
      <c r="C697" s="100" t="s">
        <v>649</v>
      </c>
      <c r="D697" s="100"/>
      <c r="E697" s="100"/>
      <c r="F697" s="100"/>
      <c r="G697" s="100" t="s">
        <v>1154</v>
      </c>
      <c r="H697" s="100"/>
      <c r="I697" s="100" t="s">
        <v>1243</v>
      </c>
      <c r="J697" s="100" t="b">
        <f t="shared" si="78"/>
        <v>1</v>
      </c>
      <c r="K697" s="100" t="b">
        <v>1</v>
      </c>
      <c r="L697" s="100"/>
      <c r="M697" s="100"/>
      <c r="N697" s="100" t="s">
        <v>59</v>
      </c>
      <c r="O697" s="100" t="str">
        <f>"$D$"&amp;A697</f>
        <v>$D$209</v>
      </c>
      <c r="P697" s="100" t="str">
        <f>"$M$"&amp;A697</f>
        <v>$M$209</v>
      </c>
      <c r="Q697" s="100"/>
      <c r="R697" s="100"/>
      <c r="S697" s="100"/>
      <c r="T697" s="100">
        <v>156</v>
      </c>
      <c r="U697" s="100" t="b">
        <v>1</v>
      </c>
      <c r="V697" s="100" t="s">
        <v>1341</v>
      </c>
      <c r="W697" s="100" t="s">
        <v>1341</v>
      </c>
      <c r="X697" s="100"/>
      <c r="Y697" s="100"/>
      <c r="Z697" s="100"/>
      <c r="AA697" s="100"/>
      <c r="AB697" s="100"/>
      <c r="AC697" s="100">
        <v>5</v>
      </c>
      <c r="AD697" s="100" t="s">
        <v>105</v>
      </c>
      <c r="AE697" s="100">
        <v>12</v>
      </c>
      <c r="AF697" s="100" t="b">
        <v>0</v>
      </c>
      <c r="AG697" s="100" t="s">
        <v>1355</v>
      </c>
      <c r="AH697" s="100" t="s">
        <v>27</v>
      </c>
      <c r="AI697" s="100" t="s">
        <v>28</v>
      </c>
      <c r="AJ697" s="100"/>
      <c r="AK697" s="100"/>
      <c r="AL697" s="100">
        <v>0</v>
      </c>
      <c r="AM697" s="100"/>
      <c r="AN697" s="100"/>
      <c r="AO697" s="100"/>
      <c r="AP697" s="100"/>
    </row>
    <row r="698" spans="1:52" ht="16.5" customHeight="1" x14ac:dyDescent="0.2">
      <c r="A698" s="103">
        <f>$A$696+4</f>
        <v>211</v>
      </c>
      <c r="B698" s="103" t="s">
        <v>261</v>
      </c>
      <c r="C698" s="103" t="s">
        <v>654</v>
      </c>
      <c r="D698" s="103"/>
      <c r="E698" s="103"/>
      <c r="F698" s="103"/>
      <c r="G698" s="103" t="s">
        <v>1154</v>
      </c>
      <c r="H698" s="103" t="s">
        <v>1441</v>
      </c>
      <c r="I698" s="103" t="s">
        <v>173</v>
      </c>
      <c r="J698" s="103" t="b">
        <f t="shared" si="78"/>
        <v>1</v>
      </c>
      <c r="K698" s="103" t="b">
        <v>1</v>
      </c>
      <c r="L698" s="103" t="b">
        <v>0</v>
      </c>
      <c r="M698" s="103" t="str">
        <f>"'expand """&amp;B698&amp;""","""&amp;G698&amp;""",TRUE'"</f>
        <v>'expand "FP_Main2Sub1","Forside",TRUE'</v>
      </c>
      <c r="N698" s="103" t="s">
        <v>59</v>
      </c>
      <c r="O698" s="103" t="str">
        <f>"$B$"&amp;A698</f>
        <v>$B$211</v>
      </c>
      <c r="P698" s="103" t="str">
        <f>"$M$" &amp;A702-1</f>
        <v>$M$238</v>
      </c>
      <c r="Q698" s="103"/>
      <c r="R698" s="103">
        <v>1</v>
      </c>
      <c r="S698" s="103"/>
      <c r="T698" s="103">
        <v>40</v>
      </c>
      <c r="U698" s="103" t="b">
        <v>1</v>
      </c>
      <c r="V698" s="103" t="s">
        <v>1344</v>
      </c>
      <c r="W698" s="103" t="s">
        <v>1343</v>
      </c>
      <c r="X698" s="103"/>
      <c r="Y698" s="103"/>
      <c r="Z698" s="103"/>
      <c r="AA698" s="103"/>
      <c r="AB698" s="103"/>
      <c r="AC698" s="103">
        <v>30</v>
      </c>
      <c r="AD698" s="103"/>
      <c r="AE698" s="103">
        <v>18</v>
      </c>
      <c r="AF698" s="103" t="b">
        <v>0</v>
      </c>
      <c r="AG698" s="103" t="s">
        <v>1351</v>
      </c>
      <c r="AH698" s="103" t="s">
        <v>29</v>
      </c>
      <c r="AI698" s="103" t="s">
        <v>28</v>
      </c>
      <c r="AJ698" s="103"/>
      <c r="AK698" s="103"/>
      <c r="AL698" s="103"/>
      <c r="AM698" s="103"/>
      <c r="AN698" s="103">
        <v>8</v>
      </c>
      <c r="AO698" s="103">
        <v>225</v>
      </c>
      <c r="AP698" s="103"/>
    </row>
    <row r="699" spans="1:52" ht="16.5" customHeight="1" x14ac:dyDescent="0.2">
      <c r="A699" s="100">
        <f>$A$698+2</f>
        <v>213</v>
      </c>
      <c r="B699" s="100" t="s">
        <v>262</v>
      </c>
      <c r="C699" s="100" t="s">
        <v>649</v>
      </c>
      <c r="D699" s="100"/>
      <c r="E699" s="100"/>
      <c r="F699" s="100"/>
      <c r="G699" s="100" t="s">
        <v>1154</v>
      </c>
      <c r="H699" s="100"/>
      <c r="I699" s="100" t="s">
        <v>1256</v>
      </c>
      <c r="J699" s="100" t="b">
        <f t="shared" si="78"/>
        <v>1</v>
      </c>
      <c r="K699" s="100" t="b">
        <v>1</v>
      </c>
      <c r="L699" s="100"/>
      <c r="M699" s="100"/>
      <c r="N699" s="100" t="s">
        <v>59</v>
      </c>
      <c r="O699" s="100" t="str">
        <f>"$D$"&amp;A699</f>
        <v>$D$213</v>
      </c>
      <c r="P699" s="100" t="str">
        <f>"$M$"&amp;A699</f>
        <v>$M$213</v>
      </c>
      <c r="Q699" s="100"/>
      <c r="R699" s="100"/>
      <c r="S699" s="100"/>
      <c r="T699" s="100">
        <v>56</v>
      </c>
      <c r="U699" s="100" t="b">
        <v>1</v>
      </c>
      <c r="V699" s="100" t="s">
        <v>1341</v>
      </c>
      <c r="W699" s="100" t="s">
        <v>1341</v>
      </c>
      <c r="X699" s="100"/>
      <c r="Y699" s="100"/>
      <c r="Z699" s="100"/>
      <c r="AA699" s="100"/>
      <c r="AB699" s="100"/>
      <c r="AC699" s="100">
        <v>5</v>
      </c>
      <c r="AD699" s="100" t="s">
        <v>105</v>
      </c>
      <c r="AE699" s="100">
        <v>12</v>
      </c>
      <c r="AF699" s="100" t="b">
        <v>0</v>
      </c>
      <c r="AG699" s="100" t="s">
        <v>1355</v>
      </c>
      <c r="AH699" s="100" t="s">
        <v>27</v>
      </c>
      <c r="AI699" s="100" t="s">
        <v>28</v>
      </c>
      <c r="AJ699" s="100"/>
      <c r="AK699" s="100"/>
      <c r="AL699" s="100">
        <v>0</v>
      </c>
      <c r="AM699" s="100"/>
      <c r="AN699" s="100"/>
      <c r="AO699" s="100"/>
      <c r="AP699" s="100"/>
    </row>
    <row r="700" spans="1:52" ht="16.5" customHeight="1" x14ac:dyDescent="0.2">
      <c r="A700" s="101">
        <f>$A$698+4</f>
        <v>215</v>
      </c>
      <c r="B700" s="101" t="s">
        <v>264</v>
      </c>
      <c r="C700" s="101" t="s">
        <v>599</v>
      </c>
      <c r="D700" s="101" t="s">
        <v>130</v>
      </c>
      <c r="E700" s="101"/>
      <c r="F700" s="101"/>
      <c r="G700" s="101" t="s">
        <v>1154</v>
      </c>
      <c r="H700" s="101"/>
      <c r="I700" s="101"/>
      <c r="J700" s="101" t="b">
        <f t="shared" si="78"/>
        <v>1</v>
      </c>
      <c r="K700" s="101" t="b">
        <v>1</v>
      </c>
      <c r="L700" s="101"/>
      <c r="M700" s="101"/>
      <c r="N700" s="101" t="s">
        <v>59</v>
      </c>
      <c r="O700" s="101" t="str">
        <f>"$D$"&amp;A700</f>
        <v>$D$215</v>
      </c>
      <c r="P700" s="101" t="str">
        <f>"$M$"&amp;A701-2</f>
        <v>$M$235</v>
      </c>
      <c r="Q700" s="101"/>
      <c r="R700" s="101"/>
      <c r="S700" s="101"/>
      <c r="T700" s="101"/>
      <c r="U700" s="101"/>
      <c r="V700" s="101"/>
      <c r="W700" s="101"/>
      <c r="X700" s="101"/>
      <c r="Y700" s="101"/>
      <c r="Z700" s="101"/>
      <c r="AA700" s="101"/>
      <c r="AB700" s="101"/>
      <c r="AC700" s="101">
        <v>5</v>
      </c>
      <c r="AD700" s="101"/>
      <c r="AE700" s="101">
        <v>12</v>
      </c>
      <c r="AF700" s="101" t="b">
        <v>0</v>
      </c>
      <c r="AG700" s="101" t="s">
        <v>1355</v>
      </c>
      <c r="AH700" s="101" t="s">
        <v>27</v>
      </c>
      <c r="AI700" s="101" t="s">
        <v>28</v>
      </c>
      <c r="AJ700" s="101"/>
      <c r="AK700" s="101"/>
      <c r="AL700" s="101"/>
      <c r="AM700" s="101"/>
      <c r="AN700" s="101"/>
      <c r="AO700" s="101"/>
      <c r="AP700" s="101"/>
    </row>
    <row r="701" spans="1:52" ht="16.5" customHeight="1" x14ac:dyDescent="0.2">
      <c r="A701" s="100">
        <f>$A$698+26</f>
        <v>237</v>
      </c>
      <c r="B701" s="100" t="s">
        <v>263</v>
      </c>
      <c r="C701" s="100" t="s">
        <v>649</v>
      </c>
      <c r="D701" s="100"/>
      <c r="E701" s="100"/>
      <c r="F701" s="100"/>
      <c r="G701" s="100" t="s">
        <v>1154</v>
      </c>
      <c r="H701" s="100"/>
      <c r="I701" s="100" t="s">
        <v>1597</v>
      </c>
      <c r="J701" s="100" t="b">
        <f t="shared" si="78"/>
        <v>1</v>
      </c>
      <c r="K701" s="100" t="b">
        <v>1</v>
      </c>
      <c r="L701" s="100"/>
      <c r="M701" s="100"/>
      <c r="N701" s="100" t="s">
        <v>59</v>
      </c>
      <c r="O701" s="100" t="str">
        <f>"$D$"&amp;A701</f>
        <v>$D$237</v>
      </c>
      <c r="P701" s="100" t="str">
        <f>"$M$"&amp;A701</f>
        <v>$M$237</v>
      </c>
      <c r="Q701" s="100"/>
      <c r="R701" s="100"/>
      <c r="S701" s="100"/>
      <c r="T701" s="100">
        <v>56</v>
      </c>
      <c r="U701" s="100" t="b">
        <v>1</v>
      </c>
      <c r="V701" s="100" t="s">
        <v>1341</v>
      </c>
      <c r="W701" s="100" t="s">
        <v>1341</v>
      </c>
      <c r="X701" s="100"/>
      <c r="Y701" s="100"/>
      <c r="Z701" s="100"/>
      <c r="AA701" s="100"/>
      <c r="AB701" s="100"/>
      <c r="AC701" s="100">
        <v>5</v>
      </c>
      <c r="AD701" s="100" t="s">
        <v>105</v>
      </c>
      <c r="AE701" s="100">
        <v>12</v>
      </c>
      <c r="AF701" s="100" t="b">
        <v>0</v>
      </c>
      <c r="AG701" s="100" t="s">
        <v>1355</v>
      </c>
      <c r="AH701" s="100" t="s">
        <v>27</v>
      </c>
      <c r="AI701" s="100" t="s">
        <v>28</v>
      </c>
      <c r="AJ701" s="100"/>
      <c r="AK701" s="100"/>
      <c r="AL701" s="100">
        <v>0</v>
      </c>
      <c r="AM701" s="100"/>
      <c r="AN701" s="100"/>
      <c r="AO701" s="100"/>
      <c r="AP701" s="100"/>
    </row>
    <row r="702" spans="1:52" ht="16.5" customHeight="1" x14ac:dyDescent="0.2">
      <c r="A702" s="103">
        <f>$A$698+28</f>
        <v>239</v>
      </c>
      <c r="B702" s="103" t="s">
        <v>265</v>
      </c>
      <c r="C702" s="103" t="s">
        <v>654</v>
      </c>
      <c r="D702" s="103"/>
      <c r="E702" s="103"/>
      <c r="F702" s="103"/>
      <c r="G702" s="103" t="s">
        <v>1154</v>
      </c>
      <c r="H702" s="103" t="s">
        <v>1126</v>
      </c>
      <c r="I702" s="103" t="s">
        <v>129</v>
      </c>
      <c r="J702" s="103" t="b">
        <f t="shared" si="78"/>
        <v>1</v>
      </c>
      <c r="K702" s="103" t="b">
        <v>1</v>
      </c>
      <c r="L702" s="103" t="b">
        <v>0</v>
      </c>
      <c r="M702" s="103" t="str">
        <f>"'expand """&amp;B702&amp;""","""&amp;G702&amp;""",TRUE'"</f>
        <v>'expand "FP_Main2Sub2","Forside",TRUE'</v>
      </c>
      <c r="N702" s="103" t="s">
        <v>59</v>
      </c>
      <c r="O702" s="103" t="str">
        <f>"$B$"&amp;A702</f>
        <v>$B$239</v>
      </c>
      <c r="P702" s="103" t="str">
        <f>"$M$" &amp; A704-1</f>
        <v>$M$242</v>
      </c>
      <c r="Q702" s="103"/>
      <c r="R702" s="103">
        <v>1</v>
      </c>
      <c r="S702" s="103"/>
      <c r="T702" s="103">
        <v>40</v>
      </c>
      <c r="U702" s="103" t="b">
        <v>1</v>
      </c>
      <c r="V702" s="103" t="s">
        <v>1344</v>
      </c>
      <c r="W702" s="103" t="s">
        <v>1343</v>
      </c>
      <c r="X702" s="103"/>
      <c r="Y702" s="103"/>
      <c r="Z702" s="103"/>
      <c r="AA702" s="103"/>
      <c r="AB702" s="103"/>
      <c r="AC702" s="103">
        <v>30</v>
      </c>
      <c r="AD702" s="103"/>
      <c r="AE702" s="103">
        <v>18</v>
      </c>
      <c r="AF702" s="103" t="b">
        <v>0</v>
      </c>
      <c r="AG702" s="103" t="s">
        <v>1351</v>
      </c>
      <c r="AH702" s="103" t="s">
        <v>29</v>
      </c>
      <c r="AI702" s="103" t="s">
        <v>28</v>
      </c>
      <c r="AJ702" s="103"/>
      <c r="AK702" s="103"/>
      <c r="AL702" s="103"/>
      <c r="AM702" s="103"/>
      <c r="AN702" s="103">
        <v>8</v>
      </c>
      <c r="AO702" s="103">
        <v>225</v>
      </c>
      <c r="AP702" s="103"/>
    </row>
    <row r="703" spans="1:52" ht="16.5" customHeight="1" x14ac:dyDescent="0.2">
      <c r="A703" s="100">
        <f>$A$702+2</f>
        <v>241</v>
      </c>
      <c r="B703" s="100" t="s">
        <v>266</v>
      </c>
      <c r="C703" s="100" t="s">
        <v>649</v>
      </c>
      <c r="D703" s="100"/>
      <c r="E703" s="100"/>
      <c r="F703" s="100"/>
      <c r="G703" s="100" t="s">
        <v>1154</v>
      </c>
      <c r="H703" s="100"/>
      <c r="I703" s="246" t="s">
        <v>1244</v>
      </c>
      <c r="J703" s="100" t="b">
        <f t="shared" si="78"/>
        <v>1</v>
      </c>
      <c r="K703" s="100" t="b">
        <v>1</v>
      </c>
      <c r="L703" s="100"/>
      <c r="M703" s="100"/>
      <c r="N703" s="100" t="s">
        <v>59</v>
      </c>
      <c r="O703" s="100" t="str">
        <f>"$D$"&amp;A703</f>
        <v>$D$241</v>
      </c>
      <c r="P703" s="100" t="str">
        <f>"$M$"&amp;A703</f>
        <v>$M$241</v>
      </c>
      <c r="Q703" s="100"/>
      <c r="R703" s="100"/>
      <c r="S703" s="100"/>
      <c r="T703" s="100">
        <v>220</v>
      </c>
      <c r="U703" s="100" t="b">
        <v>1</v>
      </c>
      <c r="V703" s="100" t="s">
        <v>1341</v>
      </c>
      <c r="W703" s="100" t="s">
        <v>1341</v>
      </c>
      <c r="X703" s="100"/>
      <c r="Y703" s="100"/>
      <c r="Z703" s="100"/>
      <c r="AA703" s="100"/>
      <c r="AB703" s="100"/>
      <c r="AC703" s="100">
        <v>5</v>
      </c>
      <c r="AD703" s="100" t="s">
        <v>105</v>
      </c>
      <c r="AE703" s="100">
        <v>12</v>
      </c>
      <c r="AF703" s="100" t="b">
        <v>0</v>
      </c>
      <c r="AG703" s="100" t="s">
        <v>1355</v>
      </c>
      <c r="AH703" s="100" t="s">
        <v>27</v>
      </c>
      <c r="AI703" s="100" t="s">
        <v>28</v>
      </c>
      <c r="AJ703" s="100"/>
      <c r="AK703" s="100"/>
      <c r="AL703" s="100">
        <v>0</v>
      </c>
      <c r="AM703" s="100"/>
      <c r="AN703" s="100"/>
      <c r="AO703" s="100"/>
      <c r="AP703" s="100"/>
    </row>
    <row r="704" spans="1:52" ht="16.5" customHeight="1" x14ac:dyDescent="0.2">
      <c r="A704" s="103">
        <f>$A$702+4</f>
        <v>243</v>
      </c>
      <c r="B704" s="103" t="s">
        <v>267</v>
      </c>
      <c r="C704" s="103" t="s">
        <v>654</v>
      </c>
      <c r="D704" s="103"/>
      <c r="E704" s="103"/>
      <c r="F704" s="103"/>
      <c r="G704" s="103" t="s">
        <v>1154</v>
      </c>
      <c r="H704" s="103" t="s">
        <v>1126</v>
      </c>
      <c r="I704" s="103" t="s">
        <v>132</v>
      </c>
      <c r="J704" s="103" t="b">
        <f t="shared" si="78"/>
        <v>1</v>
      </c>
      <c r="K704" s="103" t="b">
        <v>1</v>
      </c>
      <c r="L704" s="103" t="b">
        <v>1</v>
      </c>
      <c r="M704" s="103" t="str">
        <f>"'expand """&amp;B704&amp;""","""&amp;G704&amp;""",TRUE'"</f>
        <v>'expand "FP_Main2Sub3","Forside",TRUE'</v>
      </c>
      <c r="N704" s="103" t="s">
        <v>59</v>
      </c>
      <c r="O704" s="103" t="str">
        <f>"$B$"&amp;A704</f>
        <v>$B$243</v>
      </c>
      <c r="P704" s="103" t="str">
        <f>"$M$" &amp; A706-1</f>
        <v>$M$246</v>
      </c>
      <c r="Q704" s="103"/>
      <c r="R704" s="103">
        <v>1</v>
      </c>
      <c r="S704" s="103"/>
      <c r="T704" s="103">
        <v>40</v>
      </c>
      <c r="U704" s="103" t="b">
        <v>1</v>
      </c>
      <c r="V704" s="103" t="s">
        <v>1344</v>
      </c>
      <c r="W704" s="103" t="s">
        <v>1343</v>
      </c>
      <c r="X704" s="103"/>
      <c r="Y704" s="103"/>
      <c r="Z704" s="103"/>
      <c r="AA704" s="103"/>
      <c r="AB704" s="103"/>
      <c r="AC704" s="103">
        <v>30</v>
      </c>
      <c r="AD704" s="103"/>
      <c r="AE704" s="103">
        <v>18</v>
      </c>
      <c r="AF704" s="103" t="b">
        <v>0</v>
      </c>
      <c r="AG704" s="103" t="s">
        <v>1351</v>
      </c>
      <c r="AH704" s="103" t="s">
        <v>29</v>
      </c>
      <c r="AI704" s="103" t="s">
        <v>28</v>
      </c>
      <c r="AJ704" s="103"/>
      <c r="AK704" s="103"/>
      <c r="AL704" s="103"/>
      <c r="AM704" s="103"/>
      <c r="AN704" s="103">
        <v>8</v>
      </c>
      <c r="AO704" s="103">
        <v>135</v>
      </c>
      <c r="AP704" s="103"/>
    </row>
    <row r="705" spans="1:77" ht="16.5" customHeight="1" x14ac:dyDescent="0.2">
      <c r="A705" s="100">
        <f>$A$704+2</f>
        <v>245</v>
      </c>
      <c r="B705" s="100" t="s">
        <v>268</v>
      </c>
      <c r="C705" s="100" t="s">
        <v>649</v>
      </c>
      <c r="D705" s="100"/>
      <c r="E705" s="100"/>
      <c r="F705" s="100"/>
      <c r="G705" s="100" t="s">
        <v>1154</v>
      </c>
      <c r="H705" s="100"/>
      <c r="I705" s="100" t="s">
        <v>640</v>
      </c>
      <c r="J705" s="100" t="b">
        <f t="shared" si="78"/>
        <v>1</v>
      </c>
      <c r="K705" s="100" t="b">
        <v>1</v>
      </c>
      <c r="L705" s="100"/>
      <c r="M705" s="100"/>
      <c r="N705" s="100" t="s">
        <v>59</v>
      </c>
      <c r="O705" s="100" t="str">
        <f>"$D$"&amp;A705</f>
        <v>$D$245</v>
      </c>
      <c r="P705" s="100" t="str">
        <f>"$M$"&amp;A705</f>
        <v>$M$245</v>
      </c>
      <c r="Q705" s="100"/>
      <c r="R705" s="100"/>
      <c r="S705" s="100"/>
      <c r="T705" s="100">
        <v>156</v>
      </c>
      <c r="U705" s="100" t="b">
        <v>1</v>
      </c>
      <c r="V705" s="100" t="s">
        <v>1341</v>
      </c>
      <c r="W705" s="100" t="s">
        <v>1341</v>
      </c>
      <c r="X705" s="100"/>
      <c r="Y705" s="100"/>
      <c r="Z705" s="100"/>
      <c r="AA705" s="100"/>
      <c r="AB705" s="100"/>
      <c r="AC705" s="100">
        <v>5</v>
      </c>
      <c r="AD705" s="100" t="s">
        <v>105</v>
      </c>
      <c r="AE705" s="100">
        <v>12</v>
      </c>
      <c r="AF705" s="100" t="b">
        <v>0</v>
      </c>
      <c r="AG705" s="100" t="s">
        <v>1355</v>
      </c>
      <c r="AH705" s="100" t="s">
        <v>27</v>
      </c>
      <c r="AI705" s="100" t="s">
        <v>28</v>
      </c>
      <c r="AJ705" s="100"/>
      <c r="AK705" s="100"/>
      <c r="AL705" s="100">
        <v>0</v>
      </c>
      <c r="AM705" s="100"/>
      <c r="AN705" s="100"/>
      <c r="AO705" s="100"/>
      <c r="AP705" s="100"/>
    </row>
    <row r="706" spans="1:77" ht="16.5" customHeight="1" x14ac:dyDescent="0.2">
      <c r="A706" s="103">
        <f>$A$704+4</f>
        <v>247</v>
      </c>
      <c r="B706" s="103" t="s">
        <v>269</v>
      </c>
      <c r="C706" s="103" t="s">
        <v>654</v>
      </c>
      <c r="D706" s="103"/>
      <c r="E706" s="103"/>
      <c r="F706" s="103"/>
      <c r="G706" s="103" t="s">
        <v>1154</v>
      </c>
      <c r="H706" s="103" t="s">
        <v>1126</v>
      </c>
      <c r="I706" s="103" t="s">
        <v>131</v>
      </c>
      <c r="J706" s="103" t="b">
        <f t="shared" si="78"/>
        <v>1</v>
      </c>
      <c r="K706" s="103" t="b">
        <v>1</v>
      </c>
      <c r="L706" s="103" t="b">
        <v>1</v>
      </c>
      <c r="M706" s="103" t="str">
        <f>"'expand """&amp;B706&amp;""","""&amp;G706&amp;""",TRUE'"</f>
        <v>'expand "FP_Main2Sub4","Forside",TRUE'</v>
      </c>
      <c r="N706" s="103" t="s">
        <v>59</v>
      </c>
      <c r="O706" s="103" t="str">
        <f>"$B$"&amp;A706</f>
        <v>$B$247</v>
      </c>
      <c r="P706" s="103" t="str">
        <f>"$M$" &amp; A708-1</f>
        <v>$M$250</v>
      </c>
      <c r="Q706" s="103"/>
      <c r="R706" s="103">
        <v>1</v>
      </c>
      <c r="S706" s="103"/>
      <c r="T706" s="103">
        <v>40</v>
      </c>
      <c r="U706" s="103" t="b">
        <v>1</v>
      </c>
      <c r="V706" s="103" t="s">
        <v>1344</v>
      </c>
      <c r="W706" s="103" t="s">
        <v>1343</v>
      </c>
      <c r="X706" s="103"/>
      <c r="Y706" s="103"/>
      <c r="Z706" s="103"/>
      <c r="AA706" s="103"/>
      <c r="AB706" s="103"/>
      <c r="AC706" s="103">
        <v>30</v>
      </c>
      <c r="AD706" s="103"/>
      <c r="AE706" s="103">
        <v>18</v>
      </c>
      <c r="AF706" s="103" t="b">
        <v>0</v>
      </c>
      <c r="AG706" s="103" t="s">
        <v>1351</v>
      </c>
      <c r="AH706" s="103" t="s">
        <v>29</v>
      </c>
      <c r="AI706" s="103" t="s">
        <v>28</v>
      </c>
      <c r="AJ706" s="103"/>
      <c r="AK706" s="103"/>
      <c r="AL706" s="103"/>
      <c r="AM706" s="103"/>
      <c r="AN706" s="103">
        <v>8</v>
      </c>
      <c r="AO706" s="103">
        <v>135</v>
      </c>
      <c r="AP706" s="103"/>
    </row>
    <row r="707" spans="1:77" ht="16.5" customHeight="1" x14ac:dyDescent="0.2">
      <c r="A707" s="100">
        <f>$A$706+2</f>
        <v>249</v>
      </c>
      <c r="B707" s="100" t="s">
        <v>270</v>
      </c>
      <c r="C707" s="100" t="s">
        <v>649</v>
      </c>
      <c r="D707" s="100"/>
      <c r="E707" s="100"/>
      <c r="F707" s="100"/>
      <c r="G707" s="100" t="s">
        <v>1154</v>
      </c>
      <c r="H707" s="100"/>
      <c r="I707" s="100" t="s">
        <v>174</v>
      </c>
      <c r="J707" s="100" t="b">
        <f t="shared" si="78"/>
        <v>1</v>
      </c>
      <c r="K707" s="100" t="b">
        <v>1</v>
      </c>
      <c r="L707" s="100"/>
      <c r="M707" s="100"/>
      <c r="N707" s="100" t="s">
        <v>59</v>
      </c>
      <c r="O707" s="100" t="str">
        <f>"$D$"&amp;A707</f>
        <v>$D$249</v>
      </c>
      <c r="P707" s="100" t="str">
        <f>"$M$"&amp;A707</f>
        <v>$M$249</v>
      </c>
      <c r="Q707" s="100"/>
      <c r="R707" s="100"/>
      <c r="S707" s="100"/>
      <c r="T707" s="100">
        <v>100</v>
      </c>
      <c r="U707" s="100" t="b">
        <v>1</v>
      </c>
      <c r="V707" s="100" t="s">
        <v>1341</v>
      </c>
      <c r="W707" s="100" t="s">
        <v>1341</v>
      </c>
      <c r="X707" s="100"/>
      <c r="Y707" s="100"/>
      <c r="Z707" s="100"/>
      <c r="AA707" s="100"/>
      <c r="AB707" s="100"/>
      <c r="AC707" s="100">
        <v>5</v>
      </c>
      <c r="AD707" s="100" t="s">
        <v>105</v>
      </c>
      <c r="AE707" s="100">
        <v>12</v>
      </c>
      <c r="AF707" s="100" t="b">
        <v>0</v>
      </c>
      <c r="AG707" s="100" t="s">
        <v>1355</v>
      </c>
      <c r="AH707" s="100" t="s">
        <v>27</v>
      </c>
      <c r="AI707" s="100" t="s">
        <v>28</v>
      </c>
      <c r="AJ707" s="100"/>
      <c r="AK707" s="100"/>
      <c r="AL707" s="100">
        <v>0</v>
      </c>
      <c r="AM707" s="100"/>
      <c r="AN707" s="100"/>
      <c r="AO707" s="100"/>
      <c r="AP707" s="100"/>
    </row>
    <row r="708" spans="1:77" ht="16.5" customHeight="1" x14ac:dyDescent="0.2">
      <c r="A708" s="103">
        <f>$A$706+4</f>
        <v>251</v>
      </c>
      <c r="B708" s="103" t="s">
        <v>271</v>
      </c>
      <c r="C708" s="103" t="s">
        <v>654</v>
      </c>
      <c r="D708" s="103"/>
      <c r="E708" s="103"/>
      <c r="F708" s="103"/>
      <c r="G708" s="103" t="s">
        <v>1154</v>
      </c>
      <c r="H708" s="103" t="s">
        <v>1126</v>
      </c>
      <c r="I708" s="103" t="s">
        <v>1245</v>
      </c>
      <c r="J708" s="103" t="b">
        <f t="shared" si="78"/>
        <v>1</v>
      </c>
      <c r="K708" s="103" t="b">
        <v>1</v>
      </c>
      <c r="L708" s="103" t="b">
        <v>1</v>
      </c>
      <c r="M708" s="103" t="str">
        <f>"'expand """&amp;B708&amp;""","""&amp;G708&amp;""",TRUE'"</f>
        <v>'expand "FP_Main2Sub5","Forside",TRUE'</v>
      </c>
      <c r="N708" s="103" t="s">
        <v>59</v>
      </c>
      <c r="O708" s="103" t="str">
        <f>"$B$"&amp;A708</f>
        <v>$B$251</v>
      </c>
      <c r="P708" s="103" t="str">
        <f>"$M$" &amp; A710-1</f>
        <v>$M$254</v>
      </c>
      <c r="Q708" s="103"/>
      <c r="R708" s="103">
        <v>1</v>
      </c>
      <c r="S708" s="103"/>
      <c r="T708" s="103">
        <v>40</v>
      </c>
      <c r="U708" s="103" t="b">
        <v>1</v>
      </c>
      <c r="V708" s="103" t="s">
        <v>1344</v>
      </c>
      <c r="W708" s="103" t="s">
        <v>1343</v>
      </c>
      <c r="X708" s="103"/>
      <c r="Y708" s="103"/>
      <c r="Z708" s="103"/>
      <c r="AA708" s="103"/>
      <c r="AB708" s="103"/>
      <c r="AC708" s="103">
        <v>30</v>
      </c>
      <c r="AD708" s="103"/>
      <c r="AE708" s="103">
        <v>18</v>
      </c>
      <c r="AF708" s="103" t="b">
        <v>0</v>
      </c>
      <c r="AG708" s="103" t="s">
        <v>1351</v>
      </c>
      <c r="AH708" s="103" t="s">
        <v>29</v>
      </c>
      <c r="AI708" s="103" t="s">
        <v>28</v>
      </c>
      <c r="AJ708" s="103"/>
      <c r="AK708" s="103"/>
      <c r="AL708" s="103"/>
      <c r="AM708" s="103"/>
      <c r="AN708" s="103">
        <v>8</v>
      </c>
      <c r="AO708" s="103">
        <v>135</v>
      </c>
      <c r="AP708" s="103"/>
    </row>
    <row r="709" spans="1:77" ht="16.5" customHeight="1" x14ac:dyDescent="0.2">
      <c r="A709" s="100">
        <f>$A$708+2</f>
        <v>253</v>
      </c>
      <c r="B709" s="100" t="s">
        <v>661</v>
      </c>
      <c r="C709" s="100" t="s">
        <v>649</v>
      </c>
      <c r="D709" s="100"/>
      <c r="E709" s="100"/>
      <c r="F709" s="100"/>
      <c r="G709" s="100" t="s">
        <v>1154</v>
      </c>
      <c r="H709" s="100"/>
      <c r="I709" s="100" t="s">
        <v>175</v>
      </c>
      <c r="J709" s="100" t="b">
        <f t="shared" si="78"/>
        <v>1</v>
      </c>
      <c r="K709" s="100" t="b">
        <v>1</v>
      </c>
      <c r="L709" s="100"/>
      <c r="M709" s="100"/>
      <c r="N709" s="100" t="s">
        <v>59</v>
      </c>
      <c r="O709" s="100" t="str">
        <f>"$D$"&amp;A709</f>
        <v>$D$253</v>
      </c>
      <c r="P709" s="100" t="str">
        <f>"$M$"&amp;A709</f>
        <v>$M$253</v>
      </c>
      <c r="Q709" s="100"/>
      <c r="R709" s="100"/>
      <c r="S709" s="100"/>
      <c r="T709" s="100">
        <v>100</v>
      </c>
      <c r="U709" s="100" t="b">
        <v>1</v>
      </c>
      <c r="V709" s="100" t="s">
        <v>1341</v>
      </c>
      <c r="W709" s="100" t="s">
        <v>1341</v>
      </c>
      <c r="X709" s="100"/>
      <c r="Y709" s="100"/>
      <c r="Z709" s="100"/>
      <c r="AA709" s="100"/>
      <c r="AB709" s="100"/>
      <c r="AC709" s="100">
        <v>5</v>
      </c>
      <c r="AD709" s="100" t="s">
        <v>105</v>
      </c>
      <c r="AE709" s="100">
        <v>12</v>
      </c>
      <c r="AF709" s="100" t="b">
        <v>0</v>
      </c>
      <c r="AG709" s="100" t="s">
        <v>1355</v>
      </c>
      <c r="AH709" s="100" t="s">
        <v>27</v>
      </c>
      <c r="AI709" s="100" t="s">
        <v>28</v>
      </c>
      <c r="AJ709" s="100"/>
      <c r="AK709" s="100"/>
      <c r="AL709" s="100">
        <v>0</v>
      </c>
      <c r="AM709" s="100"/>
      <c r="AN709" s="100"/>
      <c r="AO709" s="100"/>
      <c r="AP709" s="100"/>
    </row>
    <row r="710" spans="1:77" ht="16.5" customHeight="1" x14ac:dyDescent="0.2">
      <c r="A710" s="103">
        <f>$A$708+4</f>
        <v>255</v>
      </c>
      <c r="B710" s="103" t="s">
        <v>272</v>
      </c>
      <c r="C710" s="103" t="s">
        <v>654</v>
      </c>
      <c r="D710" s="103"/>
      <c r="E710" s="103"/>
      <c r="F710" s="103"/>
      <c r="G710" s="103" t="s">
        <v>1154</v>
      </c>
      <c r="H710" s="103" t="s">
        <v>1126</v>
      </c>
      <c r="I710" s="103" t="s">
        <v>133</v>
      </c>
      <c r="J710" s="103" t="b">
        <f t="shared" si="78"/>
        <v>1</v>
      </c>
      <c r="K710" s="103" t="b">
        <v>1</v>
      </c>
      <c r="L710" s="103" t="b">
        <v>1</v>
      </c>
      <c r="M710" s="103" t="str">
        <f>"'expand """&amp;B710&amp;""","""&amp;G710&amp;""",TRUE'"</f>
        <v>'expand "FP_Main2Sub6","Forside",TRUE'</v>
      </c>
      <c r="N710" s="103" t="s">
        <v>59</v>
      </c>
      <c r="O710" s="103" t="str">
        <f>"$B$"&amp;A710</f>
        <v>$B$255</v>
      </c>
      <c r="P710" s="103" t="str">
        <f>"$M$" &amp; A711+1</f>
        <v>$M$258</v>
      </c>
      <c r="Q710" s="103"/>
      <c r="R710" s="103">
        <v>1</v>
      </c>
      <c r="S710" s="103"/>
      <c r="T710" s="103">
        <v>40</v>
      </c>
      <c r="U710" s="103" t="b">
        <v>1</v>
      </c>
      <c r="V710" s="103" t="s">
        <v>1344</v>
      </c>
      <c r="W710" s="103" t="s">
        <v>1343</v>
      </c>
      <c r="X710" s="103"/>
      <c r="Y710" s="103"/>
      <c r="Z710" s="103"/>
      <c r="AA710" s="103"/>
      <c r="AB710" s="103"/>
      <c r="AC710" s="103">
        <v>30</v>
      </c>
      <c r="AD710" s="103"/>
      <c r="AE710" s="103">
        <v>18</v>
      </c>
      <c r="AF710" s="103" t="b">
        <v>0</v>
      </c>
      <c r="AG710" s="103" t="s">
        <v>1351</v>
      </c>
      <c r="AH710" s="103" t="s">
        <v>29</v>
      </c>
      <c r="AI710" s="103" t="s">
        <v>28</v>
      </c>
      <c r="AJ710" s="103"/>
      <c r="AK710" s="103"/>
      <c r="AL710" s="103"/>
      <c r="AM710" s="103"/>
      <c r="AN710" s="103">
        <v>8</v>
      </c>
      <c r="AO710" s="103">
        <v>135</v>
      </c>
      <c r="AP710" s="103"/>
    </row>
    <row r="711" spans="1:77" ht="16.5" customHeight="1" x14ac:dyDescent="0.2">
      <c r="A711" s="100">
        <f>$A$710+2</f>
        <v>257</v>
      </c>
      <c r="B711" s="100" t="s">
        <v>662</v>
      </c>
      <c r="C711" s="100" t="s">
        <v>649</v>
      </c>
      <c r="D711" s="100"/>
      <c r="E711" s="100"/>
      <c r="F711" s="100"/>
      <c r="G711" s="100" t="s">
        <v>1154</v>
      </c>
      <c r="H711" s="100"/>
      <c r="I711" s="100" t="s">
        <v>176</v>
      </c>
      <c r="J711" s="100" t="b">
        <f t="shared" si="78"/>
        <v>1</v>
      </c>
      <c r="K711" s="100" t="b">
        <v>1</v>
      </c>
      <c r="L711" s="100"/>
      <c r="M711" s="100"/>
      <c r="N711" s="100" t="s">
        <v>59</v>
      </c>
      <c r="O711" s="100" t="str">
        <f>"$D$"&amp;A711</f>
        <v>$D$257</v>
      </c>
      <c r="P711" s="100" t="str">
        <f>"$M$"&amp;A711</f>
        <v>$M$257</v>
      </c>
      <c r="Q711" s="100"/>
      <c r="R711" s="100"/>
      <c r="S711" s="100"/>
      <c r="T711" s="100">
        <v>180</v>
      </c>
      <c r="U711" s="100" t="b">
        <v>1</v>
      </c>
      <c r="V711" s="100" t="s">
        <v>1341</v>
      </c>
      <c r="W711" s="100" t="s">
        <v>1341</v>
      </c>
      <c r="X711" s="100"/>
      <c r="Y711" s="100"/>
      <c r="Z711" s="100"/>
      <c r="AA711" s="100"/>
      <c r="AB711" s="100"/>
      <c r="AC711" s="100">
        <v>5</v>
      </c>
      <c r="AD711" s="100" t="s">
        <v>105</v>
      </c>
      <c r="AE711" s="100">
        <v>12</v>
      </c>
      <c r="AF711" s="100" t="b">
        <v>0</v>
      </c>
      <c r="AG711" s="100" t="s">
        <v>1355</v>
      </c>
      <c r="AH711" s="100" t="s">
        <v>27</v>
      </c>
      <c r="AI711" s="100" t="s">
        <v>28</v>
      </c>
      <c r="AJ711" s="100"/>
      <c r="AK711" s="100"/>
      <c r="AL711" s="100">
        <v>0</v>
      </c>
      <c r="AM711" s="100"/>
      <c r="AN711" s="100"/>
      <c r="AO711" s="100"/>
      <c r="AP711" s="100"/>
    </row>
    <row r="712" spans="1:77" ht="16.5" customHeight="1" x14ac:dyDescent="0.2">
      <c r="A712" s="99">
        <v>0</v>
      </c>
      <c r="B712" s="99" t="s">
        <v>289</v>
      </c>
      <c r="C712" s="99" t="s">
        <v>89</v>
      </c>
      <c r="D712" s="99"/>
      <c r="E712" s="99"/>
      <c r="F712" s="99">
        <v>11</v>
      </c>
      <c r="G712" s="99" t="str">
        <f>B712</f>
        <v>Projektudgifter</v>
      </c>
      <c r="H712" s="99" t="s">
        <v>1598</v>
      </c>
      <c r="I712" s="99">
        <f>COUNTIF(G:G,B712)</f>
        <v>28</v>
      </c>
      <c r="J712" s="99" t="b">
        <f t="shared" ref="J712:J745" si="79">$E$5</f>
        <v>1</v>
      </c>
      <c r="K712" s="99" t="b">
        <v>1</v>
      </c>
      <c r="L712" s="99"/>
      <c r="M712" s="99"/>
      <c r="N712" s="99"/>
      <c r="O712" s="99"/>
      <c r="P712" s="99"/>
      <c r="Q712" s="99"/>
      <c r="R712" s="99"/>
      <c r="S712" s="99"/>
      <c r="T712" s="99"/>
      <c r="U712" s="99"/>
      <c r="V712" s="99"/>
      <c r="W712" s="99" t="s">
        <v>1358</v>
      </c>
      <c r="X712" s="99"/>
      <c r="Y712" s="99"/>
      <c r="Z712" s="99"/>
      <c r="AA712" s="99"/>
      <c r="AB712" s="99"/>
      <c r="AC712" s="99"/>
      <c r="AD712" s="99"/>
      <c r="AE712" s="99"/>
      <c r="AF712" s="99"/>
      <c r="AG712" s="99"/>
      <c r="AH712" s="99"/>
      <c r="AI712" s="99"/>
      <c r="AJ712" s="99">
        <v>80</v>
      </c>
      <c r="AK712" s="99"/>
      <c r="AL712" s="99"/>
      <c r="AM712" s="99"/>
      <c r="AN712" s="99"/>
      <c r="AO712" s="99"/>
      <c r="AP712" s="99"/>
    </row>
    <row r="713" spans="1:77" ht="16.5" customHeight="1" x14ac:dyDescent="0.2">
      <c r="A713" s="100">
        <f>$A$712+2</f>
        <v>2</v>
      </c>
      <c r="B713" s="100" t="s">
        <v>320</v>
      </c>
      <c r="C713" s="100" t="s">
        <v>649</v>
      </c>
      <c r="D713" s="100"/>
      <c r="E713" s="100"/>
      <c r="F713" s="100"/>
      <c r="G713" s="100" t="s">
        <v>289</v>
      </c>
      <c r="H713" s="100"/>
      <c r="I713" s="100" t="s">
        <v>289</v>
      </c>
      <c r="J713" s="100" t="b">
        <f t="shared" si="79"/>
        <v>1</v>
      </c>
      <c r="K713" s="100" t="b">
        <v>1</v>
      </c>
      <c r="L713" s="100"/>
      <c r="M713" s="100"/>
      <c r="N713" s="100" t="s">
        <v>59</v>
      </c>
      <c r="O713" s="100" t="str">
        <f>"$C$"&amp;A713</f>
        <v>$C$2</v>
      </c>
      <c r="P713" s="100" t="str">
        <f>"$H$"&amp;A713</f>
        <v>$H$2</v>
      </c>
      <c r="Q713" s="100"/>
      <c r="R713" s="100">
        <v>3</v>
      </c>
      <c r="S713" s="100"/>
      <c r="T713" s="100">
        <v>45</v>
      </c>
      <c r="U713" s="100"/>
      <c r="V713" s="100" t="s">
        <v>1351</v>
      </c>
      <c r="W713" s="100"/>
      <c r="X713" s="100"/>
      <c r="Y713" s="100"/>
      <c r="Z713" s="100"/>
      <c r="AA713" s="100"/>
      <c r="AB713" s="100">
        <v>3</v>
      </c>
      <c r="AC713" s="100">
        <v>5</v>
      </c>
      <c r="AD713" s="100" t="s">
        <v>105</v>
      </c>
      <c r="AE713" s="100">
        <v>36</v>
      </c>
      <c r="AF713" s="100" t="b">
        <v>1</v>
      </c>
      <c r="AG713" s="100" t="s">
        <v>1355</v>
      </c>
      <c r="AH713" s="100" t="s">
        <v>29</v>
      </c>
      <c r="AI713" s="100" t="s">
        <v>28</v>
      </c>
      <c r="AJ713" s="100"/>
      <c r="AK713" s="100"/>
      <c r="AL713" s="100">
        <v>0</v>
      </c>
      <c r="AM713" s="100"/>
      <c r="AN713" s="100"/>
      <c r="AO713" s="100"/>
      <c r="AP713" s="100"/>
    </row>
    <row r="714" spans="1:77" ht="16.5" customHeight="1" x14ac:dyDescent="0.2">
      <c r="A714" s="100">
        <f>$A$712+3</f>
        <v>3</v>
      </c>
      <c r="B714" s="100" t="s">
        <v>1148</v>
      </c>
      <c r="C714" s="100" t="s">
        <v>649</v>
      </c>
      <c r="D714" s="100"/>
      <c r="E714" s="100"/>
      <c r="F714" s="100"/>
      <c r="G714" s="100" t="s">
        <v>289</v>
      </c>
      <c r="H714" s="100"/>
      <c r="I714" s="100" t="s">
        <v>1147</v>
      </c>
      <c r="J714" s="100" t="b">
        <f t="shared" si="79"/>
        <v>1</v>
      </c>
      <c r="K714" s="100" t="b">
        <v>1</v>
      </c>
      <c r="L714" s="100"/>
      <c r="M714" s="100"/>
      <c r="N714" s="100" t="s">
        <v>59</v>
      </c>
      <c r="O714" s="100" t="str">
        <f>"$C$"&amp;A714</f>
        <v>$C$3</v>
      </c>
      <c r="P714" s="100" t="str">
        <f>"$H$"&amp;A714</f>
        <v>$H$3</v>
      </c>
      <c r="Q714" s="100"/>
      <c r="R714" s="100">
        <v>3</v>
      </c>
      <c r="S714" s="100"/>
      <c r="T714" s="100">
        <v>27</v>
      </c>
      <c r="U714" s="100"/>
      <c r="V714" s="100" t="s">
        <v>1351</v>
      </c>
      <c r="W714" s="100"/>
      <c r="X714" s="100"/>
      <c r="Y714" s="100"/>
      <c r="Z714" s="100"/>
      <c r="AA714" s="100"/>
      <c r="AB714" s="100">
        <v>3</v>
      </c>
      <c r="AC714" s="100">
        <v>5</v>
      </c>
      <c r="AD714" s="100" t="s">
        <v>105</v>
      </c>
      <c r="AE714" s="100">
        <v>18</v>
      </c>
      <c r="AF714" s="100" t="b">
        <v>1</v>
      </c>
      <c r="AG714" s="100" t="s">
        <v>1355</v>
      </c>
      <c r="AH714" s="100" t="s">
        <v>29</v>
      </c>
      <c r="AI714" s="100" t="s">
        <v>28</v>
      </c>
      <c r="AJ714" s="100"/>
      <c r="AK714" s="100"/>
      <c r="AL714" s="100">
        <v>0</v>
      </c>
      <c r="AM714" s="100"/>
      <c r="AN714" s="100"/>
      <c r="AO714" s="100"/>
      <c r="AP714" s="100"/>
    </row>
    <row r="715" spans="1:77" ht="16.5" customHeight="1" x14ac:dyDescent="0.2">
      <c r="A715" s="103">
        <f>$A$712+6</f>
        <v>6</v>
      </c>
      <c r="B715" s="103" t="s">
        <v>321</v>
      </c>
      <c r="C715" s="103" t="s">
        <v>654</v>
      </c>
      <c r="D715" s="103"/>
      <c r="E715" s="103"/>
      <c r="F715" s="103"/>
      <c r="G715" s="103" t="s">
        <v>289</v>
      </c>
      <c r="H715" s="103"/>
      <c r="I715" s="103" t="s">
        <v>290</v>
      </c>
      <c r="J715" s="103" t="b">
        <f t="shared" si="79"/>
        <v>1</v>
      </c>
      <c r="K715" s="103" t="b">
        <v>1</v>
      </c>
      <c r="L715" s="103"/>
      <c r="M715" s="103"/>
      <c r="N715" s="103" t="s">
        <v>59</v>
      </c>
      <c r="O715" s="103" t="str">
        <f>"$C$"&amp;A715</f>
        <v>$C$6</v>
      </c>
      <c r="P715" s="103" t="str">
        <f>"$AL$"&amp;A720-1</f>
        <v>$AL$11</v>
      </c>
      <c r="Q715" s="103"/>
      <c r="R715" s="103">
        <v>1</v>
      </c>
      <c r="S715" s="103"/>
      <c r="T715" s="103">
        <v>27</v>
      </c>
      <c r="U715" s="103" t="b">
        <v>1</v>
      </c>
      <c r="V715" s="103" t="s">
        <v>1352</v>
      </c>
      <c r="W715" s="103" t="s">
        <v>1352</v>
      </c>
      <c r="X715" s="103"/>
      <c r="Y715" s="103"/>
      <c r="Z715" s="103"/>
      <c r="AA715" s="103"/>
      <c r="AB715" s="103"/>
      <c r="AC715" s="103">
        <v>7</v>
      </c>
      <c r="AD715" s="103" t="s">
        <v>105</v>
      </c>
      <c r="AE715" s="103">
        <v>20</v>
      </c>
      <c r="AF715" s="103" t="b">
        <v>1</v>
      </c>
      <c r="AG715" s="103" t="s">
        <v>1351</v>
      </c>
      <c r="AH715" s="103" t="s">
        <v>29</v>
      </c>
      <c r="AI715" s="103" t="s">
        <v>28</v>
      </c>
      <c r="AJ715" s="103"/>
      <c r="AK715" s="103"/>
      <c r="AL715" s="103">
        <v>0</v>
      </c>
      <c r="AM715" s="103"/>
      <c r="AN715" s="103"/>
      <c r="AO715" s="103"/>
      <c r="AP715" s="103"/>
    </row>
    <row r="716" spans="1:77" ht="16.5" customHeight="1" x14ac:dyDescent="0.2">
      <c r="A716" s="112">
        <f>$A$715+2</f>
        <v>8</v>
      </c>
      <c r="B716" s="112" t="s">
        <v>322</v>
      </c>
      <c r="C716" s="112" t="s">
        <v>90</v>
      </c>
      <c r="D716" s="112"/>
      <c r="E716" s="112"/>
      <c r="F716" s="112"/>
      <c r="G716" s="112" t="s">
        <v>289</v>
      </c>
      <c r="H716" s="112"/>
      <c r="I716" s="112"/>
      <c r="J716" s="112" t="b">
        <f t="shared" si="79"/>
        <v>1</v>
      </c>
      <c r="K716" s="112" t="b">
        <v>1</v>
      </c>
      <c r="L716" s="112"/>
      <c r="M716" s="112"/>
      <c r="N716" s="112"/>
      <c r="O716" s="112" t="str">
        <f>"$B$"&amp;A716</f>
        <v>$B$8</v>
      </c>
      <c r="P716" s="112" t="str">
        <f>"$AL$"&amp;A716+2</f>
        <v>$AL$10</v>
      </c>
      <c r="Q716" s="112"/>
      <c r="R716" s="112"/>
      <c r="S716" s="112"/>
      <c r="T716" s="112"/>
      <c r="U716" s="112"/>
      <c r="V716" s="112"/>
      <c r="W716" s="112"/>
      <c r="X716" s="112"/>
      <c r="Y716" s="112"/>
      <c r="Z716" s="112"/>
      <c r="AA716" s="112"/>
      <c r="AB716" s="112"/>
      <c r="AC716" s="112"/>
      <c r="AD716" s="112"/>
      <c r="AE716" s="112"/>
      <c r="AF716" s="112"/>
      <c r="AG716" s="112"/>
      <c r="AH716" s="112"/>
      <c r="AI716" s="112"/>
      <c r="AJ716" s="112"/>
      <c r="AK716" s="112"/>
      <c r="AL716" s="112"/>
      <c r="AM716" s="112"/>
      <c r="AN716" s="112"/>
      <c r="AO716" s="112"/>
      <c r="AP716" s="112"/>
    </row>
    <row r="717" spans="1:77" ht="16.5" customHeight="1" thickBot="1" x14ac:dyDescent="0.25">
      <c r="A717" s="113">
        <f>$A$716+0</f>
        <v>8</v>
      </c>
      <c r="B717" s="113" t="s">
        <v>323</v>
      </c>
      <c r="C717" s="113" t="s">
        <v>92</v>
      </c>
      <c r="D717" s="113"/>
      <c r="E717" s="113"/>
      <c r="F717" s="113"/>
      <c r="G717" s="113" t="s">
        <v>289</v>
      </c>
      <c r="H717" s="113"/>
      <c r="I717" s="113"/>
      <c r="J717" s="113" t="b">
        <f t="shared" si="79"/>
        <v>1</v>
      </c>
      <c r="K717" s="113" t="b">
        <v>1</v>
      </c>
      <c r="L717" s="113"/>
      <c r="M717" s="113"/>
      <c r="N717" s="113"/>
      <c r="O717" s="113" t="str">
        <f>"$B$"&amp;A717</f>
        <v>$B$8</v>
      </c>
      <c r="P717" s="113" t="str">
        <f>"$AL$"&amp;A717</f>
        <v>$AL$8</v>
      </c>
      <c r="Q717" s="113"/>
      <c r="R717" s="113"/>
      <c r="S717" s="113"/>
      <c r="T717" s="113">
        <v>36</v>
      </c>
      <c r="U717" s="113"/>
      <c r="V717" s="113"/>
      <c r="W717" s="113"/>
      <c r="X717" s="113"/>
      <c r="Y717" s="113"/>
      <c r="Z717" s="113"/>
      <c r="AA717" s="113"/>
      <c r="AB717" s="113"/>
      <c r="AC717" s="113"/>
      <c r="AD717" s="113"/>
      <c r="AE717" s="113"/>
      <c r="AF717" s="113"/>
      <c r="AG717" s="113"/>
      <c r="AH717" s="113"/>
      <c r="AI717" s="113"/>
      <c r="AJ717" s="113"/>
      <c r="AK717" s="113"/>
      <c r="AL717" s="113"/>
      <c r="AM717" s="113"/>
      <c r="AN717" s="113"/>
      <c r="AO717" s="113"/>
      <c r="AP717" s="113" t="b">
        <v>1</v>
      </c>
      <c r="AQ717" s="59" t="s">
        <v>620</v>
      </c>
      <c r="AR717" s="342" t="s">
        <v>291</v>
      </c>
      <c r="AS717" s="343"/>
      <c r="AT717" s="343"/>
      <c r="AU717" s="343"/>
      <c r="AV717" s="343"/>
      <c r="AW717" s="344"/>
      <c r="AX717" s="60" t="s">
        <v>1241</v>
      </c>
      <c r="AY717" s="60" t="s">
        <v>1238</v>
      </c>
      <c r="AZ717" s="61" t="s">
        <v>293</v>
      </c>
      <c r="BA717" s="61" t="s">
        <v>621</v>
      </c>
      <c r="BB717" s="61" t="s">
        <v>294</v>
      </c>
      <c r="BC717" s="62" t="s">
        <v>295</v>
      </c>
      <c r="BD717" s="62" t="s">
        <v>296</v>
      </c>
      <c r="BE717" s="62" t="s">
        <v>297</v>
      </c>
      <c r="BF717" s="61" t="s">
        <v>622</v>
      </c>
      <c r="BG717" s="63" t="s">
        <v>623</v>
      </c>
      <c r="BH717" s="117"/>
      <c r="BI717" s="118"/>
      <c r="BJ717" s="64" t="s">
        <v>299</v>
      </c>
      <c r="BK717" s="65" t="s">
        <v>1312</v>
      </c>
      <c r="BL717" s="65" t="s">
        <v>1327</v>
      </c>
      <c r="BM717" s="65" t="s">
        <v>1408</v>
      </c>
      <c r="BN717" s="61" t="s">
        <v>300</v>
      </c>
      <c r="BO717" s="61" t="s">
        <v>301</v>
      </c>
      <c r="BP717" s="61" t="s">
        <v>302</v>
      </c>
      <c r="BQ717" s="66" t="s">
        <v>1336</v>
      </c>
      <c r="BR717" s="67" t="s">
        <v>1337</v>
      </c>
      <c r="BS717" s="117"/>
      <c r="BT717" s="118"/>
      <c r="BU717" s="118"/>
      <c r="BV717" s="118"/>
      <c r="BW717" s="118"/>
      <c r="BX717" s="118"/>
      <c r="BY717" s="118"/>
    </row>
    <row r="718" spans="1:77" ht="16.5" customHeight="1" x14ac:dyDescent="0.2">
      <c r="A718" s="108">
        <f>$A$716+-8</f>
        <v>0</v>
      </c>
      <c r="B718" s="98" t="s">
        <v>1439</v>
      </c>
      <c r="C718" s="98"/>
      <c r="D718" s="98"/>
      <c r="E718" s="98"/>
      <c r="F718" s="98"/>
      <c r="G718" s="98"/>
      <c r="H718" s="98"/>
      <c r="I718" s="98"/>
      <c r="J718" s="98"/>
      <c r="K718" s="98"/>
      <c r="L718" s="98"/>
      <c r="M718" s="98"/>
      <c r="N718" s="98"/>
      <c r="O718" s="98"/>
      <c r="P718" s="98"/>
      <c r="Q718" s="98"/>
      <c r="R718" s="98"/>
      <c r="S718" s="98"/>
      <c r="T718" s="98"/>
      <c r="U718" s="98"/>
      <c r="V718" s="98"/>
      <c r="W718" s="98"/>
      <c r="X718" s="98"/>
      <c r="Y718" s="98"/>
      <c r="Z718" s="98"/>
      <c r="AA718" s="98"/>
      <c r="AB718" s="98"/>
      <c r="AC718" s="98"/>
      <c r="AD718" s="98"/>
      <c r="AE718" s="98"/>
      <c r="AF718" s="98"/>
      <c r="AG718" s="98"/>
      <c r="AH718" s="98"/>
      <c r="AI718" s="98"/>
      <c r="AJ718" s="98"/>
      <c r="AK718" s="98"/>
      <c r="AL718" s="98"/>
      <c r="AM718" s="98"/>
      <c r="AN718" s="98"/>
      <c r="AO718" s="98"/>
      <c r="AP718" s="98"/>
      <c r="AQ718" s="118"/>
      <c r="AR718" s="118"/>
      <c r="AS718" s="118"/>
      <c r="AT718" s="118"/>
      <c r="AU718" s="118"/>
    </row>
    <row r="719" spans="1:77" ht="16.5" customHeight="1" x14ac:dyDescent="0.2">
      <c r="A719" s="113">
        <f>$A$716+1</f>
        <v>9</v>
      </c>
      <c r="B719" s="113" t="s">
        <v>324</v>
      </c>
      <c r="C719" s="113" t="s">
        <v>92</v>
      </c>
      <c r="D719" s="113"/>
      <c r="E719" s="113"/>
      <c r="F719" s="113"/>
      <c r="G719" s="113" t="s">
        <v>289</v>
      </c>
      <c r="H719" s="113"/>
      <c r="I719" s="113"/>
      <c r="J719" s="113" t="b">
        <f t="shared" si="79"/>
        <v>1</v>
      </c>
      <c r="K719" s="113" t="b">
        <v>1</v>
      </c>
      <c r="L719" s="113"/>
      <c r="M719" s="113"/>
      <c r="N719" s="113"/>
      <c r="O719" s="113" t="str">
        <f>"$B$"&amp;A719</f>
        <v>$B$9</v>
      </c>
      <c r="P719" s="113" t="str">
        <f>"$AL$"&amp;A719</f>
        <v>$AL$9</v>
      </c>
      <c r="Q719" s="113"/>
      <c r="R719" s="113"/>
      <c r="S719" s="113"/>
      <c r="T719" s="113"/>
      <c r="U719" s="113"/>
      <c r="V719" s="113"/>
      <c r="W719" s="113"/>
      <c r="X719" s="113"/>
      <c r="Y719" s="113"/>
      <c r="Z719" s="113"/>
      <c r="AA719" s="113"/>
      <c r="AB719" s="113"/>
      <c r="AC719" s="113"/>
      <c r="AD719" s="113"/>
      <c r="AE719" s="113"/>
      <c r="AF719" s="113"/>
      <c r="AG719" s="113"/>
      <c r="AH719" s="113"/>
      <c r="AI719" s="113"/>
      <c r="AJ719" s="113"/>
      <c r="AK719" s="113"/>
      <c r="AL719" s="113"/>
      <c r="AM719" s="113"/>
      <c r="AN719" s="113"/>
      <c r="AO719" s="113"/>
      <c r="AP719" s="113" t="b">
        <v>1</v>
      </c>
      <c r="AQ719" s="44">
        <v>1</v>
      </c>
      <c r="AR719" s="345"/>
      <c r="AS719" s="346"/>
      <c r="AT719" s="346"/>
      <c r="AU719" s="346"/>
      <c r="AV719" s="346"/>
      <c r="AW719" s="346"/>
      <c r="AX719" s="88"/>
      <c r="AY719" s="45" t="s">
        <v>1222</v>
      </c>
      <c r="AZ719" s="54"/>
      <c r="BA719" s="55"/>
      <c r="BB719" s="54"/>
      <c r="BC719" s="53"/>
      <c r="BD719" s="53">
        <v>1</v>
      </c>
      <c r="BE719" s="53"/>
      <c r="BF719" s="46">
        <f>SUMPRODUCT(AZ719:BB719,BC719:BE719)</f>
        <v>0</v>
      </c>
      <c r="BG719" s="47">
        <f>BA719</f>
        <v>0</v>
      </c>
      <c r="BH719" s="117"/>
      <c r="BI719" s="118"/>
      <c r="BJ719" s="51">
        <v>1</v>
      </c>
      <c r="BK719" s="46" t="s">
        <v>1573</v>
      </c>
      <c r="BL719" s="46"/>
      <c r="BM719" s="46">
        <v>1</v>
      </c>
      <c r="BN719" s="46">
        <f>BJ719*BA719*BM719</f>
        <v>0</v>
      </c>
      <c r="BO719" s="46">
        <f>BJ719*BF719*BM719</f>
        <v>0</v>
      </c>
      <c r="BP719" s="46">
        <f>BJ719*BG719*BM719</f>
        <v>0</v>
      </c>
      <c r="BQ719" s="56">
        <f>BJ719*AZ719*BM719</f>
        <v>0</v>
      </c>
      <c r="BR719" s="57">
        <f>BJ719*BB719*BM719</f>
        <v>0</v>
      </c>
      <c r="BS719" s="117"/>
      <c r="BT719" s="118"/>
      <c r="BU719" s="118"/>
      <c r="BV719" s="118"/>
      <c r="BW719" s="118"/>
      <c r="BX719" s="118"/>
      <c r="BY719" s="118"/>
    </row>
    <row r="720" spans="1:77" ht="16.5" customHeight="1" x14ac:dyDescent="0.2">
      <c r="A720" s="103">
        <f>$A$716+4</f>
        <v>12</v>
      </c>
      <c r="B720" s="103" t="s">
        <v>325</v>
      </c>
      <c r="C720" s="103" t="s">
        <v>654</v>
      </c>
      <c r="D720" s="103"/>
      <c r="E720" s="103"/>
      <c r="F720" s="103"/>
      <c r="G720" s="103" t="s">
        <v>289</v>
      </c>
      <c r="H720" s="103"/>
      <c r="I720" s="103" t="s">
        <v>308</v>
      </c>
      <c r="J720" s="103" t="b">
        <f t="shared" si="79"/>
        <v>1</v>
      </c>
      <c r="K720" s="103" t="b">
        <v>1</v>
      </c>
      <c r="L720" s="103"/>
      <c r="M720" s="103"/>
      <c r="N720" s="103" t="s">
        <v>59</v>
      </c>
      <c r="O720" s="103" t="str">
        <f>"$C$"&amp;A720</f>
        <v>$C$12</v>
      </c>
      <c r="P720" s="103" t="str">
        <f>"$AL$"&amp;A771+1</f>
        <v>$AL$26</v>
      </c>
      <c r="Q720" s="103"/>
      <c r="R720" s="103">
        <v>1</v>
      </c>
      <c r="S720" s="103"/>
      <c r="T720" s="103">
        <v>27</v>
      </c>
      <c r="U720" s="103" t="b">
        <v>1</v>
      </c>
      <c r="V720" s="103" t="s">
        <v>1352</v>
      </c>
      <c r="W720" s="103" t="s">
        <v>1352</v>
      </c>
      <c r="X720" s="103"/>
      <c r="Y720" s="103"/>
      <c r="Z720" s="103"/>
      <c r="AA720" s="103"/>
      <c r="AB720" s="103"/>
      <c r="AC720" s="103">
        <v>7</v>
      </c>
      <c r="AD720" s="103" t="s">
        <v>105</v>
      </c>
      <c r="AE720" s="103">
        <v>20</v>
      </c>
      <c r="AF720" s="103" t="b">
        <v>1</v>
      </c>
      <c r="AG720" s="103" t="s">
        <v>1351</v>
      </c>
      <c r="AH720" s="103" t="s">
        <v>29</v>
      </c>
      <c r="AI720" s="103" t="s">
        <v>28</v>
      </c>
      <c r="AJ720" s="103"/>
      <c r="AK720" s="103"/>
      <c r="AL720" s="103">
        <v>0</v>
      </c>
      <c r="AM720" s="103"/>
      <c r="AN720" s="103"/>
      <c r="AO720" s="103"/>
      <c r="AP720" s="103"/>
    </row>
    <row r="721" spans="1:79" ht="16.5" customHeight="1" x14ac:dyDescent="0.2">
      <c r="A721" s="109">
        <f>$A$720+2</f>
        <v>14</v>
      </c>
      <c r="B721" s="109" t="s">
        <v>326</v>
      </c>
      <c r="C721" s="109" t="s">
        <v>96</v>
      </c>
      <c r="D721" s="109"/>
      <c r="E721" s="109"/>
      <c r="F721" s="109"/>
      <c r="G721" s="109" t="s">
        <v>289</v>
      </c>
      <c r="H721" s="109"/>
      <c r="I721" s="109" t="s">
        <v>309</v>
      </c>
      <c r="J721" s="109" t="b">
        <f t="shared" si="79"/>
        <v>1</v>
      </c>
      <c r="K721" s="109" t="b">
        <v>1</v>
      </c>
      <c r="L721" s="109"/>
      <c r="M721" s="109"/>
      <c r="N721" s="109" t="s">
        <v>59</v>
      </c>
      <c r="O721" s="109" t="str">
        <f>"$C$"&amp;A721</f>
        <v>$C$14</v>
      </c>
      <c r="P721" s="109" t="str">
        <f>"$AL$"&amp;A721</f>
        <v>$AL$14</v>
      </c>
      <c r="Q721" s="109">
        <v>20</v>
      </c>
      <c r="R721" s="109"/>
      <c r="S721" s="109"/>
      <c r="T721" s="109">
        <v>27</v>
      </c>
      <c r="U721" s="109" t="b">
        <v>1</v>
      </c>
      <c r="V721" s="109" t="s">
        <v>1351</v>
      </c>
      <c r="W721" s="109" t="s">
        <v>1351</v>
      </c>
      <c r="X721" s="109"/>
      <c r="Y721" s="109"/>
      <c r="Z721" s="109"/>
      <c r="AA721" s="109"/>
      <c r="AB721" s="109"/>
      <c r="AC721" s="109">
        <v>7</v>
      </c>
      <c r="AD721" s="109" t="s">
        <v>105</v>
      </c>
      <c r="AE721" s="109">
        <v>14</v>
      </c>
      <c r="AF721" s="109" t="b">
        <v>1</v>
      </c>
      <c r="AG721" s="109" t="s">
        <v>1355</v>
      </c>
      <c r="AH721" s="109" t="s">
        <v>29</v>
      </c>
      <c r="AI721" s="109" t="s">
        <v>28</v>
      </c>
      <c r="AJ721" s="109"/>
      <c r="AK721" s="109"/>
      <c r="AL721" s="109">
        <v>0</v>
      </c>
      <c r="AM721" s="109"/>
      <c r="AN721" s="109"/>
      <c r="AO721" s="109"/>
      <c r="AP721" s="109"/>
      <c r="AQ721" s="93" t="s">
        <v>309</v>
      </c>
    </row>
    <row r="722" spans="1:79" ht="16.5" customHeight="1" x14ac:dyDescent="0.2">
      <c r="A722" s="112">
        <f>$A$720+4</f>
        <v>16</v>
      </c>
      <c r="B722" s="112" t="s">
        <v>327</v>
      </c>
      <c r="C722" s="112" t="s">
        <v>90</v>
      </c>
      <c r="D722" s="112"/>
      <c r="E722" s="112"/>
      <c r="F722" s="112"/>
      <c r="G722" s="112" t="s">
        <v>289</v>
      </c>
      <c r="H722" s="112"/>
      <c r="I722" s="112"/>
      <c r="J722" s="112" t="b">
        <f t="shared" si="79"/>
        <v>1</v>
      </c>
      <c r="K722" s="112" t="b">
        <v>1</v>
      </c>
      <c r="L722" s="112"/>
      <c r="M722" s="112"/>
      <c r="N722" s="112"/>
      <c r="O722" s="112" t="str">
        <f>"$B$"&amp;A722</f>
        <v>$B$16</v>
      </c>
      <c r="P722" s="112" t="str">
        <f>"$AL$"&amp;A722+2</f>
        <v>$AL$18</v>
      </c>
      <c r="Q722" s="112"/>
      <c r="R722" s="112"/>
      <c r="S722" s="112"/>
      <c r="T722" s="112"/>
      <c r="U722" s="112"/>
      <c r="V722" s="112"/>
      <c r="W722" s="112"/>
      <c r="X722" s="112"/>
      <c r="Y722" s="112"/>
      <c r="Z722" s="112"/>
      <c r="AA722" s="112"/>
      <c r="AB722" s="112"/>
      <c r="AC722" s="112"/>
      <c r="AD722" s="112"/>
      <c r="AE722" s="112"/>
      <c r="AF722" s="112"/>
      <c r="AG722" s="112"/>
      <c r="AH722" s="112"/>
      <c r="AI722" s="112"/>
      <c r="AJ722" s="112"/>
      <c r="AK722" s="112"/>
      <c r="AL722" s="112"/>
      <c r="AM722" s="112"/>
      <c r="AN722" s="112"/>
      <c r="AO722" s="112"/>
      <c r="AP722" s="112"/>
    </row>
    <row r="723" spans="1:79" ht="16.5" customHeight="1" thickBot="1" x14ac:dyDescent="0.25">
      <c r="A723" s="113">
        <f>$A$722+0</f>
        <v>16</v>
      </c>
      <c r="B723" s="113" t="s">
        <v>328</v>
      </c>
      <c r="C723" s="113" t="s">
        <v>92</v>
      </c>
      <c r="D723" s="113"/>
      <c r="E723" s="113"/>
      <c r="F723" s="113"/>
      <c r="G723" s="113" t="s">
        <v>289</v>
      </c>
      <c r="H723" s="113"/>
      <c r="I723" s="113"/>
      <c r="J723" s="113" t="b">
        <f t="shared" si="79"/>
        <v>1</v>
      </c>
      <c r="K723" s="113" t="b">
        <v>1</v>
      </c>
      <c r="L723" s="113"/>
      <c r="M723" s="113"/>
      <c r="N723" s="113"/>
      <c r="O723" s="113" t="str">
        <f>"$B$"&amp;A723</f>
        <v>$B$16</v>
      </c>
      <c r="P723" s="113" t="str">
        <f>"$AL$"&amp;A723</f>
        <v>$AL$16</v>
      </c>
      <c r="Q723" s="113"/>
      <c r="R723" s="113"/>
      <c r="S723" s="113"/>
      <c r="T723" s="113">
        <v>36</v>
      </c>
      <c r="U723" s="113"/>
      <c r="V723" s="113"/>
      <c r="W723" s="113"/>
      <c r="X723" s="113"/>
      <c r="Y723" s="113"/>
      <c r="Z723" s="113"/>
      <c r="AA723" s="113"/>
      <c r="AB723" s="113"/>
      <c r="AC723" s="113"/>
      <c r="AD723" s="113"/>
      <c r="AE723" s="113"/>
      <c r="AF723" s="113"/>
      <c r="AG723" s="113"/>
      <c r="AH723" s="113"/>
      <c r="AI723" s="113"/>
      <c r="AJ723" s="113"/>
      <c r="AK723" s="113"/>
      <c r="AL723" s="113"/>
      <c r="AM723" s="113"/>
      <c r="AN723" s="113"/>
      <c r="AO723" s="113"/>
      <c r="AP723" s="113" t="b">
        <v>1</v>
      </c>
      <c r="AQ723" s="59" t="s">
        <v>620</v>
      </c>
      <c r="AR723" s="87" t="s">
        <v>291</v>
      </c>
      <c r="AS723" s="60" t="s">
        <v>310</v>
      </c>
      <c r="AT723" s="89" t="s">
        <v>311</v>
      </c>
      <c r="AU723" s="89" t="s">
        <v>624</v>
      </c>
      <c r="AV723" s="89" t="s">
        <v>625</v>
      </c>
      <c r="AW723" s="89" t="s">
        <v>292</v>
      </c>
      <c r="AX723" s="60" t="s">
        <v>1241</v>
      </c>
      <c r="AY723" s="60" t="s">
        <v>1238</v>
      </c>
      <c r="AZ723" s="61" t="s">
        <v>293</v>
      </c>
      <c r="BA723" s="61" t="s">
        <v>621</v>
      </c>
      <c r="BB723" s="61" t="s">
        <v>294</v>
      </c>
      <c r="BC723" s="62" t="s">
        <v>295</v>
      </c>
      <c r="BD723" s="62" t="s">
        <v>296</v>
      </c>
      <c r="BE723" s="62" t="s">
        <v>297</v>
      </c>
      <c r="BF723" s="61" t="s">
        <v>622</v>
      </c>
      <c r="BG723" s="61" t="s">
        <v>623</v>
      </c>
      <c r="BH723" s="60" t="s">
        <v>305</v>
      </c>
      <c r="BI723" s="60" t="s">
        <v>306</v>
      </c>
      <c r="BJ723" s="64" t="s">
        <v>299</v>
      </c>
      <c r="BK723" s="65" t="s">
        <v>1312</v>
      </c>
      <c r="BL723" s="65" t="s">
        <v>1327</v>
      </c>
      <c r="BM723" s="65" t="s">
        <v>1408</v>
      </c>
      <c r="BN723" s="61" t="s">
        <v>300</v>
      </c>
      <c r="BO723" s="61" t="s">
        <v>301</v>
      </c>
      <c r="BP723" s="61" t="s">
        <v>302</v>
      </c>
      <c r="BQ723" s="66" t="s">
        <v>1336</v>
      </c>
      <c r="BR723" s="66" t="s">
        <v>1337</v>
      </c>
      <c r="BS723" s="61" t="s">
        <v>303</v>
      </c>
      <c r="BT723" s="61" t="s">
        <v>304</v>
      </c>
      <c r="BU723" s="60" t="s">
        <v>312</v>
      </c>
      <c r="BV723" s="61" t="s">
        <v>313</v>
      </c>
      <c r="BW723" s="61" t="s">
        <v>314</v>
      </c>
      <c r="BX723" s="61" t="s">
        <v>315</v>
      </c>
      <c r="BY723" s="63" t="s">
        <v>316</v>
      </c>
      <c r="BZ723" s="68" t="s">
        <v>1340</v>
      </c>
      <c r="CA723" s="68" t="s">
        <v>1440</v>
      </c>
    </row>
    <row r="724" spans="1:79" ht="16.5" customHeight="1" x14ac:dyDescent="0.2">
      <c r="A724" s="108">
        <f>$A$722+-16</f>
        <v>0</v>
      </c>
      <c r="B724" s="98" t="s">
        <v>1439</v>
      </c>
      <c r="C724" s="98"/>
      <c r="D724" s="98"/>
      <c r="E724" s="98"/>
      <c r="F724" s="98"/>
      <c r="G724" s="98"/>
      <c r="H724" s="98"/>
      <c r="I724" s="98"/>
      <c r="J724" s="98"/>
      <c r="K724" s="98"/>
      <c r="L724" s="98"/>
      <c r="M724" s="98"/>
      <c r="N724" s="98"/>
      <c r="O724" s="98"/>
      <c r="P724" s="98"/>
      <c r="Q724" s="98"/>
      <c r="R724" s="98"/>
      <c r="S724" s="98"/>
      <c r="T724" s="98"/>
      <c r="U724" s="98"/>
      <c r="V724" s="98"/>
      <c r="W724" s="98"/>
      <c r="X724" s="98"/>
      <c r="Y724" s="98"/>
      <c r="Z724" s="98"/>
      <c r="AA724" s="98"/>
      <c r="AB724" s="98"/>
      <c r="AC724" s="98"/>
      <c r="AD724" s="98"/>
      <c r="AE724" s="98"/>
      <c r="AF724" s="98"/>
      <c r="AG724" s="98"/>
      <c r="AH724" s="98"/>
      <c r="AI724" s="98"/>
      <c r="AJ724" s="98"/>
      <c r="AK724" s="98"/>
      <c r="AL724" s="98"/>
      <c r="AM724" s="98"/>
      <c r="AN724" s="98"/>
      <c r="AO724" s="98"/>
      <c r="AP724" s="98"/>
    </row>
    <row r="725" spans="1:79" ht="16.5" customHeight="1" x14ac:dyDescent="0.2">
      <c r="A725" s="113">
        <f>$A$722+1</f>
        <v>17</v>
      </c>
      <c r="B725" s="113" t="s">
        <v>329</v>
      </c>
      <c r="C725" s="113" t="s">
        <v>92</v>
      </c>
      <c r="D725" s="113"/>
      <c r="E725" s="113"/>
      <c r="F725" s="113"/>
      <c r="G725" s="113" t="s">
        <v>289</v>
      </c>
      <c r="H725" s="113"/>
      <c r="I725" s="113"/>
      <c r="J725" s="113" t="b">
        <f t="shared" si="79"/>
        <v>1</v>
      </c>
      <c r="K725" s="113" t="b">
        <v>1</v>
      </c>
      <c r="L725" s="113"/>
      <c r="M725" s="113"/>
      <c r="N725" s="113"/>
      <c r="O725" s="113" t="str">
        <f>"$B$"&amp;A725</f>
        <v>$B$17</v>
      </c>
      <c r="P725" s="113" t="str">
        <f>"$AL$"&amp;A725</f>
        <v>$AL$17</v>
      </c>
      <c r="Q725" s="113"/>
      <c r="R725" s="113"/>
      <c r="S725" s="113"/>
      <c r="T725" s="113"/>
      <c r="U725" s="113"/>
      <c r="V725" s="113"/>
      <c r="W725" s="113"/>
      <c r="X725" s="113"/>
      <c r="Y725" s="113"/>
      <c r="Z725" s="113"/>
      <c r="AA725" s="113"/>
      <c r="AB725" s="113"/>
      <c r="AC725" s="113"/>
      <c r="AD725" s="113"/>
      <c r="AE725" s="113"/>
      <c r="AF725" s="113"/>
      <c r="AG725" s="113"/>
      <c r="AH725" s="113"/>
      <c r="AI725" s="113"/>
      <c r="AJ725" s="113"/>
      <c r="AK725" s="113"/>
      <c r="AL725" s="113"/>
      <c r="AM725" s="113"/>
      <c r="AN725" s="113"/>
      <c r="AO725" s="113"/>
      <c r="AP725" s="113" t="b">
        <v>1</v>
      </c>
      <c r="AQ725" s="44">
        <v>1</v>
      </c>
      <c r="AR725" s="48"/>
      <c r="AS725" s="49" t="s">
        <v>1216</v>
      </c>
      <c r="AT725" s="45"/>
      <c r="AU725" s="49"/>
      <c r="AV725" s="50"/>
      <c r="AW725" s="45">
        <v>2013</v>
      </c>
      <c r="AX725" s="88"/>
      <c r="AY725" s="45" t="s">
        <v>1222</v>
      </c>
      <c r="AZ725" s="54"/>
      <c r="BA725" s="55"/>
      <c r="BB725" s="54"/>
      <c r="BC725" s="53"/>
      <c r="BD725" s="53">
        <v>1</v>
      </c>
      <c r="BE725" s="53"/>
      <c r="BF725" s="46">
        <f>SUMPRODUCT(AZ725:BB725,BC725:BE725)</f>
        <v>0</v>
      </c>
      <c r="BG725" s="46">
        <f>BA725</f>
        <v>0</v>
      </c>
      <c r="BH725" s="58"/>
      <c r="BI725" s="58"/>
      <c r="BJ725" s="51">
        <v>1</v>
      </c>
      <c r="BK725" s="46" t="s">
        <v>309</v>
      </c>
      <c r="BL725" s="46" t="str">
        <f>BK725&amp;AU725&amp;AV725&amp;AT725</f>
        <v>Idefase</v>
      </c>
      <c r="BM725" s="46">
        <f>INDEX(MasterSheet_rng_PLOYearAdjs,MATCH(MasterSheet_Repeater_PloYRep&amp;"-"&amp;AW725,MasterSheet_rng_PLOYearAdjsConcat,0))</f>
        <v>1</v>
      </c>
      <c r="BN725" s="46">
        <f>BJ725*BA725*BM725</f>
        <v>0</v>
      </c>
      <c r="BO725" s="46">
        <f>BJ725*BF725*BM725</f>
        <v>0</v>
      </c>
      <c r="BP725" s="46">
        <f>BJ725*BG725*BM725</f>
        <v>0</v>
      </c>
      <c r="BQ725" s="56">
        <f>BJ725*AZ725*BM725</f>
        <v>0</v>
      </c>
      <c r="BR725" s="57">
        <f>BJ725*BB725*BM725</f>
        <v>0</v>
      </c>
      <c r="BS725" s="46">
        <f>BO725-BN725</f>
        <v>0</v>
      </c>
      <c r="BT725" s="46">
        <f>BP725-BN725</f>
        <v>0</v>
      </c>
      <c r="BU725" s="52">
        <f>COUNTA(BH725:BI725)</f>
        <v>0</v>
      </c>
      <c r="BV725" s="46">
        <f>IF(OR(BU725=0,BU725=1),BS725,BS725*MasterSheet_f_RiskPrimaryPercentage)</f>
        <v>0</v>
      </c>
      <c r="BW725" s="46">
        <f>IF(OR(BU725=0,BU725=1),0,BS725*(1-MasterSheet_f_RiskPrimaryPercentage))</f>
        <v>0</v>
      </c>
      <c r="BX725" s="46">
        <f>IF(OR(BU725=0,BU725=1),BT725,BT725*MasterSheet_f_RiskPrimaryPercentage)</f>
        <v>0</v>
      </c>
      <c r="BY725" s="47">
        <f>IF(OR(BU725=0,BU725=1),0,BT725*(1-MasterSheet_f_RiskPrimaryPercentage))</f>
        <v>0</v>
      </c>
      <c r="BZ725" s="47">
        <f>IF(OR(BU725=0,BU725=1),(BB725-BA725),(BB725-BA725)*MasterSheet_f_RiskPrimaryPercentage)</f>
        <v>0</v>
      </c>
      <c r="CA725" s="57">
        <f>IF(OR(BU725=0,BU725=1),(BB725-BA725),(BB725-BA725)*(1-MasterSheet_f_RiskPrimaryPercentage))</f>
        <v>0</v>
      </c>
    </row>
    <row r="726" spans="1:79" ht="16.5" customHeight="1" x14ac:dyDescent="0.2">
      <c r="A726" s="109">
        <f>$A$722+3</f>
        <v>19</v>
      </c>
      <c r="B726" s="109" t="s">
        <v>330</v>
      </c>
      <c r="C726" s="109" t="s">
        <v>96</v>
      </c>
      <c r="D726" s="109"/>
      <c r="E726" s="109"/>
      <c r="F726" s="109"/>
      <c r="G726" s="109" t="s">
        <v>289</v>
      </c>
      <c r="H726" s="109"/>
      <c r="I726" s="109" t="s">
        <v>317</v>
      </c>
      <c r="J726" s="109" t="b">
        <f t="shared" si="79"/>
        <v>1</v>
      </c>
      <c r="K726" s="109" t="b">
        <v>1</v>
      </c>
      <c r="L726" s="109"/>
      <c r="M726" s="109"/>
      <c r="N726" s="109" t="s">
        <v>59</v>
      </c>
      <c r="O726" s="109" t="str">
        <f>"$C$"&amp;A726</f>
        <v>$C$19</v>
      </c>
      <c r="P726" s="109" t="str">
        <f>"$AL$"&amp;A726</f>
        <v>$AL$19</v>
      </c>
      <c r="Q726" s="109">
        <v>20</v>
      </c>
      <c r="R726" s="109"/>
      <c r="S726" s="109"/>
      <c r="T726" s="109">
        <v>27</v>
      </c>
      <c r="U726" s="109" t="b">
        <v>1</v>
      </c>
      <c r="V726" s="109" t="s">
        <v>1351</v>
      </c>
      <c r="W726" s="109" t="s">
        <v>1351</v>
      </c>
      <c r="X726" s="109"/>
      <c r="Y726" s="109"/>
      <c r="Z726" s="109"/>
      <c r="AA726" s="109"/>
      <c r="AB726" s="109"/>
      <c r="AC726" s="109">
        <v>7</v>
      </c>
      <c r="AD726" s="109" t="s">
        <v>105</v>
      </c>
      <c r="AE726" s="109">
        <v>14</v>
      </c>
      <c r="AF726" s="109" t="b">
        <v>1</v>
      </c>
      <c r="AG726" s="109" t="s">
        <v>1355</v>
      </c>
      <c r="AH726" s="109" t="s">
        <v>29</v>
      </c>
      <c r="AI726" s="109" t="s">
        <v>28</v>
      </c>
      <c r="AJ726" s="109"/>
      <c r="AK726" s="109"/>
      <c r="AL726" s="109">
        <v>0</v>
      </c>
      <c r="AM726" s="109"/>
      <c r="AN726" s="109"/>
      <c r="AO726" s="109"/>
      <c r="AP726" s="109"/>
      <c r="AQ726" s="93" t="s">
        <v>317</v>
      </c>
    </row>
    <row r="727" spans="1:79" ht="16.5" customHeight="1" x14ac:dyDescent="0.2">
      <c r="A727" s="112">
        <f>$A$722+5</f>
        <v>21</v>
      </c>
      <c r="B727" s="112" t="s">
        <v>331</v>
      </c>
      <c r="C727" s="112" t="s">
        <v>90</v>
      </c>
      <c r="D727" s="112"/>
      <c r="E727" s="112"/>
      <c r="F727" s="112"/>
      <c r="G727" s="112" t="s">
        <v>289</v>
      </c>
      <c r="H727" s="112"/>
      <c r="I727" s="112"/>
      <c r="J727" s="112" t="b">
        <f t="shared" si="79"/>
        <v>1</v>
      </c>
      <c r="K727" s="112" t="b">
        <v>1</v>
      </c>
      <c r="L727" s="112"/>
      <c r="M727" s="112"/>
      <c r="N727" s="112"/>
      <c r="O727" s="112" t="str">
        <f>"$B$"&amp;A727</f>
        <v>$B$21</v>
      </c>
      <c r="P727" s="112" t="str">
        <f>"$AL$"&amp;A727+2</f>
        <v>$AL$23</v>
      </c>
      <c r="Q727" s="112"/>
      <c r="R727" s="112"/>
      <c r="S727" s="112"/>
      <c r="T727" s="112"/>
      <c r="U727" s="112"/>
      <c r="V727" s="112"/>
      <c r="W727" s="112"/>
      <c r="X727" s="112"/>
      <c r="Y727" s="112"/>
      <c r="Z727" s="112"/>
      <c r="AA727" s="112"/>
      <c r="AB727" s="112"/>
      <c r="AC727" s="112"/>
      <c r="AD727" s="112"/>
      <c r="AE727" s="112"/>
      <c r="AF727" s="112"/>
      <c r="AG727" s="112"/>
      <c r="AH727" s="112"/>
      <c r="AI727" s="112"/>
      <c r="AJ727" s="112"/>
      <c r="AK727" s="112"/>
      <c r="AL727" s="112"/>
      <c r="AM727" s="112"/>
      <c r="AN727" s="112"/>
      <c r="AO727" s="112"/>
      <c r="AP727" s="112"/>
    </row>
    <row r="728" spans="1:79" ht="16.5" customHeight="1" thickBot="1" x14ac:dyDescent="0.25">
      <c r="A728" s="113">
        <f>$A$727+0</f>
        <v>21</v>
      </c>
      <c r="B728" s="113" t="s">
        <v>332</v>
      </c>
      <c r="C728" s="113" t="s">
        <v>92</v>
      </c>
      <c r="D728" s="113"/>
      <c r="E728" s="113"/>
      <c r="F728" s="113"/>
      <c r="G728" s="113" t="s">
        <v>289</v>
      </c>
      <c r="H728" s="113"/>
      <c r="I728" s="113"/>
      <c r="J728" s="113" t="b">
        <f t="shared" si="79"/>
        <v>1</v>
      </c>
      <c r="K728" s="113" t="b">
        <v>1</v>
      </c>
      <c r="L728" s="113"/>
      <c r="M728" s="113"/>
      <c r="N728" s="113"/>
      <c r="O728" s="113" t="str">
        <f>"$B$"&amp;A728</f>
        <v>$B$21</v>
      </c>
      <c r="P728" s="113" t="str">
        <f>"$AL$"&amp;A728</f>
        <v>$AL$21</v>
      </c>
      <c r="Q728" s="113"/>
      <c r="R728" s="113"/>
      <c r="S728" s="113"/>
      <c r="T728" s="113">
        <v>36</v>
      </c>
      <c r="U728" s="113"/>
      <c r="V728" s="113"/>
      <c r="W728" s="113"/>
      <c r="X728" s="113"/>
      <c r="Y728" s="113"/>
      <c r="Z728" s="113"/>
      <c r="AA728" s="113"/>
      <c r="AB728" s="113"/>
      <c r="AC728" s="113"/>
      <c r="AD728" s="113"/>
      <c r="AE728" s="113"/>
      <c r="AF728" s="113"/>
      <c r="AG728" s="113"/>
      <c r="AH728" s="113"/>
      <c r="AI728" s="113"/>
      <c r="AJ728" s="113"/>
      <c r="AK728" s="113"/>
      <c r="AL728" s="113"/>
      <c r="AM728" s="113"/>
      <c r="AN728" s="113"/>
      <c r="AO728" s="113"/>
      <c r="AP728" s="113" t="b">
        <v>1</v>
      </c>
      <c r="AQ728" s="59" t="s">
        <v>620</v>
      </c>
      <c r="AR728" s="87" t="s">
        <v>291</v>
      </c>
      <c r="AS728" s="60" t="s">
        <v>310</v>
      </c>
      <c r="AT728" s="89" t="s">
        <v>311</v>
      </c>
      <c r="AU728" s="89" t="s">
        <v>624</v>
      </c>
      <c r="AV728" s="89" t="s">
        <v>625</v>
      </c>
      <c r="AW728" s="89" t="s">
        <v>292</v>
      </c>
      <c r="AX728" s="60" t="s">
        <v>1241</v>
      </c>
      <c r="AY728" s="60" t="s">
        <v>1238</v>
      </c>
      <c r="AZ728" s="61" t="s">
        <v>293</v>
      </c>
      <c r="BA728" s="61" t="s">
        <v>621</v>
      </c>
      <c r="BB728" s="61" t="s">
        <v>294</v>
      </c>
      <c r="BC728" s="62" t="s">
        <v>295</v>
      </c>
      <c r="BD728" s="62" t="s">
        <v>296</v>
      </c>
      <c r="BE728" s="62" t="s">
        <v>297</v>
      </c>
      <c r="BF728" s="61" t="s">
        <v>622</v>
      </c>
      <c r="BG728" s="61" t="s">
        <v>623</v>
      </c>
      <c r="BH728" s="60" t="s">
        <v>305</v>
      </c>
      <c r="BI728" s="60" t="s">
        <v>306</v>
      </c>
      <c r="BJ728" s="64" t="s">
        <v>299</v>
      </c>
      <c r="BK728" s="65" t="s">
        <v>1312</v>
      </c>
      <c r="BL728" s="65" t="s">
        <v>1327</v>
      </c>
      <c r="BM728" s="65" t="s">
        <v>1408</v>
      </c>
      <c r="BN728" s="61" t="s">
        <v>300</v>
      </c>
      <c r="BO728" s="61" t="s">
        <v>301</v>
      </c>
      <c r="BP728" s="61" t="s">
        <v>302</v>
      </c>
      <c r="BQ728" s="66" t="s">
        <v>1336</v>
      </c>
      <c r="BR728" s="66" t="s">
        <v>1337</v>
      </c>
      <c r="BS728" s="61" t="s">
        <v>303</v>
      </c>
      <c r="BT728" s="61" t="s">
        <v>304</v>
      </c>
      <c r="BU728" s="60" t="s">
        <v>312</v>
      </c>
      <c r="BV728" s="61" t="s">
        <v>313</v>
      </c>
      <c r="BW728" s="61" t="s">
        <v>314</v>
      </c>
      <c r="BX728" s="61" t="s">
        <v>315</v>
      </c>
      <c r="BY728" s="63" t="s">
        <v>316</v>
      </c>
      <c r="BZ728" s="68" t="s">
        <v>1340</v>
      </c>
      <c r="CA728" s="68" t="s">
        <v>1440</v>
      </c>
    </row>
    <row r="729" spans="1:79" ht="16.5" customHeight="1" x14ac:dyDescent="0.2">
      <c r="A729" s="108">
        <f>$A$727+-21</f>
        <v>0</v>
      </c>
      <c r="B729" s="98" t="s">
        <v>1439</v>
      </c>
      <c r="C729" s="98"/>
      <c r="D729" s="98"/>
      <c r="E729" s="98"/>
      <c r="F729" s="98"/>
      <c r="G729" s="98"/>
      <c r="H729" s="98"/>
      <c r="I729" s="98"/>
      <c r="J729" s="98"/>
      <c r="K729" s="98"/>
      <c r="L729" s="98"/>
      <c r="M729" s="98"/>
      <c r="N729" s="98"/>
      <c r="O729" s="98"/>
      <c r="P729" s="98"/>
      <c r="Q729" s="98"/>
      <c r="R729" s="98"/>
      <c r="S729" s="98"/>
      <c r="T729" s="98"/>
      <c r="U729" s="98"/>
      <c r="V729" s="98"/>
      <c r="W729" s="98"/>
      <c r="X729" s="98"/>
      <c r="Y729" s="98"/>
      <c r="Z729" s="98"/>
      <c r="AA729" s="98"/>
      <c r="AB729" s="98"/>
      <c r="AC729" s="98"/>
      <c r="AD729" s="98"/>
      <c r="AE729" s="98"/>
      <c r="AF729" s="98"/>
      <c r="AG729" s="98"/>
      <c r="AH729" s="98"/>
      <c r="AI729" s="98"/>
      <c r="AJ729" s="98"/>
      <c r="AK729" s="98"/>
      <c r="AL729" s="98"/>
      <c r="AM729" s="98"/>
      <c r="AN729" s="98"/>
      <c r="AO729" s="98"/>
      <c r="AP729" s="98"/>
    </row>
    <row r="730" spans="1:79" ht="16.5" customHeight="1" x14ac:dyDescent="0.2">
      <c r="A730" s="113">
        <f>$A$727+1</f>
        <v>22</v>
      </c>
      <c r="B730" s="113" t="s">
        <v>333</v>
      </c>
      <c r="C730" s="113" t="s">
        <v>92</v>
      </c>
      <c r="D730" s="113"/>
      <c r="E730" s="113"/>
      <c r="F730" s="113"/>
      <c r="G730" s="113" t="s">
        <v>289</v>
      </c>
      <c r="H730" s="113"/>
      <c r="I730" s="113"/>
      <c r="J730" s="113" t="b">
        <f t="shared" si="79"/>
        <v>1</v>
      </c>
      <c r="K730" s="113" t="b">
        <v>1</v>
      </c>
      <c r="L730" s="113"/>
      <c r="M730" s="113"/>
      <c r="N730" s="113"/>
      <c r="O730" s="113" t="str">
        <f>"$B$"&amp;A730</f>
        <v>$B$22</v>
      </c>
      <c r="P730" s="113" t="str">
        <f>"$AL$"&amp;A730</f>
        <v>$AL$22</v>
      </c>
      <c r="Q730" s="113"/>
      <c r="R730" s="113"/>
      <c r="S730" s="113"/>
      <c r="T730" s="113"/>
      <c r="U730" s="113"/>
      <c r="V730" s="113"/>
      <c r="W730" s="113"/>
      <c r="X730" s="113"/>
      <c r="Y730" s="113"/>
      <c r="Z730" s="113"/>
      <c r="AA730" s="113"/>
      <c r="AB730" s="113"/>
      <c r="AC730" s="113"/>
      <c r="AD730" s="113"/>
      <c r="AE730" s="113"/>
      <c r="AF730" s="113"/>
      <c r="AG730" s="113"/>
      <c r="AH730" s="113"/>
      <c r="AI730" s="113"/>
      <c r="AJ730" s="113"/>
      <c r="AK730" s="113"/>
      <c r="AL730" s="113"/>
      <c r="AM730" s="113"/>
      <c r="AN730" s="113"/>
      <c r="AO730" s="113"/>
      <c r="AP730" s="113" t="b">
        <v>1</v>
      </c>
      <c r="AQ730" s="44">
        <v>1</v>
      </c>
      <c r="AR730" s="48"/>
      <c r="AS730" s="49" t="s">
        <v>1216</v>
      </c>
      <c r="AT730" s="45"/>
      <c r="AU730" s="49"/>
      <c r="AV730" s="50"/>
      <c r="AW730" s="45">
        <v>2013</v>
      </c>
      <c r="AX730" s="88"/>
      <c r="AY730" s="45" t="s">
        <v>1222</v>
      </c>
      <c r="AZ730" s="54"/>
      <c r="BA730" s="55"/>
      <c r="BB730" s="54"/>
      <c r="BC730" s="53"/>
      <c r="BD730" s="53">
        <v>1</v>
      </c>
      <c r="BE730" s="53"/>
      <c r="BF730" s="46">
        <f>SUMPRODUCT(AZ730:BB730,BC730:BE730)</f>
        <v>0</v>
      </c>
      <c r="BG730" s="46">
        <f>BA730</f>
        <v>0</v>
      </c>
      <c r="BH730" s="58"/>
      <c r="BI730" s="58"/>
      <c r="BJ730" s="51">
        <v>1</v>
      </c>
      <c r="BK730" s="46" t="s">
        <v>317</v>
      </c>
      <c r="BL730" s="46" t="str">
        <f>BK730&amp;AU730&amp;AV730&amp;AT730</f>
        <v>Analysefase</v>
      </c>
      <c r="BM730" s="46">
        <f>INDEX(MasterSheet_rng_PLOYearAdjs,MATCH(MasterSheet_Repeater_PloYRep&amp;"-"&amp;AW730,MasterSheet_rng_PLOYearAdjsConcat,0))</f>
        <v>1</v>
      </c>
      <c r="BN730" s="46">
        <f>BJ730*BA730*BM730</f>
        <v>0</v>
      </c>
      <c r="BO730" s="46">
        <f>BJ730*BF730*BM730</f>
        <v>0</v>
      </c>
      <c r="BP730" s="46">
        <f>BJ730*BG730*BM730</f>
        <v>0</v>
      </c>
      <c r="BQ730" s="56">
        <f>BJ730*AZ730*BM730</f>
        <v>0</v>
      </c>
      <c r="BR730" s="57">
        <f>BJ730*BB730*BM730</f>
        <v>0</v>
      </c>
      <c r="BS730" s="46">
        <f>BO730-BN730</f>
        <v>0</v>
      </c>
      <c r="BT730" s="46">
        <f>BP730-BN730</f>
        <v>0</v>
      </c>
      <c r="BU730" s="52">
        <f>COUNTA(BH730:BI730)</f>
        <v>0</v>
      </c>
      <c r="BV730" s="46">
        <f>IF(OR(BU730=0,BU730=1),BS730,BS730*MasterSheet_f_RiskPrimaryPercentage)</f>
        <v>0</v>
      </c>
      <c r="BW730" s="46">
        <f>IF(OR(BU730=0,BU730=1),0,BS730*(1-MasterSheet_f_RiskPrimaryPercentage))</f>
        <v>0</v>
      </c>
      <c r="BX730" s="46">
        <f>IF(OR(BU730=0,BU730=1),BT730,BT730*MasterSheet_f_RiskPrimaryPercentage)</f>
        <v>0</v>
      </c>
      <c r="BY730" s="47">
        <f>IF(OR(BU730=0,BU730=1),0,BT730*(1-MasterSheet_f_RiskPrimaryPercentage))</f>
        <v>0</v>
      </c>
      <c r="BZ730" s="47">
        <f>IF(OR(BU730=0,BU730=1),(BB730-BA730),(BB730-BA730)*MasterSheet_f_RiskPrimaryPercentage)</f>
        <v>0</v>
      </c>
      <c r="CA730" s="57">
        <f>IF(OR(BU730=0,BU730=1),(BB730-BA730),(BB730-BA730)*(1-MasterSheet_f_RiskPrimaryPercentage))</f>
        <v>0</v>
      </c>
    </row>
    <row r="731" spans="1:79" ht="16.5" customHeight="1" x14ac:dyDescent="0.2">
      <c r="A731" s="109">
        <f>$A$727+3</f>
        <v>24</v>
      </c>
      <c r="B731" s="109" t="s">
        <v>334</v>
      </c>
      <c r="C731" s="109" t="s">
        <v>96</v>
      </c>
      <c r="D731" s="109"/>
      <c r="E731" s="109"/>
      <c r="F731" s="109"/>
      <c r="G731" s="109" t="s">
        <v>289</v>
      </c>
      <c r="H731" s="109"/>
      <c r="I731" s="109" t="s">
        <v>318</v>
      </c>
      <c r="J731" s="109" t="b">
        <f t="shared" si="79"/>
        <v>1</v>
      </c>
      <c r="K731" s="109" t="b">
        <v>1</v>
      </c>
      <c r="L731" s="109"/>
      <c r="M731" s="109"/>
      <c r="N731" s="109" t="s">
        <v>59</v>
      </c>
      <c r="O731" s="109" t="str">
        <f>"$C$"&amp;A731</f>
        <v>$C$24</v>
      </c>
      <c r="P731" s="109" t="str">
        <f>"$AL$"&amp;A731</f>
        <v>$AL$24</v>
      </c>
      <c r="Q731" s="109">
        <v>20</v>
      </c>
      <c r="R731" s="109"/>
      <c r="S731" s="109"/>
      <c r="T731" s="109">
        <v>27</v>
      </c>
      <c r="U731" s="109" t="b">
        <v>1</v>
      </c>
      <c r="V731" s="109" t="s">
        <v>1351</v>
      </c>
      <c r="W731" s="109" t="s">
        <v>1351</v>
      </c>
      <c r="X731" s="109"/>
      <c r="Y731" s="109"/>
      <c r="Z731" s="109"/>
      <c r="AA731" s="109"/>
      <c r="AB731" s="109"/>
      <c r="AC731" s="109">
        <v>7</v>
      </c>
      <c r="AD731" s="109" t="s">
        <v>105</v>
      </c>
      <c r="AE731" s="109">
        <v>14</v>
      </c>
      <c r="AF731" s="109" t="b">
        <v>1</v>
      </c>
      <c r="AG731" s="109" t="s">
        <v>1355</v>
      </c>
      <c r="AH731" s="109" t="s">
        <v>29</v>
      </c>
      <c r="AI731" s="109" t="s">
        <v>28</v>
      </c>
      <c r="AJ731" s="109"/>
      <c r="AK731" s="109"/>
      <c r="AL731" s="109">
        <v>0</v>
      </c>
      <c r="AM731" s="109"/>
      <c r="AN731" s="109"/>
      <c r="AO731" s="109"/>
      <c r="AP731" s="109"/>
      <c r="AQ731" s="93" t="s">
        <v>318</v>
      </c>
    </row>
    <row r="732" spans="1:79" ht="16.5" customHeight="1" x14ac:dyDescent="0.2">
      <c r="A732" s="112">
        <f>$A$727+5</f>
        <v>26</v>
      </c>
      <c r="B732" s="112" t="s">
        <v>335</v>
      </c>
      <c r="C732" s="112" t="s">
        <v>90</v>
      </c>
      <c r="D732" s="112"/>
      <c r="E732" s="112"/>
      <c r="F732" s="112"/>
      <c r="G732" s="112" t="s">
        <v>289</v>
      </c>
      <c r="H732" s="112"/>
      <c r="I732" s="112"/>
      <c r="J732" s="112" t="b">
        <f t="shared" si="79"/>
        <v>1</v>
      </c>
      <c r="K732" s="112" t="b">
        <v>1</v>
      </c>
      <c r="L732" s="112"/>
      <c r="M732" s="112"/>
      <c r="N732" s="112"/>
      <c r="O732" s="112" t="str">
        <f>"$B$"&amp;A732</f>
        <v>$B$26</v>
      </c>
      <c r="P732" s="112" t="str">
        <f>"$AL$"&amp;A732+2</f>
        <v>$AL$28</v>
      </c>
      <c r="Q732" s="112"/>
      <c r="R732" s="112"/>
      <c r="S732" s="112"/>
      <c r="T732" s="112"/>
      <c r="U732" s="112"/>
      <c r="V732" s="112"/>
      <c r="W732" s="112"/>
      <c r="X732" s="112"/>
      <c r="Y732" s="112"/>
      <c r="Z732" s="112"/>
      <c r="AA732" s="112"/>
      <c r="AB732" s="112"/>
      <c r="AC732" s="112"/>
      <c r="AD732" s="112"/>
      <c r="AE732" s="112"/>
      <c r="AF732" s="112"/>
      <c r="AG732" s="112"/>
      <c r="AH732" s="112"/>
      <c r="AI732" s="112"/>
      <c r="AJ732" s="112"/>
      <c r="AK732" s="112"/>
      <c r="AL732" s="112"/>
      <c r="AM732" s="112"/>
      <c r="AN732" s="112"/>
      <c r="AO732" s="112"/>
      <c r="AP732" s="112"/>
    </row>
    <row r="733" spans="1:79" ht="16.5" customHeight="1" thickBot="1" x14ac:dyDescent="0.25">
      <c r="A733" s="113">
        <f>$A$732+0</f>
        <v>26</v>
      </c>
      <c r="B733" s="113" t="s">
        <v>336</v>
      </c>
      <c r="C733" s="113" t="s">
        <v>92</v>
      </c>
      <c r="D733" s="113"/>
      <c r="E733" s="113"/>
      <c r="F733" s="113"/>
      <c r="G733" s="113" t="s">
        <v>289</v>
      </c>
      <c r="H733" s="113"/>
      <c r="I733" s="113"/>
      <c r="J733" s="113" t="b">
        <f t="shared" si="79"/>
        <v>1</v>
      </c>
      <c r="K733" s="113" t="b">
        <v>1</v>
      </c>
      <c r="L733" s="113"/>
      <c r="M733" s="113"/>
      <c r="N733" s="113"/>
      <c r="O733" s="113" t="str">
        <f>"$B$"&amp;A733</f>
        <v>$B$26</v>
      </c>
      <c r="P733" s="113" t="str">
        <f>"$AL$"&amp;A733</f>
        <v>$AL$26</v>
      </c>
      <c r="Q733" s="113"/>
      <c r="R733" s="113"/>
      <c r="S733" s="113"/>
      <c r="T733" s="113">
        <v>36</v>
      </c>
      <c r="U733" s="113"/>
      <c r="V733" s="113"/>
      <c r="W733" s="113"/>
      <c r="X733" s="113"/>
      <c r="Y733" s="113"/>
      <c r="Z733" s="113"/>
      <c r="AA733" s="113"/>
      <c r="AB733" s="113"/>
      <c r="AC733" s="113"/>
      <c r="AD733" s="113"/>
      <c r="AE733" s="113"/>
      <c r="AF733" s="113"/>
      <c r="AG733" s="113"/>
      <c r="AH733" s="113"/>
      <c r="AI733" s="113"/>
      <c r="AJ733" s="113"/>
      <c r="AK733" s="113"/>
      <c r="AL733" s="113"/>
      <c r="AM733" s="113"/>
      <c r="AN733" s="113"/>
      <c r="AO733" s="113"/>
      <c r="AP733" s="113" t="b">
        <v>1</v>
      </c>
      <c r="AQ733" s="27" t="s">
        <v>620</v>
      </c>
      <c r="AR733" s="36" t="s">
        <v>291</v>
      </c>
      <c r="AS733" s="28" t="s">
        <v>310</v>
      </c>
      <c r="AT733" s="35" t="s">
        <v>311</v>
      </c>
      <c r="AU733" s="35" t="s">
        <v>624</v>
      </c>
      <c r="AV733" s="35" t="s">
        <v>625</v>
      </c>
      <c r="AW733" s="35" t="s">
        <v>292</v>
      </c>
      <c r="AX733" s="28" t="s">
        <v>1241</v>
      </c>
      <c r="AY733" s="28" t="s">
        <v>1238</v>
      </c>
      <c r="AZ733" s="29" t="s">
        <v>293</v>
      </c>
      <c r="BA733" s="29" t="s">
        <v>621</v>
      </c>
      <c r="BB733" s="29" t="s">
        <v>294</v>
      </c>
      <c r="BC733" s="30" t="s">
        <v>295</v>
      </c>
      <c r="BD733" s="30" t="s">
        <v>296</v>
      </c>
      <c r="BE733" s="30" t="s">
        <v>297</v>
      </c>
      <c r="BF733" s="29" t="s">
        <v>622</v>
      </c>
      <c r="BG733" s="29" t="s">
        <v>623</v>
      </c>
      <c r="BH733" s="28" t="s">
        <v>305</v>
      </c>
      <c r="BI733" s="28" t="s">
        <v>306</v>
      </c>
      <c r="BJ733" s="31" t="s">
        <v>299</v>
      </c>
      <c r="BK733" s="32" t="s">
        <v>1312</v>
      </c>
      <c r="BL733" s="32" t="s">
        <v>1327</v>
      </c>
      <c r="BM733" s="32" t="s">
        <v>1408</v>
      </c>
      <c r="BN733" s="29" t="s">
        <v>300</v>
      </c>
      <c r="BO733" s="29" t="s">
        <v>301</v>
      </c>
      <c r="BP733" s="29" t="s">
        <v>302</v>
      </c>
      <c r="BQ733" s="33" t="s">
        <v>1336</v>
      </c>
      <c r="BR733" s="33" t="s">
        <v>1337</v>
      </c>
      <c r="BS733" s="29" t="s">
        <v>303</v>
      </c>
      <c r="BT733" s="29" t="s">
        <v>304</v>
      </c>
      <c r="BU733" s="28" t="s">
        <v>312</v>
      </c>
      <c r="BV733" s="29" t="s">
        <v>313</v>
      </c>
      <c r="BW733" s="29" t="s">
        <v>314</v>
      </c>
      <c r="BX733" s="29" t="s">
        <v>315</v>
      </c>
      <c r="BY733" s="40" t="s">
        <v>316</v>
      </c>
      <c r="BZ733" s="34" t="s">
        <v>1340</v>
      </c>
      <c r="CA733" s="68" t="s">
        <v>1440</v>
      </c>
    </row>
    <row r="734" spans="1:79" ht="16.5" customHeight="1" x14ac:dyDescent="0.2">
      <c r="A734" s="108">
        <f>$A$732+-26</f>
        <v>0</v>
      </c>
      <c r="B734" s="98" t="s">
        <v>1439</v>
      </c>
      <c r="C734" s="98"/>
      <c r="D734" s="98"/>
      <c r="E734" s="98"/>
      <c r="F734" s="98"/>
      <c r="G734" s="98"/>
      <c r="H734" s="98"/>
      <c r="I734" s="98"/>
      <c r="J734" s="98"/>
      <c r="K734" s="98"/>
      <c r="L734" s="98"/>
      <c r="M734" s="98"/>
      <c r="N734" s="98"/>
      <c r="O734" s="98"/>
      <c r="P734" s="98"/>
      <c r="Q734" s="98"/>
      <c r="R734" s="98"/>
      <c r="S734" s="98"/>
      <c r="T734" s="98"/>
      <c r="U734" s="98"/>
      <c r="V734" s="98"/>
      <c r="W734" s="98"/>
      <c r="X734" s="98"/>
      <c r="Y734" s="98"/>
      <c r="Z734" s="98"/>
      <c r="AA734" s="98"/>
      <c r="AB734" s="98"/>
      <c r="AC734" s="98"/>
      <c r="AD734" s="98"/>
      <c r="AE734" s="98"/>
      <c r="AF734" s="98"/>
      <c r="AG734" s="98"/>
      <c r="AH734" s="98"/>
      <c r="AI734" s="98"/>
      <c r="AJ734" s="98"/>
      <c r="AK734" s="98"/>
      <c r="AL734" s="98"/>
      <c r="AM734" s="98"/>
      <c r="AN734" s="98"/>
      <c r="AO734" s="98"/>
      <c r="AP734" s="98"/>
    </row>
    <row r="735" spans="1:79" ht="16.5" customHeight="1" x14ac:dyDescent="0.2">
      <c r="A735" s="113">
        <f>$A$732+1</f>
        <v>27</v>
      </c>
      <c r="B735" s="113" t="s">
        <v>337</v>
      </c>
      <c r="C735" s="113" t="s">
        <v>92</v>
      </c>
      <c r="D735" s="113"/>
      <c r="E735" s="113"/>
      <c r="F735" s="113"/>
      <c r="G735" s="113" t="s">
        <v>289</v>
      </c>
      <c r="H735" s="113"/>
      <c r="I735" s="113"/>
      <c r="J735" s="113" t="b">
        <f t="shared" si="79"/>
        <v>1</v>
      </c>
      <c r="K735" s="113" t="b">
        <v>1</v>
      </c>
      <c r="L735" s="113"/>
      <c r="M735" s="113"/>
      <c r="N735" s="113"/>
      <c r="O735" s="113" t="str">
        <f>"$B$"&amp;A735</f>
        <v>$B$27</v>
      </c>
      <c r="P735" s="113" t="str">
        <f>"$AL$"&amp;A735</f>
        <v>$AL$27</v>
      </c>
      <c r="Q735" s="113"/>
      <c r="R735" s="113"/>
      <c r="S735" s="113"/>
      <c r="T735" s="113"/>
      <c r="U735" s="113"/>
      <c r="V735" s="113"/>
      <c r="W735" s="113"/>
      <c r="X735" s="113"/>
      <c r="Y735" s="113"/>
      <c r="Z735" s="113"/>
      <c r="AA735" s="113"/>
      <c r="AB735" s="113"/>
      <c r="AC735" s="113"/>
      <c r="AD735" s="113"/>
      <c r="AE735" s="113"/>
      <c r="AF735" s="113"/>
      <c r="AG735" s="113"/>
      <c r="AH735" s="113"/>
      <c r="AI735" s="113"/>
      <c r="AJ735" s="113"/>
      <c r="AK735" s="113"/>
      <c r="AL735" s="113"/>
      <c r="AM735" s="113"/>
      <c r="AN735" s="113"/>
      <c r="AO735" s="113"/>
      <c r="AP735" s="113" t="b">
        <v>1</v>
      </c>
      <c r="AQ735" s="44">
        <v>1</v>
      </c>
      <c r="AR735" s="48"/>
      <c r="AS735" s="49" t="s">
        <v>1216</v>
      </c>
      <c r="AT735" s="45"/>
      <c r="AU735" s="49"/>
      <c r="AV735" s="50"/>
      <c r="AW735" s="45">
        <v>2013</v>
      </c>
      <c r="AX735" s="88"/>
      <c r="AY735" s="45" t="s">
        <v>1222</v>
      </c>
      <c r="AZ735" s="54"/>
      <c r="BA735" s="55"/>
      <c r="BB735" s="54"/>
      <c r="BC735" s="53"/>
      <c r="BD735" s="53">
        <v>1</v>
      </c>
      <c r="BE735" s="53"/>
      <c r="BF735" s="46">
        <f>SUMPRODUCT(AZ735:BB735,BC735:BE735)</f>
        <v>0</v>
      </c>
      <c r="BG735" s="46">
        <f>BA735</f>
        <v>0</v>
      </c>
      <c r="BH735" s="58"/>
      <c r="BI735" s="58"/>
      <c r="BJ735" s="51">
        <v>1</v>
      </c>
      <c r="BK735" s="46" t="s">
        <v>318</v>
      </c>
      <c r="BL735" s="46" t="str">
        <f>BK735&amp;AU735&amp;AV735&amp;AT735</f>
        <v>Anskaffelsesfase</v>
      </c>
      <c r="BM735" s="46">
        <f>INDEX(MasterSheet_rng_PLOYearAdjs,MATCH(MasterSheet_Repeater_PloYRep&amp;"-"&amp;AW735,MasterSheet_rng_PLOYearAdjsConcat,0))</f>
        <v>1</v>
      </c>
      <c r="BN735" s="46">
        <f>BJ735*BA735*BM735</f>
        <v>0</v>
      </c>
      <c r="BO735" s="46">
        <f>BJ735*BF735*BM735</f>
        <v>0</v>
      </c>
      <c r="BP735" s="46">
        <f>BJ735*BG735*BM735</f>
        <v>0</v>
      </c>
      <c r="BQ735" s="56">
        <f>BJ735*AZ735*BM735</f>
        <v>0</v>
      </c>
      <c r="BR735" s="57">
        <f>BJ735*BB735*BM735</f>
        <v>0</v>
      </c>
      <c r="BS735" s="46">
        <f>BO735-BN735</f>
        <v>0</v>
      </c>
      <c r="BT735" s="46">
        <f>BP735-BN735</f>
        <v>0</v>
      </c>
      <c r="BU735" s="52">
        <f>COUNTA(BH735:BI735)</f>
        <v>0</v>
      </c>
      <c r="BV735" s="46">
        <f>IF(OR(BU735=0,BU735=1),BS735,BS735*MasterSheet_f_RiskPrimaryPercentage)</f>
        <v>0</v>
      </c>
      <c r="BW735" s="46">
        <f>IF(OR(BU735=0,BU735=1),0,BS735*(1-MasterSheet_f_RiskPrimaryPercentage))</f>
        <v>0</v>
      </c>
      <c r="BX735" s="46">
        <f>IF(OR(BU735=0,BU735=1),BT735,BT735*MasterSheet_f_RiskPrimaryPercentage)</f>
        <v>0</v>
      </c>
      <c r="BY735" s="47">
        <f>IF(OR(BU735=0,BU735=1),0,BT735*(1-MasterSheet_f_RiskPrimaryPercentage))</f>
        <v>0</v>
      </c>
      <c r="BZ735" s="47">
        <f>IF(OR(BU735=0,BU735=1),(BB735-BA735),(BB735-BA735)*MasterSheet_f_RiskPrimaryPercentage)</f>
        <v>0</v>
      </c>
      <c r="CA735" s="57">
        <f>IF(OR(BU735=0,BU735=1),(BB735-BA735),(BB735-BA735)*(1-MasterSheet_f_RiskPrimaryPercentage))</f>
        <v>0</v>
      </c>
    </row>
    <row r="736" spans="1:79" ht="16.5" customHeight="1" x14ac:dyDescent="0.2">
      <c r="A736" s="109">
        <f>$A$732+3</f>
        <v>29</v>
      </c>
      <c r="B736" s="109" t="s">
        <v>338</v>
      </c>
      <c r="C736" s="109" t="s">
        <v>96</v>
      </c>
      <c r="D736" s="109"/>
      <c r="E736" s="109"/>
      <c r="F736" s="109"/>
      <c r="G736" s="109" t="s">
        <v>289</v>
      </c>
      <c r="H736" s="109"/>
      <c r="I736" s="109" t="s">
        <v>1250</v>
      </c>
      <c r="J736" s="109" t="b">
        <f t="shared" si="79"/>
        <v>1</v>
      </c>
      <c r="K736" s="109" t="b">
        <v>1</v>
      </c>
      <c r="L736" s="109"/>
      <c r="M736" s="109"/>
      <c r="N736" s="109" t="s">
        <v>59</v>
      </c>
      <c r="O736" s="109" t="str">
        <f>"$C$"&amp;A736</f>
        <v>$C$29</v>
      </c>
      <c r="P736" s="109" t="str">
        <f>"$AL$"&amp;A736</f>
        <v>$AL$29</v>
      </c>
      <c r="Q736" s="109">
        <v>20</v>
      </c>
      <c r="R736" s="109"/>
      <c r="S736" s="109"/>
      <c r="T736" s="109">
        <v>27</v>
      </c>
      <c r="U736" s="109" t="b">
        <v>1</v>
      </c>
      <c r="V736" s="109" t="s">
        <v>1351</v>
      </c>
      <c r="W736" s="109" t="s">
        <v>1351</v>
      </c>
      <c r="X736" s="109"/>
      <c r="Y736" s="109"/>
      <c r="Z736" s="109"/>
      <c r="AA736" s="109"/>
      <c r="AB736" s="109"/>
      <c r="AC736" s="109">
        <v>7</v>
      </c>
      <c r="AD736" s="109" t="s">
        <v>105</v>
      </c>
      <c r="AE736" s="109">
        <v>14</v>
      </c>
      <c r="AF736" s="109" t="b">
        <v>1</v>
      </c>
      <c r="AG736" s="109" t="s">
        <v>1355</v>
      </c>
      <c r="AH736" s="109" t="s">
        <v>29</v>
      </c>
      <c r="AI736" s="109" t="s">
        <v>28</v>
      </c>
      <c r="AJ736" s="109"/>
      <c r="AK736" s="109"/>
      <c r="AL736" s="109">
        <v>0</v>
      </c>
      <c r="AM736" s="109"/>
      <c r="AN736" s="109"/>
      <c r="AO736" s="109"/>
      <c r="AP736" s="109"/>
      <c r="AQ736" s="93" t="s">
        <v>1250</v>
      </c>
    </row>
    <row r="737" spans="1:79" ht="16.5" customHeight="1" x14ac:dyDescent="0.2">
      <c r="A737" s="112">
        <f>$A$732+5</f>
        <v>31</v>
      </c>
      <c r="B737" s="112" t="s">
        <v>339</v>
      </c>
      <c r="C737" s="112" t="s">
        <v>90</v>
      </c>
      <c r="D737" s="112"/>
      <c r="E737" s="112"/>
      <c r="F737" s="112"/>
      <c r="G737" s="112" t="s">
        <v>289</v>
      </c>
      <c r="H737" s="112"/>
      <c r="I737" s="112"/>
      <c r="J737" s="112" t="b">
        <f t="shared" si="79"/>
        <v>1</v>
      </c>
      <c r="K737" s="112" t="b">
        <v>1</v>
      </c>
      <c r="L737" s="112"/>
      <c r="M737" s="112"/>
      <c r="N737" s="112"/>
      <c r="O737" s="112" t="str">
        <f>"$B$"&amp;A737</f>
        <v>$B$31</v>
      </c>
      <c r="P737" s="112" t="str">
        <f>"$AL$"&amp;A737+2</f>
        <v>$AL$33</v>
      </c>
      <c r="Q737" s="112"/>
      <c r="R737" s="112"/>
      <c r="S737" s="112"/>
      <c r="T737" s="112"/>
      <c r="U737" s="112"/>
      <c r="V737" s="112"/>
      <c r="W737" s="112"/>
      <c r="X737" s="112"/>
      <c r="Y737" s="112"/>
      <c r="Z737" s="112"/>
      <c r="AA737" s="112"/>
      <c r="AB737" s="112"/>
      <c r="AC737" s="112"/>
      <c r="AD737" s="112"/>
      <c r="AE737" s="112"/>
      <c r="AF737" s="112"/>
      <c r="AG737" s="112"/>
      <c r="AH737" s="112"/>
      <c r="AI737" s="112"/>
      <c r="AJ737" s="112"/>
      <c r="AK737" s="112"/>
      <c r="AL737" s="112"/>
      <c r="AM737" s="112"/>
      <c r="AN737" s="112"/>
      <c r="AO737" s="112"/>
      <c r="AP737" s="112"/>
    </row>
    <row r="738" spans="1:79" ht="16.5" customHeight="1" thickBot="1" x14ac:dyDescent="0.25">
      <c r="A738" s="113">
        <f>$A$737+0</f>
        <v>31</v>
      </c>
      <c r="B738" s="113" t="s">
        <v>340</v>
      </c>
      <c r="C738" s="113" t="s">
        <v>92</v>
      </c>
      <c r="D738" s="113"/>
      <c r="E738" s="113"/>
      <c r="F738" s="113"/>
      <c r="G738" s="113" t="s">
        <v>289</v>
      </c>
      <c r="H738" s="113"/>
      <c r="I738" s="113"/>
      <c r="J738" s="113" t="b">
        <f t="shared" si="79"/>
        <v>1</v>
      </c>
      <c r="K738" s="113" t="b">
        <v>1</v>
      </c>
      <c r="L738" s="113"/>
      <c r="M738" s="113"/>
      <c r="N738" s="113"/>
      <c r="O738" s="113" t="str">
        <f>"$B$"&amp;A738</f>
        <v>$B$31</v>
      </c>
      <c r="P738" s="113" t="str">
        <f>"$AL$"&amp;A738</f>
        <v>$AL$31</v>
      </c>
      <c r="Q738" s="113"/>
      <c r="R738" s="113"/>
      <c r="S738" s="113"/>
      <c r="T738" s="113">
        <v>36</v>
      </c>
      <c r="U738" s="113"/>
      <c r="V738" s="113"/>
      <c r="W738" s="113"/>
      <c r="X738" s="113"/>
      <c r="Y738" s="113"/>
      <c r="Z738" s="113"/>
      <c r="AA738" s="113"/>
      <c r="AB738" s="113"/>
      <c r="AC738" s="113"/>
      <c r="AD738" s="113"/>
      <c r="AE738" s="113"/>
      <c r="AF738" s="113"/>
      <c r="AG738" s="113"/>
      <c r="AH738" s="113"/>
      <c r="AI738" s="113"/>
      <c r="AJ738" s="113"/>
      <c r="AK738" s="113"/>
      <c r="AL738" s="113"/>
      <c r="AM738" s="113"/>
      <c r="AN738" s="113"/>
      <c r="AO738" s="113"/>
      <c r="AP738" s="113" t="b">
        <v>1</v>
      </c>
      <c r="AQ738" s="27" t="s">
        <v>620</v>
      </c>
      <c r="AR738" s="36" t="s">
        <v>291</v>
      </c>
      <c r="AS738" s="28" t="s">
        <v>310</v>
      </c>
      <c r="AT738" s="35" t="s">
        <v>311</v>
      </c>
      <c r="AU738" s="35" t="s">
        <v>624</v>
      </c>
      <c r="AV738" s="35" t="s">
        <v>625</v>
      </c>
      <c r="AW738" s="35" t="s">
        <v>292</v>
      </c>
      <c r="AX738" s="28" t="s">
        <v>1241</v>
      </c>
      <c r="AY738" s="28" t="s">
        <v>1238</v>
      </c>
      <c r="AZ738" s="29" t="s">
        <v>293</v>
      </c>
      <c r="BA738" s="29" t="s">
        <v>621</v>
      </c>
      <c r="BB738" s="29" t="s">
        <v>294</v>
      </c>
      <c r="BC738" s="30" t="s">
        <v>295</v>
      </c>
      <c r="BD738" s="30" t="s">
        <v>296</v>
      </c>
      <c r="BE738" s="30" t="s">
        <v>297</v>
      </c>
      <c r="BF738" s="29" t="s">
        <v>622</v>
      </c>
      <c r="BG738" s="29" t="s">
        <v>623</v>
      </c>
      <c r="BH738" s="28" t="s">
        <v>305</v>
      </c>
      <c r="BI738" s="28" t="s">
        <v>306</v>
      </c>
      <c r="BJ738" s="31" t="s">
        <v>299</v>
      </c>
      <c r="BK738" s="32" t="s">
        <v>1312</v>
      </c>
      <c r="BL738" s="32" t="s">
        <v>1327</v>
      </c>
      <c r="BM738" s="32" t="s">
        <v>1408</v>
      </c>
      <c r="BN738" s="29" t="s">
        <v>300</v>
      </c>
      <c r="BO738" s="29" t="s">
        <v>301</v>
      </c>
      <c r="BP738" s="29" t="s">
        <v>302</v>
      </c>
      <c r="BQ738" s="33" t="s">
        <v>1336</v>
      </c>
      <c r="BR738" s="33" t="s">
        <v>1337</v>
      </c>
      <c r="BS738" s="29" t="s">
        <v>303</v>
      </c>
      <c r="BT738" s="29" t="s">
        <v>304</v>
      </c>
      <c r="BU738" s="28" t="s">
        <v>312</v>
      </c>
      <c r="BV738" s="29" t="s">
        <v>313</v>
      </c>
      <c r="BW738" s="29" t="s">
        <v>314</v>
      </c>
      <c r="BX738" s="29" t="s">
        <v>315</v>
      </c>
      <c r="BY738" s="40" t="s">
        <v>316</v>
      </c>
      <c r="BZ738" s="34" t="s">
        <v>1340</v>
      </c>
      <c r="CA738" s="68" t="s">
        <v>1440</v>
      </c>
    </row>
    <row r="739" spans="1:79" ht="16.5" customHeight="1" x14ac:dyDescent="0.2">
      <c r="A739" s="108">
        <f>$A$737+-31</f>
        <v>0</v>
      </c>
      <c r="B739" s="98" t="s">
        <v>1439</v>
      </c>
      <c r="C739" s="98"/>
      <c r="D739" s="98"/>
      <c r="E739" s="98"/>
      <c r="F739" s="98"/>
      <c r="G739" s="98"/>
      <c r="H739" s="98"/>
      <c r="I739" s="98"/>
      <c r="J739" s="98"/>
      <c r="K739" s="98"/>
      <c r="L739" s="98"/>
      <c r="M739" s="98"/>
      <c r="N739" s="98"/>
      <c r="O739" s="98"/>
      <c r="P739" s="98"/>
      <c r="Q739" s="98"/>
      <c r="R739" s="98"/>
      <c r="S739" s="98"/>
      <c r="T739" s="98"/>
      <c r="U739" s="98"/>
      <c r="V739" s="98"/>
      <c r="W739" s="98"/>
      <c r="X739" s="98"/>
      <c r="Y739" s="98"/>
      <c r="Z739" s="98"/>
      <c r="AA739" s="98"/>
      <c r="AB739" s="98"/>
      <c r="AC739" s="98"/>
      <c r="AD739" s="98"/>
      <c r="AE739" s="98"/>
      <c r="AF739" s="98"/>
      <c r="AG739" s="98"/>
      <c r="AH739" s="98"/>
      <c r="AI739" s="98"/>
      <c r="AJ739" s="98"/>
      <c r="AK739" s="98"/>
      <c r="AL739" s="98"/>
      <c r="AM739" s="98"/>
      <c r="AN739" s="98"/>
      <c r="AO739" s="98"/>
      <c r="AP739" s="98"/>
    </row>
    <row r="740" spans="1:79" ht="16.5" customHeight="1" x14ac:dyDescent="0.2">
      <c r="A740" s="113">
        <f>$A$737+1</f>
        <v>32</v>
      </c>
      <c r="B740" s="113" t="s">
        <v>341</v>
      </c>
      <c r="C740" s="113" t="s">
        <v>92</v>
      </c>
      <c r="D740" s="113"/>
      <c r="E740" s="113"/>
      <c r="F740" s="113"/>
      <c r="G740" s="113" t="s">
        <v>289</v>
      </c>
      <c r="H740" s="113"/>
      <c r="I740" s="113"/>
      <c r="J740" s="113" t="b">
        <f t="shared" si="79"/>
        <v>1</v>
      </c>
      <c r="K740" s="113" t="b">
        <v>1</v>
      </c>
      <c r="L740" s="113"/>
      <c r="M740" s="113"/>
      <c r="N740" s="113"/>
      <c r="O740" s="113" t="str">
        <f>"$B$"&amp;A740</f>
        <v>$B$32</v>
      </c>
      <c r="P740" s="113" t="str">
        <f>"$AL$"&amp;A740</f>
        <v>$AL$32</v>
      </c>
      <c r="Q740" s="113"/>
      <c r="R740" s="113"/>
      <c r="S740" s="113"/>
      <c r="T740" s="113"/>
      <c r="U740" s="113"/>
      <c r="V740" s="113"/>
      <c r="W740" s="113"/>
      <c r="X740" s="113"/>
      <c r="Y740" s="113"/>
      <c r="Z740" s="113"/>
      <c r="AA740" s="113"/>
      <c r="AB740" s="113"/>
      <c r="AC740" s="113"/>
      <c r="AD740" s="113"/>
      <c r="AE740" s="113"/>
      <c r="AF740" s="113"/>
      <c r="AG740" s="113"/>
      <c r="AH740" s="113"/>
      <c r="AI740" s="113"/>
      <c r="AJ740" s="113"/>
      <c r="AK740" s="113"/>
      <c r="AL740" s="113"/>
      <c r="AM740" s="113"/>
      <c r="AN740" s="113"/>
      <c r="AO740" s="113"/>
      <c r="AP740" s="113" t="b">
        <v>1</v>
      </c>
      <c r="AQ740" s="44">
        <v>1</v>
      </c>
      <c r="AR740" s="48"/>
      <c r="AS740" s="49" t="s">
        <v>1216</v>
      </c>
      <c r="AT740" s="45"/>
      <c r="AU740" s="49"/>
      <c r="AV740" s="50"/>
      <c r="AW740" s="45">
        <v>2013</v>
      </c>
      <c r="AX740" s="88"/>
      <c r="AY740" s="45" t="s">
        <v>1222</v>
      </c>
      <c r="AZ740" s="54"/>
      <c r="BA740" s="55"/>
      <c r="BB740" s="54"/>
      <c r="BC740" s="53"/>
      <c r="BD740" s="53">
        <v>1</v>
      </c>
      <c r="BE740" s="53"/>
      <c r="BF740" s="46">
        <f>SUMPRODUCT(AZ740:BB740,BC740:BE740)</f>
        <v>0</v>
      </c>
      <c r="BG740" s="46">
        <f>BA740</f>
        <v>0</v>
      </c>
      <c r="BH740" s="58"/>
      <c r="BI740" s="58"/>
      <c r="BJ740" s="51">
        <v>1</v>
      </c>
      <c r="BK740" s="46" t="s">
        <v>1250</v>
      </c>
      <c r="BL740" s="46" t="str">
        <f>BK740&amp;AU740&amp;AV740&amp;AT740</f>
        <v>Gennemførselsfase</v>
      </c>
      <c r="BM740" s="46">
        <f>INDEX(MasterSheet_rng_PLOYearAdjs,MATCH(MasterSheet_Repeater_PloYRep&amp;"-"&amp;AW740,MasterSheet_rng_PLOYearAdjsConcat,0))</f>
        <v>1</v>
      </c>
      <c r="BN740" s="46">
        <f>BJ740*BA740*BM740</f>
        <v>0</v>
      </c>
      <c r="BO740" s="46">
        <f>BJ740*BF740*BM740</f>
        <v>0</v>
      </c>
      <c r="BP740" s="46">
        <f>BJ740*BG740*BM740</f>
        <v>0</v>
      </c>
      <c r="BQ740" s="56">
        <f>BJ740*AZ740*BM740</f>
        <v>0</v>
      </c>
      <c r="BR740" s="57">
        <f>BJ740*BB740*BM740</f>
        <v>0</v>
      </c>
      <c r="BS740" s="46">
        <f>BO740-BN740</f>
        <v>0</v>
      </c>
      <c r="BT740" s="46">
        <f>BP740-BN740</f>
        <v>0</v>
      </c>
      <c r="BU740" s="52">
        <f>COUNTA(BH740:BI740)</f>
        <v>0</v>
      </c>
      <c r="BV740" s="46">
        <f>IF(OR(BU740=0,BU740=1),BS740,BS740*MasterSheet_f_RiskPrimaryPercentage)</f>
        <v>0</v>
      </c>
      <c r="BW740" s="46">
        <f>IF(OR(BU740=0,BU740=1),0,BS740*(1-MasterSheet_f_RiskPrimaryPercentage))</f>
        <v>0</v>
      </c>
      <c r="BX740" s="46">
        <f>IF(OR(BU740=0,BU740=1),BT740,BT740*MasterSheet_f_RiskPrimaryPercentage)</f>
        <v>0</v>
      </c>
      <c r="BY740" s="47">
        <f>IF(OR(BU740=0,BU740=1),0,BT740*(1-MasterSheet_f_RiskPrimaryPercentage))</f>
        <v>0</v>
      </c>
      <c r="BZ740" s="47">
        <f>IF(OR(BU740=0,BU740=1),(BB740-BA740),(BB740-BA740)*MasterSheet_f_RiskPrimaryPercentage)</f>
        <v>0</v>
      </c>
      <c r="CA740" s="57">
        <f>IF(OR(BU740=0,BU740=1),(BB740-BA740),(BB740-BA740)*(1-MasterSheet_f_RiskPrimaryPercentage))</f>
        <v>0</v>
      </c>
    </row>
    <row r="741" spans="1:79" ht="16.5" customHeight="1" x14ac:dyDescent="0.2">
      <c r="A741" s="109">
        <f>$A$737+3</f>
        <v>34</v>
      </c>
      <c r="B741" s="109" t="s">
        <v>342</v>
      </c>
      <c r="C741" s="109" t="s">
        <v>96</v>
      </c>
      <c r="D741" s="109"/>
      <c r="E741" s="109"/>
      <c r="F741" s="109"/>
      <c r="G741" s="109" t="s">
        <v>289</v>
      </c>
      <c r="H741" s="109"/>
      <c r="I741" s="109" t="s">
        <v>319</v>
      </c>
      <c r="J741" s="109" t="b">
        <f t="shared" si="79"/>
        <v>1</v>
      </c>
      <c r="K741" s="109" t="b">
        <v>1</v>
      </c>
      <c r="L741" s="109"/>
      <c r="M741" s="109"/>
      <c r="N741" s="109" t="s">
        <v>59</v>
      </c>
      <c r="O741" s="109" t="str">
        <f>"$C$"&amp;A741</f>
        <v>$C$34</v>
      </c>
      <c r="P741" s="109" t="str">
        <f>"$AL$"&amp;A741</f>
        <v>$AL$34</v>
      </c>
      <c r="Q741" s="109">
        <v>20</v>
      </c>
      <c r="R741" s="109"/>
      <c r="S741" s="109"/>
      <c r="T741" s="109">
        <v>27</v>
      </c>
      <c r="U741" s="109" t="b">
        <v>1</v>
      </c>
      <c r="V741" s="109" t="s">
        <v>1351</v>
      </c>
      <c r="W741" s="109" t="s">
        <v>1351</v>
      </c>
      <c r="X741" s="109"/>
      <c r="Y741" s="109"/>
      <c r="Z741" s="109"/>
      <c r="AA741" s="109"/>
      <c r="AB741" s="109"/>
      <c r="AC741" s="109">
        <v>7</v>
      </c>
      <c r="AD741" s="109" t="s">
        <v>105</v>
      </c>
      <c r="AE741" s="109">
        <v>14</v>
      </c>
      <c r="AF741" s="109" t="b">
        <v>1</v>
      </c>
      <c r="AG741" s="109" t="s">
        <v>1355</v>
      </c>
      <c r="AH741" s="109" t="s">
        <v>29</v>
      </c>
      <c r="AI741" s="109" t="s">
        <v>28</v>
      </c>
      <c r="AJ741" s="109"/>
      <c r="AK741" s="109"/>
      <c r="AL741" s="109">
        <v>0</v>
      </c>
      <c r="AM741" s="109"/>
      <c r="AN741" s="109"/>
      <c r="AO741" s="109"/>
      <c r="AP741" s="109"/>
      <c r="AQ741" s="93" t="s">
        <v>319</v>
      </c>
    </row>
    <row r="742" spans="1:79" ht="16.5" customHeight="1" x14ac:dyDescent="0.2">
      <c r="A742" s="112">
        <f>$A$737+5</f>
        <v>36</v>
      </c>
      <c r="B742" s="112" t="s">
        <v>343</v>
      </c>
      <c r="C742" s="112" t="s">
        <v>90</v>
      </c>
      <c r="D742" s="112"/>
      <c r="E742" s="112"/>
      <c r="F742" s="112"/>
      <c r="G742" s="112" t="s">
        <v>289</v>
      </c>
      <c r="H742" s="112"/>
      <c r="I742" s="112"/>
      <c r="J742" s="112" t="b">
        <f t="shared" si="79"/>
        <v>1</v>
      </c>
      <c r="K742" s="112" t="b">
        <v>1</v>
      </c>
      <c r="L742" s="112"/>
      <c r="M742" s="112"/>
      <c r="N742" s="112"/>
      <c r="O742" s="112" t="str">
        <f>"$B$"&amp;A742</f>
        <v>$B$36</v>
      </c>
      <c r="P742" s="112" t="str">
        <f>"$AL$"&amp;A742+2</f>
        <v>$AL$38</v>
      </c>
      <c r="Q742" s="112"/>
      <c r="R742" s="112"/>
      <c r="S742" s="112"/>
      <c r="T742" s="112"/>
      <c r="U742" s="112"/>
      <c r="V742" s="112"/>
      <c r="W742" s="112"/>
      <c r="X742" s="112"/>
      <c r="Y742" s="112"/>
      <c r="Z742" s="112"/>
      <c r="AA742" s="112"/>
      <c r="AB742" s="112"/>
      <c r="AC742" s="112"/>
      <c r="AD742" s="112"/>
      <c r="AE742" s="112"/>
      <c r="AF742" s="112"/>
      <c r="AG742" s="112"/>
      <c r="AH742" s="112"/>
      <c r="AI742" s="112"/>
      <c r="AJ742" s="112"/>
      <c r="AK742" s="112"/>
      <c r="AL742" s="112"/>
      <c r="AM742" s="112"/>
      <c r="AN742" s="112"/>
      <c r="AO742" s="112"/>
      <c r="AP742" s="112"/>
    </row>
    <row r="743" spans="1:79" ht="16.5" customHeight="1" thickBot="1" x14ac:dyDescent="0.25">
      <c r="A743" s="113">
        <f>$A$742+0</f>
        <v>36</v>
      </c>
      <c r="B743" s="113" t="s">
        <v>344</v>
      </c>
      <c r="C743" s="113" t="s">
        <v>92</v>
      </c>
      <c r="D743" s="113"/>
      <c r="E743" s="113"/>
      <c r="F743" s="113"/>
      <c r="G743" s="113" t="s">
        <v>289</v>
      </c>
      <c r="H743" s="113"/>
      <c r="I743" s="113"/>
      <c r="J743" s="113" t="b">
        <f t="shared" si="79"/>
        <v>1</v>
      </c>
      <c r="K743" s="113" t="b">
        <v>1</v>
      </c>
      <c r="L743" s="113"/>
      <c r="M743" s="113"/>
      <c r="N743" s="113"/>
      <c r="O743" s="113" t="str">
        <f>"$B$"&amp;A743</f>
        <v>$B$36</v>
      </c>
      <c r="P743" s="113" t="str">
        <f>"$AL$"&amp;A743</f>
        <v>$AL$36</v>
      </c>
      <c r="Q743" s="113"/>
      <c r="R743" s="113"/>
      <c r="S743" s="113"/>
      <c r="T743" s="113">
        <v>36</v>
      </c>
      <c r="U743" s="113"/>
      <c r="V743" s="113"/>
      <c r="W743" s="113"/>
      <c r="X743" s="113"/>
      <c r="Y743" s="113"/>
      <c r="Z743" s="113"/>
      <c r="AA743" s="113"/>
      <c r="AB743" s="113"/>
      <c r="AC743" s="113"/>
      <c r="AD743" s="113"/>
      <c r="AE743" s="113"/>
      <c r="AF743" s="113"/>
      <c r="AG743" s="113"/>
      <c r="AH743" s="113"/>
      <c r="AI743" s="113"/>
      <c r="AJ743" s="113"/>
      <c r="AK743" s="113"/>
      <c r="AL743" s="113"/>
      <c r="AM743" s="113"/>
      <c r="AN743" s="113"/>
      <c r="AO743" s="113"/>
      <c r="AP743" s="113" t="b">
        <v>1</v>
      </c>
      <c r="AQ743" s="27" t="s">
        <v>620</v>
      </c>
      <c r="AR743" s="36" t="s">
        <v>291</v>
      </c>
      <c r="AS743" s="28" t="s">
        <v>310</v>
      </c>
      <c r="AT743" s="35" t="s">
        <v>311</v>
      </c>
      <c r="AU743" s="35" t="s">
        <v>624</v>
      </c>
      <c r="AV743" s="35" t="s">
        <v>625</v>
      </c>
      <c r="AW743" s="35" t="s">
        <v>292</v>
      </c>
      <c r="AX743" s="28" t="s">
        <v>1241</v>
      </c>
      <c r="AY743" s="28" t="s">
        <v>1238</v>
      </c>
      <c r="AZ743" s="29" t="s">
        <v>293</v>
      </c>
      <c r="BA743" s="29" t="s">
        <v>621</v>
      </c>
      <c r="BB743" s="29" t="s">
        <v>294</v>
      </c>
      <c r="BC743" s="30" t="s">
        <v>295</v>
      </c>
      <c r="BD743" s="30" t="s">
        <v>296</v>
      </c>
      <c r="BE743" s="30" t="s">
        <v>297</v>
      </c>
      <c r="BF743" s="29" t="s">
        <v>622</v>
      </c>
      <c r="BG743" s="29" t="s">
        <v>623</v>
      </c>
      <c r="BH743" s="28" t="s">
        <v>305</v>
      </c>
      <c r="BI743" s="28" t="s">
        <v>306</v>
      </c>
      <c r="BJ743" s="31" t="s">
        <v>299</v>
      </c>
      <c r="BK743" s="32" t="s">
        <v>1312</v>
      </c>
      <c r="BL743" s="32" t="s">
        <v>1327</v>
      </c>
      <c r="BM743" s="32" t="s">
        <v>1408</v>
      </c>
      <c r="BN743" s="29" t="s">
        <v>300</v>
      </c>
      <c r="BO743" s="29" t="s">
        <v>301</v>
      </c>
      <c r="BP743" s="29" t="s">
        <v>302</v>
      </c>
      <c r="BQ743" s="33" t="s">
        <v>1336</v>
      </c>
      <c r="BR743" s="33" t="s">
        <v>1337</v>
      </c>
      <c r="BS743" s="29" t="s">
        <v>303</v>
      </c>
      <c r="BT743" s="29" t="s">
        <v>304</v>
      </c>
      <c r="BU743" s="28" t="s">
        <v>312</v>
      </c>
      <c r="BV743" s="29" t="s">
        <v>313</v>
      </c>
      <c r="BW743" s="29" t="s">
        <v>314</v>
      </c>
      <c r="BX743" s="29" t="s">
        <v>315</v>
      </c>
      <c r="BY743" s="40" t="s">
        <v>316</v>
      </c>
      <c r="BZ743" s="34" t="s">
        <v>1340</v>
      </c>
      <c r="CA743" s="68" t="s">
        <v>1440</v>
      </c>
    </row>
    <row r="744" spans="1:79" ht="16.5" customHeight="1" x14ac:dyDescent="0.2">
      <c r="A744" s="108">
        <f>$A$742+-36</f>
        <v>0</v>
      </c>
      <c r="B744" s="98" t="s">
        <v>1439</v>
      </c>
      <c r="C744" s="98"/>
      <c r="D744" s="98"/>
      <c r="E744" s="98"/>
      <c r="F744" s="98"/>
      <c r="G744" s="98"/>
      <c r="H744" s="98"/>
      <c r="I744" s="98"/>
      <c r="J744" s="98"/>
      <c r="K744" s="98"/>
      <c r="L744" s="98"/>
      <c r="M744" s="98"/>
      <c r="N744" s="98"/>
      <c r="O744" s="98"/>
      <c r="P744" s="98"/>
      <c r="Q744" s="98"/>
      <c r="R744" s="98"/>
      <c r="S744" s="98"/>
      <c r="T744" s="98"/>
      <c r="U744" s="98"/>
      <c r="V744" s="98"/>
      <c r="W744" s="98"/>
      <c r="X744" s="98"/>
      <c r="Y744" s="98"/>
      <c r="Z744" s="98"/>
      <c r="AA744" s="98"/>
      <c r="AB744" s="98"/>
      <c r="AC744" s="98"/>
      <c r="AD744" s="98"/>
      <c r="AE744" s="98"/>
      <c r="AF744" s="98"/>
      <c r="AG744" s="98"/>
      <c r="AH744" s="98"/>
      <c r="AI744" s="98"/>
      <c r="AJ744" s="98"/>
      <c r="AK744" s="98"/>
      <c r="AL744" s="98"/>
      <c r="AM744" s="98"/>
      <c r="AN744" s="98"/>
      <c r="AO744" s="98"/>
      <c r="AP744" s="98"/>
    </row>
    <row r="745" spans="1:79" ht="16.5" customHeight="1" x14ac:dyDescent="0.2">
      <c r="A745" s="113">
        <f>$A$742+1</f>
        <v>37</v>
      </c>
      <c r="B745" s="113" t="s">
        <v>345</v>
      </c>
      <c r="C745" s="113" t="s">
        <v>92</v>
      </c>
      <c r="D745" s="113"/>
      <c r="E745" s="113"/>
      <c r="F745" s="113"/>
      <c r="G745" s="113" t="s">
        <v>289</v>
      </c>
      <c r="H745" s="113"/>
      <c r="I745" s="113"/>
      <c r="J745" s="113" t="b">
        <f t="shared" si="79"/>
        <v>1</v>
      </c>
      <c r="K745" s="113" t="b">
        <v>1</v>
      </c>
      <c r="L745" s="113"/>
      <c r="M745" s="113"/>
      <c r="N745" s="113"/>
      <c r="O745" s="113" t="str">
        <f>"$B$"&amp;A745</f>
        <v>$B$37</v>
      </c>
      <c r="P745" s="113" t="str">
        <f>"$AL$"&amp;A745</f>
        <v>$AL$37</v>
      </c>
      <c r="Q745" s="113"/>
      <c r="R745" s="113"/>
      <c r="S745" s="113"/>
      <c r="T745" s="113"/>
      <c r="U745" s="113"/>
      <c r="V745" s="113"/>
      <c r="W745" s="113"/>
      <c r="X745" s="113"/>
      <c r="Y745" s="113"/>
      <c r="Z745" s="113"/>
      <c r="AA745" s="113"/>
      <c r="AB745" s="113"/>
      <c r="AC745" s="113"/>
      <c r="AD745" s="113"/>
      <c r="AE745" s="113"/>
      <c r="AF745" s="113"/>
      <c r="AG745" s="113"/>
      <c r="AH745" s="113"/>
      <c r="AI745" s="113"/>
      <c r="AJ745" s="113"/>
      <c r="AK745" s="113"/>
      <c r="AL745" s="113"/>
      <c r="AM745" s="113"/>
      <c r="AN745" s="113"/>
      <c r="AO745" s="113"/>
      <c r="AP745" s="113" t="b">
        <v>1</v>
      </c>
      <c r="AQ745" s="44">
        <v>1</v>
      </c>
      <c r="AR745" s="48"/>
      <c r="AS745" s="49" t="s">
        <v>1216</v>
      </c>
      <c r="AT745" s="45"/>
      <c r="AU745" s="49"/>
      <c r="AV745" s="50"/>
      <c r="AW745" s="45">
        <v>2013</v>
      </c>
      <c r="AX745" s="88"/>
      <c r="AY745" s="45" t="s">
        <v>1222</v>
      </c>
      <c r="AZ745" s="54"/>
      <c r="BA745" s="55"/>
      <c r="BB745" s="54"/>
      <c r="BC745" s="53"/>
      <c r="BD745" s="53">
        <v>1</v>
      </c>
      <c r="BE745" s="53"/>
      <c r="BF745" s="46">
        <f>SUMPRODUCT(AZ745:BB745,BC745:BE745)</f>
        <v>0</v>
      </c>
      <c r="BG745" s="46">
        <f>BA745</f>
        <v>0</v>
      </c>
      <c r="BH745" s="58"/>
      <c r="BI745" s="58"/>
      <c r="BJ745" s="51">
        <v>1</v>
      </c>
      <c r="BK745" s="46" t="s">
        <v>319</v>
      </c>
      <c r="BL745" s="46" t="str">
        <f>BK745&amp;AU745&amp;AV745&amp;AT745</f>
        <v>Realiseringsfase</v>
      </c>
      <c r="BM745" s="46">
        <f>INDEX(MasterSheet_rng_PLOYearAdjs,MATCH(MasterSheet_Repeater_PloYRep&amp;"-"&amp;AW745,MasterSheet_rng_PLOYearAdjsConcat,0))</f>
        <v>1</v>
      </c>
      <c r="BN745" s="46">
        <f>BJ745*BA745*BM745</f>
        <v>0</v>
      </c>
      <c r="BO745" s="46">
        <f>BJ745*BF745*BM745</f>
        <v>0</v>
      </c>
      <c r="BP745" s="46">
        <f>BJ745*BG745*BM745</f>
        <v>0</v>
      </c>
      <c r="BQ745" s="56">
        <f>BJ745*AZ745*BM745</f>
        <v>0</v>
      </c>
      <c r="BR745" s="57">
        <f>BJ745*BB745*BM745</f>
        <v>0</v>
      </c>
      <c r="BS745" s="46">
        <f>BO745-BN745</f>
        <v>0</v>
      </c>
      <c r="BT745" s="46">
        <f>BP745-BN745</f>
        <v>0</v>
      </c>
      <c r="BU745" s="52">
        <f>COUNTA(BH745:BI745)</f>
        <v>0</v>
      </c>
      <c r="BV745" s="46">
        <f>IF(OR(BU745=0,BU745=1),BS745,BS745*MasterSheet_f_RiskPrimaryPercentage)</f>
        <v>0</v>
      </c>
      <c r="BW745" s="46">
        <f>IF(OR(BU745=0,BU745=1),0,BS745*(1-MasterSheet_f_RiskPrimaryPercentage))</f>
        <v>0</v>
      </c>
      <c r="BX745" s="46">
        <f>IF(OR(BU745=0,BU745=1),BT745,BT745*MasterSheet_f_RiskPrimaryPercentage)</f>
        <v>0</v>
      </c>
      <c r="BY745" s="47">
        <f>IF(OR(BU745=0,BU745=1),0,BT745*(1-MasterSheet_f_RiskPrimaryPercentage))</f>
        <v>0</v>
      </c>
      <c r="BZ745" s="47">
        <f>IF(OR(BU745=0,BU745=1),(BB745-BA745),(BB745-BA745)*MasterSheet_f_RiskPrimaryPercentage)</f>
        <v>0</v>
      </c>
      <c r="CA745" s="57">
        <f>IF(OR(BU745=0,BU745=1),(BB745-BA745),(BB745-BA745)*(1-MasterSheet_f_RiskPrimaryPercentage))</f>
        <v>0</v>
      </c>
    </row>
    <row r="746" spans="1:79" ht="16.5" customHeight="1" x14ac:dyDescent="0.2">
      <c r="A746" s="99">
        <v>0</v>
      </c>
      <c r="B746" s="99" t="s">
        <v>347</v>
      </c>
      <c r="C746" s="99" t="s">
        <v>89</v>
      </c>
      <c r="D746" s="99"/>
      <c r="E746" s="99"/>
      <c r="F746" s="99">
        <v>11</v>
      </c>
      <c r="G746" s="99" t="str">
        <f>B746</f>
        <v>Programudgifter</v>
      </c>
      <c r="H746" s="99" t="s">
        <v>1598</v>
      </c>
      <c r="I746" s="99">
        <f>COUNTIF(G:G,B746)</f>
        <v>22</v>
      </c>
      <c r="J746" s="99" t="b">
        <f t="shared" ref="J746:J755" si="80">$E$6</f>
        <v>1</v>
      </c>
      <c r="K746" s="99" t="b">
        <v>1</v>
      </c>
      <c r="L746" s="99"/>
      <c r="M746" s="99"/>
      <c r="N746" s="99"/>
      <c r="O746" s="99"/>
      <c r="P746" s="99"/>
      <c r="Q746" s="99"/>
      <c r="R746" s="99"/>
      <c r="S746" s="99"/>
      <c r="T746" s="99"/>
      <c r="U746" s="99"/>
      <c r="V746" s="99"/>
      <c r="W746" s="99" t="s">
        <v>1358</v>
      </c>
      <c r="X746" s="99"/>
      <c r="Y746" s="99"/>
      <c r="Z746" s="99"/>
      <c r="AA746" s="99"/>
      <c r="AB746" s="99"/>
      <c r="AC746" s="99"/>
      <c r="AD746" s="99"/>
      <c r="AE746" s="99"/>
      <c r="AF746" s="99"/>
      <c r="AG746" s="99"/>
      <c r="AH746" s="99"/>
      <c r="AI746" s="99"/>
      <c r="AJ746" s="99">
        <v>80</v>
      </c>
      <c r="AK746" s="99"/>
      <c r="AL746" s="99"/>
      <c r="AM746" s="99"/>
      <c r="AN746" s="99"/>
      <c r="AO746" s="99"/>
      <c r="AP746" s="99"/>
    </row>
    <row r="747" spans="1:79" ht="16.5" customHeight="1" x14ac:dyDescent="0.2">
      <c r="A747" s="100">
        <f>$A$746+2</f>
        <v>2</v>
      </c>
      <c r="B747" s="100" t="s">
        <v>349</v>
      </c>
      <c r="C747" s="100" t="s">
        <v>649</v>
      </c>
      <c r="D747" s="100"/>
      <c r="E747" s="100"/>
      <c r="F747" s="100"/>
      <c r="G747" s="100" t="s">
        <v>347</v>
      </c>
      <c r="H747" s="100"/>
      <c r="I747" s="100" t="s">
        <v>347</v>
      </c>
      <c r="J747" s="100" t="b">
        <f t="shared" si="80"/>
        <v>1</v>
      </c>
      <c r="K747" s="100" t="b">
        <v>1</v>
      </c>
      <c r="L747" s="100"/>
      <c r="M747" s="100"/>
      <c r="N747" s="100" t="s">
        <v>59</v>
      </c>
      <c r="O747" s="100" t="str">
        <f>"$C$"&amp;A747</f>
        <v>$C$2</v>
      </c>
      <c r="P747" s="100" t="str">
        <f>"$H$"&amp;A747</f>
        <v>$H$2</v>
      </c>
      <c r="Q747" s="100"/>
      <c r="R747" s="100">
        <v>3</v>
      </c>
      <c r="S747" s="100"/>
      <c r="T747" s="100">
        <v>45</v>
      </c>
      <c r="U747" s="100"/>
      <c r="V747" s="100" t="s">
        <v>1351</v>
      </c>
      <c r="W747" s="100"/>
      <c r="X747" s="100"/>
      <c r="Y747" s="100"/>
      <c r="Z747" s="100"/>
      <c r="AA747" s="100"/>
      <c r="AB747" s="100">
        <v>3</v>
      </c>
      <c r="AC747" s="100">
        <v>5</v>
      </c>
      <c r="AD747" s="100" t="s">
        <v>105</v>
      </c>
      <c r="AE747" s="100">
        <v>36</v>
      </c>
      <c r="AF747" s="100" t="b">
        <v>1</v>
      </c>
      <c r="AG747" s="100" t="s">
        <v>1355</v>
      </c>
      <c r="AH747" s="100" t="s">
        <v>29</v>
      </c>
      <c r="AI747" s="100" t="s">
        <v>28</v>
      </c>
      <c r="AJ747" s="100"/>
      <c r="AK747" s="100"/>
      <c r="AL747" s="100">
        <v>0</v>
      </c>
      <c r="AM747" s="100"/>
      <c r="AN747" s="100"/>
      <c r="AO747" s="100"/>
      <c r="AP747" s="100"/>
    </row>
    <row r="748" spans="1:79" ht="16.5" customHeight="1" x14ac:dyDescent="0.2">
      <c r="A748" s="100">
        <f>$A$746+3</f>
        <v>3</v>
      </c>
      <c r="B748" s="100" t="s">
        <v>1146</v>
      </c>
      <c r="C748" s="100" t="s">
        <v>649</v>
      </c>
      <c r="D748" s="100"/>
      <c r="E748" s="100"/>
      <c r="F748" s="100"/>
      <c r="G748" s="100" t="s">
        <v>347</v>
      </c>
      <c r="H748" s="100"/>
      <c r="I748" s="100" t="s">
        <v>1147</v>
      </c>
      <c r="J748" s="100" t="b">
        <f t="shared" si="80"/>
        <v>1</v>
      </c>
      <c r="K748" s="100" t="b">
        <v>1</v>
      </c>
      <c r="L748" s="100"/>
      <c r="M748" s="100"/>
      <c r="N748" s="100" t="s">
        <v>59</v>
      </c>
      <c r="O748" s="100" t="str">
        <f>"$C$"&amp;A748</f>
        <v>$C$3</v>
      </c>
      <c r="P748" s="100" t="str">
        <f>"$H$"&amp;A748</f>
        <v>$H$3</v>
      </c>
      <c r="Q748" s="100"/>
      <c r="R748" s="100">
        <v>3</v>
      </c>
      <c r="S748" s="100"/>
      <c r="T748" s="100">
        <v>27</v>
      </c>
      <c r="U748" s="100"/>
      <c r="V748" s="100" t="s">
        <v>1351</v>
      </c>
      <c r="W748" s="100"/>
      <c r="X748" s="100"/>
      <c r="Y748" s="100"/>
      <c r="Z748" s="100"/>
      <c r="AA748" s="100"/>
      <c r="AB748" s="100">
        <v>3</v>
      </c>
      <c r="AC748" s="100">
        <v>5</v>
      </c>
      <c r="AD748" s="100" t="s">
        <v>105</v>
      </c>
      <c r="AE748" s="100">
        <v>18</v>
      </c>
      <c r="AF748" s="100" t="b">
        <v>1</v>
      </c>
      <c r="AG748" s="100" t="s">
        <v>1355</v>
      </c>
      <c r="AH748" s="100" t="s">
        <v>29</v>
      </c>
      <c r="AI748" s="100" t="s">
        <v>28</v>
      </c>
      <c r="AJ748" s="100"/>
      <c r="AK748" s="100"/>
      <c r="AL748" s="100">
        <v>0</v>
      </c>
      <c r="AM748" s="100"/>
      <c r="AN748" s="100"/>
      <c r="AO748" s="100"/>
      <c r="AP748" s="100"/>
    </row>
    <row r="749" spans="1:79" ht="16.5" customHeight="1" x14ac:dyDescent="0.2">
      <c r="A749" s="103">
        <f>$A$746+6</f>
        <v>6</v>
      </c>
      <c r="B749" s="103" t="s">
        <v>350</v>
      </c>
      <c r="C749" s="103" t="s">
        <v>654</v>
      </c>
      <c r="D749" s="103"/>
      <c r="E749" s="103"/>
      <c r="F749" s="103"/>
      <c r="G749" s="103" t="s">
        <v>347</v>
      </c>
      <c r="H749" s="103"/>
      <c r="I749" s="103" t="s">
        <v>290</v>
      </c>
      <c r="J749" s="103" t="b">
        <f t="shared" si="80"/>
        <v>1</v>
      </c>
      <c r="K749" s="103" t="b">
        <v>1</v>
      </c>
      <c r="L749" s="103"/>
      <c r="M749" s="103"/>
      <c r="N749" s="103" t="s">
        <v>59</v>
      </c>
      <c r="O749" s="103" t="str">
        <f>"$C$"&amp;A749</f>
        <v>$C$6</v>
      </c>
      <c r="P749" s="103" t="str">
        <f>"$AL$"&amp;A754-1</f>
        <v>$AL$11</v>
      </c>
      <c r="Q749" s="103"/>
      <c r="R749" s="103">
        <v>1</v>
      </c>
      <c r="S749" s="103"/>
      <c r="T749" s="103">
        <v>27</v>
      </c>
      <c r="U749" s="103" t="b">
        <v>1</v>
      </c>
      <c r="V749" s="103" t="s">
        <v>1352</v>
      </c>
      <c r="W749" s="103" t="s">
        <v>1352</v>
      </c>
      <c r="X749" s="103"/>
      <c r="Y749" s="103"/>
      <c r="Z749" s="103"/>
      <c r="AA749" s="103"/>
      <c r="AB749" s="103"/>
      <c r="AC749" s="103">
        <v>7</v>
      </c>
      <c r="AD749" s="103" t="s">
        <v>105</v>
      </c>
      <c r="AE749" s="103">
        <v>20</v>
      </c>
      <c r="AF749" s="103" t="b">
        <v>1</v>
      </c>
      <c r="AG749" s="103" t="s">
        <v>1351</v>
      </c>
      <c r="AH749" s="103" t="s">
        <v>29</v>
      </c>
      <c r="AI749" s="103" t="s">
        <v>28</v>
      </c>
      <c r="AJ749" s="103"/>
      <c r="AK749" s="103"/>
      <c r="AL749" s="103">
        <v>0</v>
      </c>
      <c r="AM749" s="103"/>
      <c r="AN749" s="103"/>
      <c r="AO749" s="103"/>
      <c r="AP749" s="103"/>
    </row>
    <row r="750" spans="1:79" ht="16.5" customHeight="1" x14ac:dyDescent="0.2">
      <c r="A750" s="112">
        <f>$A$749+2</f>
        <v>8</v>
      </c>
      <c r="B750" s="112" t="s">
        <v>351</v>
      </c>
      <c r="C750" s="112" t="s">
        <v>90</v>
      </c>
      <c r="D750" s="112"/>
      <c r="E750" s="112"/>
      <c r="F750" s="112"/>
      <c r="G750" s="112" t="s">
        <v>347</v>
      </c>
      <c r="H750" s="112"/>
      <c r="I750" s="112"/>
      <c r="J750" s="112" t="b">
        <f t="shared" si="80"/>
        <v>1</v>
      </c>
      <c r="K750" s="112" t="b">
        <v>1</v>
      </c>
      <c r="L750" s="112"/>
      <c r="M750" s="112"/>
      <c r="N750" s="112"/>
      <c r="O750" s="112" t="str">
        <f>"$B$"&amp;A750</f>
        <v>$B$8</v>
      </c>
      <c r="P750" s="112" t="str">
        <f>"$AL$"&amp;A750+2</f>
        <v>$AL$10</v>
      </c>
      <c r="Q750" s="112"/>
      <c r="R750" s="112"/>
      <c r="S750" s="112"/>
      <c r="T750" s="112"/>
      <c r="U750" s="112"/>
      <c r="V750" s="112"/>
      <c r="W750" s="112"/>
      <c r="X750" s="112"/>
      <c r="Y750" s="112"/>
      <c r="Z750" s="112"/>
      <c r="AA750" s="112"/>
      <c r="AB750" s="112"/>
      <c r="AC750" s="112"/>
      <c r="AD750" s="112"/>
      <c r="AE750" s="112"/>
      <c r="AF750" s="112"/>
      <c r="AG750" s="112"/>
      <c r="AH750" s="112"/>
      <c r="AI750" s="112"/>
      <c r="AJ750" s="112"/>
      <c r="AK750" s="112"/>
      <c r="AL750" s="112"/>
      <c r="AM750" s="112"/>
      <c r="AN750" s="112"/>
      <c r="AO750" s="112"/>
      <c r="AP750" s="112"/>
    </row>
    <row r="751" spans="1:79" ht="16.5" customHeight="1" thickBot="1" x14ac:dyDescent="0.25">
      <c r="A751" s="113">
        <f>$A$750+0</f>
        <v>8</v>
      </c>
      <c r="B751" s="113" t="s">
        <v>352</v>
      </c>
      <c r="C751" s="113" t="s">
        <v>92</v>
      </c>
      <c r="D751" s="113"/>
      <c r="E751" s="113"/>
      <c r="F751" s="113"/>
      <c r="G751" s="113" t="s">
        <v>347</v>
      </c>
      <c r="H751" s="113"/>
      <c r="I751" s="113"/>
      <c r="J751" s="113" t="b">
        <f t="shared" si="80"/>
        <v>1</v>
      </c>
      <c r="K751" s="113" t="b">
        <v>1</v>
      </c>
      <c r="L751" s="113"/>
      <c r="M751" s="113"/>
      <c r="N751" s="113"/>
      <c r="O751" s="113" t="str">
        <f>"$B$"&amp;A751</f>
        <v>$B$8</v>
      </c>
      <c r="P751" s="113" t="str">
        <f>"$AL$"&amp;A751</f>
        <v>$AL$8</v>
      </c>
      <c r="Q751" s="113"/>
      <c r="R751" s="113"/>
      <c r="S751" s="113"/>
      <c r="T751" s="113">
        <v>36</v>
      </c>
      <c r="U751" s="113"/>
      <c r="V751" s="113"/>
      <c r="W751" s="113"/>
      <c r="X751" s="113"/>
      <c r="Y751" s="113"/>
      <c r="Z751" s="113"/>
      <c r="AA751" s="113"/>
      <c r="AB751" s="113"/>
      <c r="AC751" s="113"/>
      <c r="AD751" s="113"/>
      <c r="AE751" s="113"/>
      <c r="AF751" s="113"/>
      <c r="AG751" s="113"/>
      <c r="AH751" s="113"/>
      <c r="AI751" s="113"/>
      <c r="AJ751" s="113"/>
      <c r="AK751" s="113"/>
      <c r="AL751" s="113"/>
      <c r="AM751" s="113"/>
      <c r="AN751" s="113"/>
      <c r="AO751" s="113"/>
      <c r="AP751" s="113" t="b">
        <v>1</v>
      </c>
      <c r="AQ751" s="59" t="s">
        <v>620</v>
      </c>
      <c r="AR751" s="342" t="s">
        <v>291</v>
      </c>
      <c r="AS751" s="343"/>
      <c r="AT751" s="343"/>
      <c r="AU751" s="343"/>
      <c r="AV751" s="343"/>
      <c r="AW751" s="343"/>
      <c r="AX751" s="60" t="s">
        <v>1241</v>
      </c>
      <c r="AY751" s="60" t="s">
        <v>1238</v>
      </c>
      <c r="AZ751" s="61" t="s">
        <v>293</v>
      </c>
      <c r="BA751" s="61" t="s">
        <v>621</v>
      </c>
      <c r="BB751" s="61" t="s">
        <v>294</v>
      </c>
      <c r="BC751" s="62" t="s">
        <v>295</v>
      </c>
      <c r="BD751" s="62" t="s">
        <v>296</v>
      </c>
      <c r="BE751" s="62" t="s">
        <v>297</v>
      </c>
      <c r="BF751" s="61" t="s">
        <v>622</v>
      </c>
      <c r="BG751" s="63" t="s">
        <v>623</v>
      </c>
      <c r="BH751" s="117"/>
      <c r="BI751" s="118"/>
      <c r="BJ751" s="31" t="s">
        <v>299</v>
      </c>
      <c r="BK751" s="32" t="s">
        <v>1312</v>
      </c>
      <c r="BL751" s="32" t="s">
        <v>1327</v>
      </c>
      <c r="BM751" s="32" t="s">
        <v>1408</v>
      </c>
      <c r="BN751" s="29" t="s">
        <v>300</v>
      </c>
      <c r="BO751" s="29" t="s">
        <v>301</v>
      </c>
      <c r="BP751" s="29" t="s">
        <v>302</v>
      </c>
      <c r="BQ751" s="33" t="s">
        <v>1336</v>
      </c>
      <c r="BR751" s="33" t="s">
        <v>1337</v>
      </c>
      <c r="BS751" s="117"/>
      <c r="BT751" s="118"/>
      <c r="BU751" s="118"/>
      <c r="BV751" s="118"/>
      <c r="BW751" s="118"/>
      <c r="BX751" s="118"/>
      <c r="BY751" s="118"/>
    </row>
    <row r="752" spans="1:79" ht="16.5" customHeight="1" x14ac:dyDescent="0.2">
      <c r="A752" s="108">
        <f>$A$750+-8</f>
        <v>0</v>
      </c>
      <c r="B752" s="98" t="s">
        <v>1439</v>
      </c>
      <c r="C752" s="98"/>
      <c r="D752" s="98"/>
      <c r="E752" s="98"/>
      <c r="F752" s="98"/>
      <c r="G752" s="98"/>
      <c r="H752" s="98"/>
      <c r="I752" s="98"/>
      <c r="J752" s="98"/>
      <c r="K752" s="98"/>
      <c r="L752" s="98"/>
      <c r="M752" s="98"/>
      <c r="N752" s="98"/>
      <c r="O752" s="98"/>
      <c r="P752" s="98"/>
      <c r="Q752" s="98"/>
      <c r="R752" s="98"/>
      <c r="S752" s="98"/>
      <c r="T752" s="98"/>
      <c r="U752" s="98"/>
      <c r="V752" s="98"/>
      <c r="W752" s="98"/>
      <c r="X752" s="98"/>
      <c r="Y752" s="98"/>
      <c r="Z752" s="98"/>
      <c r="AA752" s="98"/>
      <c r="AB752" s="98"/>
      <c r="AC752" s="98"/>
      <c r="AD752" s="98"/>
      <c r="AE752" s="98"/>
      <c r="AF752" s="98"/>
      <c r="AG752" s="98"/>
      <c r="AH752" s="98"/>
      <c r="AI752" s="98"/>
      <c r="AJ752" s="98"/>
      <c r="AK752" s="98"/>
      <c r="AL752" s="98"/>
      <c r="AM752" s="98"/>
      <c r="AN752" s="98"/>
      <c r="AO752" s="98"/>
      <c r="AP752" s="98"/>
    </row>
    <row r="753" spans="1:79" ht="16.5" customHeight="1" x14ac:dyDescent="0.2">
      <c r="A753" s="113">
        <f>$A$750+1</f>
        <v>9</v>
      </c>
      <c r="B753" s="113" t="s">
        <v>353</v>
      </c>
      <c r="C753" s="113" t="s">
        <v>92</v>
      </c>
      <c r="D753" s="113"/>
      <c r="E753" s="113"/>
      <c r="F753" s="113"/>
      <c r="G753" s="113" t="s">
        <v>347</v>
      </c>
      <c r="H753" s="113"/>
      <c r="I753" s="113"/>
      <c r="J753" s="113" t="b">
        <f t="shared" si="80"/>
        <v>1</v>
      </c>
      <c r="K753" s="113" t="b">
        <v>1</v>
      </c>
      <c r="L753" s="113"/>
      <c r="M753" s="113"/>
      <c r="N753" s="113"/>
      <c r="O753" s="113" t="str">
        <f>"$B$"&amp;A753</f>
        <v>$B$9</v>
      </c>
      <c r="P753" s="113" t="str">
        <f>"$AL$"&amp;A753</f>
        <v>$AL$9</v>
      </c>
      <c r="Q753" s="113"/>
      <c r="R753" s="113"/>
      <c r="S753" s="113"/>
      <c r="T753" s="113"/>
      <c r="U753" s="113"/>
      <c r="V753" s="113"/>
      <c r="W753" s="113"/>
      <c r="X753" s="113"/>
      <c r="Y753" s="113"/>
      <c r="Z753" s="113"/>
      <c r="AA753" s="113"/>
      <c r="AB753" s="113"/>
      <c r="AC753" s="113"/>
      <c r="AD753" s="113"/>
      <c r="AE753" s="113"/>
      <c r="AF753" s="113"/>
      <c r="AG753" s="113"/>
      <c r="AH753" s="113"/>
      <c r="AI753" s="113"/>
      <c r="AJ753" s="113"/>
      <c r="AK753" s="113"/>
      <c r="AL753" s="113"/>
      <c r="AM753" s="113"/>
      <c r="AN753" s="113"/>
      <c r="AO753" s="113"/>
      <c r="AP753" s="113" t="b">
        <v>1</v>
      </c>
      <c r="AQ753" s="44">
        <v>1</v>
      </c>
      <c r="AR753" s="345"/>
      <c r="AS753" s="346"/>
      <c r="AT753" s="346"/>
      <c r="AU753" s="346"/>
      <c r="AV753" s="346"/>
      <c r="AW753" s="346"/>
      <c r="AX753" s="88"/>
      <c r="AY753" s="45" t="s">
        <v>1222</v>
      </c>
      <c r="AZ753" s="54"/>
      <c r="BA753" s="55"/>
      <c r="BB753" s="54"/>
      <c r="BC753" s="53"/>
      <c r="BD753" s="53">
        <v>1</v>
      </c>
      <c r="BE753" s="53"/>
      <c r="BF753" s="46">
        <f>SUMPRODUCT(AZ753:BB753,BC753:BE753)</f>
        <v>0</v>
      </c>
      <c r="BG753" s="47">
        <f>BA753</f>
        <v>0</v>
      </c>
      <c r="BH753" s="117"/>
      <c r="BI753" s="118"/>
      <c r="BJ753" s="51">
        <v>1</v>
      </c>
      <c r="BK753" s="46" t="s">
        <v>1573</v>
      </c>
      <c r="BL753" s="46"/>
      <c r="BM753" s="46">
        <v>1</v>
      </c>
      <c r="BN753" s="46">
        <f>BJ753*BA753*BM753</f>
        <v>0</v>
      </c>
      <c r="BO753" s="46">
        <f>BJ753*BF753*BM753</f>
        <v>0</v>
      </c>
      <c r="BP753" s="46">
        <f>BJ753*BG753*BM753</f>
        <v>0</v>
      </c>
      <c r="BQ753" s="56">
        <f>BJ753*AZ753*BM753</f>
        <v>0</v>
      </c>
      <c r="BR753" s="57">
        <f>BJ753*BB753*BM753</f>
        <v>0</v>
      </c>
      <c r="BS753" s="117"/>
      <c r="BT753" s="118"/>
      <c r="BU753" s="118"/>
      <c r="BV753" s="118"/>
      <c r="BW753" s="118"/>
      <c r="BX753" s="118"/>
      <c r="BY753" s="118"/>
    </row>
    <row r="754" spans="1:79" ht="16.5" customHeight="1" x14ac:dyDescent="0.2">
      <c r="A754" s="103">
        <f>$A$750+4</f>
        <v>12</v>
      </c>
      <c r="B754" s="103" t="s">
        <v>354</v>
      </c>
      <c r="C754" s="103" t="s">
        <v>654</v>
      </c>
      <c r="D754" s="103"/>
      <c r="E754" s="103"/>
      <c r="F754" s="103"/>
      <c r="G754" s="103" t="s">
        <v>347</v>
      </c>
      <c r="H754" s="103"/>
      <c r="I754" s="103" t="s">
        <v>308</v>
      </c>
      <c r="J754" s="103" t="b">
        <f t="shared" si="80"/>
        <v>1</v>
      </c>
      <c r="K754" s="103" t="b">
        <v>1</v>
      </c>
      <c r="L754" s="103"/>
      <c r="M754" s="103"/>
      <c r="N754" s="103" t="s">
        <v>59</v>
      </c>
      <c r="O754" s="103" t="str">
        <f>"$C$"&amp;A754</f>
        <v>$C$12</v>
      </c>
      <c r="P754" s="103" t="str">
        <f>"$AL$"&amp;A771+1</f>
        <v>$AL$26</v>
      </c>
      <c r="Q754" s="103"/>
      <c r="R754" s="103">
        <v>1</v>
      </c>
      <c r="S754" s="103"/>
      <c r="T754" s="103">
        <v>27</v>
      </c>
      <c r="U754" s="103" t="b">
        <v>1</v>
      </c>
      <c r="V754" s="103" t="s">
        <v>1352</v>
      </c>
      <c r="W754" s="103" t="s">
        <v>1352</v>
      </c>
      <c r="X754" s="103"/>
      <c r="Y754" s="103"/>
      <c r="Z754" s="103"/>
      <c r="AA754" s="103"/>
      <c r="AB754" s="103"/>
      <c r="AC754" s="103">
        <v>7</v>
      </c>
      <c r="AD754" s="103" t="s">
        <v>105</v>
      </c>
      <c r="AE754" s="103">
        <v>20</v>
      </c>
      <c r="AF754" s="103" t="b">
        <v>1</v>
      </c>
      <c r="AG754" s="103" t="s">
        <v>1351</v>
      </c>
      <c r="AH754" s="103" t="s">
        <v>29</v>
      </c>
      <c r="AI754" s="103" t="s">
        <v>28</v>
      </c>
      <c r="AJ754" s="103"/>
      <c r="AK754" s="103"/>
      <c r="AL754" s="103">
        <v>0</v>
      </c>
      <c r="AM754" s="103"/>
      <c r="AN754" s="103"/>
      <c r="AO754" s="103"/>
      <c r="AP754" s="103"/>
    </row>
    <row r="755" spans="1:79" ht="16.5" customHeight="1" x14ac:dyDescent="0.2">
      <c r="A755" s="107">
        <f>$A$754+2</f>
        <v>14</v>
      </c>
      <c r="B755" s="107" t="s">
        <v>833</v>
      </c>
      <c r="C755" s="107" t="s">
        <v>663</v>
      </c>
      <c r="D755" s="107"/>
      <c r="E755" s="107" t="s">
        <v>833</v>
      </c>
      <c r="F755" s="107" t="s">
        <v>833</v>
      </c>
      <c r="G755" s="107" t="s">
        <v>347</v>
      </c>
      <c r="H755" s="107">
        <v>3</v>
      </c>
      <c r="I755" s="107">
        <v>5</v>
      </c>
      <c r="J755" s="107" t="b">
        <f t="shared" si="80"/>
        <v>1</v>
      </c>
      <c r="K755" s="107" t="b">
        <v>1</v>
      </c>
      <c r="L755" s="107"/>
      <c r="M755" s="107"/>
      <c r="N755" s="107"/>
      <c r="O755" s="107">
        <f>A755</f>
        <v>14</v>
      </c>
      <c r="P755" s="107">
        <f>O755+5</f>
        <v>19</v>
      </c>
      <c r="Q755" s="107"/>
      <c r="R755" s="107"/>
      <c r="S755" s="107"/>
      <c r="T755" s="107"/>
      <c r="U755" s="107"/>
      <c r="V755" s="107"/>
      <c r="W755" s="107"/>
      <c r="X755" s="107"/>
      <c r="Y755" s="107"/>
      <c r="Z755" s="107"/>
      <c r="AA755" s="107"/>
      <c r="AB755" s="107"/>
      <c r="AC755" s="107"/>
      <c r="AD755" s="107"/>
      <c r="AE755" s="107"/>
      <c r="AF755" s="107"/>
      <c r="AG755" s="107"/>
      <c r="AH755" s="107"/>
      <c r="AI755" s="107"/>
      <c r="AJ755" s="107"/>
      <c r="AK755" s="107"/>
      <c r="AL755" s="107"/>
      <c r="AM755" s="107"/>
      <c r="AN755" s="107"/>
      <c r="AO755" s="107"/>
      <c r="AP755" s="107"/>
    </row>
    <row r="756" spans="1:79" ht="16.5" customHeight="1" x14ac:dyDescent="0.2">
      <c r="A756" s="108">
        <f>$A$755+0</f>
        <v>14</v>
      </c>
      <c r="B756" s="113" t="s">
        <v>355</v>
      </c>
      <c r="C756" s="113" t="s">
        <v>92</v>
      </c>
      <c r="D756" s="113"/>
      <c r="E756" s="113" t="s">
        <v>833</v>
      </c>
      <c r="F756" s="113" t="s">
        <v>833</v>
      </c>
      <c r="G756" s="113" t="s">
        <v>347</v>
      </c>
      <c r="H756" s="113"/>
      <c r="I756" s="113"/>
      <c r="J756" s="113"/>
      <c r="K756" s="113" t="b">
        <v>1</v>
      </c>
      <c r="L756" s="113"/>
      <c r="M756" s="113"/>
      <c r="N756" s="113" t="s">
        <v>59</v>
      </c>
      <c r="O756" s="113" t="str">
        <f>"$C$"&amp;A756</f>
        <v>$C$14</v>
      </c>
      <c r="P756" s="113" t="str">
        <f>"$AL$"&amp;A756</f>
        <v>$AL$14</v>
      </c>
      <c r="Q756" s="113">
        <v>20</v>
      </c>
      <c r="R756" s="113"/>
      <c r="S756" s="113"/>
      <c r="T756" s="113">
        <v>27</v>
      </c>
      <c r="U756" s="113" t="b">
        <v>1</v>
      </c>
      <c r="V756" s="113" t="s">
        <v>1351</v>
      </c>
      <c r="W756" s="113" t="s">
        <v>1351</v>
      </c>
      <c r="X756" s="113"/>
      <c r="Y756" s="113"/>
      <c r="Z756" s="113"/>
      <c r="AA756" s="113"/>
      <c r="AB756" s="113"/>
      <c r="AC756" s="113">
        <v>7</v>
      </c>
      <c r="AD756" s="113" t="s">
        <v>105</v>
      </c>
      <c r="AE756" s="113">
        <v>14</v>
      </c>
      <c r="AF756" s="113" t="b">
        <v>1</v>
      </c>
      <c r="AG756" s="113" t="s">
        <v>1355</v>
      </c>
      <c r="AH756" s="113" t="s">
        <v>29</v>
      </c>
      <c r="AI756" s="113" t="s">
        <v>28</v>
      </c>
      <c r="AJ756" s="113"/>
      <c r="AK756" s="113"/>
      <c r="AL756" s="113">
        <v>0</v>
      </c>
      <c r="AM756" s="113"/>
      <c r="AN756" s="113"/>
      <c r="AO756" s="113"/>
      <c r="AP756" s="113"/>
      <c r="AQ756" s="93" t="str">
        <f>":"&amp;"OFFSET(INDIRECT(""MasterSheet_f_FP_Projekter_"&amp;H756&amp;"_VS"",TRUE),0,35)"</f>
        <v>:OFFSET(INDIRECT("MasterSheet_f_FP_Projekter__VS",TRUE),0,35)</v>
      </c>
    </row>
    <row r="757" spans="1:79" ht="16.5" customHeight="1" x14ac:dyDescent="0.2">
      <c r="A757" s="108">
        <f>$A$755+2</f>
        <v>16</v>
      </c>
      <c r="B757" s="112" t="s">
        <v>356</v>
      </c>
      <c r="C757" s="112" t="s">
        <v>90</v>
      </c>
      <c r="D757" s="112"/>
      <c r="E757" s="112" t="s">
        <v>833</v>
      </c>
      <c r="F757" s="112" t="s">
        <v>833</v>
      </c>
      <c r="G757" s="112" t="s">
        <v>347</v>
      </c>
      <c r="H757" s="112"/>
      <c r="I757" s="112"/>
      <c r="J757" s="112"/>
      <c r="K757" s="112" t="b">
        <v>1</v>
      </c>
      <c r="L757" s="112"/>
      <c r="M757" s="112"/>
      <c r="N757" s="112"/>
      <c r="O757" s="112" t="str">
        <f>"$B$"&amp;A757</f>
        <v>$B$16</v>
      </c>
      <c r="P757" s="112" t="str">
        <f>"$AL$"&amp;A757+2</f>
        <v>$AL$18</v>
      </c>
      <c r="Q757" s="112"/>
      <c r="R757" s="112"/>
      <c r="S757" s="112"/>
      <c r="T757" s="112"/>
      <c r="U757" s="112"/>
      <c r="V757" s="112"/>
      <c r="W757" s="112"/>
      <c r="X757" s="112"/>
      <c r="Y757" s="112"/>
      <c r="Z757" s="112"/>
      <c r="AA757" s="112"/>
      <c r="AB757" s="112"/>
      <c r="AC757" s="112"/>
      <c r="AD757" s="112"/>
      <c r="AE757" s="112"/>
      <c r="AF757" s="112"/>
      <c r="AG757" s="112"/>
      <c r="AH757" s="112"/>
      <c r="AI757" s="112"/>
      <c r="AJ757" s="112"/>
      <c r="AK757" s="112"/>
      <c r="AL757" s="112"/>
      <c r="AM757" s="112"/>
      <c r="AN757" s="112"/>
      <c r="AO757" s="112"/>
      <c r="AP757" s="112"/>
    </row>
    <row r="758" spans="1:79" ht="16.5" customHeight="1" thickBot="1" x14ac:dyDescent="0.25">
      <c r="A758" s="108">
        <f>$A$757+0</f>
        <v>16</v>
      </c>
      <c r="B758" s="113" t="s">
        <v>357</v>
      </c>
      <c r="C758" s="113" t="s">
        <v>92</v>
      </c>
      <c r="D758" s="113"/>
      <c r="E758" s="113" t="s">
        <v>833</v>
      </c>
      <c r="F758" s="113" t="s">
        <v>833</v>
      </c>
      <c r="G758" s="113" t="s">
        <v>347</v>
      </c>
      <c r="H758" s="113"/>
      <c r="I758" s="113"/>
      <c r="J758" s="113"/>
      <c r="K758" s="113" t="b">
        <v>1</v>
      </c>
      <c r="L758" s="113"/>
      <c r="M758" s="113"/>
      <c r="N758" s="113"/>
      <c r="O758" s="113" t="str">
        <f>"$B$"&amp;A758</f>
        <v>$B$16</v>
      </c>
      <c r="P758" s="113" t="str">
        <f>"$AL$"&amp;A758</f>
        <v>$AL$16</v>
      </c>
      <c r="Q758" s="113"/>
      <c r="R758" s="113"/>
      <c r="S758" s="113"/>
      <c r="T758" s="113">
        <v>36</v>
      </c>
      <c r="U758" s="113"/>
      <c r="V758" s="113"/>
      <c r="W758" s="113"/>
      <c r="X758" s="113"/>
      <c r="Y758" s="113"/>
      <c r="Z758" s="113"/>
      <c r="AA758" s="113"/>
      <c r="AB758" s="113"/>
      <c r="AC758" s="113"/>
      <c r="AD758" s="113"/>
      <c r="AE758" s="113"/>
      <c r="AF758" s="113"/>
      <c r="AG758" s="113"/>
      <c r="AH758" s="113"/>
      <c r="AI758" s="113"/>
      <c r="AJ758" s="113"/>
      <c r="AK758" s="113"/>
      <c r="AL758" s="113"/>
      <c r="AM758" s="113"/>
      <c r="AN758" s="113"/>
      <c r="AO758" s="113"/>
      <c r="AP758" s="113" t="b">
        <v>1</v>
      </c>
      <c r="AQ758" s="59" t="s">
        <v>620</v>
      </c>
      <c r="AR758" s="87" t="s">
        <v>291</v>
      </c>
      <c r="AS758" s="60" t="s">
        <v>310</v>
      </c>
      <c r="AT758" s="89" t="s">
        <v>311</v>
      </c>
      <c r="AU758" s="89" t="s">
        <v>624</v>
      </c>
      <c r="AV758" s="89" t="s">
        <v>625</v>
      </c>
      <c r="AW758" s="89" t="s">
        <v>292</v>
      </c>
      <c r="AX758" s="60" t="s">
        <v>1241</v>
      </c>
      <c r="AY758" s="60" t="s">
        <v>1238</v>
      </c>
      <c r="AZ758" s="61" t="s">
        <v>293</v>
      </c>
      <c r="BA758" s="61" t="s">
        <v>621</v>
      </c>
      <c r="BB758" s="61" t="s">
        <v>294</v>
      </c>
      <c r="BC758" s="62" t="s">
        <v>295</v>
      </c>
      <c r="BD758" s="62" t="s">
        <v>296</v>
      </c>
      <c r="BE758" s="62" t="s">
        <v>297</v>
      </c>
      <c r="BF758" s="61" t="s">
        <v>622</v>
      </c>
      <c r="BG758" s="61" t="s">
        <v>623</v>
      </c>
      <c r="BH758" s="60" t="s">
        <v>305</v>
      </c>
      <c r="BI758" s="60" t="s">
        <v>306</v>
      </c>
      <c r="BJ758" s="64" t="s">
        <v>299</v>
      </c>
      <c r="BK758" s="65" t="s">
        <v>1312</v>
      </c>
      <c r="BL758" s="65" t="s">
        <v>1327</v>
      </c>
      <c r="BM758" s="65" t="s">
        <v>1408</v>
      </c>
      <c r="BN758" s="61" t="s">
        <v>300</v>
      </c>
      <c r="BO758" s="61" t="s">
        <v>301</v>
      </c>
      <c r="BP758" s="61" t="s">
        <v>302</v>
      </c>
      <c r="BQ758" s="66" t="s">
        <v>1336</v>
      </c>
      <c r="BR758" s="66" t="s">
        <v>1337</v>
      </c>
      <c r="BS758" s="61" t="s">
        <v>303</v>
      </c>
      <c r="BT758" s="61" t="s">
        <v>304</v>
      </c>
      <c r="BU758" s="60" t="s">
        <v>312</v>
      </c>
      <c r="BV758" s="61" t="s">
        <v>313</v>
      </c>
      <c r="BW758" s="61" t="s">
        <v>314</v>
      </c>
      <c r="BX758" s="61" t="s">
        <v>315</v>
      </c>
      <c r="BY758" s="63" t="s">
        <v>316</v>
      </c>
      <c r="BZ758" s="68" t="s">
        <v>1340</v>
      </c>
      <c r="CA758" s="68" t="s">
        <v>1440</v>
      </c>
    </row>
    <row r="759" spans="1:79" ht="16.5" customHeight="1" x14ac:dyDescent="0.2">
      <c r="A759" s="108">
        <f>$A$757+-16</f>
        <v>0</v>
      </c>
      <c r="B759" s="98" t="s">
        <v>1439</v>
      </c>
      <c r="C759" s="98"/>
      <c r="D759" s="98"/>
      <c r="E759" s="98"/>
      <c r="F759" s="98"/>
      <c r="G759" s="98"/>
      <c r="H759" s="98"/>
      <c r="I759" s="98"/>
      <c r="J759" s="98"/>
      <c r="K759" s="98"/>
      <c r="L759" s="98"/>
      <c r="M759" s="98"/>
      <c r="N759" s="98"/>
      <c r="O759" s="98"/>
      <c r="P759" s="98"/>
      <c r="Q759" s="98"/>
      <c r="R759" s="98"/>
      <c r="S759" s="98"/>
      <c r="T759" s="98"/>
      <c r="U759" s="98"/>
      <c r="V759" s="98"/>
      <c r="W759" s="98"/>
      <c r="X759" s="98"/>
      <c r="Y759" s="98"/>
      <c r="Z759" s="98"/>
      <c r="AA759" s="98"/>
      <c r="AB759" s="98"/>
      <c r="AC759" s="98"/>
      <c r="AD759" s="98"/>
      <c r="AE759" s="98"/>
      <c r="AF759" s="98"/>
      <c r="AG759" s="98"/>
      <c r="AH759" s="98"/>
      <c r="AI759" s="98"/>
      <c r="AJ759" s="98"/>
      <c r="AK759" s="98"/>
      <c r="AL759" s="98"/>
      <c r="AM759" s="98"/>
      <c r="AN759" s="98"/>
      <c r="AO759" s="98"/>
      <c r="AP759" s="98"/>
    </row>
    <row r="760" spans="1:79" ht="16.5" customHeight="1" x14ac:dyDescent="0.2">
      <c r="A760" s="108">
        <f>$A$757+1</f>
        <v>17</v>
      </c>
      <c r="B760" s="113" t="s">
        <v>358</v>
      </c>
      <c r="C760" s="113" t="s">
        <v>92</v>
      </c>
      <c r="D760" s="113"/>
      <c r="E760" s="113" t="s">
        <v>833</v>
      </c>
      <c r="F760" s="113" t="s">
        <v>833</v>
      </c>
      <c r="G760" s="113" t="s">
        <v>347</v>
      </c>
      <c r="H760" s="113"/>
      <c r="I760" s="113"/>
      <c r="J760" s="113"/>
      <c r="K760" s="113" t="b">
        <v>1</v>
      </c>
      <c r="L760" s="113"/>
      <c r="M760" s="113"/>
      <c r="N760" s="113"/>
      <c r="O760" s="113" t="str">
        <f>"$B$"&amp;A760</f>
        <v>$B$17</v>
      </c>
      <c r="P760" s="113" t="str">
        <f>"$AL$"&amp;A760</f>
        <v>$AL$17</v>
      </c>
      <c r="Q760" s="113"/>
      <c r="R760" s="113"/>
      <c r="S760" s="113"/>
      <c r="T760" s="113"/>
      <c r="U760" s="113"/>
      <c r="V760" s="113"/>
      <c r="W760" s="113"/>
      <c r="X760" s="113"/>
      <c r="Y760" s="113"/>
      <c r="Z760" s="113"/>
      <c r="AA760" s="113"/>
      <c r="AB760" s="113"/>
      <c r="AC760" s="113"/>
      <c r="AD760" s="113"/>
      <c r="AE760" s="113"/>
      <c r="AF760" s="113"/>
      <c r="AG760" s="113"/>
      <c r="AH760" s="113"/>
      <c r="AI760" s="113"/>
      <c r="AJ760" s="113"/>
      <c r="AK760" s="113"/>
      <c r="AL760" s="113"/>
      <c r="AM760" s="113"/>
      <c r="AN760" s="113"/>
      <c r="AO760" s="113"/>
      <c r="AP760" s="113" t="b">
        <v>1</v>
      </c>
      <c r="AQ760" s="44">
        <v>1</v>
      </c>
      <c r="AR760" s="48"/>
      <c r="AS760" s="49" t="s">
        <v>1216</v>
      </c>
      <c r="AT760" s="45"/>
      <c r="AU760" s="49"/>
      <c r="AV760" s="50"/>
      <c r="AW760" s="45">
        <v>2013</v>
      </c>
      <c r="AX760" s="88"/>
      <c r="AY760" s="45" t="s">
        <v>1222</v>
      </c>
      <c r="AZ760" s="54"/>
      <c r="BA760" s="55"/>
      <c r="BB760" s="54"/>
      <c r="BC760" s="53"/>
      <c r="BD760" s="53">
        <v>1</v>
      </c>
      <c r="BE760" s="53"/>
      <c r="BF760" s="46">
        <f>SUMPRODUCT(AZ760:BB760,BC760:BE760)</f>
        <v>0</v>
      </c>
      <c r="BG760" s="46">
        <f>BA760</f>
        <v>0</v>
      </c>
      <c r="BH760" s="58"/>
      <c r="BI760" s="58"/>
      <c r="BJ760" s="51">
        <v>1</v>
      </c>
      <c r="BK760" s="46">
        <f>AR757</f>
        <v>0</v>
      </c>
      <c r="BL760" s="46" t="str">
        <f>BK760&amp;AU760&amp;AV760&amp;AT760</f>
        <v>0</v>
      </c>
      <c r="BM760" s="46">
        <f>INDEX(MasterSheet_rng_PLOYearAdjs,MATCH(MasterSheet_Repeater_PloYRep&amp;"-"&amp;AW760,MasterSheet_rng_PLOYearAdjsConcat,0))</f>
        <v>1</v>
      </c>
      <c r="BN760" s="46">
        <f>BJ760*BA760*BM760</f>
        <v>0</v>
      </c>
      <c r="BO760" s="46">
        <f>BJ760*BF760*BM760</f>
        <v>0</v>
      </c>
      <c r="BP760" s="46">
        <f>BJ760*BG760*BM760</f>
        <v>0</v>
      </c>
      <c r="BQ760" s="56">
        <f>BJ760*AZ760*BM760</f>
        <v>0</v>
      </c>
      <c r="BR760" s="57">
        <f>BJ760*BB760*BM760</f>
        <v>0</v>
      </c>
      <c r="BS760" s="46">
        <f>BO760-BN760</f>
        <v>0</v>
      </c>
      <c r="BT760" s="46">
        <f>BP760-BN760</f>
        <v>0</v>
      </c>
      <c r="BU760" s="52">
        <f>COUNTA(BH760:BI760)</f>
        <v>0</v>
      </c>
      <c r="BV760" s="46">
        <f>IF(OR(BU760=0,BU760=1),BS760,BS760*MasterSheet_f_RiskPrimaryPercentage)</f>
        <v>0</v>
      </c>
      <c r="BW760" s="46">
        <f>IF(OR(BU760=0,BU760=1),0,BS760*(1-MasterSheet_f_RiskPrimaryPercentage))</f>
        <v>0</v>
      </c>
      <c r="BX760" s="46">
        <f>IF(OR(BU760=0,BU760=1),BT760,BT760*MasterSheet_f_RiskPrimaryPercentage)</f>
        <v>0</v>
      </c>
      <c r="BY760" s="47">
        <f>IF(OR(BU760=0,BU760=1),0,BT760*(1-MasterSheet_f_RiskPrimaryPercentage))</f>
        <v>0</v>
      </c>
      <c r="BZ760" s="47">
        <f>IF(OR(BU760=0,BU760=1),(BB760-BA760),(BB760-BA760)*MasterSheet_f_RiskPrimaryPercentage)</f>
        <v>0</v>
      </c>
      <c r="CA760" s="57">
        <f>IF(OR(BU760=0,BU760=1),(BB760-BA760),(BB760-BA760)*(1-MasterSheet_f_RiskPrimaryPercentage))</f>
        <v>0</v>
      </c>
    </row>
    <row r="761" spans="1:79" ht="16.5" customHeight="1" x14ac:dyDescent="0.2">
      <c r="A761" s="113">
        <f>$A$757+-2</f>
        <v>14</v>
      </c>
      <c r="B761" s="113" t="s">
        <v>1202</v>
      </c>
      <c r="C761" s="113" t="s">
        <v>92</v>
      </c>
      <c r="D761" s="113"/>
      <c r="E761" s="113" t="s">
        <v>833</v>
      </c>
      <c r="F761" s="113" t="s">
        <v>833</v>
      </c>
      <c r="G761" s="113" t="s">
        <v>347</v>
      </c>
      <c r="H761" s="113">
        <v>1</v>
      </c>
      <c r="I761" s="113"/>
      <c r="J761" s="113" t="b">
        <f t="shared" ref="J761:J771" si="81">$E$6</f>
        <v>1</v>
      </c>
      <c r="K761" s="113" t="b">
        <v>1</v>
      </c>
      <c r="L761" s="113"/>
      <c r="M761" s="113"/>
      <c r="N761" s="113" t="s">
        <v>59</v>
      </c>
      <c r="O761" s="113" t="str">
        <f>"$C$"&amp;A761</f>
        <v>$C$14</v>
      </c>
      <c r="P761" s="113" t="str">
        <f>"$AL$"&amp;A761</f>
        <v>$AL$14</v>
      </c>
      <c r="Q761" s="113">
        <v>20</v>
      </c>
      <c r="R761" s="113"/>
      <c r="S761" s="113"/>
      <c r="T761" s="113">
        <v>27</v>
      </c>
      <c r="U761" s="113" t="b">
        <v>1</v>
      </c>
      <c r="V761" s="113" t="s">
        <v>1351</v>
      </c>
      <c r="W761" s="113" t="s">
        <v>1351</v>
      </c>
      <c r="X761" s="113"/>
      <c r="Y761" s="113"/>
      <c r="Z761" s="113"/>
      <c r="AA761" s="113"/>
      <c r="AB761" s="113"/>
      <c r="AC761" s="113">
        <v>7</v>
      </c>
      <c r="AD761" s="113" t="s">
        <v>105</v>
      </c>
      <c r="AE761" s="113">
        <v>14</v>
      </c>
      <c r="AF761" s="113" t="b">
        <v>1</v>
      </c>
      <c r="AG761" s="113" t="s">
        <v>1355</v>
      </c>
      <c r="AH761" s="113" t="s">
        <v>29</v>
      </c>
      <c r="AI761" s="113" t="s">
        <v>28</v>
      </c>
      <c r="AJ761" s="113"/>
      <c r="AK761" s="113"/>
      <c r="AL761" s="113">
        <v>0</v>
      </c>
      <c r="AM761" s="113"/>
      <c r="AN761" s="113"/>
      <c r="AO761" s="113"/>
      <c r="AP761" s="113"/>
      <c r="AQ761" s="93" t="str">
        <f>":"&amp;"OFFSET(INDIRECT(""MasterSheet_f_FP_Projekter_"&amp;H761&amp;"_VS"",TRUE),0,35)"</f>
        <v>:OFFSET(INDIRECT("MasterSheet_f_FP_Projekter_1_VS",TRUE),0,35)</v>
      </c>
    </row>
    <row r="762" spans="1:79" ht="16.5" customHeight="1" x14ac:dyDescent="0.2">
      <c r="A762" s="112">
        <f>$A$757+0</f>
        <v>16</v>
      </c>
      <c r="B762" s="112" t="s">
        <v>1203</v>
      </c>
      <c r="C762" s="112" t="s">
        <v>90</v>
      </c>
      <c r="D762" s="112"/>
      <c r="E762" s="112" t="s">
        <v>833</v>
      </c>
      <c r="F762" s="112" t="s">
        <v>833</v>
      </c>
      <c r="G762" s="112" t="s">
        <v>347</v>
      </c>
      <c r="H762" s="112">
        <v>1</v>
      </c>
      <c r="I762" s="112"/>
      <c r="J762" s="112" t="b">
        <f t="shared" si="81"/>
        <v>1</v>
      </c>
      <c r="K762" s="112" t="b">
        <v>1</v>
      </c>
      <c r="L762" s="112"/>
      <c r="M762" s="112"/>
      <c r="N762" s="112"/>
      <c r="O762" s="112" t="str">
        <f>"$B$"&amp;A762</f>
        <v>$B$16</v>
      </c>
      <c r="P762" s="112" t="str">
        <f>"$AL$"&amp;A762+2</f>
        <v>$AL$18</v>
      </c>
      <c r="Q762" s="112"/>
      <c r="R762" s="112"/>
      <c r="S762" s="112"/>
      <c r="T762" s="112"/>
      <c r="U762" s="112"/>
      <c r="V762" s="112"/>
      <c r="W762" s="112"/>
      <c r="X762" s="112"/>
      <c r="Y762" s="112"/>
      <c r="Z762" s="112"/>
      <c r="AA762" s="112"/>
      <c r="AB762" s="112"/>
      <c r="AC762" s="112"/>
      <c r="AD762" s="112"/>
      <c r="AE762" s="112"/>
      <c r="AF762" s="112"/>
      <c r="AG762" s="112"/>
      <c r="AH762" s="112"/>
      <c r="AI762" s="112"/>
      <c r="AJ762" s="112"/>
      <c r="AK762" s="112"/>
      <c r="AL762" s="112"/>
      <c r="AM762" s="112"/>
      <c r="AN762" s="112"/>
      <c r="AO762" s="112"/>
      <c r="AP762" s="112"/>
    </row>
    <row r="763" spans="1:79" ht="16.5" customHeight="1" thickBot="1" x14ac:dyDescent="0.25">
      <c r="A763" s="113">
        <f>$A$762+0</f>
        <v>16</v>
      </c>
      <c r="B763" s="113" t="s">
        <v>1204</v>
      </c>
      <c r="C763" s="113" t="s">
        <v>92</v>
      </c>
      <c r="D763" s="113"/>
      <c r="E763" s="113" t="s">
        <v>833</v>
      </c>
      <c r="F763" s="113" t="s">
        <v>833</v>
      </c>
      <c r="G763" s="113" t="s">
        <v>347</v>
      </c>
      <c r="H763" s="113">
        <v>1</v>
      </c>
      <c r="I763" s="113"/>
      <c r="J763" s="113" t="b">
        <f t="shared" si="81"/>
        <v>1</v>
      </c>
      <c r="K763" s="113" t="b">
        <v>1</v>
      </c>
      <c r="L763" s="113"/>
      <c r="M763" s="113"/>
      <c r="N763" s="113"/>
      <c r="O763" s="113" t="str">
        <f>"$B$"&amp;A763</f>
        <v>$B$16</v>
      </c>
      <c r="P763" s="113" t="str">
        <f>"$AL$"&amp;A763</f>
        <v>$AL$16</v>
      </c>
      <c r="Q763" s="113"/>
      <c r="R763" s="113"/>
      <c r="S763" s="113"/>
      <c r="T763" s="113">
        <v>36</v>
      </c>
      <c r="U763" s="113"/>
      <c r="V763" s="113"/>
      <c r="W763" s="113"/>
      <c r="X763" s="113"/>
      <c r="Y763" s="113"/>
      <c r="Z763" s="113"/>
      <c r="AA763" s="113"/>
      <c r="AB763" s="113"/>
      <c r="AC763" s="113"/>
      <c r="AD763" s="113"/>
      <c r="AE763" s="113"/>
      <c r="AF763" s="113"/>
      <c r="AG763" s="113"/>
      <c r="AH763" s="113"/>
      <c r="AI763" s="113"/>
      <c r="AJ763" s="113"/>
      <c r="AK763" s="113"/>
      <c r="AL763" s="113"/>
      <c r="AM763" s="113"/>
      <c r="AN763" s="113"/>
      <c r="AO763" s="113"/>
      <c r="AP763" s="113" t="b">
        <v>1</v>
      </c>
      <c r="AQ763" s="59" t="s">
        <v>620</v>
      </c>
      <c r="AR763" s="87" t="s">
        <v>291</v>
      </c>
      <c r="AS763" s="60" t="s">
        <v>310</v>
      </c>
      <c r="AT763" s="89" t="s">
        <v>311</v>
      </c>
      <c r="AU763" s="89" t="s">
        <v>624</v>
      </c>
      <c r="AV763" s="89" t="s">
        <v>625</v>
      </c>
      <c r="AW763" s="89" t="s">
        <v>292</v>
      </c>
      <c r="AX763" s="60" t="s">
        <v>1241</v>
      </c>
      <c r="AY763" s="60" t="s">
        <v>1238</v>
      </c>
      <c r="AZ763" s="61" t="s">
        <v>293</v>
      </c>
      <c r="BA763" s="61" t="s">
        <v>621</v>
      </c>
      <c r="BB763" s="61" t="s">
        <v>294</v>
      </c>
      <c r="BC763" s="62" t="s">
        <v>295</v>
      </c>
      <c r="BD763" s="62" t="s">
        <v>296</v>
      </c>
      <c r="BE763" s="62" t="s">
        <v>297</v>
      </c>
      <c r="BF763" s="61" t="s">
        <v>622</v>
      </c>
      <c r="BG763" s="61" t="s">
        <v>623</v>
      </c>
      <c r="BH763" s="60" t="s">
        <v>305</v>
      </c>
      <c r="BI763" s="60" t="s">
        <v>306</v>
      </c>
      <c r="BJ763" s="64" t="s">
        <v>299</v>
      </c>
      <c r="BK763" s="65" t="s">
        <v>1312</v>
      </c>
      <c r="BL763" s="65" t="s">
        <v>1327</v>
      </c>
      <c r="BM763" s="65" t="s">
        <v>1408</v>
      </c>
      <c r="BN763" s="61" t="s">
        <v>300</v>
      </c>
      <c r="BO763" s="61" t="s">
        <v>301</v>
      </c>
      <c r="BP763" s="61" t="s">
        <v>302</v>
      </c>
      <c r="BQ763" s="66" t="s">
        <v>1336</v>
      </c>
      <c r="BR763" s="66" t="s">
        <v>1337</v>
      </c>
      <c r="BS763" s="61" t="s">
        <v>303</v>
      </c>
      <c r="BT763" s="61" t="s">
        <v>304</v>
      </c>
      <c r="BU763" s="60" t="s">
        <v>312</v>
      </c>
      <c r="BV763" s="61" t="s">
        <v>313</v>
      </c>
      <c r="BW763" s="61" t="s">
        <v>314</v>
      </c>
      <c r="BX763" s="61" t="s">
        <v>315</v>
      </c>
      <c r="BY763" s="63" t="s">
        <v>316</v>
      </c>
      <c r="BZ763" s="68" t="s">
        <v>1340</v>
      </c>
      <c r="CA763" s="68" t="s">
        <v>1440</v>
      </c>
    </row>
    <row r="764" spans="1:79" ht="16.5" customHeight="1" x14ac:dyDescent="0.2">
      <c r="A764" s="98">
        <f>$A$762+-16</f>
        <v>0</v>
      </c>
      <c r="B764" s="98" t="s">
        <v>1439</v>
      </c>
      <c r="C764" s="98"/>
      <c r="D764" s="98"/>
      <c r="E764" s="98"/>
      <c r="F764" s="98"/>
      <c r="G764" s="98"/>
      <c r="H764" s="98">
        <v>1</v>
      </c>
      <c r="I764" s="98"/>
      <c r="J764" s="98" t="b">
        <f t="shared" si="81"/>
        <v>1</v>
      </c>
      <c r="K764" s="98" t="b">
        <v>1</v>
      </c>
      <c r="L764" s="98"/>
      <c r="M764" s="98"/>
      <c r="N764" s="98"/>
      <c r="O764" s="98"/>
      <c r="P764" s="98"/>
      <c r="Q764" s="98"/>
      <c r="R764" s="98"/>
      <c r="S764" s="98"/>
      <c r="T764" s="98"/>
      <c r="U764" s="98"/>
      <c r="V764" s="98"/>
      <c r="W764" s="98"/>
      <c r="X764" s="98"/>
      <c r="Y764" s="98"/>
      <c r="Z764" s="98"/>
      <c r="AA764" s="98"/>
      <c r="AB764" s="98"/>
      <c r="AC764" s="98"/>
      <c r="AD764" s="98"/>
      <c r="AE764" s="98"/>
      <c r="AF764" s="98"/>
      <c r="AG764" s="98"/>
      <c r="AH764" s="98"/>
      <c r="AI764" s="98"/>
      <c r="AJ764" s="98"/>
      <c r="AK764" s="98"/>
      <c r="AL764" s="98"/>
      <c r="AM764" s="98"/>
      <c r="AN764" s="98"/>
      <c r="AO764" s="98"/>
      <c r="AP764" s="98"/>
    </row>
    <row r="765" spans="1:79" ht="16.5" customHeight="1" x14ac:dyDescent="0.2">
      <c r="A765" s="113">
        <f>$A$762+1</f>
        <v>17</v>
      </c>
      <c r="B765" s="113" t="s">
        <v>1205</v>
      </c>
      <c r="C765" s="113" t="s">
        <v>92</v>
      </c>
      <c r="D765" s="113"/>
      <c r="E765" s="113" t="s">
        <v>833</v>
      </c>
      <c r="F765" s="113" t="s">
        <v>833</v>
      </c>
      <c r="G765" s="113" t="s">
        <v>347</v>
      </c>
      <c r="H765" s="113">
        <v>1</v>
      </c>
      <c r="I765" s="113"/>
      <c r="J765" s="113" t="b">
        <f t="shared" si="81"/>
        <v>1</v>
      </c>
      <c r="K765" s="113" t="b">
        <v>1</v>
      </c>
      <c r="L765" s="113"/>
      <c r="M765" s="113"/>
      <c r="N765" s="113"/>
      <c r="O765" s="113" t="str">
        <f>"$B$"&amp;A765</f>
        <v>$B$17</v>
      </c>
      <c r="P765" s="113" t="str">
        <f>"$AL$"&amp;A765</f>
        <v>$AL$17</v>
      </c>
      <c r="Q765" s="113"/>
      <c r="R765" s="113"/>
      <c r="S765" s="113"/>
      <c r="T765" s="113"/>
      <c r="U765" s="113"/>
      <c r="V765" s="113"/>
      <c r="W765" s="113"/>
      <c r="X765" s="113"/>
      <c r="Y765" s="113"/>
      <c r="Z765" s="113"/>
      <c r="AA765" s="113"/>
      <c r="AB765" s="113"/>
      <c r="AC765" s="113"/>
      <c r="AD765" s="113"/>
      <c r="AE765" s="113"/>
      <c r="AF765" s="113"/>
      <c r="AG765" s="113"/>
      <c r="AH765" s="113"/>
      <c r="AI765" s="113"/>
      <c r="AJ765" s="113"/>
      <c r="AK765" s="113"/>
      <c r="AL765" s="113"/>
      <c r="AM765" s="113"/>
      <c r="AN765" s="113"/>
      <c r="AO765" s="113"/>
      <c r="AP765" s="113" t="b">
        <v>1</v>
      </c>
      <c r="AQ765" s="44">
        <v>1</v>
      </c>
      <c r="AR765" s="48"/>
      <c r="AS765" s="49" t="s">
        <v>1216</v>
      </c>
      <c r="AT765" s="45"/>
      <c r="AU765" s="49"/>
      <c r="AV765" s="50"/>
      <c r="AW765" s="45">
        <v>2013</v>
      </c>
      <c r="AX765" s="88"/>
      <c r="AY765" s="45" t="s">
        <v>1222</v>
      </c>
      <c r="AZ765" s="54"/>
      <c r="BA765" s="55"/>
      <c r="BB765" s="54"/>
      <c r="BC765" s="53"/>
      <c r="BD765" s="53">
        <v>1</v>
      </c>
      <c r="BE765" s="53"/>
      <c r="BF765" s="46">
        <f>SUMPRODUCT(AZ765:BB765,BC765:BE765)</f>
        <v>0</v>
      </c>
      <c r="BG765" s="46">
        <f>BA765</f>
        <v>0</v>
      </c>
      <c r="BH765" s="58"/>
      <c r="BI765" s="58"/>
      <c r="BJ765" s="51">
        <v>1</v>
      </c>
      <c r="BK765" s="46">
        <f>AR762</f>
        <v>0</v>
      </c>
      <c r="BL765" s="46" t="str">
        <f>BK765&amp;AU765&amp;AV765&amp;AT765</f>
        <v>0</v>
      </c>
      <c r="BM765" s="46">
        <f>INDEX(MasterSheet_rng_PLOYearAdjs,MATCH(MasterSheet_Repeater_PloYRep&amp;"-"&amp;AW765,MasterSheet_rng_PLOYearAdjsConcat,0))</f>
        <v>1</v>
      </c>
      <c r="BN765" s="46">
        <f>BJ765*BA765*BM765</f>
        <v>0</v>
      </c>
      <c r="BO765" s="46">
        <f>BJ765*BF765*BM765</f>
        <v>0</v>
      </c>
      <c r="BP765" s="46">
        <f>BJ765*BG765*BM765</f>
        <v>0</v>
      </c>
      <c r="BQ765" s="56">
        <f>BJ765*AZ765*BM765</f>
        <v>0</v>
      </c>
      <c r="BR765" s="57">
        <f>BJ765*BB765*BM765</f>
        <v>0</v>
      </c>
      <c r="BS765" s="46">
        <f>BO765-BN765</f>
        <v>0</v>
      </c>
      <c r="BT765" s="46">
        <f>BP765-BN765</f>
        <v>0</v>
      </c>
      <c r="BU765" s="52">
        <f>COUNTA(BH765:BI765)</f>
        <v>0</v>
      </c>
      <c r="BV765" s="46">
        <f>IF(OR(BU765=0,BU765=1),BS765,BS765*MasterSheet_f_RiskPrimaryPercentage)</f>
        <v>0</v>
      </c>
      <c r="BW765" s="46">
        <f>IF(OR(BU765=0,BU765=1),0,BS765*(1-MasterSheet_f_RiskPrimaryPercentage))</f>
        <v>0</v>
      </c>
      <c r="BX765" s="46">
        <f>IF(OR(BU765=0,BU765=1),BT765,BT765*MasterSheet_f_RiskPrimaryPercentage)</f>
        <v>0</v>
      </c>
      <c r="BY765" s="47">
        <f>IF(OR(BU765=0,BU765=1),0,BT765*(1-MasterSheet_f_RiskPrimaryPercentage))</f>
        <v>0</v>
      </c>
      <c r="BZ765" s="47">
        <f>IF(OR(BU765=0,BU765=1),(BB765-BA765),(BB765-BA765)*MasterSheet_f_RiskPrimaryPercentage)</f>
        <v>0</v>
      </c>
      <c r="CA765" s="57">
        <f>IF(OR(BU765=0,BU765=1),(BB765-BA765),(BB765-BA765)*(1-MasterSheet_f_RiskPrimaryPercentage))</f>
        <v>0</v>
      </c>
    </row>
    <row r="766" spans="1:79" ht="16.5" customHeight="1" x14ac:dyDescent="0.2">
      <c r="A766" s="113">
        <f>$A$762+4</f>
        <v>20</v>
      </c>
      <c r="B766" s="113" t="s">
        <v>1260</v>
      </c>
      <c r="C766" s="113" t="s">
        <v>92</v>
      </c>
      <c r="D766" s="113"/>
      <c r="E766" s="113" t="s">
        <v>833</v>
      </c>
      <c r="F766" s="113" t="s">
        <v>833</v>
      </c>
      <c r="G766" s="113" t="s">
        <v>347</v>
      </c>
      <c r="H766" s="113">
        <v>2</v>
      </c>
      <c r="I766" s="113"/>
      <c r="J766" s="113" t="b">
        <f t="shared" si="81"/>
        <v>1</v>
      </c>
      <c r="K766" s="113" t="b">
        <v>1</v>
      </c>
      <c r="L766" s="113"/>
      <c r="M766" s="113"/>
      <c r="N766" s="113" t="s">
        <v>59</v>
      </c>
      <c r="O766" s="113" t="str">
        <f>"$C$"&amp;A766</f>
        <v>$C$20</v>
      </c>
      <c r="P766" s="113" t="str">
        <f>"$AL$"&amp;A766</f>
        <v>$AL$20</v>
      </c>
      <c r="Q766" s="113">
        <v>20</v>
      </c>
      <c r="R766" s="113"/>
      <c r="S766" s="113"/>
      <c r="T766" s="113">
        <v>27</v>
      </c>
      <c r="U766" s="113" t="b">
        <v>1</v>
      </c>
      <c r="V766" s="113" t="s">
        <v>1351</v>
      </c>
      <c r="W766" s="113" t="s">
        <v>1351</v>
      </c>
      <c r="X766" s="113"/>
      <c r="Y766" s="113"/>
      <c r="Z766" s="113"/>
      <c r="AA766" s="113"/>
      <c r="AB766" s="113"/>
      <c r="AC766" s="113">
        <v>7</v>
      </c>
      <c r="AD766" s="113" t="s">
        <v>105</v>
      </c>
      <c r="AE766" s="113">
        <v>14</v>
      </c>
      <c r="AF766" s="113" t="b">
        <v>1</v>
      </c>
      <c r="AG766" s="113" t="s">
        <v>1355</v>
      </c>
      <c r="AH766" s="113" t="s">
        <v>29</v>
      </c>
      <c r="AI766" s="113" t="s">
        <v>28</v>
      </c>
      <c r="AJ766" s="113"/>
      <c r="AK766" s="113"/>
      <c r="AL766" s="113">
        <v>0</v>
      </c>
      <c r="AM766" s="113"/>
      <c r="AN766" s="113"/>
      <c r="AO766" s="113"/>
      <c r="AP766" s="113"/>
      <c r="AQ766" s="93" t="str">
        <f>":"&amp;"OFFSET(INDIRECT(""MasterSheet_f_FP_Projekter_"&amp;H766&amp;"_VS"",TRUE),0,35)"</f>
        <v>:OFFSET(INDIRECT("MasterSheet_f_FP_Projekter_2_VS",TRUE),0,35)</v>
      </c>
    </row>
    <row r="767" spans="1:79" ht="16.5" customHeight="1" x14ac:dyDescent="0.2">
      <c r="A767" s="112">
        <f>$A$762+6</f>
        <v>22</v>
      </c>
      <c r="B767" s="112" t="s">
        <v>1261</v>
      </c>
      <c r="C767" s="112" t="s">
        <v>90</v>
      </c>
      <c r="D767" s="112"/>
      <c r="E767" s="112" t="s">
        <v>833</v>
      </c>
      <c r="F767" s="112" t="s">
        <v>833</v>
      </c>
      <c r="G767" s="112" t="s">
        <v>347</v>
      </c>
      <c r="H767" s="112">
        <v>2</v>
      </c>
      <c r="I767" s="112"/>
      <c r="J767" s="112" t="b">
        <f t="shared" si="81"/>
        <v>1</v>
      </c>
      <c r="K767" s="112" t="b">
        <v>1</v>
      </c>
      <c r="L767" s="112"/>
      <c r="M767" s="112"/>
      <c r="N767" s="112"/>
      <c r="O767" s="112" t="str">
        <f>"$B$"&amp;A767</f>
        <v>$B$22</v>
      </c>
      <c r="P767" s="112" t="str">
        <f>"$AL$"&amp;A767+2</f>
        <v>$AL$24</v>
      </c>
      <c r="Q767" s="112"/>
      <c r="R767" s="112"/>
      <c r="S767" s="112"/>
      <c r="T767" s="112"/>
      <c r="U767" s="112"/>
      <c r="V767" s="112"/>
      <c r="W767" s="112"/>
      <c r="X767" s="112"/>
      <c r="Y767" s="112"/>
      <c r="Z767" s="112"/>
      <c r="AA767" s="112"/>
      <c r="AB767" s="112"/>
      <c r="AC767" s="112"/>
      <c r="AD767" s="112"/>
      <c r="AE767" s="112"/>
      <c r="AF767" s="112"/>
      <c r="AG767" s="112"/>
      <c r="AH767" s="112"/>
      <c r="AI767" s="112"/>
      <c r="AJ767" s="112"/>
      <c r="AK767" s="112"/>
      <c r="AL767" s="112"/>
      <c r="AM767" s="112"/>
      <c r="AN767" s="112"/>
      <c r="AO767" s="112"/>
      <c r="AP767" s="112"/>
    </row>
    <row r="768" spans="1:79" ht="16.5" customHeight="1" thickBot="1" x14ac:dyDescent="0.25">
      <c r="A768" s="113">
        <f>$A$767+0</f>
        <v>22</v>
      </c>
      <c r="B768" s="113" t="s">
        <v>1262</v>
      </c>
      <c r="C768" s="113" t="s">
        <v>92</v>
      </c>
      <c r="D768" s="113"/>
      <c r="E768" s="113" t="s">
        <v>833</v>
      </c>
      <c r="F768" s="113" t="s">
        <v>833</v>
      </c>
      <c r="G768" s="113" t="s">
        <v>347</v>
      </c>
      <c r="H768" s="113">
        <v>2</v>
      </c>
      <c r="I768" s="113"/>
      <c r="J768" s="113" t="b">
        <f t="shared" si="81"/>
        <v>1</v>
      </c>
      <c r="K768" s="113" t="b">
        <v>1</v>
      </c>
      <c r="L768" s="113"/>
      <c r="M768" s="113"/>
      <c r="N768" s="113"/>
      <c r="O768" s="113" t="str">
        <f>"$B$"&amp;A768</f>
        <v>$B$22</v>
      </c>
      <c r="P768" s="113" t="str">
        <f>"$AL$"&amp;A768</f>
        <v>$AL$22</v>
      </c>
      <c r="Q768" s="113"/>
      <c r="R768" s="113"/>
      <c r="S768" s="113"/>
      <c r="T768" s="113">
        <v>36</v>
      </c>
      <c r="U768" s="113"/>
      <c r="V768" s="113"/>
      <c r="W768" s="113"/>
      <c r="X768" s="113"/>
      <c r="Y768" s="113"/>
      <c r="Z768" s="113"/>
      <c r="AA768" s="113"/>
      <c r="AB768" s="113"/>
      <c r="AC768" s="113"/>
      <c r="AD768" s="113"/>
      <c r="AE768" s="113"/>
      <c r="AF768" s="113"/>
      <c r="AG768" s="113"/>
      <c r="AH768" s="113"/>
      <c r="AI768" s="113"/>
      <c r="AJ768" s="113"/>
      <c r="AK768" s="113"/>
      <c r="AL768" s="113"/>
      <c r="AM768" s="113"/>
      <c r="AN768" s="113"/>
      <c r="AO768" s="113"/>
      <c r="AP768" s="113" t="b">
        <v>1</v>
      </c>
      <c r="AQ768" s="59" t="s">
        <v>620</v>
      </c>
      <c r="AR768" s="87" t="s">
        <v>291</v>
      </c>
      <c r="AS768" s="60" t="s">
        <v>310</v>
      </c>
      <c r="AT768" s="89" t="s">
        <v>311</v>
      </c>
      <c r="AU768" s="89" t="s">
        <v>624</v>
      </c>
      <c r="AV768" s="89" t="s">
        <v>625</v>
      </c>
      <c r="AW768" s="89" t="s">
        <v>292</v>
      </c>
      <c r="AX768" s="60" t="s">
        <v>1241</v>
      </c>
      <c r="AY768" s="60" t="s">
        <v>1238</v>
      </c>
      <c r="AZ768" s="61" t="s">
        <v>293</v>
      </c>
      <c r="BA768" s="61" t="s">
        <v>621</v>
      </c>
      <c r="BB768" s="61" t="s">
        <v>294</v>
      </c>
      <c r="BC768" s="62" t="s">
        <v>295</v>
      </c>
      <c r="BD768" s="62" t="s">
        <v>296</v>
      </c>
      <c r="BE768" s="62" t="s">
        <v>297</v>
      </c>
      <c r="BF768" s="61" t="s">
        <v>622</v>
      </c>
      <c r="BG768" s="61" t="s">
        <v>623</v>
      </c>
      <c r="BH768" s="60" t="s">
        <v>305</v>
      </c>
      <c r="BI768" s="60" t="s">
        <v>306</v>
      </c>
      <c r="BJ768" s="64" t="s">
        <v>299</v>
      </c>
      <c r="BK768" s="65" t="s">
        <v>1312</v>
      </c>
      <c r="BL768" s="65" t="s">
        <v>1327</v>
      </c>
      <c r="BM768" s="65" t="s">
        <v>1408</v>
      </c>
      <c r="BN768" s="61" t="s">
        <v>300</v>
      </c>
      <c r="BO768" s="61" t="s">
        <v>301</v>
      </c>
      <c r="BP768" s="61" t="s">
        <v>302</v>
      </c>
      <c r="BQ768" s="66" t="s">
        <v>1336</v>
      </c>
      <c r="BR768" s="66" t="s">
        <v>1337</v>
      </c>
      <c r="BS768" s="61" t="s">
        <v>303</v>
      </c>
      <c r="BT768" s="61" t="s">
        <v>304</v>
      </c>
      <c r="BU768" s="60" t="s">
        <v>312</v>
      </c>
      <c r="BV768" s="61" t="s">
        <v>313</v>
      </c>
      <c r="BW768" s="61" t="s">
        <v>314</v>
      </c>
      <c r="BX768" s="61" t="s">
        <v>315</v>
      </c>
      <c r="BY768" s="63" t="s">
        <v>316</v>
      </c>
      <c r="BZ768" s="68" t="s">
        <v>1340</v>
      </c>
      <c r="CA768" s="68" t="s">
        <v>1440</v>
      </c>
    </row>
    <row r="769" spans="1:79" ht="16.5" customHeight="1" x14ac:dyDescent="0.2">
      <c r="A769" s="98">
        <f>$A$767+-22</f>
        <v>0</v>
      </c>
      <c r="B769" s="98" t="s">
        <v>1439</v>
      </c>
      <c r="C769" s="98"/>
      <c r="D769" s="98"/>
      <c r="E769" s="98"/>
      <c r="F769" s="98"/>
      <c r="G769" s="98"/>
      <c r="H769" s="98">
        <v>2</v>
      </c>
      <c r="I769" s="98"/>
      <c r="J769" s="98" t="b">
        <f t="shared" si="81"/>
        <v>1</v>
      </c>
      <c r="K769" s="98" t="b">
        <v>1</v>
      </c>
      <c r="L769" s="98"/>
      <c r="M769" s="98"/>
      <c r="N769" s="98"/>
      <c r="O769" s="98"/>
      <c r="P769" s="98"/>
      <c r="Q769" s="98"/>
      <c r="R769" s="98"/>
      <c r="S769" s="98"/>
      <c r="T769" s="98"/>
      <c r="U769" s="98"/>
      <c r="V769" s="98"/>
      <c r="W769" s="98"/>
      <c r="X769" s="98"/>
      <c r="Y769" s="98"/>
      <c r="Z769" s="98"/>
      <c r="AA769" s="98"/>
      <c r="AB769" s="98"/>
      <c r="AC769" s="98"/>
      <c r="AD769" s="98"/>
      <c r="AE769" s="98"/>
      <c r="AF769" s="98"/>
      <c r="AG769" s="98"/>
      <c r="AH769" s="98"/>
      <c r="AI769" s="98"/>
      <c r="AJ769" s="98"/>
      <c r="AK769" s="98"/>
      <c r="AL769" s="98"/>
      <c r="AM769" s="98"/>
      <c r="AN769" s="98"/>
      <c r="AO769" s="98"/>
      <c r="AP769" s="98"/>
    </row>
    <row r="770" spans="1:79" ht="16.5" customHeight="1" x14ac:dyDescent="0.2">
      <c r="A770" s="113">
        <f>$A$767+1</f>
        <v>23</v>
      </c>
      <c r="B770" s="113" t="s">
        <v>1263</v>
      </c>
      <c r="C770" s="113" t="s">
        <v>92</v>
      </c>
      <c r="D770" s="113"/>
      <c r="E770" s="113" t="s">
        <v>833</v>
      </c>
      <c r="F770" s="113" t="s">
        <v>833</v>
      </c>
      <c r="G770" s="113" t="s">
        <v>347</v>
      </c>
      <c r="H770" s="113">
        <v>2</v>
      </c>
      <c r="I770" s="113"/>
      <c r="J770" s="113" t="b">
        <f t="shared" si="81"/>
        <v>1</v>
      </c>
      <c r="K770" s="113" t="b">
        <v>1</v>
      </c>
      <c r="L770" s="113"/>
      <c r="M770" s="113"/>
      <c r="N770" s="113"/>
      <c r="O770" s="113" t="str">
        <f>"$B$"&amp;A770</f>
        <v>$B$23</v>
      </c>
      <c r="P770" s="113" t="str">
        <f>"$AL$"&amp;A770</f>
        <v>$AL$23</v>
      </c>
      <c r="Q770" s="113"/>
      <c r="R770" s="113"/>
      <c r="S770" s="113"/>
      <c r="T770" s="113"/>
      <c r="U770" s="113"/>
      <c r="V770" s="113"/>
      <c r="W770" s="113"/>
      <c r="X770" s="113"/>
      <c r="Y770" s="113"/>
      <c r="Z770" s="113"/>
      <c r="AA770" s="113"/>
      <c r="AB770" s="113"/>
      <c r="AC770" s="113"/>
      <c r="AD770" s="113"/>
      <c r="AE770" s="113"/>
      <c r="AF770" s="113"/>
      <c r="AG770" s="113"/>
      <c r="AH770" s="113"/>
      <c r="AI770" s="113"/>
      <c r="AJ770" s="113"/>
      <c r="AK770" s="113"/>
      <c r="AL770" s="113"/>
      <c r="AM770" s="113"/>
      <c r="AN770" s="113"/>
      <c r="AO770" s="113"/>
      <c r="AP770" s="113" t="b">
        <v>1</v>
      </c>
      <c r="AQ770" s="44">
        <v>1</v>
      </c>
      <c r="AR770" s="48"/>
      <c r="AS770" s="49" t="s">
        <v>1216</v>
      </c>
      <c r="AT770" s="45"/>
      <c r="AU770" s="49"/>
      <c r="AV770" s="50"/>
      <c r="AW770" s="45">
        <v>2013</v>
      </c>
      <c r="AX770" s="88"/>
      <c r="AY770" s="45" t="s">
        <v>1222</v>
      </c>
      <c r="AZ770" s="54"/>
      <c r="BA770" s="55"/>
      <c r="BB770" s="54"/>
      <c r="BC770" s="53"/>
      <c r="BD770" s="53">
        <v>1</v>
      </c>
      <c r="BE770" s="53"/>
      <c r="BF770" s="46">
        <f>SUMPRODUCT(AZ770:BB770,BC770:BE770)</f>
        <v>0</v>
      </c>
      <c r="BG770" s="46">
        <f>BA770</f>
        <v>0</v>
      </c>
      <c r="BH770" s="58"/>
      <c r="BI770" s="58"/>
      <c r="BJ770" s="51">
        <v>1</v>
      </c>
      <c r="BK770" s="46">
        <f>AR767</f>
        <v>0</v>
      </c>
      <c r="BL770" s="46" t="str">
        <f>BK770&amp;AU770&amp;AV770&amp;AT770</f>
        <v>0</v>
      </c>
      <c r="BM770" s="46">
        <f>INDEX(MasterSheet_rng_PLOYearAdjs,MATCH(MasterSheet_Repeater_PloYRep&amp;"-"&amp;AW770,MasterSheet_rng_PLOYearAdjsConcat,0))</f>
        <v>1</v>
      </c>
      <c r="BN770" s="46">
        <f>BJ770*BA770*BM770</f>
        <v>0</v>
      </c>
      <c r="BO770" s="46">
        <f>BJ770*BF770*BM770</f>
        <v>0</v>
      </c>
      <c r="BP770" s="46">
        <f>BJ770*BG770*BM770</f>
        <v>0</v>
      </c>
      <c r="BQ770" s="56">
        <f>BJ770*AZ770*BM770</f>
        <v>0</v>
      </c>
      <c r="BR770" s="57">
        <f>BJ770*BB770*BM770</f>
        <v>0</v>
      </c>
      <c r="BS770" s="46">
        <f>BO770-BN770</f>
        <v>0</v>
      </c>
      <c r="BT770" s="46">
        <f>BP770-BN770</f>
        <v>0</v>
      </c>
      <c r="BU770" s="52">
        <f>COUNTA(BH770:BI770)</f>
        <v>0</v>
      </c>
      <c r="BV770" s="46">
        <f>IF(OR(BU770=0,BU770=1),BS770,BS770*MasterSheet_f_RiskPrimaryPercentage)</f>
        <v>0</v>
      </c>
      <c r="BW770" s="46">
        <f>IF(OR(BU770=0,BU770=1),0,BS770*(1-MasterSheet_f_RiskPrimaryPercentage))</f>
        <v>0</v>
      </c>
      <c r="BX770" s="46">
        <f>IF(OR(BU770=0,BU770=1),BT770,BT770*MasterSheet_f_RiskPrimaryPercentage)</f>
        <v>0</v>
      </c>
      <c r="BY770" s="47">
        <f>IF(OR(BU770=0,BU770=1),0,BT770*(1-MasterSheet_f_RiskPrimaryPercentage))</f>
        <v>0</v>
      </c>
      <c r="BZ770" s="47">
        <f>IF(OR(BU770=0,BU770=1),(BB770-BA770),(BB770-BA770)*MasterSheet_f_RiskPrimaryPercentage)</f>
        <v>0</v>
      </c>
      <c r="CA770" s="57">
        <f>IF(OR(BU770=0,BU770=1),(BB770-BA770),(BB770-BA770)*(1-MasterSheet_f_RiskPrimaryPercentage))</f>
        <v>0</v>
      </c>
    </row>
    <row r="771" spans="1:79" ht="16.5" customHeight="1" x14ac:dyDescent="0.2">
      <c r="A771" s="107">
        <f>$O$755+(P755-O755+1)*(H755-1)-1</f>
        <v>25</v>
      </c>
      <c r="B771" s="107" t="s">
        <v>833</v>
      </c>
      <c r="C771" s="107" t="s">
        <v>663</v>
      </c>
      <c r="D771" s="107"/>
      <c r="E771" s="107" t="s">
        <v>833</v>
      </c>
      <c r="F771" s="107" t="s">
        <v>833</v>
      </c>
      <c r="G771" s="107" t="s">
        <v>347</v>
      </c>
      <c r="H771" s="107">
        <v>2</v>
      </c>
      <c r="I771" s="107">
        <v>6</v>
      </c>
      <c r="J771" s="107" t="b">
        <f t="shared" si="81"/>
        <v>1</v>
      </c>
      <c r="K771" s="107"/>
      <c r="L771" s="107"/>
      <c r="M771" s="107"/>
      <c r="N771" s="107"/>
      <c r="O771" s="107">
        <f>A771</f>
        <v>25</v>
      </c>
      <c r="P771" s="107">
        <f>O771+2</f>
        <v>27</v>
      </c>
      <c r="Q771" s="107"/>
      <c r="R771" s="107"/>
      <c r="S771" s="107"/>
      <c r="T771" s="107"/>
      <c r="U771" s="107"/>
      <c r="V771" s="107"/>
      <c r="W771" s="107"/>
      <c r="X771" s="107"/>
      <c r="Y771" s="107"/>
      <c r="Z771" s="107"/>
      <c r="AA771" s="107"/>
      <c r="AB771" s="107"/>
      <c r="AC771" s="107"/>
      <c r="AD771" s="107"/>
      <c r="AE771" s="107"/>
      <c r="AF771" s="107"/>
      <c r="AG771" s="107"/>
      <c r="AH771" s="107"/>
      <c r="AI771" s="107"/>
      <c r="AJ771" s="107"/>
      <c r="AK771" s="107"/>
      <c r="AL771" s="107"/>
      <c r="AM771" s="107"/>
      <c r="AN771" s="107"/>
      <c r="AO771" s="107"/>
      <c r="AP771" s="107"/>
    </row>
    <row r="772" spans="1:79" ht="16.5" customHeight="1" x14ac:dyDescent="0.2">
      <c r="A772" s="99">
        <v>0</v>
      </c>
      <c r="B772" s="99" t="s">
        <v>365</v>
      </c>
      <c r="C772" s="99" t="s">
        <v>89</v>
      </c>
      <c r="D772" s="99"/>
      <c r="E772" s="99"/>
      <c r="F772" s="99">
        <v>11</v>
      </c>
      <c r="G772" s="99" t="str">
        <f>B772</f>
        <v>Drift - fremtidig uden projekt</v>
      </c>
      <c r="H772" s="99" t="s">
        <v>1598</v>
      </c>
      <c r="I772" s="99">
        <f>COUNTIF(G:G,B772)</f>
        <v>21</v>
      </c>
      <c r="J772" s="99" t="b">
        <f t="shared" ref="J772:J794" si="82">$H$3</f>
        <v>1</v>
      </c>
      <c r="K772" s="99" t="b">
        <v>1</v>
      </c>
      <c r="L772" s="99"/>
      <c r="M772" s="99"/>
      <c r="N772" s="99"/>
      <c r="O772" s="99"/>
      <c r="P772" s="99"/>
      <c r="Q772" s="99"/>
      <c r="R772" s="99"/>
      <c r="S772" s="99"/>
      <c r="T772" s="99"/>
      <c r="U772" s="99"/>
      <c r="V772" s="99"/>
      <c r="W772" s="99" t="s">
        <v>1358</v>
      </c>
      <c r="X772" s="99"/>
      <c r="Y772" s="99"/>
      <c r="Z772" s="99"/>
      <c r="AA772" s="99"/>
      <c r="AB772" s="99"/>
      <c r="AC772" s="99"/>
      <c r="AD772" s="99"/>
      <c r="AE772" s="99"/>
      <c r="AF772" s="99"/>
      <c r="AG772" s="99"/>
      <c r="AH772" s="99"/>
      <c r="AI772" s="99"/>
      <c r="AJ772" s="99">
        <v>80</v>
      </c>
      <c r="AK772" s="99"/>
      <c r="AL772" s="99"/>
      <c r="AM772" s="99"/>
      <c r="AN772" s="99"/>
      <c r="AO772" s="99"/>
      <c r="AP772" s="99"/>
    </row>
    <row r="773" spans="1:79" ht="16.5" customHeight="1" x14ac:dyDescent="0.2">
      <c r="A773" s="100">
        <f>$A$772+2</f>
        <v>2</v>
      </c>
      <c r="B773" s="100" t="s">
        <v>384</v>
      </c>
      <c r="C773" s="100" t="s">
        <v>649</v>
      </c>
      <c r="D773" s="100"/>
      <c r="E773" s="100"/>
      <c r="F773" s="100"/>
      <c r="G773" s="100" t="s">
        <v>365</v>
      </c>
      <c r="H773" s="100"/>
      <c r="I773" s="100" t="s">
        <v>365</v>
      </c>
      <c r="J773" s="100" t="b">
        <f t="shared" si="82"/>
        <v>1</v>
      </c>
      <c r="K773" s="100" t="b">
        <v>1</v>
      </c>
      <c r="L773" s="100"/>
      <c r="M773" s="100"/>
      <c r="N773" s="100" t="s">
        <v>59</v>
      </c>
      <c r="O773" s="100" t="str">
        <f>"$C$"&amp;A773</f>
        <v>$C$2</v>
      </c>
      <c r="P773" s="100" t="str">
        <f>"$H$"&amp;A773</f>
        <v>$H$2</v>
      </c>
      <c r="Q773" s="100"/>
      <c r="R773" s="100">
        <v>3</v>
      </c>
      <c r="S773" s="100"/>
      <c r="T773" s="100">
        <v>45</v>
      </c>
      <c r="U773" s="100"/>
      <c r="V773" s="100" t="s">
        <v>1351</v>
      </c>
      <c r="W773" s="100"/>
      <c r="X773" s="100"/>
      <c r="Y773" s="100"/>
      <c r="Z773" s="100"/>
      <c r="AA773" s="100"/>
      <c r="AB773" s="100">
        <v>3</v>
      </c>
      <c r="AC773" s="100">
        <v>5</v>
      </c>
      <c r="AD773" s="100" t="s">
        <v>105</v>
      </c>
      <c r="AE773" s="100">
        <v>36</v>
      </c>
      <c r="AF773" s="100" t="b">
        <v>1</v>
      </c>
      <c r="AG773" s="100" t="s">
        <v>1355</v>
      </c>
      <c r="AH773" s="100" t="s">
        <v>29</v>
      </c>
      <c r="AI773" s="100" t="s">
        <v>28</v>
      </c>
      <c r="AJ773" s="100"/>
      <c r="AK773" s="100"/>
      <c r="AL773" s="100">
        <v>0</v>
      </c>
      <c r="AM773" s="100"/>
      <c r="AN773" s="100"/>
      <c r="AO773" s="100"/>
      <c r="AP773" s="100"/>
    </row>
    <row r="774" spans="1:79" ht="16.5" customHeight="1" x14ac:dyDescent="0.2">
      <c r="A774" s="100">
        <f>$A$772+2</f>
        <v>2</v>
      </c>
      <c r="B774" s="100" t="s">
        <v>385</v>
      </c>
      <c r="C774" s="100" t="s">
        <v>649</v>
      </c>
      <c r="D774" s="100"/>
      <c r="E774" s="100"/>
      <c r="F774" s="100"/>
      <c r="G774" s="100" t="s">
        <v>365</v>
      </c>
      <c r="H774" s="100"/>
      <c r="I774" s="100" t="s">
        <v>1251</v>
      </c>
      <c r="J774" s="100" t="b">
        <f t="shared" si="82"/>
        <v>1</v>
      </c>
      <c r="K774" s="100" t="b">
        <v>1</v>
      </c>
      <c r="L774" s="100"/>
      <c r="M774" s="100"/>
      <c r="N774" s="100" t="s">
        <v>59</v>
      </c>
      <c r="O774" s="100" t="str">
        <f>"$O$"&amp;A774</f>
        <v>$O$2</v>
      </c>
      <c r="P774" s="100" t="str">
        <f>"$R$"&amp;A774+1</f>
        <v>$R$3</v>
      </c>
      <c r="Q774" s="100"/>
      <c r="R774" s="100">
        <v>3</v>
      </c>
      <c r="S774" s="100"/>
      <c r="T774" s="100"/>
      <c r="U774" s="100" t="b">
        <v>1</v>
      </c>
      <c r="V774" s="100" t="s">
        <v>1342</v>
      </c>
      <c r="W774" s="100" t="s">
        <v>1342</v>
      </c>
      <c r="X774" s="100"/>
      <c r="Y774" s="100"/>
      <c r="Z774" s="100"/>
      <c r="AA774" s="100"/>
      <c r="AB774" s="100">
        <v>3</v>
      </c>
      <c r="AC774" s="100">
        <v>20</v>
      </c>
      <c r="AD774" s="100" t="s">
        <v>105</v>
      </c>
      <c r="AE774" s="100">
        <v>10</v>
      </c>
      <c r="AF774" s="100"/>
      <c r="AG774" s="100" t="s">
        <v>1355</v>
      </c>
      <c r="AH774" s="100" t="s">
        <v>29</v>
      </c>
      <c r="AI774" s="100" t="s">
        <v>28</v>
      </c>
      <c r="AJ774" s="100"/>
      <c r="AK774" s="100"/>
      <c r="AL774" s="100">
        <v>0</v>
      </c>
      <c r="AM774" s="100"/>
      <c r="AN774" s="100"/>
      <c r="AO774" s="100"/>
      <c r="AP774" s="100"/>
    </row>
    <row r="775" spans="1:79" ht="16.5" customHeight="1" x14ac:dyDescent="0.2">
      <c r="A775" s="100">
        <f>$A$772+3</f>
        <v>3</v>
      </c>
      <c r="B775" s="100" t="s">
        <v>386</v>
      </c>
      <c r="C775" s="100" t="s">
        <v>649</v>
      </c>
      <c r="D775" s="100"/>
      <c r="E775" s="100"/>
      <c r="F775" s="100"/>
      <c r="G775" s="100" t="s">
        <v>365</v>
      </c>
      <c r="H775" s="100"/>
      <c r="I775" s="100" t="s">
        <v>366</v>
      </c>
      <c r="J775" s="100" t="b">
        <f t="shared" si="82"/>
        <v>1</v>
      </c>
      <c r="K775" s="100" t="b">
        <v>1</v>
      </c>
      <c r="L775" s="100"/>
      <c r="M775" s="100"/>
      <c r="N775" s="100" t="s">
        <v>59</v>
      </c>
      <c r="O775" s="100" t="str">
        <f>"$C$"&amp;A775</f>
        <v>$C$3</v>
      </c>
      <c r="P775" s="100" t="str">
        <f>"$H$"&amp;A775</f>
        <v>$H$3</v>
      </c>
      <c r="Q775" s="100"/>
      <c r="R775" s="100">
        <v>3</v>
      </c>
      <c r="S775" s="100"/>
      <c r="T775" s="100">
        <v>27</v>
      </c>
      <c r="U775" s="100"/>
      <c r="V775" s="100" t="s">
        <v>1351</v>
      </c>
      <c r="W775" s="100"/>
      <c r="X775" s="100"/>
      <c r="Y775" s="100"/>
      <c r="Z775" s="100"/>
      <c r="AA775" s="100"/>
      <c r="AB775" s="100">
        <v>3</v>
      </c>
      <c r="AC775" s="100">
        <v>5</v>
      </c>
      <c r="AD775" s="100" t="s">
        <v>105</v>
      </c>
      <c r="AE775" s="100">
        <v>18</v>
      </c>
      <c r="AF775" s="100" t="b">
        <v>1</v>
      </c>
      <c r="AG775" s="100" t="s">
        <v>1355</v>
      </c>
      <c r="AH775" s="100" t="s">
        <v>29</v>
      </c>
      <c r="AI775" s="100" t="s">
        <v>28</v>
      </c>
      <c r="AJ775" s="100"/>
      <c r="AK775" s="100"/>
      <c r="AL775" s="100">
        <v>0</v>
      </c>
      <c r="AM775" s="100"/>
      <c r="AN775" s="100"/>
      <c r="AO775" s="100"/>
      <c r="AP775" s="100"/>
    </row>
    <row r="776" spans="1:79" ht="16.5" customHeight="1" x14ac:dyDescent="0.2">
      <c r="A776" s="103">
        <f>$A$772+6</f>
        <v>6</v>
      </c>
      <c r="B776" s="103" t="s">
        <v>372</v>
      </c>
      <c r="C776" s="103" t="s">
        <v>654</v>
      </c>
      <c r="D776" s="103"/>
      <c r="E776" s="103"/>
      <c r="F776" s="103"/>
      <c r="G776" s="103" t="s">
        <v>365</v>
      </c>
      <c r="H776" s="103"/>
      <c r="I776" s="103" t="s">
        <v>362</v>
      </c>
      <c r="J776" s="103" t="b">
        <f t="shared" si="82"/>
        <v>1</v>
      </c>
      <c r="K776" s="103" t="b">
        <v>1</v>
      </c>
      <c r="L776" s="103"/>
      <c r="M776" s="103"/>
      <c r="N776" s="103" t="s">
        <v>59</v>
      </c>
      <c r="O776" s="103" t="str">
        <f>"$C$"&amp;A776</f>
        <v>$C$6</v>
      </c>
      <c r="P776" s="103" t="str">
        <f>"$AL$"&amp;A776</f>
        <v>$AL$6</v>
      </c>
      <c r="Q776" s="103"/>
      <c r="R776" s="103">
        <v>1</v>
      </c>
      <c r="S776" s="103"/>
      <c r="T776" s="103">
        <v>27</v>
      </c>
      <c r="U776" s="103" t="b">
        <v>1</v>
      </c>
      <c r="V776" s="103" t="s">
        <v>1352</v>
      </c>
      <c r="W776" s="103" t="s">
        <v>1352</v>
      </c>
      <c r="X776" s="103"/>
      <c r="Y776" s="103"/>
      <c r="Z776" s="103"/>
      <c r="AA776" s="103"/>
      <c r="AB776" s="103"/>
      <c r="AC776" s="103">
        <v>7</v>
      </c>
      <c r="AD776" s="103" t="s">
        <v>105</v>
      </c>
      <c r="AE776" s="103">
        <v>20</v>
      </c>
      <c r="AF776" s="103" t="b">
        <v>1</v>
      </c>
      <c r="AG776" s="103" t="s">
        <v>1351</v>
      </c>
      <c r="AH776" s="103" t="s">
        <v>29</v>
      </c>
      <c r="AI776" s="103" t="s">
        <v>28</v>
      </c>
      <c r="AJ776" s="103"/>
      <c r="AK776" s="103"/>
      <c r="AL776" s="103">
        <v>0</v>
      </c>
      <c r="AM776" s="103"/>
      <c r="AN776" s="103"/>
      <c r="AO776" s="103"/>
      <c r="AP776" s="103"/>
    </row>
    <row r="777" spans="1:79" ht="16.5" customHeight="1" x14ac:dyDescent="0.2">
      <c r="A777" s="112">
        <f>$A$776+2</f>
        <v>8</v>
      </c>
      <c r="B777" s="112" t="s">
        <v>395</v>
      </c>
      <c r="C777" s="112" t="s">
        <v>90</v>
      </c>
      <c r="D777" s="112"/>
      <c r="E777" s="112"/>
      <c r="F777" s="112"/>
      <c r="G777" s="112" t="s">
        <v>365</v>
      </c>
      <c r="H777" s="112"/>
      <c r="I777" s="112"/>
      <c r="J777" s="112" t="b">
        <f t="shared" si="82"/>
        <v>1</v>
      </c>
      <c r="K777" s="112" t="b">
        <v>1</v>
      </c>
      <c r="L777" s="112"/>
      <c r="M777" s="112"/>
      <c r="N777" s="112"/>
      <c r="O777" s="112" t="str">
        <f>"$B$"&amp;A777</f>
        <v>$B$8</v>
      </c>
      <c r="P777" s="112" t="str">
        <f>"$AL$"&amp;A777+2</f>
        <v>$AL$10</v>
      </c>
      <c r="Q777" s="112"/>
      <c r="R777" s="112"/>
      <c r="S777" s="112"/>
      <c r="T777" s="112"/>
      <c r="U777" s="112"/>
      <c r="V777" s="112"/>
      <c r="W777" s="112"/>
      <c r="X777" s="112"/>
      <c r="Y777" s="112"/>
      <c r="Z777" s="112"/>
      <c r="AA777" s="112"/>
      <c r="AB777" s="112"/>
      <c r="AC777" s="112"/>
      <c r="AD777" s="112"/>
      <c r="AE777" s="112"/>
      <c r="AF777" s="112"/>
      <c r="AG777" s="112"/>
      <c r="AH777" s="112"/>
      <c r="AI777" s="112"/>
      <c r="AJ777" s="112"/>
      <c r="AK777" s="112"/>
      <c r="AL777" s="112"/>
      <c r="AM777" s="112"/>
      <c r="AN777" s="112"/>
      <c r="AO777" s="112"/>
      <c r="AP777" s="112"/>
    </row>
    <row r="778" spans="1:79" ht="16.5" customHeight="1" thickBot="1" x14ac:dyDescent="0.25">
      <c r="A778" s="113">
        <f>$A$777+0</f>
        <v>8</v>
      </c>
      <c r="B778" s="113" t="s">
        <v>379</v>
      </c>
      <c r="C778" s="113" t="s">
        <v>92</v>
      </c>
      <c r="D778" s="113"/>
      <c r="E778" s="113"/>
      <c r="F778" s="113"/>
      <c r="G778" s="113" t="s">
        <v>365</v>
      </c>
      <c r="H778" s="113"/>
      <c r="I778" s="113"/>
      <c r="J778" s="113" t="b">
        <f t="shared" si="82"/>
        <v>1</v>
      </c>
      <c r="K778" s="113" t="b">
        <v>1</v>
      </c>
      <c r="L778" s="113"/>
      <c r="M778" s="113"/>
      <c r="N778" s="113"/>
      <c r="O778" s="113" t="str">
        <f>"$B$"&amp;A778</f>
        <v>$B$8</v>
      </c>
      <c r="P778" s="113" t="str">
        <f>"$AL$"&amp;A778</f>
        <v>$AL$8</v>
      </c>
      <c r="Q778" s="113"/>
      <c r="R778" s="113"/>
      <c r="S778" s="113"/>
      <c r="T778" s="113">
        <v>36</v>
      </c>
      <c r="U778" s="113"/>
      <c r="V778" s="113"/>
      <c r="W778" s="113"/>
      <c r="X778" s="113"/>
      <c r="Y778" s="113"/>
      <c r="Z778" s="113"/>
      <c r="AA778" s="113"/>
      <c r="AB778" s="113"/>
      <c r="AC778" s="113"/>
      <c r="AD778" s="113"/>
      <c r="AE778" s="113"/>
      <c r="AF778" s="113"/>
      <c r="AG778" s="113"/>
      <c r="AH778" s="113"/>
      <c r="AI778" s="113"/>
      <c r="AJ778" s="113"/>
      <c r="AK778" s="113"/>
      <c r="AL778" s="113"/>
      <c r="AM778" s="113"/>
      <c r="AN778" s="113"/>
      <c r="AO778" s="113"/>
      <c r="AP778" s="113" t="b">
        <v>1</v>
      </c>
      <c r="AQ778" s="59" t="s">
        <v>620</v>
      </c>
      <c r="AR778" s="87" t="s">
        <v>291</v>
      </c>
      <c r="AS778" s="60" t="s">
        <v>310</v>
      </c>
      <c r="AT778" s="89" t="s">
        <v>311</v>
      </c>
      <c r="AU778" s="89" t="s">
        <v>624</v>
      </c>
      <c r="AV778" s="89" t="s">
        <v>367</v>
      </c>
      <c r="AW778" s="89" t="s">
        <v>292</v>
      </c>
      <c r="AX778" s="60" t="s">
        <v>1241</v>
      </c>
      <c r="AY778" s="60" t="s">
        <v>1238</v>
      </c>
      <c r="AZ778" s="61" t="s">
        <v>1579</v>
      </c>
      <c r="BA778" s="61" t="s">
        <v>621</v>
      </c>
      <c r="BB778" s="61" t="s">
        <v>1580</v>
      </c>
      <c r="BC778" s="62" t="s">
        <v>295</v>
      </c>
      <c r="BD778" s="62" t="s">
        <v>296</v>
      </c>
      <c r="BE778" s="62" t="s">
        <v>297</v>
      </c>
      <c r="BF778" s="61" t="s">
        <v>622</v>
      </c>
      <c r="BG778" s="61" t="s">
        <v>623</v>
      </c>
      <c r="BH778" s="60" t="s">
        <v>305</v>
      </c>
      <c r="BI778" s="60" t="s">
        <v>306</v>
      </c>
      <c r="BJ778" s="64" t="s">
        <v>299</v>
      </c>
      <c r="BK778" s="65" t="s">
        <v>1312</v>
      </c>
      <c r="BL778" s="65" t="s">
        <v>1327</v>
      </c>
      <c r="BM778" s="65" t="s">
        <v>1408</v>
      </c>
      <c r="BN778" s="61" t="s">
        <v>300</v>
      </c>
      <c r="BO778" s="61" t="s">
        <v>301</v>
      </c>
      <c r="BP778" s="61" t="s">
        <v>302</v>
      </c>
      <c r="BQ778" s="66" t="s">
        <v>1336</v>
      </c>
      <c r="BR778" s="66" t="s">
        <v>1337</v>
      </c>
      <c r="BS778" s="61" t="s">
        <v>303</v>
      </c>
      <c r="BT778" s="61" t="s">
        <v>304</v>
      </c>
      <c r="BU778" s="60" t="s">
        <v>312</v>
      </c>
      <c r="BV778" s="61" t="s">
        <v>313</v>
      </c>
      <c r="BW778" s="61" t="s">
        <v>314</v>
      </c>
      <c r="BX778" s="61" t="s">
        <v>315</v>
      </c>
      <c r="BY778" s="63" t="s">
        <v>316</v>
      </c>
      <c r="BZ778" s="68" t="s">
        <v>1340</v>
      </c>
      <c r="CA778" s="68" t="s">
        <v>1440</v>
      </c>
    </row>
    <row r="779" spans="1:79" ht="16.5" customHeight="1" x14ac:dyDescent="0.2">
      <c r="A779" s="108">
        <f>$A$777+-8</f>
        <v>0</v>
      </c>
      <c r="B779" s="98" t="s">
        <v>1439</v>
      </c>
      <c r="C779" s="98"/>
      <c r="D779" s="98"/>
      <c r="E779" s="98"/>
      <c r="F779" s="98"/>
      <c r="G779" s="98"/>
      <c r="H779" s="98"/>
      <c r="I779" s="98"/>
      <c r="J779" s="98"/>
      <c r="K779" s="98"/>
      <c r="L779" s="98"/>
      <c r="M779" s="98"/>
      <c r="N779" s="98"/>
      <c r="O779" s="98"/>
      <c r="P779" s="98"/>
      <c r="Q779" s="98"/>
      <c r="R779" s="98"/>
      <c r="S779" s="98"/>
      <c r="T779" s="98"/>
      <c r="U779" s="98"/>
      <c r="V779" s="98"/>
      <c r="W779" s="98"/>
      <c r="X779" s="98"/>
      <c r="Y779" s="98"/>
      <c r="Z779" s="98"/>
      <c r="AA779" s="98"/>
      <c r="AB779" s="98"/>
      <c r="AC779" s="98"/>
      <c r="AD779" s="98"/>
      <c r="AE779" s="98"/>
      <c r="AF779" s="98"/>
      <c r="AG779" s="98"/>
      <c r="AH779" s="98"/>
      <c r="AI779" s="98"/>
      <c r="AJ779" s="98"/>
      <c r="AK779" s="98"/>
      <c r="AL779" s="98"/>
      <c r="AM779" s="98"/>
      <c r="AN779" s="98"/>
      <c r="AO779" s="98"/>
      <c r="AP779" s="98"/>
    </row>
    <row r="780" spans="1:79" ht="16.5" customHeight="1" x14ac:dyDescent="0.2">
      <c r="A780" s="113">
        <f>$A$777+1</f>
        <v>9</v>
      </c>
      <c r="B780" s="113" t="s">
        <v>373</v>
      </c>
      <c r="C780" s="113" t="s">
        <v>92</v>
      </c>
      <c r="D780" s="113"/>
      <c r="E780" s="113"/>
      <c r="F780" s="113"/>
      <c r="G780" s="113" t="s">
        <v>365</v>
      </c>
      <c r="H780" s="113"/>
      <c r="I780" s="113"/>
      <c r="J780" s="113" t="b">
        <f t="shared" si="82"/>
        <v>1</v>
      </c>
      <c r="K780" s="113" t="b">
        <v>1</v>
      </c>
      <c r="L780" s="113"/>
      <c r="M780" s="113"/>
      <c r="N780" s="113"/>
      <c r="O780" s="113" t="str">
        <f>"$B$"&amp;A780</f>
        <v>$B$9</v>
      </c>
      <c r="P780" s="113" t="str">
        <f>"$AL$"&amp;A780</f>
        <v>$AL$9</v>
      </c>
      <c r="Q780" s="113"/>
      <c r="R780" s="113"/>
      <c r="S780" s="113"/>
      <c r="T780" s="113"/>
      <c r="U780" s="113"/>
      <c r="V780" s="113"/>
      <c r="W780" s="113"/>
      <c r="X780" s="113"/>
      <c r="Y780" s="113"/>
      <c r="Z780" s="113"/>
      <c r="AA780" s="113"/>
      <c r="AB780" s="113"/>
      <c r="AC780" s="113"/>
      <c r="AD780" s="113"/>
      <c r="AE780" s="113"/>
      <c r="AF780" s="113"/>
      <c r="AG780" s="113"/>
      <c r="AH780" s="113"/>
      <c r="AI780" s="113"/>
      <c r="AJ780" s="113"/>
      <c r="AK780" s="113"/>
      <c r="AL780" s="113"/>
      <c r="AM780" s="113"/>
      <c r="AN780" s="113"/>
      <c r="AO780" s="113"/>
      <c r="AP780" s="113" t="b">
        <v>1</v>
      </c>
      <c r="AQ780" s="44">
        <v>1</v>
      </c>
      <c r="AR780" s="48"/>
      <c r="AS780" s="49" t="s">
        <v>1216</v>
      </c>
      <c r="AT780" s="45"/>
      <c r="AU780" s="49"/>
      <c r="AV780" s="49"/>
      <c r="AW780" s="45">
        <v>2013</v>
      </c>
      <c r="AX780" s="88"/>
      <c r="AY780" s="45" t="s">
        <v>1222</v>
      </c>
      <c r="AZ780" s="54"/>
      <c r="BA780" s="55"/>
      <c r="BB780" s="54"/>
      <c r="BC780" s="53"/>
      <c r="BD780" s="53">
        <v>1</v>
      </c>
      <c r="BE780" s="53"/>
      <c r="BF780" s="46">
        <f>SUMPRODUCT(AZ780:BB780,BC780:BE780)</f>
        <v>0</v>
      </c>
      <c r="BG780" s="46">
        <f>BA780</f>
        <v>0</v>
      </c>
      <c r="BH780" s="58"/>
      <c r="BI780" s="58"/>
      <c r="BJ780" s="51">
        <v>1</v>
      </c>
      <c r="BK780" s="46" t="s">
        <v>1369</v>
      </c>
      <c r="BL780" s="46" t="str">
        <f>BK780&amp;AU780&amp;AV780&amp;AT780</f>
        <v>OKO</v>
      </c>
      <c r="BM780" s="46">
        <f>INDEX(MasterSheet_rng_PLOYearAdjs,MATCH(MasterSheet_Repeater_PloYRep&amp;"-"&amp;AW780,MasterSheet_rng_PLOYearAdjsConcat,0))</f>
        <v>1</v>
      </c>
      <c r="BN780" s="46">
        <f>BJ780*BA780*BM780</f>
        <v>0</v>
      </c>
      <c r="BO780" s="46">
        <f>BJ780*BF780*BM780</f>
        <v>0</v>
      </c>
      <c r="BP780" s="46">
        <f>BJ780*BG780*BM780</f>
        <v>0</v>
      </c>
      <c r="BQ780" s="56">
        <f>BJ780*AZ780*BM780</f>
        <v>0</v>
      </c>
      <c r="BR780" s="57">
        <f>BJ780*BB780*BM780</f>
        <v>0</v>
      </c>
      <c r="BS780" s="46">
        <f>BO780-BN780</f>
        <v>0</v>
      </c>
      <c r="BT780" s="46">
        <f>BP780-BN780</f>
        <v>0</v>
      </c>
      <c r="BU780" s="52">
        <f>COUNTA(BH780:BI780)</f>
        <v>0</v>
      </c>
      <c r="BV780" s="46">
        <f>IF(OR(BU780=0,BU780=1),BS780,BS780*MasterSheet_f_RiskPrimaryPercentage)</f>
        <v>0</v>
      </c>
      <c r="BW780" s="46">
        <f>IF(OR(BU780=0,BU780=1),0,BS780*(1-MasterSheet_f_RiskPrimaryPercentage))</f>
        <v>0</v>
      </c>
      <c r="BX780" s="46">
        <f>IF(OR(BU780=0,BU780=1),BT780,BT780*MasterSheet_f_RiskPrimaryPercentage)</f>
        <v>0</v>
      </c>
      <c r="BY780" s="47">
        <f>IF(OR(BU780=0,BU780=1),0,BT780*(1-MasterSheet_f_RiskPrimaryPercentage))</f>
        <v>0</v>
      </c>
      <c r="BZ780" s="47">
        <f>IF(OR(BU780=0,BU780=1),(BB780-BA780),(BB780-BA780)*MasterSheet_f_RiskPrimaryPercentage)</f>
        <v>0</v>
      </c>
      <c r="CA780" s="57">
        <f>IF(OR(BU780=0,BU780=1),(BB780-BA780),(BB780-BA780)*(1-MasterSheet_f_RiskPrimaryPercentage))</f>
        <v>0</v>
      </c>
    </row>
    <row r="781" spans="1:79" ht="16.5" customHeight="1" x14ac:dyDescent="0.2">
      <c r="A781" s="100">
        <f>$A$777+4</f>
        <v>12</v>
      </c>
      <c r="B781" s="100" t="s">
        <v>374</v>
      </c>
      <c r="C781" s="100" t="s">
        <v>649</v>
      </c>
      <c r="D781" s="100"/>
      <c r="E781" s="100"/>
      <c r="F781" s="100"/>
      <c r="G781" s="100" t="s">
        <v>365</v>
      </c>
      <c r="H781" s="100"/>
      <c r="I781" s="100" t="s">
        <v>181</v>
      </c>
      <c r="J781" s="100" t="b">
        <f t="shared" si="82"/>
        <v>1</v>
      </c>
      <c r="K781" s="100" t="b">
        <v>1</v>
      </c>
      <c r="L781" s="100"/>
      <c r="M781" s="100"/>
      <c r="N781" s="100" t="s">
        <v>59</v>
      </c>
      <c r="O781" s="100" t="str">
        <f>"$C$"&amp;A781</f>
        <v>$C$12</v>
      </c>
      <c r="P781" s="100" t="str">
        <f>"$AL$"&amp;A781</f>
        <v>$AL$12</v>
      </c>
      <c r="Q781" s="100"/>
      <c r="R781" s="100">
        <v>1</v>
      </c>
      <c r="S781" s="100"/>
      <c r="T781" s="100">
        <v>27</v>
      </c>
      <c r="U781" s="100" t="b">
        <v>1</v>
      </c>
      <c r="V781" s="100" t="s">
        <v>1352</v>
      </c>
      <c r="W781" s="100" t="s">
        <v>1352</v>
      </c>
      <c r="X781" s="100"/>
      <c r="Y781" s="100"/>
      <c r="Z781" s="100"/>
      <c r="AA781" s="100"/>
      <c r="AB781" s="100"/>
      <c r="AC781" s="100">
        <v>7</v>
      </c>
      <c r="AD781" s="100" t="s">
        <v>105</v>
      </c>
      <c r="AE781" s="100">
        <v>20</v>
      </c>
      <c r="AF781" s="100" t="b">
        <v>1</v>
      </c>
      <c r="AG781" s="100" t="s">
        <v>1351</v>
      </c>
      <c r="AH781" s="100" t="s">
        <v>29</v>
      </c>
      <c r="AI781" s="100" t="s">
        <v>28</v>
      </c>
      <c r="AJ781" s="100"/>
      <c r="AK781" s="100"/>
      <c r="AL781" s="100">
        <v>0</v>
      </c>
      <c r="AM781" s="100"/>
      <c r="AN781" s="100"/>
      <c r="AO781" s="100"/>
      <c r="AP781" s="100"/>
    </row>
    <row r="782" spans="1:79" ht="16.5" customHeight="1" x14ac:dyDescent="0.2">
      <c r="A782" s="109">
        <f>$A$777+6</f>
        <v>14</v>
      </c>
      <c r="B782" s="109" t="s">
        <v>375</v>
      </c>
      <c r="C782" s="109" t="s">
        <v>96</v>
      </c>
      <c r="D782" s="109"/>
      <c r="E782" s="109"/>
      <c r="F782" s="109"/>
      <c r="G782" s="109" t="s">
        <v>365</v>
      </c>
      <c r="H782" s="109"/>
      <c r="I782" s="109" t="s">
        <v>368</v>
      </c>
      <c r="J782" s="109" t="b">
        <f t="shared" si="82"/>
        <v>1</v>
      </c>
      <c r="K782" s="109" t="b">
        <v>1</v>
      </c>
      <c r="L782" s="109"/>
      <c r="M782" s="109"/>
      <c r="N782" s="109" t="s">
        <v>59</v>
      </c>
      <c r="O782" s="109" t="str">
        <f>"$C$"&amp;A782</f>
        <v>$C$14</v>
      </c>
      <c r="P782" s="109" t="str">
        <f>"$AL$"&amp;A782</f>
        <v>$AL$14</v>
      </c>
      <c r="Q782" s="109">
        <v>20</v>
      </c>
      <c r="R782" s="109">
        <v>1</v>
      </c>
      <c r="S782" s="109"/>
      <c r="T782" s="109">
        <v>27</v>
      </c>
      <c r="U782" s="109" t="b">
        <v>1</v>
      </c>
      <c r="V782" s="109" t="s">
        <v>1351</v>
      </c>
      <c r="W782" s="109" t="s">
        <v>1351</v>
      </c>
      <c r="X782" s="109"/>
      <c r="Y782" s="109"/>
      <c r="Z782" s="109"/>
      <c r="AA782" s="109"/>
      <c r="AB782" s="109"/>
      <c r="AC782" s="109">
        <v>7</v>
      </c>
      <c r="AD782" s="109" t="s">
        <v>105</v>
      </c>
      <c r="AE782" s="109">
        <v>14</v>
      </c>
      <c r="AF782" s="109" t="b">
        <v>1</v>
      </c>
      <c r="AG782" s="109" t="s">
        <v>1355</v>
      </c>
      <c r="AH782" s="109" t="s">
        <v>29</v>
      </c>
      <c r="AI782" s="109" t="s">
        <v>28</v>
      </c>
      <c r="AJ782" s="109"/>
      <c r="AK782" s="109"/>
      <c r="AL782" s="109">
        <v>0</v>
      </c>
      <c r="AM782" s="109"/>
      <c r="AN782" s="109"/>
      <c r="AO782" s="109"/>
      <c r="AP782" s="109"/>
      <c r="AQ782" s="93" t="s">
        <v>368</v>
      </c>
    </row>
    <row r="783" spans="1:79" ht="16.5" customHeight="1" x14ac:dyDescent="0.2">
      <c r="A783" s="112">
        <f>$A$777+8</f>
        <v>16</v>
      </c>
      <c r="B783" s="112" t="s">
        <v>376</v>
      </c>
      <c r="C783" s="112" t="s">
        <v>90</v>
      </c>
      <c r="D783" s="112"/>
      <c r="E783" s="112"/>
      <c r="F783" s="112"/>
      <c r="G783" s="112" t="s">
        <v>365</v>
      </c>
      <c r="H783" s="112"/>
      <c r="I783" s="112"/>
      <c r="J783" s="112" t="b">
        <f t="shared" si="82"/>
        <v>1</v>
      </c>
      <c r="K783" s="112" t="b">
        <v>1</v>
      </c>
      <c r="L783" s="112"/>
      <c r="M783" s="112"/>
      <c r="N783" s="112"/>
      <c r="O783" s="112" t="str">
        <f>"$B$"&amp;A783</f>
        <v>$B$16</v>
      </c>
      <c r="P783" s="112" t="str">
        <f>"$AL$"&amp;A789+1</f>
        <v>$AL$18</v>
      </c>
      <c r="Q783" s="112"/>
      <c r="R783" s="112"/>
      <c r="S783" s="112"/>
      <c r="T783" s="112"/>
      <c r="U783" s="112"/>
      <c r="V783" s="112"/>
      <c r="W783" s="112"/>
      <c r="X783" s="112"/>
      <c r="Y783" s="112"/>
      <c r="Z783" s="112"/>
      <c r="AA783" s="112"/>
      <c r="AB783" s="112"/>
      <c r="AC783" s="112"/>
      <c r="AD783" s="112"/>
      <c r="AE783" s="112"/>
      <c r="AF783" s="112"/>
      <c r="AG783" s="112"/>
      <c r="AH783" s="112"/>
      <c r="AI783" s="112"/>
      <c r="AJ783" s="112"/>
      <c r="AK783" s="112"/>
      <c r="AL783" s="112"/>
      <c r="AM783" s="112"/>
      <c r="AN783" s="112"/>
      <c r="AO783" s="112"/>
      <c r="AP783" s="112"/>
    </row>
    <row r="784" spans="1:79" ht="16.5" customHeight="1" thickBot="1" x14ac:dyDescent="0.25">
      <c r="A784" s="113">
        <f>$A$783+0</f>
        <v>16</v>
      </c>
      <c r="B784" s="113" t="s">
        <v>377</v>
      </c>
      <c r="C784" s="113" t="s">
        <v>92</v>
      </c>
      <c r="D784" s="113"/>
      <c r="E784" s="113"/>
      <c r="F784" s="113"/>
      <c r="G784" s="113" t="s">
        <v>365</v>
      </c>
      <c r="H784" s="113"/>
      <c r="I784" s="113"/>
      <c r="J784" s="113" t="b">
        <f t="shared" si="82"/>
        <v>1</v>
      </c>
      <c r="K784" s="113" t="b">
        <v>1</v>
      </c>
      <c r="L784" s="113"/>
      <c r="M784" s="113"/>
      <c r="N784" s="113"/>
      <c r="O784" s="113" t="str">
        <f>"$B$"&amp;A784</f>
        <v>$B$16</v>
      </c>
      <c r="P784" s="113" t="str">
        <f>"$AL$"&amp;A784</f>
        <v>$AL$16</v>
      </c>
      <c r="Q784" s="113"/>
      <c r="R784" s="113"/>
      <c r="S784" s="113"/>
      <c r="T784" s="113">
        <v>36</v>
      </c>
      <c r="U784" s="113"/>
      <c r="V784" s="113"/>
      <c r="W784" s="113"/>
      <c r="X784" s="113"/>
      <c r="Y784" s="113"/>
      <c r="Z784" s="113"/>
      <c r="AA784" s="113"/>
      <c r="AB784" s="113"/>
      <c r="AC784" s="113"/>
      <c r="AD784" s="113"/>
      <c r="AE784" s="113"/>
      <c r="AF784" s="113"/>
      <c r="AG784" s="113"/>
      <c r="AH784" s="113"/>
      <c r="AI784" s="113"/>
      <c r="AJ784" s="113"/>
      <c r="AK784" s="113"/>
      <c r="AL784" s="113"/>
      <c r="AM784" s="113"/>
      <c r="AN784" s="113"/>
      <c r="AO784" s="113"/>
      <c r="AP784" s="113" t="b">
        <v>1</v>
      </c>
      <c r="AQ784" s="59" t="s">
        <v>620</v>
      </c>
      <c r="AR784" s="87" t="s">
        <v>369</v>
      </c>
      <c r="AS784" s="60" t="s">
        <v>370</v>
      </c>
      <c r="AT784" s="347" t="s">
        <v>626</v>
      </c>
      <c r="AU784" s="348"/>
      <c r="AV784" s="348"/>
      <c r="AW784" s="348"/>
      <c r="AX784" s="60" t="s">
        <v>1241</v>
      </c>
      <c r="AY784" s="60" t="s">
        <v>1238</v>
      </c>
      <c r="AZ784" s="61" t="s">
        <v>1579</v>
      </c>
      <c r="BA784" s="61" t="s">
        <v>621</v>
      </c>
      <c r="BB784" s="61" t="s">
        <v>1580</v>
      </c>
      <c r="BC784" s="62" t="s">
        <v>295</v>
      </c>
      <c r="BD784" s="62" t="s">
        <v>296</v>
      </c>
      <c r="BE784" s="62" t="s">
        <v>297</v>
      </c>
      <c r="BF784" s="61" t="s">
        <v>622</v>
      </c>
      <c r="BG784" s="63" t="s">
        <v>623</v>
      </c>
      <c r="BH784" s="117"/>
      <c r="BI784" s="118"/>
      <c r="BJ784" s="64" t="s">
        <v>299</v>
      </c>
      <c r="BK784" s="65" t="s">
        <v>1312</v>
      </c>
      <c r="BL784" s="65" t="s">
        <v>1327</v>
      </c>
      <c r="BM784" s="65" t="s">
        <v>1408</v>
      </c>
      <c r="BN784" s="61" t="s">
        <v>300</v>
      </c>
      <c r="BO784" s="61" t="s">
        <v>301</v>
      </c>
      <c r="BP784" s="61" t="s">
        <v>302</v>
      </c>
      <c r="BQ784" s="66" t="s">
        <v>1336</v>
      </c>
      <c r="BR784" s="67" t="s">
        <v>1337</v>
      </c>
      <c r="BS784" s="119"/>
      <c r="BT784" s="120"/>
      <c r="BU784" s="120"/>
      <c r="BV784" s="120"/>
      <c r="BW784" s="120"/>
      <c r="BX784" s="11"/>
      <c r="BY784" s="10"/>
    </row>
    <row r="785" spans="1:82" ht="16.5" customHeight="1" x14ac:dyDescent="0.2">
      <c r="A785" s="108">
        <f>$A$783+-16</f>
        <v>0</v>
      </c>
      <c r="B785" s="98" t="s">
        <v>1439</v>
      </c>
      <c r="C785" s="98"/>
      <c r="D785" s="98"/>
      <c r="E785" s="98"/>
      <c r="F785" s="98"/>
      <c r="G785" s="98"/>
      <c r="H785" s="98"/>
      <c r="I785" s="98"/>
      <c r="J785" s="98"/>
      <c r="K785" s="98"/>
      <c r="L785" s="98"/>
      <c r="M785" s="98"/>
      <c r="N785" s="98"/>
      <c r="O785" s="98"/>
      <c r="P785" s="98"/>
      <c r="Q785" s="98"/>
      <c r="R785" s="98"/>
      <c r="S785" s="98"/>
      <c r="T785" s="98"/>
      <c r="U785" s="98"/>
      <c r="V785" s="98"/>
      <c r="W785" s="98"/>
      <c r="X785" s="98"/>
      <c r="Y785" s="98"/>
      <c r="Z785" s="98"/>
      <c r="AA785" s="98"/>
      <c r="AB785" s="98"/>
      <c r="AC785" s="98"/>
      <c r="AD785" s="98"/>
      <c r="AE785" s="98"/>
      <c r="AF785" s="98"/>
      <c r="AG785" s="98"/>
      <c r="AH785" s="98"/>
      <c r="AI785" s="98"/>
      <c r="AJ785" s="98"/>
      <c r="AK785" s="98"/>
      <c r="AL785" s="98"/>
      <c r="AM785" s="98"/>
      <c r="AN785" s="98"/>
      <c r="AO785" s="98"/>
      <c r="AP785" s="98"/>
      <c r="CD785" s="111"/>
    </row>
    <row r="786" spans="1:82" ht="16.5" customHeight="1" x14ac:dyDescent="0.2">
      <c r="A786" s="107">
        <f>$A$783+1</f>
        <v>17</v>
      </c>
      <c r="B786" s="107" t="s">
        <v>1444</v>
      </c>
      <c r="C786" s="107" t="s">
        <v>663</v>
      </c>
      <c r="D786" s="107"/>
      <c r="E786" s="107" t="s">
        <v>1444</v>
      </c>
      <c r="F786" s="107"/>
      <c r="G786" s="107" t="s">
        <v>365</v>
      </c>
      <c r="H786" s="107">
        <v>2</v>
      </c>
      <c r="I786" s="107">
        <v>1</v>
      </c>
      <c r="J786" s="107" t="b">
        <f t="shared" si="82"/>
        <v>1</v>
      </c>
      <c r="K786" s="107"/>
      <c r="L786" s="107"/>
      <c r="M786" s="107"/>
      <c r="N786" s="107"/>
      <c r="O786" s="107">
        <f>A786</f>
        <v>17</v>
      </c>
      <c r="P786" s="107">
        <v>17</v>
      </c>
      <c r="Q786" s="107"/>
      <c r="R786" s="107"/>
      <c r="S786" s="107"/>
      <c r="T786" s="107"/>
      <c r="U786" s="107"/>
      <c r="V786" s="107"/>
      <c r="W786" s="107"/>
      <c r="X786" s="107"/>
      <c r="Y786" s="107"/>
      <c r="Z786" s="107"/>
      <c r="AA786" s="107"/>
      <c r="AB786" s="107"/>
      <c r="AC786" s="107"/>
      <c r="AD786" s="107"/>
      <c r="AE786" s="107"/>
      <c r="AF786" s="107"/>
      <c r="AG786" s="107"/>
      <c r="AH786" s="107"/>
      <c r="AI786" s="107"/>
      <c r="AJ786" s="107"/>
      <c r="AK786" s="107"/>
      <c r="AL786" s="107"/>
      <c r="AM786" s="107"/>
      <c r="AN786" s="107"/>
      <c r="AO786" s="107"/>
      <c r="AP786" s="107"/>
      <c r="CD786" s="111"/>
    </row>
    <row r="787" spans="1:82" ht="16.5" customHeight="1" x14ac:dyDescent="0.2">
      <c r="A787" s="108">
        <f>$A$786+0</f>
        <v>17</v>
      </c>
      <c r="B787" s="113" t="s">
        <v>378</v>
      </c>
      <c r="C787" s="113" t="s">
        <v>92</v>
      </c>
      <c r="D787" s="113"/>
      <c r="E787" s="113" t="s">
        <v>1444</v>
      </c>
      <c r="F787" s="113"/>
      <c r="G787" s="113" t="s">
        <v>365</v>
      </c>
      <c r="H787" s="113"/>
      <c r="I787" s="113"/>
      <c r="J787" s="113"/>
      <c r="K787" s="113" t="b">
        <v>1</v>
      </c>
      <c r="L787" s="113"/>
      <c r="M787" s="113"/>
      <c r="N787" s="113"/>
      <c r="O787" s="113" t="str">
        <f>"$B$"&amp;A787</f>
        <v>$B$17</v>
      </c>
      <c r="P787" s="113" t="str">
        <f>"$AL$"&amp;A787</f>
        <v>$AL$17</v>
      </c>
      <c r="Q787" s="113"/>
      <c r="R787" s="113"/>
      <c r="S787" s="113"/>
      <c r="T787" s="113"/>
      <c r="U787" s="113"/>
      <c r="V787" s="113"/>
      <c r="W787" s="113"/>
      <c r="X787" s="113"/>
      <c r="Y787" s="113"/>
      <c r="Z787" s="113"/>
      <c r="AA787" s="113"/>
      <c r="AB787" s="113"/>
      <c r="AC787" s="113"/>
      <c r="AD787" s="113"/>
      <c r="AE787" s="113"/>
      <c r="AF787" s="113"/>
      <c r="AG787" s="113"/>
      <c r="AH787" s="113"/>
      <c r="AI787" s="113"/>
      <c r="AJ787" s="113"/>
      <c r="AK787" s="113"/>
      <c r="AL787" s="113"/>
      <c r="AM787" s="113"/>
      <c r="AN787" s="113"/>
      <c r="AO787" s="113"/>
      <c r="AP787" s="113" t="b">
        <v>1</v>
      </c>
      <c r="AQ787" s="44">
        <f>ROW(AR787)-ROW(Driftfremtidigudenprojekt_f_DriftfremtidigudenprojektMain2T1_start)</f>
        <v>771</v>
      </c>
      <c r="AR787" s="73" t="e">
        <f>IF(INDEX(MasterSheet_Repeater_IOKVar,AQ787)="[Navn]","",INDEX(MasterSheet_Repeater_IOKVar,AQ787))</f>
        <v>#REF!</v>
      </c>
      <c r="AS787" s="74">
        <f ca="1">IF(OFFSET(Forside_f_FP_Main1IOKVarTable_start,AQ787,4)="[Enhed]","",OFFSET(Forside_f_FP_Main1IOKVarTable_start,AQ787,4))</f>
        <v>0</v>
      </c>
      <c r="AT787" s="349" t="str">
        <f ca="1">IF(OFFSET(Forside_f_FP_Main1IOKVarTable_start,AQ787,6)=0,"",OFFSET(Forside_f_FP_Main1IOKVarTable_start,AQ787,6))</f>
        <v/>
      </c>
      <c r="AU787" s="349"/>
      <c r="AV787" s="349"/>
      <c r="AW787" s="349"/>
      <c r="AX787" s="75"/>
      <c r="AY787" s="45" t="s">
        <v>1222</v>
      </c>
      <c r="AZ787" s="54"/>
      <c r="BA787" s="55"/>
      <c r="BB787" s="54"/>
      <c r="BC787" s="53"/>
      <c r="BD787" s="53">
        <v>1</v>
      </c>
      <c r="BE787" s="53"/>
      <c r="BF787" s="46">
        <f>SUMPRODUCT(AZ787:BB787,BC787:BE787)</f>
        <v>0</v>
      </c>
      <c r="BG787" s="47">
        <f>BA787</f>
        <v>0</v>
      </c>
      <c r="BH787" s="117"/>
      <c r="BI787" s="118"/>
      <c r="BJ787" s="51">
        <v>1</v>
      </c>
      <c r="BK787" s="46" t="s">
        <v>1367</v>
      </c>
      <c r="BL787" s="46" t="e">
        <f>BK787&amp;AR787</f>
        <v>#REF!</v>
      </c>
      <c r="BM787" s="46">
        <v>1</v>
      </c>
      <c r="BN787" s="46">
        <f>BJ787*BA787*BM787</f>
        <v>0</v>
      </c>
      <c r="BO787" s="46">
        <f>BJ787*BF787*BM787</f>
        <v>0</v>
      </c>
      <c r="BP787" s="46">
        <f>BJ787*BG787*BM787</f>
        <v>0</v>
      </c>
      <c r="BQ787" s="56">
        <f>BJ787*AZ787*BM787</f>
        <v>0</v>
      </c>
      <c r="BR787" s="57">
        <f>BJ787*BB787*BM787</f>
        <v>0</v>
      </c>
      <c r="BS787" s="119"/>
      <c r="BT787" s="120"/>
      <c r="BU787" s="120"/>
      <c r="BV787" s="120"/>
      <c r="BW787" s="120"/>
      <c r="BX787" s="12"/>
      <c r="BY787" s="13"/>
      <c r="CD787" s="111"/>
    </row>
    <row r="788" spans="1:82" ht="16.5" customHeight="1" x14ac:dyDescent="0.2">
      <c r="A788" s="113">
        <f>$A$786+0</f>
        <v>17</v>
      </c>
      <c r="B788" s="113" t="s">
        <v>1454</v>
      </c>
      <c r="C788" s="113" t="s">
        <v>92</v>
      </c>
      <c r="D788" s="113"/>
      <c r="E788" s="113" t="s">
        <v>1444</v>
      </c>
      <c r="F788" s="113"/>
      <c r="G788" s="113" t="s">
        <v>365</v>
      </c>
      <c r="H788" s="113">
        <v>1</v>
      </c>
      <c r="I788" s="113"/>
      <c r="J788" s="113" t="b">
        <f>$H$3</f>
        <v>1</v>
      </c>
      <c r="K788" s="113" t="b">
        <v>1</v>
      </c>
      <c r="L788" s="113"/>
      <c r="M788" s="113"/>
      <c r="N788" s="113"/>
      <c r="O788" s="113" t="str">
        <f>"$B$"&amp;A788</f>
        <v>$B$17</v>
      </c>
      <c r="P788" s="113" t="str">
        <f>"$AL$"&amp;A788</f>
        <v>$AL$17</v>
      </c>
      <c r="Q788" s="113"/>
      <c r="R788" s="113"/>
      <c r="S788" s="113"/>
      <c r="T788" s="113"/>
      <c r="U788" s="113"/>
      <c r="V788" s="113"/>
      <c r="W788" s="113"/>
      <c r="X788" s="113"/>
      <c r="Y788" s="113"/>
      <c r="Z788" s="113"/>
      <c r="AA788" s="113"/>
      <c r="AB788" s="113"/>
      <c r="AC788" s="113"/>
      <c r="AD788" s="113"/>
      <c r="AE788" s="113"/>
      <c r="AF788" s="113"/>
      <c r="AG788" s="113"/>
      <c r="AH788" s="113"/>
      <c r="AI788" s="113"/>
      <c r="AJ788" s="113"/>
      <c r="AK788" s="113"/>
      <c r="AL788" s="113"/>
      <c r="AM788" s="113"/>
      <c r="AN788" s="113"/>
      <c r="AO788" s="113"/>
      <c r="AP788" s="113" t="b">
        <v>1</v>
      </c>
      <c r="AQ788" s="44">
        <f>ROW(AR788)-ROW(Driftfremtidigudenprojekt_f_DriftfremtidigudenprojektMain2T1_start)</f>
        <v>772</v>
      </c>
      <c r="AR788" s="73" t="e">
        <f>IF(INDEX(MasterSheet_Repeater_IOKVar,AQ788)="[Navn]","",INDEX(MasterSheet_Repeater_IOKVar,AQ788))</f>
        <v>#REF!</v>
      </c>
      <c r="AS788" s="74">
        <f ca="1">IF(OFFSET(Forside_f_FP_Main1IOKVarTable_start,AQ788,4)="[Enhed]","",OFFSET(Forside_f_FP_Main1IOKVarTable_start,AQ788,4))</f>
        <v>0</v>
      </c>
      <c r="AT788" s="349" t="str">
        <f ca="1">IF(OFFSET(Forside_f_FP_Main1IOKVarTable_start,AQ788,6)=0,"",OFFSET(Forside_f_FP_Main1IOKVarTable_start,AQ788,6))</f>
        <v/>
      </c>
      <c r="AU788" s="349"/>
      <c r="AV788" s="349"/>
      <c r="AW788" s="349"/>
      <c r="AX788" s="75"/>
      <c r="AY788" s="45" t="s">
        <v>1222</v>
      </c>
      <c r="AZ788" s="54"/>
      <c r="BA788" s="55"/>
      <c r="BB788" s="54"/>
      <c r="BC788" s="53"/>
      <c r="BD788" s="53">
        <v>1</v>
      </c>
      <c r="BE788" s="53"/>
      <c r="BF788" s="46">
        <f>SUMPRODUCT(AZ788:BB788,BC788:BE788)</f>
        <v>0</v>
      </c>
      <c r="BG788" s="47">
        <f>BA788</f>
        <v>0</v>
      </c>
      <c r="BH788" s="117"/>
      <c r="BI788" s="118"/>
      <c r="BJ788" s="51">
        <v>1</v>
      </c>
      <c r="BK788" s="46" t="s">
        <v>1367</v>
      </c>
      <c r="BL788" s="46" t="e">
        <f>BK788&amp;AR788</f>
        <v>#REF!</v>
      </c>
      <c r="BM788" s="46">
        <v>1</v>
      </c>
      <c r="BN788" s="46">
        <f>BJ788*BA788*BM788</f>
        <v>0</v>
      </c>
      <c r="BO788" s="46">
        <f>BJ788*BF788*BM788</f>
        <v>0</v>
      </c>
      <c r="BP788" s="46">
        <f>BJ788*BG788*BM788</f>
        <v>0</v>
      </c>
      <c r="BQ788" s="56">
        <f>BJ788*AZ788*BM788</f>
        <v>0</v>
      </c>
      <c r="BR788" s="57">
        <f>BJ788*BB788*BM788</f>
        <v>0</v>
      </c>
      <c r="BS788" s="119"/>
      <c r="BT788" s="120"/>
      <c r="BU788" s="120"/>
      <c r="BV788" s="120"/>
      <c r="BW788" s="120"/>
      <c r="BX788" s="12"/>
      <c r="BY788" s="13"/>
      <c r="CD788" s="111"/>
    </row>
    <row r="789" spans="1:82" ht="16.5" customHeight="1" x14ac:dyDescent="0.2">
      <c r="A789" s="107">
        <f>$O$786+(P786-O786+1)*(H786-1)-1</f>
        <v>17</v>
      </c>
      <c r="B789" s="107" t="s">
        <v>1444</v>
      </c>
      <c r="C789" s="107" t="s">
        <v>663</v>
      </c>
      <c r="D789" s="107" t="s">
        <v>1096</v>
      </c>
      <c r="E789" s="107" t="s">
        <v>1444</v>
      </c>
      <c r="F789" s="107"/>
      <c r="G789" s="107" t="s">
        <v>365</v>
      </c>
      <c r="H789" s="107"/>
      <c r="I789" s="107"/>
      <c r="J789" s="107" t="b">
        <f t="shared" si="82"/>
        <v>1</v>
      </c>
      <c r="K789" s="107"/>
      <c r="L789" s="107"/>
      <c r="M789" s="107"/>
      <c r="N789" s="107"/>
      <c r="O789" s="107"/>
      <c r="P789" s="107"/>
      <c r="Q789" s="107"/>
      <c r="R789" s="107"/>
      <c r="S789" s="107"/>
      <c r="T789" s="107"/>
      <c r="U789" s="107"/>
      <c r="V789" s="107"/>
      <c r="W789" s="107"/>
      <c r="X789" s="107"/>
      <c r="Y789" s="107"/>
      <c r="Z789" s="107"/>
      <c r="AA789" s="107"/>
      <c r="AB789" s="107"/>
      <c r="AC789" s="107"/>
      <c r="AD789" s="107"/>
      <c r="AE789" s="107"/>
      <c r="AF789" s="107"/>
      <c r="AG789" s="107"/>
      <c r="AH789" s="107"/>
      <c r="AI789" s="107"/>
      <c r="AJ789" s="107"/>
      <c r="AK789" s="107"/>
      <c r="AL789" s="107"/>
      <c r="AM789" s="107"/>
      <c r="AN789" s="107"/>
      <c r="AO789" s="107"/>
      <c r="AP789" s="107"/>
      <c r="BW789" s="120"/>
      <c r="BX789" s="12"/>
      <c r="BY789" s="13"/>
      <c r="CD789" s="111"/>
    </row>
    <row r="790" spans="1:82" ht="16.5" customHeight="1" x14ac:dyDescent="0.2">
      <c r="A790" s="109">
        <f>$A$789+2</f>
        <v>19</v>
      </c>
      <c r="B790" s="109" t="s">
        <v>380</v>
      </c>
      <c r="C790" s="109" t="s">
        <v>96</v>
      </c>
      <c r="D790" s="109"/>
      <c r="E790" s="109"/>
      <c r="F790" s="109"/>
      <c r="G790" s="109" t="s">
        <v>365</v>
      </c>
      <c r="H790" s="109"/>
      <c r="I790" s="109" t="s">
        <v>371</v>
      </c>
      <c r="J790" s="109" t="b">
        <f t="shared" si="82"/>
        <v>1</v>
      </c>
      <c r="K790" s="109" t="b">
        <v>1</v>
      </c>
      <c r="L790" s="109"/>
      <c r="M790" s="109"/>
      <c r="N790" s="109" t="s">
        <v>59</v>
      </c>
      <c r="O790" s="109" t="str">
        <f>"$C$"&amp;A790</f>
        <v>$C$19</v>
      </c>
      <c r="P790" s="109" t="str">
        <f>"$AL$"&amp;A790</f>
        <v>$AL$19</v>
      </c>
      <c r="Q790" s="109">
        <v>20</v>
      </c>
      <c r="R790" s="109">
        <v>1</v>
      </c>
      <c r="S790" s="109"/>
      <c r="T790" s="109">
        <v>27</v>
      </c>
      <c r="U790" s="109" t="b">
        <v>1</v>
      </c>
      <c r="V790" s="109" t="s">
        <v>1351</v>
      </c>
      <c r="W790" s="109" t="s">
        <v>1351</v>
      </c>
      <c r="X790" s="109"/>
      <c r="Y790" s="109"/>
      <c r="Z790" s="109"/>
      <c r="AA790" s="109"/>
      <c r="AB790" s="109"/>
      <c r="AC790" s="109">
        <v>7</v>
      </c>
      <c r="AD790" s="109" t="s">
        <v>105</v>
      </c>
      <c r="AE790" s="109">
        <v>14</v>
      </c>
      <c r="AF790" s="109" t="b">
        <v>1</v>
      </c>
      <c r="AG790" s="109" t="s">
        <v>1355</v>
      </c>
      <c r="AH790" s="109" t="s">
        <v>29</v>
      </c>
      <c r="AI790" s="109" t="s">
        <v>28</v>
      </c>
      <c r="AJ790" s="109"/>
      <c r="AK790" s="109"/>
      <c r="AL790" s="109">
        <v>0</v>
      </c>
      <c r="AM790" s="109"/>
      <c r="AN790" s="109"/>
      <c r="AO790" s="109"/>
      <c r="AP790" s="109"/>
      <c r="AQ790" s="93" t="s">
        <v>371</v>
      </c>
      <c r="CD790" s="111"/>
    </row>
    <row r="791" spans="1:82" ht="16.5" customHeight="1" x14ac:dyDescent="0.2">
      <c r="A791" s="112">
        <f>$A$789+4</f>
        <v>21</v>
      </c>
      <c r="B791" s="112" t="s">
        <v>381</v>
      </c>
      <c r="C791" s="112" t="s">
        <v>90</v>
      </c>
      <c r="D791" s="112"/>
      <c r="E791" s="112"/>
      <c r="F791" s="112"/>
      <c r="G791" s="112" t="s">
        <v>365</v>
      </c>
      <c r="H791" s="112"/>
      <c r="I791" s="112"/>
      <c r="J791" s="112" t="b">
        <f t="shared" si="82"/>
        <v>1</v>
      </c>
      <c r="K791" s="112" t="b">
        <v>1</v>
      </c>
      <c r="L791" s="112"/>
      <c r="M791" s="112"/>
      <c r="N791" s="112"/>
      <c r="O791" s="112" t="str">
        <f>"$B$"&amp;A791</f>
        <v>$B$21</v>
      </c>
      <c r="P791" s="112" t="str">
        <f>"$AL$"&amp;A791+2</f>
        <v>$AL$23</v>
      </c>
      <c r="Q791" s="112"/>
      <c r="R791" s="112"/>
      <c r="S791" s="112"/>
      <c r="T791" s="112"/>
      <c r="U791" s="112"/>
      <c r="V791" s="112"/>
      <c r="W791" s="112"/>
      <c r="X791" s="112"/>
      <c r="Y791" s="112"/>
      <c r="Z791" s="112"/>
      <c r="AA791" s="112"/>
      <c r="AB791" s="112"/>
      <c r="AC791" s="112"/>
      <c r="AD791" s="112"/>
      <c r="AE791" s="112"/>
      <c r="AF791" s="112"/>
      <c r="AG791" s="112"/>
      <c r="AH791" s="112"/>
      <c r="AI791" s="112"/>
      <c r="AJ791" s="112"/>
      <c r="AK791" s="112"/>
      <c r="AL791" s="112"/>
      <c r="AM791" s="112"/>
      <c r="AN791" s="112"/>
      <c r="AO791" s="112"/>
      <c r="AP791" s="112"/>
      <c r="CD791" s="111"/>
    </row>
    <row r="792" spans="1:82" ht="16.5" customHeight="1" thickBot="1" x14ac:dyDescent="0.25">
      <c r="A792" s="113">
        <f>$A$791+0</f>
        <v>21</v>
      </c>
      <c r="B792" s="113" t="s">
        <v>382</v>
      </c>
      <c r="C792" s="113" t="s">
        <v>92</v>
      </c>
      <c r="D792" s="113"/>
      <c r="E792" s="113"/>
      <c r="F792" s="113"/>
      <c r="G792" s="113" t="s">
        <v>365</v>
      </c>
      <c r="H792" s="113"/>
      <c r="I792" s="113"/>
      <c r="J792" s="113" t="b">
        <f t="shared" si="82"/>
        <v>1</v>
      </c>
      <c r="K792" s="113" t="b">
        <v>1</v>
      </c>
      <c r="L792" s="113"/>
      <c r="M792" s="113"/>
      <c r="N792" s="113"/>
      <c r="O792" s="113" t="str">
        <f>"$B$"&amp;A792</f>
        <v>$B$21</v>
      </c>
      <c r="P792" s="113" t="str">
        <f>"$AL$"&amp;A792</f>
        <v>$AL$21</v>
      </c>
      <c r="Q792" s="113"/>
      <c r="R792" s="113"/>
      <c r="S792" s="113"/>
      <c r="T792" s="113">
        <v>36</v>
      </c>
      <c r="U792" s="113"/>
      <c r="V792" s="113"/>
      <c r="W792" s="113"/>
      <c r="X792" s="113"/>
      <c r="Y792" s="113"/>
      <c r="Z792" s="113"/>
      <c r="AA792" s="113"/>
      <c r="AB792" s="113"/>
      <c r="AC792" s="113"/>
      <c r="AD792" s="113"/>
      <c r="AE792" s="113"/>
      <c r="AF792" s="113"/>
      <c r="AG792" s="113"/>
      <c r="AH792" s="113"/>
      <c r="AI792" s="113"/>
      <c r="AJ792" s="113"/>
      <c r="AK792" s="113"/>
      <c r="AL792" s="113"/>
      <c r="AM792" s="113"/>
      <c r="AN792" s="113"/>
      <c r="AO792" s="113"/>
      <c r="AP792" s="113" t="b">
        <v>1</v>
      </c>
      <c r="AQ792" s="59" t="s">
        <v>620</v>
      </c>
      <c r="AR792" s="87" t="s">
        <v>291</v>
      </c>
      <c r="AS792" s="60" t="s">
        <v>310</v>
      </c>
      <c r="AT792" s="347" t="s">
        <v>311</v>
      </c>
      <c r="AU792" s="348"/>
      <c r="AV792" s="348"/>
      <c r="AW792" s="348"/>
      <c r="AX792" s="60" t="s">
        <v>1241</v>
      </c>
      <c r="AY792" s="60" t="s">
        <v>1238</v>
      </c>
      <c r="AZ792" s="61" t="s">
        <v>1579</v>
      </c>
      <c r="BA792" s="61" t="s">
        <v>621</v>
      </c>
      <c r="BB792" s="61" t="s">
        <v>1580</v>
      </c>
      <c r="BC792" s="62" t="s">
        <v>295</v>
      </c>
      <c r="BD792" s="62" t="s">
        <v>296</v>
      </c>
      <c r="BE792" s="62" t="s">
        <v>297</v>
      </c>
      <c r="BF792" s="61" t="s">
        <v>622</v>
      </c>
      <c r="BG792" s="63" t="s">
        <v>623</v>
      </c>
      <c r="BH792" s="117"/>
      <c r="BI792" s="118"/>
      <c r="BJ792" s="64" t="s">
        <v>299</v>
      </c>
      <c r="BK792" s="65" t="s">
        <v>1312</v>
      </c>
      <c r="BL792" s="65" t="s">
        <v>1327</v>
      </c>
      <c r="BM792" s="65" t="s">
        <v>1408</v>
      </c>
      <c r="BN792" s="61" t="s">
        <v>300</v>
      </c>
      <c r="BO792" s="61" t="s">
        <v>301</v>
      </c>
      <c r="BP792" s="61" t="s">
        <v>302</v>
      </c>
      <c r="BQ792" s="66" t="s">
        <v>1336</v>
      </c>
      <c r="BR792" s="67" t="s">
        <v>1337</v>
      </c>
      <c r="BS792" s="42"/>
      <c r="BT792" s="10"/>
      <c r="BU792" s="11"/>
      <c r="BV792" s="10"/>
      <c r="BW792" s="10"/>
      <c r="BX792" s="10"/>
      <c r="BY792" s="10"/>
      <c r="CD792" s="111"/>
    </row>
    <row r="793" spans="1:82" ht="16.5" customHeight="1" x14ac:dyDescent="0.2">
      <c r="A793" s="108">
        <f>$A$791+-21</f>
        <v>0</v>
      </c>
      <c r="B793" s="98" t="s">
        <v>1439</v>
      </c>
      <c r="C793" s="98"/>
      <c r="D793" s="98"/>
      <c r="E793" s="98"/>
      <c r="F793" s="98"/>
      <c r="G793" s="98"/>
      <c r="H793" s="98"/>
      <c r="I793" s="98"/>
      <c r="J793" s="98"/>
      <c r="K793" s="98"/>
      <c r="L793" s="98"/>
      <c r="M793" s="98"/>
      <c r="N793" s="98"/>
      <c r="O793" s="98"/>
      <c r="P793" s="98"/>
      <c r="Q793" s="98"/>
      <c r="R793" s="98"/>
      <c r="S793" s="98"/>
      <c r="T793" s="98"/>
      <c r="U793" s="98"/>
      <c r="V793" s="98"/>
      <c r="W793" s="98"/>
      <c r="X793" s="98"/>
      <c r="Y793" s="98"/>
      <c r="Z793" s="98"/>
      <c r="AA793" s="98"/>
      <c r="AB793" s="98"/>
      <c r="AC793" s="98"/>
      <c r="AD793" s="98"/>
      <c r="AE793" s="98"/>
      <c r="AF793" s="98"/>
      <c r="AG793" s="98"/>
      <c r="AH793" s="98"/>
      <c r="AI793" s="98"/>
      <c r="AJ793" s="98"/>
      <c r="AK793" s="98"/>
      <c r="AL793" s="98"/>
      <c r="AM793" s="98"/>
      <c r="AN793" s="98"/>
      <c r="AO793" s="98"/>
      <c r="AP793" s="98"/>
    </row>
    <row r="794" spans="1:82" ht="16.5" customHeight="1" x14ac:dyDescent="0.2">
      <c r="A794" s="113">
        <f>$A$791+1</f>
        <v>22</v>
      </c>
      <c r="B794" s="113" t="s">
        <v>383</v>
      </c>
      <c r="C794" s="113" t="s">
        <v>92</v>
      </c>
      <c r="D794" s="113"/>
      <c r="E794" s="113"/>
      <c r="F794" s="113"/>
      <c r="G794" s="113" t="s">
        <v>365</v>
      </c>
      <c r="H794" s="113"/>
      <c r="I794" s="113"/>
      <c r="J794" s="113" t="b">
        <f t="shared" si="82"/>
        <v>1</v>
      </c>
      <c r="K794" s="113" t="b">
        <v>1</v>
      </c>
      <c r="L794" s="113"/>
      <c r="M794" s="113"/>
      <c r="N794" s="113"/>
      <c r="O794" s="113" t="str">
        <f>"$B$"&amp;A794</f>
        <v>$B$22</v>
      </c>
      <c r="P794" s="113" t="str">
        <f>"$AL$"&amp;A794</f>
        <v>$AL$22</v>
      </c>
      <c r="Q794" s="113"/>
      <c r="R794" s="113"/>
      <c r="S794" s="113"/>
      <c r="T794" s="113"/>
      <c r="U794" s="113"/>
      <c r="V794" s="113"/>
      <c r="W794" s="113"/>
      <c r="X794" s="113"/>
      <c r="Y794" s="113"/>
      <c r="Z794" s="113"/>
      <c r="AA794" s="113"/>
      <c r="AB794" s="113"/>
      <c r="AC794" s="113"/>
      <c r="AD794" s="113"/>
      <c r="AE794" s="113"/>
      <c r="AF794" s="113"/>
      <c r="AG794" s="113"/>
      <c r="AH794" s="113"/>
      <c r="AI794" s="113"/>
      <c r="AJ794" s="113"/>
      <c r="AK794" s="113"/>
      <c r="AL794" s="113"/>
      <c r="AM794" s="113"/>
      <c r="AN794" s="113"/>
      <c r="AO794" s="113"/>
      <c r="AP794" s="113" t="b">
        <v>1</v>
      </c>
      <c r="AQ794" s="44">
        <v>1</v>
      </c>
      <c r="AR794" s="48"/>
      <c r="AS794" s="90" t="s">
        <v>1216</v>
      </c>
      <c r="AT794" s="350"/>
      <c r="AU794" s="351"/>
      <c r="AV794" s="351"/>
      <c r="AW794" s="351"/>
      <c r="AX794" s="48"/>
      <c r="AY794" s="45" t="s">
        <v>1222</v>
      </c>
      <c r="AZ794" s="54"/>
      <c r="BA794" s="55"/>
      <c r="BB794" s="54"/>
      <c r="BC794" s="53"/>
      <c r="BD794" s="53">
        <v>1</v>
      </c>
      <c r="BE794" s="53"/>
      <c r="BF794" s="46">
        <f>SUMPRODUCT(AZ794:BB794,BC794:BE794)</f>
        <v>0</v>
      </c>
      <c r="BG794" s="47">
        <f>BA794</f>
        <v>0</v>
      </c>
      <c r="BH794" s="117"/>
      <c r="BI794" s="118"/>
      <c r="BJ794" s="51">
        <v>1</v>
      </c>
      <c r="BK794" s="46" t="s">
        <v>1368</v>
      </c>
      <c r="BL794" s="46" t="str">
        <f>BK794&amp;AT794</f>
        <v>OVP</v>
      </c>
      <c r="BM794" s="46">
        <v>1</v>
      </c>
      <c r="BN794" s="46">
        <f>BJ794*BA794*BM794</f>
        <v>0</v>
      </c>
      <c r="BO794" s="46">
        <f>BJ794*BF794*BM794</f>
        <v>0</v>
      </c>
      <c r="BP794" s="46">
        <f>BJ794*BG794*BM794</f>
        <v>0</v>
      </c>
      <c r="BQ794" s="56">
        <f>BJ794*AZ794*BM794</f>
        <v>0</v>
      </c>
      <c r="BR794" s="57">
        <f>BJ794*BB794*BM794</f>
        <v>0</v>
      </c>
      <c r="BS794" s="41"/>
      <c r="BT794" s="13"/>
      <c r="BU794" s="12"/>
      <c r="BV794" s="13"/>
      <c r="BW794" s="13"/>
      <c r="BX794" s="13"/>
      <c r="BY794" s="13"/>
    </row>
    <row r="795" spans="1:82" ht="16.5" customHeight="1" x14ac:dyDescent="0.2">
      <c r="A795" s="99">
        <v>0</v>
      </c>
      <c r="B795" s="99" t="s">
        <v>387</v>
      </c>
      <c r="C795" s="99" t="s">
        <v>89</v>
      </c>
      <c r="D795" s="99"/>
      <c r="E795" s="99"/>
      <c r="F795" s="99">
        <v>11</v>
      </c>
      <c r="G795" s="99" t="str">
        <f>B795</f>
        <v>Drift - med projekt</v>
      </c>
      <c r="H795" s="99" t="s">
        <v>1598</v>
      </c>
      <c r="I795" s="99">
        <f>COUNTIF(G:G,B795)</f>
        <v>21</v>
      </c>
      <c r="J795" s="99" t="b">
        <f t="shared" ref="J795:J817" si="83">$H$4</f>
        <v>1</v>
      </c>
      <c r="K795" s="99" t="b">
        <v>1</v>
      </c>
      <c r="L795" s="99"/>
      <c r="M795" s="99"/>
      <c r="N795" s="99"/>
      <c r="O795" s="99"/>
      <c r="P795" s="99"/>
      <c r="Q795" s="99"/>
      <c r="R795" s="99"/>
      <c r="S795" s="99"/>
      <c r="T795" s="99"/>
      <c r="U795" s="99"/>
      <c r="V795" s="99"/>
      <c r="W795" s="99" t="s">
        <v>1358</v>
      </c>
      <c r="X795" s="99"/>
      <c r="Y795" s="99"/>
      <c r="Z795" s="99"/>
      <c r="AA795" s="99"/>
      <c r="AB795" s="99"/>
      <c r="AC795" s="99"/>
      <c r="AD795" s="99"/>
      <c r="AE795" s="99"/>
      <c r="AF795" s="99"/>
      <c r="AG795" s="99"/>
      <c r="AH795" s="99"/>
      <c r="AI795" s="99"/>
      <c r="AJ795" s="99">
        <v>80</v>
      </c>
      <c r="AK795" s="99"/>
      <c r="AL795" s="99"/>
      <c r="AM795" s="99"/>
      <c r="AN795" s="99"/>
      <c r="AO795" s="99"/>
      <c r="AP795" s="99"/>
    </row>
    <row r="796" spans="1:82" ht="16.5" customHeight="1" x14ac:dyDescent="0.2">
      <c r="A796" s="100">
        <f>$A$795+2</f>
        <v>2</v>
      </c>
      <c r="B796" s="100" t="s">
        <v>389</v>
      </c>
      <c r="C796" s="100" t="s">
        <v>649</v>
      </c>
      <c r="D796" s="100"/>
      <c r="E796" s="100"/>
      <c r="F796" s="100"/>
      <c r="G796" s="100" t="s">
        <v>387</v>
      </c>
      <c r="H796" s="100"/>
      <c r="I796" s="100" t="s">
        <v>387</v>
      </c>
      <c r="J796" s="100" t="b">
        <f t="shared" si="83"/>
        <v>1</v>
      </c>
      <c r="K796" s="100" t="b">
        <v>1</v>
      </c>
      <c r="L796" s="100"/>
      <c r="M796" s="100"/>
      <c r="N796" s="100" t="s">
        <v>59</v>
      </c>
      <c r="O796" s="100" t="str">
        <f>"$C$"&amp;A796</f>
        <v>$C$2</v>
      </c>
      <c r="P796" s="100" t="str">
        <f>"$H$"&amp;A796</f>
        <v>$H$2</v>
      </c>
      <c r="Q796" s="100"/>
      <c r="R796" s="100">
        <v>3</v>
      </c>
      <c r="S796" s="100"/>
      <c r="T796" s="100">
        <v>45</v>
      </c>
      <c r="U796" s="100"/>
      <c r="V796" s="100" t="s">
        <v>1351</v>
      </c>
      <c r="W796" s="100"/>
      <c r="X796" s="100"/>
      <c r="Y796" s="100"/>
      <c r="Z796" s="100"/>
      <c r="AA796" s="100"/>
      <c r="AB796" s="100">
        <v>3</v>
      </c>
      <c r="AC796" s="100">
        <v>5</v>
      </c>
      <c r="AD796" s="100" t="s">
        <v>105</v>
      </c>
      <c r="AE796" s="100">
        <v>36</v>
      </c>
      <c r="AF796" s="100" t="b">
        <v>1</v>
      </c>
      <c r="AG796" s="100" t="s">
        <v>1355</v>
      </c>
      <c r="AH796" s="100" t="s">
        <v>29</v>
      </c>
      <c r="AI796" s="100" t="s">
        <v>28</v>
      </c>
      <c r="AJ796" s="100"/>
      <c r="AK796" s="100"/>
      <c r="AL796" s="100">
        <v>0</v>
      </c>
      <c r="AM796" s="100"/>
      <c r="AN796" s="100"/>
      <c r="AO796" s="100"/>
      <c r="AP796" s="100"/>
    </row>
    <row r="797" spans="1:82" ht="16.5" customHeight="1" x14ac:dyDescent="0.2">
      <c r="A797" s="100">
        <f>$A$795+2</f>
        <v>2</v>
      </c>
      <c r="B797" s="100" t="s">
        <v>390</v>
      </c>
      <c r="C797" s="100" t="s">
        <v>649</v>
      </c>
      <c r="D797" s="100"/>
      <c r="E797" s="100"/>
      <c r="F797" s="100"/>
      <c r="G797" s="100" t="s">
        <v>387</v>
      </c>
      <c r="H797" s="100"/>
      <c r="I797" s="100" t="s">
        <v>1252</v>
      </c>
      <c r="J797" s="100" t="b">
        <f t="shared" si="83"/>
        <v>1</v>
      </c>
      <c r="K797" s="100" t="b">
        <v>1</v>
      </c>
      <c r="L797" s="100"/>
      <c r="M797" s="100"/>
      <c r="N797" s="100" t="s">
        <v>59</v>
      </c>
      <c r="O797" s="100" t="str">
        <f>"$O$"&amp;A797</f>
        <v>$O$2</v>
      </c>
      <c r="P797" s="100" t="str">
        <f>"$R$"&amp;A797+1</f>
        <v>$R$3</v>
      </c>
      <c r="Q797" s="100"/>
      <c r="R797" s="100">
        <v>3</v>
      </c>
      <c r="S797" s="100"/>
      <c r="T797" s="100"/>
      <c r="U797" s="100" t="b">
        <v>1</v>
      </c>
      <c r="V797" s="100" t="s">
        <v>1342</v>
      </c>
      <c r="W797" s="100" t="s">
        <v>1342</v>
      </c>
      <c r="X797" s="100"/>
      <c r="Y797" s="100"/>
      <c r="Z797" s="100"/>
      <c r="AA797" s="100"/>
      <c r="AB797" s="100">
        <v>3</v>
      </c>
      <c r="AC797" s="100">
        <v>20</v>
      </c>
      <c r="AD797" s="100" t="s">
        <v>105</v>
      </c>
      <c r="AE797" s="100">
        <v>10</v>
      </c>
      <c r="AF797" s="100"/>
      <c r="AG797" s="100" t="s">
        <v>1355</v>
      </c>
      <c r="AH797" s="100" t="s">
        <v>29</v>
      </c>
      <c r="AI797" s="100" t="s">
        <v>28</v>
      </c>
      <c r="AJ797" s="100"/>
      <c r="AK797" s="100"/>
      <c r="AL797" s="100">
        <v>0</v>
      </c>
      <c r="AM797" s="100"/>
      <c r="AN797" s="100"/>
      <c r="AO797" s="100"/>
      <c r="AP797" s="100"/>
    </row>
    <row r="798" spans="1:82" ht="16.5" customHeight="1" x14ac:dyDescent="0.2">
      <c r="A798" s="100">
        <f>$A$795+3</f>
        <v>3</v>
      </c>
      <c r="B798" s="100" t="s">
        <v>391</v>
      </c>
      <c r="C798" s="100" t="s">
        <v>649</v>
      </c>
      <c r="D798" s="100"/>
      <c r="E798" s="100"/>
      <c r="F798" s="100"/>
      <c r="G798" s="100" t="s">
        <v>387</v>
      </c>
      <c r="H798" s="100"/>
      <c r="I798" s="100" t="s">
        <v>388</v>
      </c>
      <c r="J798" s="100" t="b">
        <f t="shared" si="83"/>
        <v>1</v>
      </c>
      <c r="K798" s="100" t="b">
        <v>1</v>
      </c>
      <c r="L798" s="100"/>
      <c r="M798" s="100"/>
      <c r="N798" s="100" t="s">
        <v>59</v>
      </c>
      <c r="O798" s="100" t="str">
        <f>"$C$"&amp;A798</f>
        <v>$C$3</v>
      </c>
      <c r="P798" s="100" t="str">
        <f>"$H$"&amp;A798</f>
        <v>$H$3</v>
      </c>
      <c r="Q798" s="100"/>
      <c r="R798" s="100">
        <v>3</v>
      </c>
      <c r="S798" s="100"/>
      <c r="T798" s="100">
        <v>27</v>
      </c>
      <c r="U798" s="100"/>
      <c r="V798" s="100" t="s">
        <v>1351</v>
      </c>
      <c r="W798" s="100"/>
      <c r="X798" s="100"/>
      <c r="Y798" s="100"/>
      <c r="Z798" s="100"/>
      <c r="AA798" s="100"/>
      <c r="AB798" s="100">
        <v>3</v>
      </c>
      <c r="AC798" s="100">
        <v>5</v>
      </c>
      <c r="AD798" s="100" t="s">
        <v>105</v>
      </c>
      <c r="AE798" s="100">
        <v>18</v>
      </c>
      <c r="AF798" s="100" t="b">
        <v>1</v>
      </c>
      <c r="AG798" s="100" t="s">
        <v>1355</v>
      </c>
      <c r="AH798" s="100" t="s">
        <v>29</v>
      </c>
      <c r="AI798" s="100" t="s">
        <v>28</v>
      </c>
      <c r="AJ798" s="100"/>
      <c r="AK798" s="100"/>
      <c r="AL798" s="100">
        <v>0</v>
      </c>
      <c r="AM798" s="100"/>
      <c r="AN798" s="100"/>
      <c r="AO798" s="100"/>
      <c r="AP798" s="100"/>
    </row>
    <row r="799" spans="1:82" ht="16.5" customHeight="1" x14ac:dyDescent="0.2">
      <c r="A799" s="103">
        <f>$A$795+6</f>
        <v>6</v>
      </c>
      <c r="B799" s="103" t="s">
        <v>392</v>
      </c>
      <c r="C799" s="103" t="s">
        <v>654</v>
      </c>
      <c r="D799" s="103"/>
      <c r="E799" s="103"/>
      <c r="F799" s="103"/>
      <c r="G799" s="103" t="s">
        <v>387</v>
      </c>
      <c r="H799" s="103"/>
      <c r="I799" s="103" t="s">
        <v>362</v>
      </c>
      <c r="J799" s="103" t="b">
        <f t="shared" si="83"/>
        <v>1</v>
      </c>
      <c r="K799" s="103" t="b">
        <v>1</v>
      </c>
      <c r="L799" s="103"/>
      <c r="M799" s="103"/>
      <c r="N799" s="103" t="s">
        <v>59</v>
      </c>
      <c r="O799" s="103" t="str">
        <f>"$C$"&amp;A799</f>
        <v>$C$6</v>
      </c>
      <c r="P799" s="103" t="str">
        <f>"$AL$"&amp;A799</f>
        <v>$AL$6</v>
      </c>
      <c r="Q799" s="103"/>
      <c r="R799" s="103">
        <v>1</v>
      </c>
      <c r="S799" s="103"/>
      <c r="T799" s="103">
        <v>27</v>
      </c>
      <c r="U799" s="103" t="b">
        <v>1</v>
      </c>
      <c r="V799" s="103" t="s">
        <v>1352</v>
      </c>
      <c r="W799" s="103" t="s">
        <v>1352</v>
      </c>
      <c r="X799" s="103"/>
      <c r="Y799" s="103"/>
      <c r="Z799" s="103"/>
      <c r="AA799" s="103"/>
      <c r="AB799" s="103"/>
      <c r="AC799" s="103">
        <v>7</v>
      </c>
      <c r="AD799" s="103" t="s">
        <v>105</v>
      </c>
      <c r="AE799" s="103">
        <v>20</v>
      </c>
      <c r="AF799" s="103" t="b">
        <v>1</v>
      </c>
      <c r="AG799" s="103" t="s">
        <v>1351</v>
      </c>
      <c r="AH799" s="103" t="s">
        <v>29</v>
      </c>
      <c r="AI799" s="103" t="s">
        <v>28</v>
      </c>
      <c r="AJ799" s="103"/>
      <c r="AK799" s="103"/>
      <c r="AL799" s="103">
        <v>0</v>
      </c>
      <c r="AM799" s="103"/>
      <c r="AN799" s="103"/>
      <c r="AO799" s="103"/>
      <c r="AP799" s="103"/>
    </row>
    <row r="800" spans="1:82" ht="16.5" customHeight="1" x14ac:dyDescent="0.2">
      <c r="A800" s="112">
        <f>$A$799+2</f>
        <v>8</v>
      </c>
      <c r="B800" s="112" t="s">
        <v>393</v>
      </c>
      <c r="C800" s="112" t="s">
        <v>90</v>
      </c>
      <c r="D800" s="112"/>
      <c r="E800" s="112"/>
      <c r="F800" s="112"/>
      <c r="G800" s="112" t="s">
        <v>387</v>
      </c>
      <c r="H800" s="112"/>
      <c r="I800" s="112"/>
      <c r="J800" s="112" t="b">
        <f t="shared" si="83"/>
        <v>1</v>
      </c>
      <c r="K800" s="112" t="b">
        <v>1</v>
      </c>
      <c r="L800" s="112"/>
      <c r="M800" s="112"/>
      <c r="N800" s="112"/>
      <c r="O800" s="112" t="str">
        <f>"$B$"&amp;A800</f>
        <v>$B$8</v>
      </c>
      <c r="P800" s="112" t="str">
        <f>"$AL$"&amp;A800+2</f>
        <v>$AL$10</v>
      </c>
      <c r="Q800" s="112"/>
      <c r="R800" s="112"/>
      <c r="S800" s="112"/>
      <c r="T800" s="112"/>
      <c r="U800" s="112"/>
      <c r="V800" s="112"/>
      <c r="W800" s="112"/>
      <c r="X800" s="112"/>
      <c r="Y800" s="112"/>
      <c r="Z800" s="112"/>
      <c r="AA800" s="112"/>
      <c r="AB800" s="112"/>
      <c r="AC800" s="112"/>
      <c r="AD800" s="112"/>
      <c r="AE800" s="112"/>
      <c r="AF800" s="112"/>
      <c r="AG800" s="112"/>
      <c r="AH800" s="112"/>
      <c r="AI800" s="112"/>
      <c r="AJ800" s="112"/>
      <c r="AK800" s="112"/>
      <c r="AL800" s="112"/>
      <c r="AM800" s="112"/>
      <c r="AN800" s="112"/>
      <c r="AO800" s="112"/>
      <c r="AP800" s="112"/>
    </row>
    <row r="801" spans="1:82" ht="16.5" customHeight="1" thickBot="1" x14ac:dyDescent="0.25">
      <c r="A801" s="113">
        <f>$A$800+0</f>
        <v>8</v>
      </c>
      <c r="B801" s="113" t="s">
        <v>394</v>
      </c>
      <c r="C801" s="113" t="s">
        <v>92</v>
      </c>
      <c r="D801" s="113"/>
      <c r="E801" s="113"/>
      <c r="F801" s="113"/>
      <c r="G801" s="113" t="s">
        <v>387</v>
      </c>
      <c r="H801" s="113"/>
      <c r="I801" s="113"/>
      <c r="J801" s="113" t="b">
        <f t="shared" si="83"/>
        <v>1</v>
      </c>
      <c r="K801" s="113" t="b">
        <v>1</v>
      </c>
      <c r="L801" s="113"/>
      <c r="M801" s="113"/>
      <c r="N801" s="113"/>
      <c r="O801" s="113" t="str">
        <f>"$B$"&amp;A801</f>
        <v>$B$8</v>
      </c>
      <c r="P801" s="113" t="str">
        <f>"$AL$"&amp;A801</f>
        <v>$AL$8</v>
      </c>
      <c r="Q801" s="113"/>
      <c r="R801" s="113"/>
      <c r="S801" s="113"/>
      <c r="T801" s="113">
        <v>36</v>
      </c>
      <c r="U801" s="113"/>
      <c r="V801" s="113"/>
      <c r="W801" s="113"/>
      <c r="X801" s="113"/>
      <c r="Y801" s="113"/>
      <c r="Z801" s="113"/>
      <c r="AA801" s="113"/>
      <c r="AB801" s="113"/>
      <c r="AC801" s="113"/>
      <c r="AD801" s="113"/>
      <c r="AE801" s="113"/>
      <c r="AF801" s="113"/>
      <c r="AG801" s="113"/>
      <c r="AH801" s="113"/>
      <c r="AI801" s="113"/>
      <c r="AJ801" s="113"/>
      <c r="AK801" s="113"/>
      <c r="AL801" s="113"/>
      <c r="AM801" s="113"/>
      <c r="AN801" s="113"/>
      <c r="AO801" s="113"/>
      <c r="AP801" s="113" t="b">
        <v>1</v>
      </c>
      <c r="AQ801" s="59" t="s">
        <v>620</v>
      </c>
      <c r="AR801" s="87" t="s">
        <v>291</v>
      </c>
      <c r="AS801" s="60" t="s">
        <v>310</v>
      </c>
      <c r="AT801" s="89" t="s">
        <v>311</v>
      </c>
      <c r="AU801" s="89" t="s">
        <v>624</v>
      </c>
      <c r="AV801" s="89" t="s">
        <v>367</v>
      </c>
      <c r="AW801" s="89" t="s">
        <v>292</v>
      </c>
      <c r="AX801" s="60" t="s">
        <v>1241</v>
      </c>
      <c r="AY801" s="60" t="s">
        <v>1238</v>
      </c>
      <c r="AZ801" s="61" t="s">
        <v>293</v>
      </c>
      <c r="BA801" s="61" t="s">
        <v>621</v>
      </c>
      <c r="BB801" s="61" t="s">
        <v>294</v>
      </c>
      <c r="BC801" s="62" t="s">
        <v>295</v>
      </c>
      <c r="BD801" s="62" t="s">
        <v>296</v>
      </c>
      <c r="BE801" s="62" t="s">
        <v>297</v>
      </c>
      <c r="BF801" s="61" t="s">
        <v>622</v>
      </c>
      <c r="BG801" s="61" t="s">
        <v>623</v>
      </c>
      <c r="BH801" s="60" t="s">
        <v>305</v>
      </c>
      <c r="BI801" s="60" t="s">
        <v>306</v>
      </c>
      <c r="BJ801" s="64" t="s">
        <v>299</v>
      </c>
      <c r="BK801" s="65" t="s">
        <v>1312</v>
      </c>
      <c r="BL801" s="65" t="s">
        <v>1327</v>
      </c>
      <c r="BM801" s="65" t="s">
        <v>1408</v>
      </c>
      <c r="BN801" s="61" t="s">
        <v>300</v>
      </c>
      <c r="BO801" s="61" t="s">
        <v>301</v>
      </c>
      <c r="BP801" s="61" t="s">
        <v>302</v>
      </c>
      <c r="BQ801" s="66" t="s">
        <v>1336</v>
      </c>
      <c r="BR801" s="66" t="s">
        <v>1337</v>
      </c>
      <c r="BS801" s="61" t="s">
        <v>303</v>
      </c>
      <c r="BT801" s="61" t="s">
        <v>304</v>
      </c>
      <c r="BU801" s="60" t="s">
        <v>312</v>
      </c>
      <c r="BV801" s="61" t="s">
        <v>313</v>
      </c>
      <c r="BW801" s="61" t="s">
        <v>314</v>
      </c>
      <c r="BX801" s="61" t="s">
        <v>315</v>
      </c>
      <c r="BY801" s="63" t="s">
        <v>316</v>
      </c>
      <c r="BZ801" s="68" t="s">
        <v>1340</v>
      </c>
      <c r="CA801" s="68" t="s">
        <v>1440</v>
      </c>
    </row>
    <row r="802" spans="1:82" ht="16.5" customHeight="1" x14ac:dyDescent="0.2">
      <c r="A802" s="108">
        <f>$A$800+-8</f>
        <v>0</v>
      </c>
      <c r="B802" s="98" t="s">
        <v>1439</v>
      </c>
      <c r="C802" s="98"/>
      <c r="D802" s="98"/>
      <c r="E802" s="98"/>
      <c r="F802" s="98"/>
      <c r="G802" s="98"/>
      <c r="H802" s="98"/>
      <c r="I802" s="98"/>
      <c r="J802" s="98"/>
      <c r="K802" s="98"/>
      <c r="L802" s="98"/>
      <c r="M802" s="98"/>
      <c r="N802" s="98"/>
      <c r="O802" s="98"/>
      <c r="P802" s="98"/>
      <c r="Q802" s="98"/>
      <c r="R802" s="98"/>
      <c r="S802" s="98"/>
      <c r="T802" s="98"/>
      <c r="U802" s="98"/>
      <c r="V802" s="98"/>
      <c r="W802" s="98"/>
      <c r="X802" s="98"/>
      <c r="Y802" s="98"/>
      <c r="Z802" s="98"/>
      <c r="AA802" s="98"/>
      <c r="AB802" s="98"/>
      <c r="AC802" s="98"/>
      <c r="AD802" s="98"/>
      <c r="AE802" s="98"/>
      <c r="AF802" s="98"/>
      <c r="AG802" s="98"/>
      <c r="AH802" s="98"/>
      <c r="AI802" s="98"/>
      <c r="AJ802" s="98"/>
      <c r="AK802" s="98"/>
      <c r="AL802" s="98"/>
      <c r="AM802" s="98"/>
      <c r="AN802" s="98"/>
      <c r="AO802" s="98"/>
      <c r="AP802" s="98"/>
    </row>
    <row r="803" spans="1:82" ht="16.5" customHeight="1" x14ac:dyDescent="0.2">
      <c r="A803" s="113">
        <f>$A$800+1</f>
        <v>9</v>
      </c>
      <c r="B803" s="113" t="s">
        <v>396</v>
      </c>
      <c r="C803" s="113" t="s">
        <v>92</v>
      </c>
      <c r="D803" s="113"/>
      <c r="E803" s="113"/>
      <c r="F803" s="113"/>
      <c r="G803" s="113" t="s">
        <v>387</v>
      </c>
      <c r="H803" s="113"/>
      <c r="I803" s="113"/>
      <c r="J803" s="113" t="b">
        <f t="shared" si="83"/>
        <v>1</v>
      </c>
      <c r="K803" s="113" t="b">
        <v>1</v>
      </c>
      <c r="L803" s="113"/>
      <c r="M803" s="113"/>
      <c r="N803" s="113"/>
      <c r="O803" s="113" t="str">
        <f>"$B$"&amp;A803</f>
        <v>$B$9</v>
      </c>
      <c r="P803" s="113" t="str">
        <f>"$AL$"&amp;A803</f>
        <v>$AL$9</v>
      </c>
      <c r="Q803" s="113"/>
      <c r="R803" s="113"/>
      <c r="S803" s="113"/>
      <c r="T803" s="113"/>
      <c r="U803" s="113"/>
      <c r="V803" s="113"/>
      <c r="W803" s="113"/>
      <c r="X803" s="113"/>
      <c r="Y803" s="113"/>
      <c r="Z803" s="113"/>
      <c r="AA803" s="113"/>
      <c r="AB803" s="113"/>
      <c r="AC803" s="113"/>
      <c r="AD803" s="113"/>
      <c r="AE803" s="113"/>
      <c r="AF803" s="113"/>
      <c r="AG803" s="113"/>
      <c r="AH803" s="113"/>
      <c r="AI803" s="113"/>
      <c r="AJ803" s="113"/>
      <c r="AK803" s="113"/>
      <c r="AL803" s="113"/>
      <c r="AM803" s="113"/>
      <c r="AN803" s="113"/>
      <c r="AO803" s="113"/>
      <c r="AP803" s="113" t="b">
        <v>1</v>
      </c>
      <c r="AQ803" s="44">
        <v>1</v>
      </c>
      <c r="AR803" s="48"/>
      <c r="AS803" s="49" t="s">
        <v>1216</v>
      </c>
      <c r="AT803" s="45"/>
      <c r="AU803" s="49"/>
      <c r="AV803" s="49"/>
      <c r="AW803" s="45">
        <v>2013</v>
      </c>
      <c r="AX803" s="88"/>
      <c r="AY803" s="45" t="s">
        <v>1222</v>
      </c>
      <c r="AZ803" s="54"/>
      <c r="BA803" s="55"/>
      <c r="BB803" s="54"/>
      <c r="BC803" s="53"/>
      <c r="BD803" s="53">
        <v>1</v>
      </c>
      <c r="BE803" s="53"/>
      <c r="BF803" s="46">
        <f>SUMPRODUCT(AZ803:BB803,BC803:BE803)</f>
        <v>0</v>
      </c>
      <c r="BG803" s="46">
        <f>BA803</f>
        <v>0</v>
      </c>
      <c r="BH803" s="58"/>
      <c r="BI803" s="58"/>
      <c r="BJ803" s="51">
        <v>1</v>
      </c>
      <c r="BK803" s="46" t="s">
        <v>1369</v>
      </c>
      <c r="BL803" s="46" t="str">
        <f>BK803&amp;AU803&amp;AV803&amp;AT803</f>
        <v>OKO</v>
      </c>
      <c r="BM803" s="46">
        <f>INDEX(MasterSheet_rng_PLOYearAdjs,MATCH(MasterSheet_Repeater_PloYRep&amp;"-"&amp;AW803,MasterSheet_rng_PLOYearAdjsConcat,0))</f>
        <v>1</v>
      </c>
      <c r="BN803" s="46">
        <f>BJ803*BA803*BM803</f>
        <v>0</v>
      </c>
      <c r="BO803" s="46">
        <f>BJ803*BF803*BM803</f>
        <v>0</v>
      </c>
      <c r="BP803" s="46">
        <f>BJ803*BG803*BM803</f>
        <v>0</v>
      </c>
      <c r="BQ803" s="56">
        <f>BJ803*AZ803*BM803</f>
        <v>0</v>
      </c>
      <c r="BR803" s="57">
        <f>BJ803*BB803*BM803</f>
        <v>0</v>
      </c>
      <c r="BS803" s="46">
        <f>BO803-BN803</f>
        <v>0</v>
      </c>
      <c r="BT803" s="46">
        <f>BP803-BN803</f>
        <v>0</v>
      </c>
      <c r="BU803" s="52">
        <f>COUNTA(BH803:BI803)</f>
        <v>0</v>
      </c>
      <c r="BV803" s="46">
        <f>IF(OR(BU803=0,BU803=1),BS803,BS803*MasterSheet_f_RiskPrimaryPercentage)</f>
        <v>0</v>
      </c>
      <c r="BW803" s="46">
        <f>IF(OR(BU803=0,BU803=1),0,BS803*(1-MasterSheet_f_RiskPrimaryPercentage))</f>
        <v>0</v>
      </c>
      <c r="BX803" s="46">
        <f>IF(OR(BU803=0,BU803=1),BT803,BT803*MasterSheet_f_RiskPrimaryPercentage)</f>
        <v>0</v>
      </c>
      <c r="BY803" s="47">
        <f>IF(OR(BU803=0,BU803=1),0,BT803*(1-MasterSheet_f_RiskPrimaryPercentage))</f>
        <v>0</v>
      </c>
      <c r="BZ803" s="47">
        <f>IF(OR(BU803=0,BU803=1),(BB803-BA803),(BB803-BA803)*MasterSheet_f_RiskPrimaryPercentage)</f>
        <v>0</v>
      </c>
      <c r="CA803" s="57">
        <f>IF(OR(BU803=0,BU803=1),(BB803-BA803),(BB803-BA803)*(1-MasterSheet_f_RiskPrimaryPercentage))</f>
        <v>0</v>
      </c>
    </row>
    <row r="804" spans="1:82" ht="16.5" customHeight="1" x14ac:dyDescent="0.2">
      <c r="A804" s="100">
        <f>$A$800+4</f>
        <v>12</v>
      </c>
      <c r="B804" s="100" t="s">
        <v>397</v>
      </c>
      <c r="C804" s="100" t="s">
        <v>649</v>
      </c>
      <c r="D804" s="100"/>
      <c r="E804" s="100"/>
      <c r="F804" s="100"/>
      <c r="G804" s="100" t="s">
        <v>387</v>
      </c>
      <c r="H804" s="100"/>
      <c r="I804" s="100" t="s">
        <v>181</v>
      </c>
      <c r="J804" s="100" t="b">
        <f t="shared" si="83"/>
        <v>1</v>
      </c>
      <c r="K804" s="100" t="b">
        <v>1</v>
      </c>
      <c r="L804" s="100"/>
      <c r="M804" s="100"/>
      <c r="N804" s="100" t="s">
        <v>59</v>
      </c>
      <c r="O804" s="100" t="str">
        <f>"$C$"&amp;A804</f>
        <v>$C$12</v>
      </c>
      <c r="P804" s="100" t="str">
        <f>"$AJ$"&amp;A804</f>
        <v>$AJ$12</v>
      </c>
      <c r="Q804" s="100"/>
      <c r="R804" s="100">
        <v>1</v>
      </c>
      <c r="S804" s="100"/>
      <c r="T804" s="100">
        <v>27</v>
      </c>
      <c r="U804" s="100" t="b">
        <v>1</v>
      </c>
      <c r="V804" s="100" t="s">
        <v>1352</v>
      </c>
      <c r="W804" s="100" t="s">
        <v>1352</v>
      </c>
      <c r="X804" s="100"/>
      <c r="Y804" s="100"/>
      <c r="Z804" s="100"/>
      <c r="AA804" s="100"/>
      <c r="AB804" s="100"/>
      <c r="AC804" s="100">
        <v>7</v>
      </c>
      <c r="AD804" s="100" t="s">
        <v>105</v>
      </c>
      <c r="AE804" s="100">
        <v>20</v>
      </c>
      <c r="AF804" s="100" t="b">
        <v>1</v>
      </c>
      <c r="AG804" s="100" t="s">
        <v>1351</v>
      </c>
      <c r="AH804" s="100" t="s">
        <v>29</v>
      </c>
      <c r="AI804" s="100" t="s">
        <v>28</v>
      </c>
      <c r="AJ804" s="100"/>
      <c r="AK804" s="100"/>
      <c r="AL804" s="100">
        <v>0</v>
      </c>
      <c r="AM804" s="100"/>
      <c r="AN804" s="100"/>
      <c r="AO804" s="100"/>
      <c r="AP804" s="100"/>
    </row>
    <row r="805" spans="1:82" ht="16.5" customHeight="1" x14ac:dyDescent="0.2">
      <c r="A805" s="109">
        <f>$A$800+6</f>
        <v>14</v>
      </c>
      <c r="B805" s="109" t="s">
        <v>398</v>
      </c>
      <c r="C805" s="109" t="s">
        <v>96</v>
      </c>
      <c r="D805" s="109"/>
      <c r="E805" s="109"/>
      <c r="F805" s="109"/>
      <c r="G805" s="109" t="s">
        <v>387</v>
      </c>
      <c r="H805" s="109"/>
      <c r="I805" s="109" t="s">
        <v>368</v>
      </c>
      <c r="J805" s="109" t="b">
        <f t="shared" si="83"/>
        <v>1</v>
      </c>
      <c r="K805" s="109" t="b">
        <v>1</v>
      </c>
      <c r="L805" s="109"/>
      <c r="M805" s="109"/>
      <c r="N805" s="109" t="s">
        <v>59</v>
      </c>
      <c r="O805" s="109" t="str">
        <f>"$C$"&amp;A805</f>
        <v>$C$14</v>
      </c>
      <c r="P805" s="109" t="str">
        <f>"$D$"&amp;A805</f>
        <v>$D$14</v>
      </c>
      <c r="Q805" s="109">
        <v>20</v>
      </c>
      <c r="R805" s="109">
        <v>1</v>
      </c>
      <c r="S805" s="109"/>
      <c r="T805" s="109">
        <v>27</v>
      </c>
      <c r="U805" s="109" t="b">
        <v>1</v>
      </c>
      <c r="V805" s="109" t="s">
        <v>1351</v>
      </c>
      <c r="W805" s="109" t="s">
        <v>1351</v>
      </c>
      <c r="X805" s="109"/>
      <c r="Y805" s="109"/>
      <c r="Z805" s="109"/>
      <c r="AA805" s="109"/>
      <c r="AB805" s="109"/>
      <c r="AC805" s="109">
        <v>7</v>
      </c>
      <c r="AD805" s="109" t="s">
        <v>105</v>
      </c>
      <c r="AE805" s="109">
        <v>14</v>
      </c>
      <c r="AF805" s="109" t="b">
        <v>1</v>
      </c>
      <c r="AG805" s="109" t="s">
        <v>1355</v>
      </c>
      <c r="AH805" s="109" t="s">
        <v>29</v>
      </c>
      <c r="AI805" s="109" t="s">
        <v>28</v>
      </c>
      <c r="AJ805" s="109"/>
      <c r="AK805" s="109"/>
      <c r="AL805" s="109">
        <v>0</v>
      </c>
      <c r="AM805" s="109"/>
      <c r="AN805" s="109"/>
      <c r="AO805" s="109"/>
      <c r="AP805" s="109"/>
      <c r="AQ805" s="93" t="s">
        <v>368</v>
      </c>
    </row>
    <row r="806" spans="1:82" ht="16.5" customHeight="1" x14ac:dyDescent="0.2">
      <c r="A806" s="112">
        <f>$A$800+8</f>
        <v>16</v>
      </c>
      <c r="B806" s="112" t="s">
        <v>399</v>
      </c>
      <c r="C806" s="112" t="s">
        <v>90</v>
      </c>
      <c r="D806" s="112"/>
      <c r="E806" s="112"/>
      <c r="F806" s="112"/>
      <c r="G806" s="112" t="s">
        <v>387</v>
      </c>
      <c r="H806" s="112"/>
      <c r="I806" s="112"/>
      <c r="J806" s="112" t="b">
        <f t="shared" si="83"/>
        <v>1</v>
      </c>
      <c r="K806" s="112" t="b">
        <v>1</v>
      </c>
      <c r="L806" s="112"/>
      <c r="M806" s="112"/>
      <c r="N806" s="112"/>
      <c r="O806" s="112" t="str">
        <f>"$B$"&amp;A806</f>
        <v>$B$16</v>
      </c>
      <c r="P806" s="112" t="str">
        <f>"$AL$"&amp;A806+2</f>
        <v>$AL$18</v>
      </c>
      <c r="Q806" s="112"/>
      <c r="R806" s="112"/>
      <c r="S806" s="112"/>
      <c r="T806" s="112"/>
      <c r="U806" s="112"/>
      <c r="V806" s="112"/>
      <c r="W806" s="112"/>
      <c r="X806" s="112"/>
      <c r="Y806" s="112"/>
      <c r="Z806" s="112"/>
      <c r="AA806" s="112"/>
      <c r="AB806" s="112"/>
      <c r="AC806" s="112"/>
      <c r="AD806" s="112"/>
      <c r="AE806" s="112"/>
      <c r="AF806" s="112"/>
      <c r="AG806" s="112"/>
      <c r="AH806" s="112"/>
      <c r="AI806" s="112"/>
      <c r="AJ806" s="112"/>
      <c r="AK806" s="112"/>
      <c r="AL806" s="112"/>
      <c r="AM806" s="112"/>
      <c r="AN806" s="112"/>
      <c r="AO806" s="112"/>
      <c r="AP806" s="112"/>
    </row>
    <row r="807" spans="1:82" ht="16.5" customHeight="1" thickBot="1" x14ac:dyDescent="0.25">
      <c r="A807" s="113">
        <f>$A$806+0</f>
        <v>16</v>
      </c>
      <c r="B807" s="113" t="s">
        <v>400</v>
      </c>
      <c r="C807" s="113" t="s">
        <v>92</v>
      </c>
      <c r="D807" s="113"/>
      <c r="E807" s="113"/>
      <c r="F807" s="113"/>
      <c r="G807" s="113" t="s">
        <v>387</v>
      </c>
      <c r="H807" s="113"/>
      <c r="I807" s="113"/>
      <c r="J807" s="113" t="b">
        <f t="shared" si="83"/>
        <v>1</v>
      </c>
      <c r="K807" s="113" t="b">
        <v>1</v>
      </c>
      <c r="L807" s="113"/>
      <c r="M807" s="113"/>
      <c r="N807" s="113"/>
      <c r="O807" s="113" t="str">
        <f>"$B$"&amp;A807</f>
        <v>$B$16</v>
      </c>
      <c r="P807" s="113" t="str">
        <f>"$AL$"&amp;A807</f>
        <v>$AL$16</v>
      </c>
      <c r="Q807" s="113"/>
      <c r="R807" s="113"/>
      <c r="S807" s="113"/>
      <c r="T807" s="113">
        <v>36</v>
      </c>
      <c r="U807" s="113"/>
      <c r="V807" s="113"/>
      <c r="W807" s="113"/>
      <c r="X807" s="113"/>
      <c r="Y807" s="113"/>
      <c r="Z807" s="113"/>
      <c r="AA807" s="113"/>
      <c r="AB807" s="113"/>
      <c r="AC807" s="113"/>
      <c r="AD807" s="113"/>
      <c r="AE807" s="113"/>
      <c r="AF807" s="113"/>
      <c r="AG807" s="113"/>
      <c r="AH807" s="113"/>
      <c r="AI807" s="113"/>
      <c r="AJ807" s="113"/>
      <c r="AK807" s="113"/>
      <c r="AL807" s="113"/>
      <c r="AM807" s="113"/>
      <c r="AN807" s="113"/>
      <c r="AO807" s="113"/>
      <c r="AP807" s="113" t="b">
        <v>1</v>
      </c>
      <c r="AQ807" s="59" t="s">
        <v>620</v>
      </c>
      <c r="AR807" s="87" t="s">
        <v>369</v>
      </c>
      <c r="AS807" s="60" t="s">
        <v>370</v>
      </c>
      <c r="AT807" s="347" t="s">
        <v>626</v>
      </c>
      <c r="AU807" s="348"/>
      <c r="AV807" s="348"/>
      <c r="AW807" s="348"/>
      <c r="AX807" s="60" t="s">
        <v>1241</v>
      </c>
      <c r="AY807" s="60" t="s">
        <v>1238</v>
      </c>
      <c r="AZ807" s="61" t="s">
        <v>293</v>
      </c>
      <c r="BA807" s="61" t="s">
        <v>621</v>
      </c>
      <c r="BB807" s="61" t="s">
        <v>294</v>
      </c>
      <c r="BC807" s="62" t="s">
        <v>295</v>
      </c>
      <c r="BD807" s="62" t="s">
        <v>296</v>
      </c>
      <c r="BE807" s="62" t="s">
        <v>297</v>
      </c>
      <c r="BF807" s="61" t="s">
        <v>622</v>
      </c>
      <c r="BG807" s="63" t="s">
        <v>623</v>
      </c>
      <c r="BH807" s="117"/>
      <c r="BI807" s="118"/>
      <c r="BJ807" s="31" t="s">
        <v>299</v>
      </c>
      <c r="BK807" s="32" t="s">
        <v>1312</v>
      </c>
      <c r="BL807" s="32" t="s">
        <v>1327</v>
      </c>
      <c r="BM807" s="32" t="s">
        <v>1408</v>
      </c>
      <c r="BN807" s="29" t="s">
        <v>300</v>
      </c>
      <c r="BO807" s="29" t="s">
        <v>301</v>
      </c>
      <c r="BP807" s="29" t="s">
        <v>302</v>
      </c>
      <c r="BQ807" s="33" t="s">
        <v>1336</v>
      </c>
      <c r="BR807" s="33" t="s">
        <v>1337</v>
      </c>
      <c r="BS807" s="14"/>
      <c r="BT807" s="11"/>
      <c r="BU807" s="11"/>
      <c r="BV807" s="10"/>
      <c r="BW807" s="10"/>
      <c r="BX807" s="11"/>
      <c r="BY807" s="10"/>
      <c r="CD807" s="111"/>
    </row>
    <row r="808" spans="1:82" ht="16.5" customHeight="1" x14ac:dyDescent="0.2">
      <c r="A808" s="108">
        <f>$A$806+-16</f>
        <v>0</v>
      </c>
      <c r="B808" s="98" t="s">
        <v>1439</v>
      </c>
      <c r="C808" s="98"/>
      <c r="D808" s="98"/>
      <c r="E808" s="98"/>
      <c r="F808" s="98"/>
      <c r="G808" s="98"/>
      <c r="H808" s="98"/>
      <c r="I808" s="98"/>
      <c r="J808" s="98"/>
      <c r="K808" s="98"/>
      <c r="L808" s="98"/>
      <c r="M808" s="98"/>
      <c r="N808" s="98"/>
      <c r="O808" s="98"/>
      <c r="P808" s="98"/>
      <c r="Q808" s="98"/>
      <c r="R808" s="98"/>
      <c r="S808" s="98"/>
      <c r="T808" s="98"/>
      <c r="U808" s="98"/>
      <c r="V808" s="98"/>
      <c r="W808" s="98"/>
      <c r="X808" s="98"/>
      <c r="Y808" s="98"/>
      <c r="Z808" s="98"/>
      <c r="AA808" s="98"/>
      <c r="AB808" s="98"/>
      <c r="AC808" s="98"/>
      <c r="AD808" s="98"/>
      <c r="AE808" s="98"/>
      <c r="AF808" s="98"/>
      <c r="AG808" s="98"/>
      <c r="AH808" s="98"/>
      <c r="AI808" s="98"/>
      <c r="AJ808" s="98"/>
      <c r="AK808" s="98"/>
      <c r="AL808" s="98"/>
      <c r="AM808" s="98"/>
      <c r="AN808" s="98"/>
      <c r="AO808" s="98"/>
      <c r="AP808" s="98"/>
      <c r="CD808" s="111"/>
    </row>
    <row r="809" spans="1:82" ht="16.5" customHeight="1" x14ac:dyDescent="0.2">
      <c r="A809" s="107">
        <f>$A$806+1</f>
        <v>17</v>
      </c>
      <c r="B809" s="107" t="s">
        <v>1444</v>
      </c>
      <c r="C809" s="107" t="s">
        <v>663</v>
      </c>
      <c r="D809" s="107"/>
      <c r="E809" s="107" t="s">
        <v>1444</v>
      </c>
      <c r="F809" s="107"/>
      <c r="G809" s="107" t="s">
        <v>387</v>
      </c>
      <c r="H809" s="107">
        <v>2</v>
      </c>
      <c r="I809" s="107">
        <v>1</v>
      </c>
      <c r="J809" s="107" t="b">
        <f t="shared" si="83"/>
        <v>1</v>
      </c>
      <c r="K809" s="107"/>
      <c r="L809" s="107"/>
      <c r="M809" s="107"/>
      <c r="N809" s="107"/>
      <c r="O809" s="107">
        <f>A809</f>
        <v>17</v>
      </c>
      <c r="P809" s="107">
        <v>17</v>
      </c>
      <c r="Q809" s="107"/>
      <c r="R809" s="107"/>
      <c r="S809" s="107"/>
      <c r="T809" s="107"/>
      <c r="U809" s="107"/>
      <c r="V809" s="107"/>
      <c r="W809" s="107"/>
      <c r="X809" s="107"/>
      <c r="Y809" s="107"/>
      <c r="Z809" s="107"/>
      <c r="AA809" s="107"/>
      <c r="AB809" s="107"/>
      <c r="AC809" s="107"/>
      <c r="AD809" s="107"/>
      <c r="AE809" s="107"/>
      <c r="AF809" s="107"/>
      <c r="AG809" s="107"/>
      <c r="AH809" s="107"/>
      <c r="AI809" s="107"/>
      <c r="AJ809" s="107"/>
      <c r="AK809" s="107"/>
      <c r="AL809" s="107"/>
      <c r="AM809" s="107"/>
      <c r="AN809" s="107"/>
      <c r="AO809" s="107"/>
      <c r="AP809" s="107"/>
      <c r="CD809" s="111"/>
    </row>
    <row r="810" spans="1:82" ht="16.5" customHeight="1" x14ac:dyDescent="0.2">
      <c r="A810" s="108">
        <f>$A$809+0</f>
        <v>17</v>
      </c>
      <c r="B810" s="113" t="s">
        <v>401</v>
      </c>
      <c r="C810" s="113" t="s">
        <v>92</v>
      </c>
      <c r="D810" s="113"/>
      <c r="E810" s="113" t="s">
        <v>1444</v>
      </c>
      <c r="F810" s="113"/>
      <c r="G810" s="113" t="s">
        <v>387</v>
      </c>
      <c r="H810" s="113"/>
      <c r="I810" s="113"/>
      <c r="J810" s="113"/>
      <c r="K810" s="113" t="b">
        <v>1</v>
      </c>
      <c r="L810" s="113"/>
      <c r="M810" s="113"/>
      <c r="N810" s="113"/>
      <c r="O810" s="113" t="str">
        <f>"$B$"&amp;A810</f>
        <v>$B$17</v>
      </c>
      <c r="P810" s="113" t="str">
        <f>"$AL$"&amp;A810</f>
        <v>$AL$17</v>
      </c>
      <c r="Q810" s="113"/>
      <c r="R810" s="113"/>
      <c r="S810" s="113"/>
      <c r="T810" s="113"/>
      <c r="U810" s="113"/>
      <c r="V810" s="113"/>
      <c r="W810" s="113"/>
      <c r="X810" s="113"/>
      <c r="Y810" s="113"/>
      <c r="Z810" s="113"/>
      <c r="AA810" s="113"/>
      <c r="AB810" s="113"/>
      <c r="AC810" s="113"/>
      <c r="AD810" s="113"/>
      <c r="AE810" s="113"/>
      <c r="AF810" s="113"/>
      <c r="AG810" s="113"/>
      <c r="AH810" s="113"/>
      <c r="AI810" s="113"/>
      <c r="AJ810" s="113"/>
      <c r="AK810" s="113"/>
      <c r="AL810" s="113"/>
      <c r="AM810" s="113"/>
      <c r="AN810" s="113"/>
      <c r="AO810" s="113"/>
      <c r="AP810" s="113" t="b">
        <v>1</v>
      </c>
      <c r="AQ810" s="44">
        <f>ROW(AR810)-ROW(Driftmedprojekt_f_DriftmedprojektMain2T1_start)</f>
        <v>794</v>
      </c>
      <c r="AR810" s="73" t="e">
        <f>IF(INDEX(MasterSheet_Repeater_IOKVar,AQ810)="[Navn]","",INDEX(MasterSheet_Repeater_IOKVar,AQ810))</f>
        <v>#REF!</v>
      </c>
      <c r="AS810" s="74">
        <f ca="1">IF(OFFSET(Forside_f_FP_Main1IOKVarTable_start,AQ810,4)="[Enhed]","",OFFSET(Forside_f_FP_Main1IOKVarTable_start,AQ810,4))</f>
        <v>0</v>
      </c>
      <c r="AT810" s="349" t="str">
        <f ca="1">IF(OFFSET(Forside_f_FP_Main1IOKVarTable_start,AQ810,6)=0,"",OFFSET(Forside_f_FP_Main1IOKVarTable_start,AQ810,6))</f>
        <v/>
      </c>
      <c r="AU810" s="349"/>
      <c r="AV810" s="349"/>
      <c r="AW810" s="349"/>
      <c r="AX810" s="48"/>
      <c r="AY810" s="45" t="s">
        <v>1222</v>
      </c>
      <c r="AZ810" s="54"/>
      <c r="BA810" s="55"/>
      <c r="BB810" s="54"/>
      <c r="BC810" s="53"/>
      <c r="BD810" s="53">
        <v>1</v>
      </c>
      <c r="BE810" s="53"/>
      <c r="BF810" s="46">
        <f>SUMPRODUCT(AZ810:BB810,BC810:BE810)</f>
        <v>0</v>
      </c>
      <c r="BG810" s="47">
        <f>BA810</f>
        <v>0</v>
      </c>
      <c r="BH810" s="117"/>
      <c r="BI810" s="118"/>
      <c r="BJ810" s="51">
        <v>1</v>
      </c>
      <c r="BK810" s="46" t="s">
        <v>1367</v>
      </c>
      <c r="BL810" s="46" t="e">
        <f>BK810&amp;AR810</f>
        <v>#REF!</v>
      </c>
      <c r="BM810" s="46">
        <v>1</v>
      </c>
      <c r="BN810" s="46">
        <f>BJ810*BA810*BM810</f>
        <v>0</v>
      </c>
      <c r="BO810" s="46">
        <f>BJ810*BF810*BM810</f>
        <v>0</v>
      </c>
      <c r="BP810" s="46">
        <f>BJ810*BG810*BM810</f>
        <v>0</v>
      </c>
      <c r="BQ810" s="56">
        <f>BJ810*AZ810*BM810</f>
        <v>0</v>
      </c>
      <c r="BR810" s="57">
        <f>BJ810*BB810*BM810</f>
        <v>0</v>
      </c>
      <c r="BS810" s="119"/>
      <c r="BT810" s="120"/>
      <c r="BU810" s="120"/>
      <c r="BV810" s="120"/>
      <c r="BW810" s="120"/>
      <c r="BX810" s="12"/>
      <c r="BY810" s="13"/>
      <c r="CD810" s="111"/>
    </row>
    <row r="811" spans="1:82" ht="16.5" customHeight="1" x14ac:dyDescent="0.2">
      <c r="A811" s="113">
        <f>$A$809+0</f>
        <v>17</v>
      </c>
      <c r="B811" s="113" t="s">
        <v>1455</v>
      </c>
      <c r="C811" s="113" t="s">
        <v>92</v>
      </c>
      <c r="D811" s="113"/>
      <c r="E811" s="113" t="s">
        <v>1444</v>
      </c>
      <c r="F811" s="113"/>
      <c r="G811" s="113" t="s">
        <v>387</v>
      </c>
      <c r="H811" s="113">
        <v>1</v>
      </c>
      <c r="I811" s="113"/>
      <c r="J811" s="113" t="b">
        <f>$H$4</f>
        <v>1</v>
      </c>
      <c r="K811" s="113" t="b">
        <v>1</v>
      </c>
      <c r="L811" s="113"/>
      <c r="M811" s="113"/>
      <c r="N811" s="113"/>
      <c r="O811" s="113" t="str">
        <f>"$B$"&amp;A811</f>
        <v>$B$17</v>
      </c>
      <c r="P811" s="113" t="str">
        <f>"$AL$"&amp;A811</f>
        <v>$AL$17</v>
      </c>
      <c r="Q811" s="113"/>
      <c r="R811" s="113"/>
      <c r="S811" s="113"/>
      <c r="T811" s="113"/>
      <c r="U811" s="113"/>
      <c r="V811" s="113"/>
      <c r="W811" s="113"/>
      <c r="X811" s="113"/>
      <c r="Y811" s="113"/>
      <c r="Z811" s="113"/>
      <c r="AA811" s="113"/>
      <c r="AB811" s="113"/>
      <c r="AC811" s="113"/>
      <c r="AD811" s="113"/>
      <c r="AE811" s="113"/>
      <c r="AF811" s="113"/>
      <c r="AG811" s="113"/>
      <c r="AH811" s="113"/>
      <c r="AI811" s="113"/>
      <c r="AJ811" s="113"/>
      <c r="AK811" s="113"/>
      <c r="AL811" s="113"/>
      <c r="AM811" s="113"/>
      <c r="AN811" s="113"/>
      <c r="AO811" s="113"/>
      <c r="AP811" s="113" t="b">
        <v>1</v>
      </c>
      <c r="AQ811" s="44">
        <f>ROW(AR811)-ROW(Driftmedprojekt_f_DriftmedprojektMain2T1_start)</f>
        <v>795</v>
      </c>
      <c r="AR811" s="73" t="e">
        <f>IF(INDEX(MasterSheet_Repeater_IOKVar,AQ811)="[Navn]","",INDEX(MasterSheet_Repeater_IOKVar,AQ811))</f>
        <v>#REF!</v>
      </c>
      <c r="AS811" s="74">
        <f ca="1">IF(OFFSET(Forside_f_FP_Main1IOKVarTable_start,AQ811,4)="[Enhed]","",OFFSET(Forside_f_FP_Main1IOKVarTable_start,AQ811,4))</f>
        <v>0</v>
      </c>
      <c r="AT811" s="349" t="str">
        <f ca="1">IF(OFFSET(Forside_f_FP_Main1IOKVarTable_start,AQ811,6)=0,"",OFFSET(Forside_f_FP_Main1IOKVarTable_start,AQ811,6))</f>
        <v/>
      </c>
      <c r="AU811" s="349"/>
      <c r="AV811" s="349"/>
      <c r="AW811" s="349"/>
      <c r="AX811" s="48"/>
      <c r="AY811" s="45" t="s">
        <v>1222</v>
      </c>
      <c r="AZ811" s="54"/>
      <c r="BA811" s="55"/>
      <c r="BB811" s="54"/>
      <c r="BC811" s="53"/>
      <c r="BD811" s="53">
        <v>1</v>
      </c>
      <c r="BE811" s="53"/>
      <c r="BF811" s="46">
        <f>SUMPRODUCT(AZ811:BB811,BC811:BE811)</f>
        <v>0</v>
      </c>
      <c r="BG811" s="47">
        <f>BA811</f>
        <v>0</v>
      </c>
      <c r="BH811" s="117"/>
      <c r="BI811" s="118"/>
      <c r="BJ811" s="51">
        <v>1</v>
      </c>
      <c r="BK811" s="46" t="s">
        <v>1367</v>
      </c>
      <c r="BL811" s="46" t="e">
        <f>BK811&amp;AR811</f>
        <v>#REF!</v>
      </c>
      <c r="BM811" s="46">
        <v>1</v>
      </c>
      <c r="BN811" s="46">
        <f>BJ811*BA811*BM811</f>
        <v>0</v>
      </c>
      <c r="BO811" s="46">
        <f>BJ811*BF811*BM811</f>
        <v>0</v>
      </c>
      <c r="BP811" s="46">
        <f>BJ811*BG811*BM811</f>
        <v>0</v>
      </c>
      <c r="BQ811" s="56">
        <f>BJ811*AZ811*BM811</f>
        <v>0</v>
      </c>
      <c r="BR811" s="57">
        <f>BJ811*BB811*BM811</f>
        <v>0</v>
      </c>
      <c r="BS811" s="119"/>
      <c r="BT811" s="120"/>
      <c r="BU811" s="120"/>
      <c r="BV811" s="120"/>
      <c r="BW811" s="120"/>
      <c r="BX811" s="12"/>
      <c r="BY811" s="13"/>
      <c r="CD811" s="111"/>
    </row>
    <row r="812" spans="1:82" ht="16.5" customHeight="1" x14ac:dyDescent="0.2">
      <c r="A812" s="107">
        <f>$O$809+(P809-O809+1)*(H809-1)-1</f>
        <v>17</v>
      </c>
      <c r="B812" s="107" t="s">
        <v>1444</v>
      </c>
      <c r="C812" s="107" t="s">
        <v>663</v>
      </c>
      <c r="D812" s="107" t="s">
        <v>1095</v>
      </c>
      <c r="E812" s="107" t="s">
        <v>1444</v>
      </c>
      <c r="F812" s="107"/>
      <c r="G812" s="107" t="s">
        <v>387</v>
      </c>
      <c r="H812" s="107"/>
      <c r="I812" s="107"/>
      <c r="J812" s="107" t="b">
        <f t="shared" si="83"/>
        <v>1</v>
      </c>
      <c r="K812" s="107"/>
      <c r="L812" s="107"/>
      <c r="M812" s="107"/>
      <c r="N812" s="107"/>
      <c r="O812" s="107"/>
      <c r="P812" s="107"/>
      <c r="Q812" s="107"/>
      <c r="R812" s="107"/>
      <c r="S812" s="107"/>
      <c r="T812" s="107"/>
      <c r="U812" s="107"/>
      <c r="V812" s="107"/>
      <c r="W812" s="107"/>
      <c r="X812" s="107"/>
      <c r="Y812" s="107"/>
      <c r="Z812" s="107"/>
      <c r="AA812" s="107"/>
      <c r="AB812" s="107"/>
      <c r="AC812" s="107"/>
      <c r="AD812" s="107"/>
      <c r="AE812" s="107"/>
      <c r="AF812" s="107"/>
      <c r="AG812" s="107"/>
      <c r="AH812" s="107"/>
      <c r="AI812" s="107"/>
      <c r="AJ812" s="107"/>
      <c r="AK812" s="107"/>
      <c r="AL812" s="107"/>
      <c r="AM812" s="107"/>
      <c r="AN812" s="107"/>
      <c r="AO812" s="107"/>
      <c r="AP812" s="107"/>
      <c r="BW812" s="120"/>
      <c r="BX812" s="12"/>
      <c r="BY812" s="13"/>
      <c r="CD812" s="111"/>
    </row>
    <row r="813" spans="1:82" ht="16.5" customHeight="1" x14ac:dyDescent="0.2">
      <c r="A813" s="109">
        <f>$A$812+2</f>
        <v>19</v>
      </c>
      <c r="B813" s="109" t="s">
        <v>402</v>
      </c>
      <c r="C813" s="109" t="s">
        <v>96</v>
      </c>
      <c r="D813" s="109"/>
      <c r="E813" s="109"/>
      <c r="F813" s="109"/>
      <c r="G813" s="109" t="s">
        <v>387</v>
      </c>
      <c r="H813" s="109"/>
      <c r="I813" s="109" t="s">
        <v>371</v>
      </c>
      <c r="J813" s="109" t="b">
        <f t="shared" si="83"/>
        <v>1</v>
      </c>
      <c r="K813" s="109" t="b">
        <v>1</v>
      </c>
      <c r="L813" s="109"/>
      <c r="M813" s="109"/>
      <c r="N813" s="109" t="s">
        <v>59</v>
      </c>
      <c r="O813" s="109" t="str">
        <f>"$C$"&amp;A813</f>
        <v>$C$19</v>
      </c>
      <c r="P813" s="109" t="str">
        <f>"$D$"&amp;A813</f>
        <v>$D$19</v>
      </c>
      <c r="Q813" s="109">
        <v>20</v>
      </c>
      <c r="R813" s="109">
        <v>1</v>
      </c>
      <c r="S813" s="109"/>
      <c r="T813" s="109">
        <v>27</v>
      </c>
      <c r="U813" s="109" t="b">
        <v>1</v>
      </c>
      <c r="V813" s="109" t="s">
        <v>1351</v>
      </c>
      <c r="W813" s="109" t="s">
        <v>1351</v>
      </c>
      <c r="X813" s="109"/>
      <c r="Y813" s="109"/>
      <c r="Z813" s="109"/>
      <c r="AA813" s="109"/>
      <c r="AB813" s="109"/>
      <c r="AC813" s="109">
        <v>7</v>
      </c>
      <c r="AD813" s="109" t="s">
        <v>105</v>
      </c>
      <c r="AE813" s="109">
        <v>14</v>
      </c>
      <c r="AF813" s="109" t="b">
        <v>1</v>
      </c>
      <c r="AG813" s="109" t="s">
        <v>1355</v>
      </c>
      <c r="AH813" s="109" t="s">
        <v>29</v>
      </c>
      <c r="AI813" s="109" t="s">
        <v>28</v>
      </c>
      <c r="AJ813" s="109"/>
      <c r="AK813" s="109"/>
      <c r="AL813" s="109">
        <v>0</v>
      </c>
      <c r="AM813" s="109"/>
      <c r="AN813" s="109"/>
      <c r="AO813" s="109"/>
      <c r="AP813" s="109"/>
      <c r="AQ813" s="93" t="s">
        <v>371</v>
      </c>
      <c r="CD813" s="111"/>
    </row>
    <row r="814" spans="1:82" ht="16.5" customHeight="1" x14ac:dyDescent="0.2">
      <c r="A814" s="112">
        <f>$A$812+4</f>
        <v>21</v>
      </c>
      <c r="B814" s="112" t="s">
        <v>403</v>
      </c>
      <c r="C814" s="112" t="s">
        <v>90</v>
      </c>
      <c r="D814" s="112"/>
      <c r="E814" s="112"/>
      <c r="F814" s="112"/>
      <c r="G814" s="112" t="s">
        <v>387</v>
      </c>
      <c r="H814" s="112"/>
      <c r="I814" s="112"/>
      <c r="J814" s="112" t="b">
        <f t="shared" si="83"/>
        <v>1</v>
      </c>
      <c r="K814" s="112" t="b">
        <v>1</v>
      </c>
      <c r="L814" s="112"/>
      <c r="M814" s="112"/>
      <c r="N814" s="112"/>
      <c r="O814" s="112" t="str">
        <f>"$B$"&amp;A814</f>
        <v>$B$21</v>
      </c>
      <c r="P814" s="112" t="str">
        <f>"$AL$"&amp;A814+2</f>
        <v>$AL$23</v>
      </c>
      <c r="Q814" s="112"/>
      <c r="R814" s="112"/>
      <c r="S814" s="112"/>
      <c r="T814" s="112"/>
      <c r="U814" s="112"/>
      <c r="V814" s="112"/>
      <c r="W814" s="112"/>
      <c r="X814" s="112"/>
      <c r="Y814" s="112"/>
      <c r="Z814" s="112"/>
      <c r="AA814" s="112"/>
      <c r="AB814" s="112"/>
      <c r="AC814" s="112"/>
      <c r="AD814" s="112"/>
      <c r="AE814" s="112"/>
      <c r="AF814" s="112"/>
      <c r="AG814" s="112"/>
      <c r="AH814" s="112"/>
      <c r="AI814" s="112"/>
      <c r="AJ814" s="112"/>
      <c r="AK814" s="112"/>
      <c r="AL814" s="112"/>
      <c r="AM814" s="112"/>
      <c r="AN814" s="112"/>
      <c r="AO814" s="112"/>
      <c r="AP814" s="112"/>
    </row>
    <row r="815" spans="1:82" ht="16.5" customHeight="1" thickBot="1" x14ac:dyDescent="0.25">
      <c r="A815" s="113">
        <f>$A$814+0</f>
        <v>21</v>
      </c>
      <c r="B815" s="113" t="s">
        <v>404</v>
      </c>
      <c r="C815" s="113" t="s">
        <v>92</v>
      </c>
      <c r="D815" s="113"/>
      <c r="E815" s="113"/>
      <c r="F815" s="113"/>
      <c r="G815" s="113" t="s">
        <v>387</v>
      </c>
      <c r="H815" s="113"/>
      <c r="I815" s="113"/>
      <c r="J815" s="113" t="b">
        <f t="shared" si="83"/>
        <v>1</v>
      </c>
      <c r="K815" s="113" t="b">
        <v>1</v>
      </c>
      <c r="L815" s="113"/>
      <c r="M815" s="113"/>
      <c r="N815" s="113"/>
      <c r="O815" s="113" t="str">
        <f>"$B$"&amp;A815</f>
        <v>$B$21</v>
      </c>
      <c r="P815" s="113" t="str">
        <f>"$AL$"&amp;A815</f>
        <v>$AL$21</v>
      </c>
      <c r="Q815" s="113"/>
      <c r="R815" s="113"/>
      <c r="S815" s="113"/>
      <c r="T815" s="113">
        <v>36</v>
      </c>
      <c r="U815" s="113"/>
      <c r="V815" s="113"/>
      <c r="W815" s="113"/>
      <c r="X815" s="113"/>
      <c r="Y815" s="113"/>
      <c r="Z815" s="113"/>
      <c r="AA815" s="113"/>
      <c r="AB815" s="113"/>
      <c r="AC815" s="113"/>
      <c r="AD815" s="113"/>
      <c r="AE815" s="113"/>
      <c r="AF815" s="113"/>
      <c r="AG815" s="113"/>
      <c r="AH815" s="113"/>
      <c r="AI815" s="113"/>
      <c r="AJ815" s="113"/>
      <c r="AK815" s="113"/>
      <c r="AL815" s="113"/>
      <c r="AM815" s="113"/>
      <c r="AN815" s="113"/>
      <c r="AO815" s="113"/>
      <c r="AP815" s="113" t="b">
        <v>1</v>
      </c>
      <c r="AQ815" s="59" t="s">
        <v>620</v>
      </c>
      <c r="AR815" s="87" t="s">
        <v>291</v>
      </c>
      <c r="AS815" s="60" t="s">
        <v>310</v>
      </c>
      <c r="AT815" s="347" t="s">
        <v>311</v>
      </c>
      <c r="AU815" s="348"/>
      <c r="AV815" s="348"/>
      <c r="AW815" s="348"/>
      <c r="AX815" s="60" t="s">
        <v>1241</v>
      </c>
      <c r="AY815" s="60" t="s">
        <v>1238</v>
      </c>
      <c r="AZ815" s="61" t="s">
        <v>293</v>
      </c>
      <c r="BA815" s="61" t="s">
        <v>621</v>
      </c>
      <c r="BB815" s="61" t="s">
        <v>294</v>
      </c>
      <c r="BC815" s="62" t="s">
        <v>295</v>
      </c>
      <c r="BD815" s="62" t="s">
        <v>296</v>
      </c>
      <c r="BE815" s="62" t="s">
        <v>297</v>
      </c>
      <c r="BF815" s="61" t="s">
        <v>622</v>
      </c>
      <c r="BG815" s="63" t="s">
        <v>623</v>
      </c>
      <c r="BH815" s="117"/>
      <c r="BI815" s="118"/>
      <c r="BJ815" s="31" t="s">
        <v>299</v>
      </c>
      <c r="BK815" s="32" t="s">
        <v>1312</v>
      </c>
      <c r="BL815" s="32" t="s">
        <v>1327</v>
      </c>
      <c r="BM815" s="32" t="s">
        <v>1408</v>
      </c>
      <c r="BN815" s="29" t="s">
        <v>300</v>
      </c>
      <c r="BO815" s="29" t="s">
        <v>301</v>
      </c>
      <c r="BP815" s="29" t="s">
        <v>302</v>
      </c>
      <c r="BQ815" s="33" t="s">
        <v>1336</v>
      </c>
      <c r="BR815" s="33" t="s">
        <v>1337</v>
      </c>
      <c r="BS815" s="42"/>
      <c r="BT815" s="10"/>
      <c r="BU815" s="11"/>
      <c r="BV815" s="10"/>
      <c r="BW815" s="10"/>
      <c r="BX815" s="10"/>
      <c r="BY815" s="10"/>
    </row>
    <row r="816" spans="1:82" ht="16.5" customHeight="1" x14ac:dyDescent="0.2">
      <c r="A816" s="108">
        <f>$A$814+-21</f>
        <v>0</v>
      </c>
      <c r="B816" s="98" t="s">
        <v>1439</v>
      </c>
      <c r="C816" s="98"/>
      <c r="D816" s="98"/>
      <c r="E816" s="98"/>
      <c r="F816" s="98"/>
      <c r="G816" s="98"/>
      <c r="H816" s="98"/>
      <c r="I816" s="98"/>
      <c r="J816" s="98"/>
      <c r="K816" s="98"/>
      <c r="L816" s="98"/>
      <c r="M816" s="98"/>
      <c r="N816" s="98"/>
      <c r="O816" s="98"/>
      <c r="P816" s="98"/>
      <c r="Q816" s="98"/>
      <c r="R816" s="98"/>
      <c r="S816" s="98"/>
      <c r="T816" s="98"/>
      <c r="U816" s="98"/>
      <c r="V816" s="98"/>
      <c r="W816" s="98"/>
      <c r="X816" s="98"/>
      <c r="Y816" s="98"/>
      <c r="Z816" s="98"/>
      <c r="AA816" s="98"/>
      <c r="AB816" s="98"/>
      <c r="AC816" s="98"/>
      <c r="AD816" s="98"/>
      <c r="AE816" s="98"/>
      <c r="AF816" s="98"/>
      <c r="AG816" s="98"/>
      <c r="AH816" s="98"/>
      <c r="AI816" s="98"/>
      <c r="AJ816" s="98"/>
      <c r="AK816" s="98"/>
      <c r="AL816" s="98"/>
      <c r="AM816" s="98"/>
      <c r="AN816" s="98"/>
      <c r="AO816" s="98"/>
      <c r="AP816" s="98"/>
    </row>
    <row r="817" spans="1:77" ht="16.5" customHeight="1" x14ac:dyDescent="0.2">
      <c r="A817" s="113">
        <f>$A$814+1</f>
        <v>22</v>
      </c>
      <c r="B817" s="113" t="s">
        <v>405</v>
      </c>
      <c r="C817" s="113" t="s">
        <v>92</v>
      </c>
      <c r="D817" s="113"/>
      <c r="E817" s="113"/>
      <c r="F817" s="113"/>
      <c r="G817" s="113" t="s">
        <v>387</v>
      </c>
      <c r="H817" s="113"/>
      <c r="I817" s="113"/>
      <c r="J817" s="113" t="b">
        <f t="shared" si="83"/>
        <v>1</v>
      </c>
      <c r="K817" s="113" t="b">
        <v>1</v>
      </c>
      <c r="L817" s="113"/>
      <c r="M817" s="113"/>
      <c r="N817" s="113"/>
      <c r="O817" s="113" t="str">
        <f>"$B$"&amp;A817</f>
        <v>$B$22</v>
      </c>
      <c r="P817" s="113" t="str">
        <f>"$AL$"&amp;A817</f>
        <v>$AL$22</v>
      </c>
      <c r="Q817" s="113"/>
      <c r="R817" s="113"/>
      <c r="S817" s="113"/>
      <c r="T817" s="113"/>
      <c r="U817" s="113"/>
      <c r="V817" s="113"/>
      <c r="W817" s="113"/>
      <c r="X817" s="113"/>
      <c r="Y817" s="113"/>
      <c r="Z817" s="113"/>
      <c r="AA817" s="113"/>
      <c r="AB817" s="113"/>
      <c r="AC817" s="113"/>
      <c r="AD817" s="113"/>
      <c r="AE817" s="113"/>
      <c r="AF817" s="113"/>
      <c r="AG817" s="113"/>
      <c r="AH817" s="113"/>
      <c r="AI817" s="113"/>
      <c r="AJ817" s="113"/>
      <c r="AK817" s="113"/>
      <c r="AL817" s="113"/>
      <c r="AM817" s="113"/>
      <c r="AN817" s="113"/>
      <c r="AO817" s="113"/>
      <c r="AP817" s="113" t="b">
        <v>1</v>
      </c>
      <c r="AQ817" s="44">
        <v>1</v>
      </c>
      <c r="AR817" s="48"/>
      <c r="AS817" s="90" t="s">
        <v>1216</v>
      </c>
      <c r="AT817" s="350"/>
      <c r="AU817" s="351"/>
      <c r="AV817" s="351"/>
      <c r="AW817" s="351"/>
      <c r="AX817" s="48"/>
      <c r="AY817" s="45" t="s">
        <v>1222</v>
      </c>
      <c r="AZ817" s="54"/>
      <c r="BA817" s="55"/>
      <c r="BB817" s="54"/>
      <c r="BC817" s="53"/>
      <c r="BD817" s="53">
        <v>1</v>
      </c>
      <c r="BE817" s="53"/>
      <c r="BF817" s="46">
        <f>SUMPRODUCT(AZ817:BB817,BC817:BE817)</f>
        <v>0</v>
      </c>
      <c r="BG817" s="47">
        <f>BA817</f>
        <v>0</v>
      </c>
      <c r="BH817" s="117"/>
      <c r="BI817" s="118"/>
      <c r="BJ817" s="51">
        <v>1</v>
      </c>
      <c r="BK817" s="46" t="s">
        <v>1368</v>
      </c>
      <c r="BL817" s="46" t="str">
        <f>BK817&amp;AT817</f>
        <v>OVP</v>
      </c>
      <c r="BM817" s="46">
        <v>1</v>
      </c>
      <c r="BN817" s="46">
        <f>BJ817*BA817*BM817</f>
        <v>0</v>
      </c>
      <c r="BO817" s="46">
        <f>BJ817*BF817*BM817</f>
        <v>0</v>
      </c>
      <c r="BP817" s="46">
        <f>BJ817*BG817*BM817</f>
        <v>0</v>
      </c>
      <c r="BQ817" s="56">
        <f>BJ817*AZ817*BM817</f>
        <v>0</v>
      </c>
      <c r="BR817" s="57">
        <f>BJ817*BB817*BM817</f>
        <v>0</v>
      </c>
      <c r="BS817" s="41"/>
      <c r="BT817" s="13"/>
      <c r="BU817" s="12"/>
      <c r="BV817" s="13"/>
      <c r="BW817" s="13"/>
      <c r="BX817" s="13"/>
      <c r="BY817" s="13"/>
    </row>
    <row r="818" spans="1:77" ht="16.5" customHeight="1" x14ac:dyDescent="0.2">
      <c r="A818" s="99">
        <v>0</v>
      </c>
      <c r="B818" s="99" t="s">
        <v>364</v>
      </c>
      <c r="C818" s="99" t="s">
        <v>89</v>
      </c>
      <c r="D818" s="99"/>
      <c r="E818" s="99"/>
      <c r="F818" s="99">
        <v>11</v>
      </c>
      <c r="G818" s="99" t="str">
        <f>B818</f>
        <v>Drift - før projekt</v>
      </c>
      <c r="H818" s="99" t="s">
        <v>1598</v>
      </c>
      <c r="I818" s="99">
        <f>COUNTIF(G:G,B818)</f>
        <v>9</v>
      </c>
      <c r="J818" s="99" t="b">
        <f t="shared" ref="J818:J826" si="84">$H$2</f>
        <v>1</v>
      </c>
      <c r="K818" s="99" t="b">
        <v>1</v>
      </c>
      <c r="L818" s="99"/>
      <c r="M818" s="99"/>
      <c r="N818" s="99"/>
      <c r="O818" s="99"/>
      <c r="P818" s="99"/>
      <c r="Q818" s="99"/>
      <c r="R818" s="99"/>
      <c r="S818" s="99"/>
      <c r="T818" s="99"/>
      <c r="U818" s="99"/>
      <c r="V818" s="99"/>
      <c r="W818" s="99" t="s">
        <v>1358</v>
      </c>
      <c r="X818" s="99"/>
      <c r="Y818" s="99"/>
      <c r="Z818" s="99"/>
      <c r="AA818" s="99"/>
      <c r="AB818" s="99"/>
      <c r="AC818" s="99"/>
      <c r="AD818" s="99"/>
      <c r="AE818" s="99"/>
      <c r="AF818" s="99"/>
      <c r="AG818" s="99"/>
      <c r="AH818" s="99"/>
      <c r="AI818" s="99"/>
      <c r="AJ818" s="99">
        <v>80</v>
      </c>
      <c r="AK818" s="99"/>
      <c r="AL818" s="99"/>
      <c r="AM818" s="99"/>
      <c r="AN818" s="99"/>
      <c r="AO818" s="99"/>
      <c r="AP818" s="99"/>
    </row>
    <row r="819" spans="1:77" ht="16.5" customHeight="1" x14ac:dyDescent="0.2">
      <c r="A819" s="100">
        <f>$A$818+2</f>
        <v>2</v>
      </c>
      <c r="B819" s="100" t="s">
        <v>779</v>
      </c>
      <c r="C819" s="100" t="s">
        <v>649</v>
      </c>
      <c r="D819" s="100"/>
      <c r="E819" s="100"/>
      <c r="F819" s="100"/>
      <c r="G819" s="100" t="s">
        <v>364</v>
      </c>
      <c r="H819" s="100"/>
      <c r="I819" s="100" t="s">
        <v>359</v>
      </c>
      <c r="J819" s="100" t="b">
        <f t="shared" si="84"/>
        <v>1</v>
      </c>
      <c r="K819" s="100" t="b">
        <v>1</v>
      </c>
      <c r="L819" s="100"/>
      <c r="M819" s="100"/>
      <c r="N819" s="100" t="s">
        <v>59</v>
      </c>
      <c r="O819" s="100" t="str">
        <f>"$C$"&amp;A819</f>
        <v>$C$2</v>
      </c>
      <c r="P819" s="100" t="str">
        <f>"$H$"&amp;A819</f>
        <v>$H$2</v>
      </c>
      <c r="Q819" s="100"/>
      <c r="R819" s="100">
        <v>3</v>
      </c>
      <c r="S819" s="100"/>
      <c r="T819" s="100">
        <v>45</v>
      </c>
      <c r="U819" s="100"/>
      <c r="V819" s="100" t="s">
        <v>1351</v>
      </c>
      <c r="W819" s="100"/>
      <c r="X819" s="100"/>
      <c r="Y819" s="100"/>
      <c r="Z819" s="100"/>
      <c r="AA819" s="100"/>
      <c r="AB819" s="100">
        <v>3</v>
      </c>
      <c r="AC819" s="100">
        <v>5</v>
      </c>
      <c r="AD819" s="100" t="s">
        <v>105</v>
      </c>
      <c r="AE819" s="100">
        <v>36</v>
      </c>
      <c r="AF819" s="100" t="b">
        <v>1</v>
      </c>
      <c r="AG819" s="100" t="s">
        <v>1355</v>
      </c>
      <c r="AH819" s="100" t="s">
        <v>29</v>
      </c>
      <c r="AI819" s="100" t="s">
        <v>28</v>
      </c>
      <c r="AJ819" s="100"/>
      <c r="AK819" s="100"/>
      <c r="AL819" s="100">
        <v>0</v>
      </c>
      <c r="AM819" s="100"/>
      <c r="AN819" s="100"/>
      <c r="AO819" s="100"/>
      <c r="AP819" s="100"/>
    </row>
    <row r="820" spans="1:77" ht="16.5" customHeight="1" x14ac:dyDescent="0.2">
      <c r="A820" s="100">
        <f>$A$818+2</f>
        <v>2</v>
      </c>
      <c r="B820" s="100" t="s">
        <v>780</v>
      </c>
      <c r="C820" s="100" t="s">
        <v>649</v>
      </c>
      <c r="D820" s="100"/>
      <c r="E820" s="100"/>
      <c r="F820" s="100"/>
      <c r="G820" s="100" t="s">
        <v>364</v>
      </c>
      <c r="H820" s="100"/>
      <c r="I820" s="100" t="s">
        <v>360</v>
      </c>
      <c r="J820" s="100" t="b">
        <f t="shared" si="84"/>
        <v>1</v>
      </c>
      <c r="K820" s="100" t="b">
        <v>1</v>
      </c>
      <c r="L820" s="100"/>
      <c r="M820" s="100"/>
      <c r="N820" s="100" t="s">
        <v>59</v>
      </c>
      <c r="O820" s="100" t="str">
        <f>"$O$"&amp;A820</f>
        <v>$O$2</v>
      </c>
      <c r="P820" s="100" t="str">
        <f>"$R$"&amp;A820+1</f>
        <v>$R$3</v>
      </c>
      <c r="Q820" s="100"/>
      <c r="R820" s="100">
        <v>3</v>
      </c>
      <c r="S820" s="100"/>
      <c r="T820" s="100"/>
      <c r="U820" s="100" t="b">
        <v>1</v>
      </c>
      <c r="V820" s="100" t="s">
        <v>1342</v>
      </c>
      <c r="W820" s="100" t="s">
        <v>1342</v>
      </c>
      <c r="X820" s="100"/>
      <c r="Y820" s="100"/>
      <c r="Z820" s="100"/>
      <c r="AA820" s="100"/>
      <c r="AB820" s="100">
        <v>3</v>
      </c>
      <c r="AC820" s="100">
        <v>20</v>
      </c>
      <c r="AD820" s="100" t="s">
        <v>105</v>
      </c>
      <c r="AE820" s="100">
        <v>10</v>
      </c>
      <c r="AF820" s="100"/>
      <c r="AG820" s="100" t="s">
        <v>1355</v>
      </c>
      <c r="AH820" s="100" t="s">
        <v>29</v>
      </c>
      <c r="AI820" s="100" t="s">
        <v>28</v>
      </c>
      <c r="AJ820" s="100"/>
      <c r="AK820" s="100"/>
      <c r="AL820" s="100">
        <v>0</v>
      </c>
      <c r="AM820" s="100"/>
      <c r="AN820" s="100"/>
      <c r="AO820" s="100"/>
      <c r="AP820" s="100"/>
    </row>
    <row r="821" spans="1:77" ht="16.5" customHeight="1" x14ac:dyDescent="0.2">
      <c r="A821" s="100">
        <f>$A$818+3</f>
        <v>3</v>
      </c>
      <c r="B821" s="100" t="s">
        <v>781</v>
      </c>
      <c r="C821" s="100" t="s">
        <v>649</v>
      </c>
      <c r="D821" s="100"/>
      <c r="E821" s="100"/>
      <c r="F821" s="100"/>
      <c r="G821" s="100" t="s">
        <v>364</v>
      </c>
      <c r="H821" s="100"/>
      <c r="I821" s="100" t="s">
        <v>361</v>
      </c>
      <c r="J821" s="100" t="b">
        <f t="shared" si="84"/>
        <v>1</v>
      </c>
      <c r="K821" s="100" t="b">
        <v>1</v>
      </c>
      <c r="L821" s="100"/>
      <c r="M821" s="100"/>
      <c r="N821" s="100" t="s">
        <v>59</v>
      </c>
      <c r="O821" s="100" t="str">
        <f>"$C$"&amp;A821</f>
        <v>$C$3</v>
      </c>
      <c r="P821" s="100" t="str">
        <f>"$H$"&amp;A821</f>
        <v>$H$3</v>
      </c>
      <c r="Q821" s="100"/>
      <c r="R821" s="100">
        <v>3</v>
      </c>
      <c r="S821" s="100"/>
      <c r="T821" s="100">
        <v>27</v>
      </c>
      <c r="U821" s="100"/>
      <c r="V821" s="100" t="s">
        <v>1351</v>
      </c>
      <c r="W821" s="100"/>
      <c r="X821" s="100"/>
      <c r="Y821" s="100"/>
      <c r="Z821" s="100"/>
      <c r="AA821" s="100"/>
      <c r="AB821" s="100">
        <v>3</v>
      </c>
      <c r="AC821" s="100">
        <v>5</v>
      </c>
      <c r="AD821" s="100" t="s">
        <v>105</v>
      </c>
      <c r="AE821" s="100">
        <v>18</v>
      </c>
      <c r="AF821" s="100" t="b">
        <v>1</v>
      </c>
      <c r="AG821" s="100" t="s">
        <v>1355</v>
      </c>
      <c r="AH821" s="100" t="s">
        <v>29</v>
      </c>
      <c r="AI821" s="100" t="s">
        <v>28</v>
      </c>
      <c r="AJ821" s="100"/>
      <c r="AK821" s="100"/>
      <c r="AL821" s="100">
        <v>0</v>
      </c>
      <c r="AM821" s="100"/>
      <c r="AN821" s="100"/>
      <c r="AO821" s="100"/>
      <c r="AP821" s="100"/>
    </row>
    <row r="822" spans="1:77" ht="16.5" customHeight="1" x14ac:dyDescent="0.2">
      <c r="A822" s="103">
        <f>$A$818+6</f>
        <v>6</v>
      </c>
      <c r="B822" s="103" t="s">
        <v>782</v>
      </c>
      <c r="C822" s="103" t="s">
        <v>654</v>
      </c>
      <c r="D822" s="103"/>
      <c r="E822" s="103"/>
      <c r="F822" s="103"/>
      <c r="G822" s="103" t="s">
        <v>364</v>
      </c>
      <c r="H822" s="103"/>
      <c r="I822" s="103" t="s">
        <v>362</v>
      </c>
      <c r="J822" s="103" t="b">
        <f t="shared" si="84"/>
        <v>1</v>
      </c>
      <c r="K822" s="103" t="b">
        <v>1</v>
      </c>
      <c r="L822" s="103"/>
      <c r="M822" s="103"/>
      <c r="N822" s="103" t="s">
        <v>59</v>
      </c>
      <c r="O822" s="103" t="str">
        <f>"$C$"&amp;A822</f>
        <v>$C$6</v>
      </c>
      <c r="P822" s="103" t="str">
        <f>"$Y$"&amp;A822</f>
        <v>$Y$6</v>
      </c>
      <c r="Q822" s="103"/>
      <c r="R822" s="103">
        <v>1</v>
      </c>
      <c r="S822" s="103"/>
      <c r="T822" s="103">
        <v>27</v>
      </c>
      <c r="U822" s="103" t="b">
        <v>1</v>
      </c>
      <c r="V822" s="103" t="s">
        <v>1352</v>
      </c>
      <c r="W822" s="103" t="s">
        <v>1352</v>
      </c>
      <c r="X822" s="103"/>
      <c r="Y822" s="103"/>
      <c r="Z822" s="103"/>
      <c r="AA822" s="103"/>
      <c r="AB822" s="103"/>
      <c r="AC822" s="103">
        <v>7</v>
      </c>
      <c r="AD822" s="103" t="s">
        <v>105</v>
      </c>
      <c r="AE822" s="103">
        <v>20</v>
      </c>
      <c r="AF822" s="103" t="b">
        <v>1</v>
      </c>
      <c r="AG822" s="103" t="s">
        <v>1351</v>
      </c>
      <c r="AH822" s="103" t="s">
        <v>29</v>
      </c>
      <c r="AI822" s="103" t="s">
        <v>28</v>
      </c>
      <c r="AJ822" s="103"/>
      <c r="AK822" s="103"/>
      <c r="AL822" s="103">
        <v>0</v>
      </c>
      <c r="AM822" s="103"/>
      <c r="AN822" s="103"/>
      <c r="AO822" s="103"/>
      <c r="AP822" s="103"/>
    </row>
    <row r="823" spans="1:77" ht="16.5" customHeight="1" x14ac:dyDescent="0.2">
      <c r="A823" s="112">
        <f>$A$822+2</f>
        <v>8</v>
      </c>
      <c r="B823" s="112" t="s">
        <v>776</v>
      </c>
      <c r="C823" s="112" t="s">
        <v>90</v>
      </c>
      <c r="D823" s="112"/>
      <c r="E823" s="112"/>
      <c r="F823" s="112"/>
      <c r="G823" s="112" t="s">
        <v>364</v>
      </c>
      <c r="H823" s="112"/>
      <c r="I823" s="112"/>
      <c r="J823" s="112" t="b">
        <f t="shared" si="84"/>
        <v>1</v>
      </c>
      <c r="K823" s="112" t="b">
        <v>1</v>
      </c>
      <c r="L823" s="112"/>
      <c r="M823" s="112"/>
      <c r="N823" s="112"/>
      <c r="O823" s="112" t="str">
        <f>"$B$"&amp;A823</f>
        <v>$B$8</v>
      </c>
      <c r="P823" s="112" t="str">
        <f>"$AL$"&amp;A823+2</f>
        <v>$AL$10</v>
      </c>
      <c r="Q823" s="112"/>
      <c r="R823" s="112"/>
      <c r="S823" s="112"/>
      <c r="T823" s="112"/>
      <c r="U823" s="112"/>
      <c r="V823" s="112"/>
      <c r="W823" s="112"/>
      <c r="X823" s="112"/>
      <c r="Y823" s="112"/>
      <c r="Z823" s="112"/>
      <c r="AA823" s="112"/>
      <c r="AB823" s="112"/>
      <c r="AC823" s="112"/>
      <c r="AD823" s="112"/>
      <c r="AE823" s="112"/>
      <c r="AF823" s="112"/>
      <c r="AG823" s="112"/>
      <c r="AH823" s="112"/>
      <c r="AI823" s="112"/>
      <c r="AJ823" s="112"/>
      <c r="AK823" s="112"/>
      <c r="AL823" s="112"/>
      <c r="AM823" s="112"/>
      <c r="AN823" s="112"/>
      <c r="AO823" s="112"/>
      <c r="AP823" s="112"/>
    </row>
    <row r="824" spans="1:77" ht="16.5" customHeight="1" thickBot="1" x14ac:dyDescent="0.25">
      <c r="A824" s="113">
        <f>$A$823+0</f>
        <v>8</v>
      </c>
      <c r="B824" s="113" t="s">
        <v>777</v>
      </c>
      <c r="C824" s="113" t="s">
        <v>92</v>
      </c>
      <c r="D824" s="113"/>
      <c r="E824" s="113"/>
      <c r="F824" s="113"/>
      <c r="G824" s="113" t="s">
        <v>364</v>
      </c>
      <c r="H824" s="113"/>
      <c r="I824" s="113"/>
      <c r="J824" s="113" t="b">
        <f t="shared" si="84"/>
        <v>1</v>
      </c>
      <c r="K824" s="113" t="b">
        <v>1</v>
      </c>
      <c r="L824" s="113"/>
      <c r="M824" s="113"/>
      <c r="N824" s="113"/>
      <c r="O824" s="113" t="str">
        <f>"$B$"&amp;A824</f>
        <v>$B$8</v>
      </c>
      <c r="P824" s="113" t="str">
        <f>"$AL$"&amp;A824</f>
        <v>$AL$8</v>
      </c>
      <c r="Q824" s="113"/>
      <c r="R824" s="113"/>
      <c r="S824" s="113"/>
      <c r="T824" s="113">
        <v>36</v>
      </c>
      <c r="U824" s="113"/>
      <c r="V824" s="113"/>
      <c r="W824" s="113"/>
      <c r="X824" s="113"/>
      <c r="Y824" s="113"/>
      <c r="Z824" s="113"/>
      <c r="AA824" s="113"/>
      <c r="AB824" s="113"/>
      <c r="AC824" s="113"/>
      <c r="AD824" s="113"/>
      <c r="AE824" s="113"/>
      <c r="AF824" s="113"/>
      <c r="AG824" s="113"/>
      <c r="AH824" s="113"/>
      <c r="AI824" s="113"/>
      <c r="AJ824" s="113"/>
      <c r="AK824" s="113"/>
      <c r="AL824" s="113"/>
      <c r="AM824" s="113"/>
      <c r="AN824" s="113"/>
      <c r="AO824" s="113"/>
      <c r="AP824" s="113" t="b">
        <v>1</v>
      </c>
      <c r="AQ824" s="27" t="s">
        <v>620</v>
      </c>
      <c r="AR824" s="352" t="s">
        <v>291</v>
      </c>
      <c r="AS824" s="353"/>
      <c r="AT824" s="354" t="s">
        <v>363</v>
      </c>
      <c r="AU824" s="355"/>
      <c r="AV824" s="35" t="s">
        <v>292</v>
      </c>
      <c r="AW824" s="117"/>
      <c r="AX824" s="118"/>
      <c r="AY824" s="118"/>
      <c r="AZ824" s="118"/>
      <c r="BA824" s="118"/>
      <c r="BB824" s="118"/>
      <c r="BC824" s="118"/>
      <c r="BD824" s="118"/>
      <c r="BE824" s="118"/>
      <c r="BF824" s="118"/>
      <c r="BG824" s="118"/>
      <c r="BH824" s="118"/>
      <c r="BI824" s="118"/>
      <c r="BJ824" s="31" t="s">
        <v>299</v>
      </c>
      <c r="BK824" s="32" t="s">
        <v>1312</v>
      </c>
      <c r="BL824" s="32" t="s">
        <v>1327</v>
      </c>
      <c r="BM824" s="32" t="s">
        <v>1408</v>
      </c>
      <c r="BN824" s="121"/>
      <c r="BO824" s="122"/>
      <c r="BP824" s="122"/>
      <c r="BQ824" s="122"/>
      <c r="BR824" s="122"/>
      <c r="BS824" s="122"/>
      <c r="BT824" s="122"/>
      <c r="BU824" s="122"/>
      <c r="BV824" s="122"/>
      <c r="BW824" s="122"/>
      <c r="BX824" s="122"/>
      <c r="BY824" s="122"/>
    </row>
    <row r="825" spans="1:77" ht="16.5" customHeight="1" x14ac:dyDescent="0.2">
      <c r="A825" s="108">
        <f>$A$823+-8</f>
        <v>0</v>
      </c>
      <c r="B825" s="98" t="s">
        <v>1439</v>
      </c>
      <c r="C825" s="98"/>
      <c r="D825" s="98"/>
      <c r="E825" s="98"/>
      <c r="F825" s="98"/>
      <c r="G825" s="98"/>
      <c r="H825" s="98"/>
      <c r="I825" s="98"/>
      <c r="J825" s="98"/>
      <c r="K825" s="98"/>
      <c r="L825" s="98"/>
      <c r="M825" s="98"/>
      <c r="N825" s="98"/>
      <c r="O825" s="98"/>
      <c r="P825" s="98"/>
      <c r="Q825" s="98"/>
      <c r="R825" s="98"/>
      <c r="S825" s="98"/>
      <c r="T825" s="98"/>
      <c r="U825" s="98"/>
      <c r="V825" s="98"/>
      <c r="W825" s="98"/>
      <c r="X825" s="98"/>
      <c r="Y825" s="98"/>
      <c r="Z825" s="98"/>
      <c r="AA825" s="98"/>
      <c r="AB825" s="98"/>
      <c r="AC825" s="98"/>
      <c r="AD825" s="98"/>
      <c r="AE825" s="98"/>
      <c r="AF825" s="98"/>
      <c r="AG825" s="98"/>
      <c r="AH825" s="98"/>
      <c r="AI825" s="98"/>
      <c r="AJ825" s="98"/>
      <c r="AK825" s="98"/>
      <c r="AL825" s="98"/>
      <c r="AM825" s="98"/>
      <c r="AN825" s="98"/>
      <c r="AO825" s="98"/>
      <c r="AP825" s="98"/>
    </row>
    <row r="826" spans="1:77" ht="16.5" customHeight="1" x14ac:dyDescent="0.2">
      <c r="A826" s="113">
        <f>$A$823+1</f>
        <v>9</v>
      </c>
      <c r="B826" s="113" t="s">
        <v>778</v>
      </c>
      <c r="C826" s="113" t="s">
        <v>92</v>
      </c>
      <c r="D826" s="113"/>
      <c r="E826" s="113"/>
      <c r="F826" s="113"/>
      <c r="G826" s="113" t="s">
        <v>364</v>
      </c>
      <c r="H826" s="113"/>
      <c r="I826" s="113"/>
      <c r="J826" s="113" t="b">
        <f t="shared" si="84"/>
        <v>1</v>
      </c>
      <c r="K826" s="113" t="b">
        <v>1</v>
      </c>
      <c r="L826" s="113"/>
      <c r="M826" s="113"/>
      <c r="N826" s="113"/>
      <c r="O826" s="113" t="str">
        <f>"$B$"&amp;A826</f>
        <v>$B$9</v>
      </c>
      <c r="P826" s="113" t="str">
        <f>"$AL$"&amp;A826</f>
        <v>$AL$9</v>
      </c>
      <c r="Q826" s="113"/>
      <c r="R826" s="113"/>
      <c r="S826" s="113"/>
      <c r="T826" s="113"/>
      <c r="U826" s="113"/>
      <c r="V826" s="113"/>
      <c r="W826" s="113"/>
      <c r="X826" s="113"/>
      <c r="Y826" s="113"/>
      <c r="Z826" s="113"/>
      <c r="AA826" s="113"/>
      <c r="AB826" s="113"/>
      <c r="AC826" s="113"/>
      <c r="AD826" s="113"/>
      <c r="AE826" s="113"/>
      <c r="AF826" s="113"/>
      <c r="AG826" s="113"/>
      <c r="AH826" s="113"/>
      <c r="AI826" s="113"/>
      <c r="AJ826" s="113"/>
      <c r="AK826" s="113"/>
      <c r="AL826" s="113"/>
      <c r="AM826" s="113"/>
      <c r="AN826" s="113"/>
      <c r="AO826" s="113"/>
      <c r="AP826" s="113" t="b">
        <v>1</v>
      </c>
      <c r="AQ826" s="71">
        <v>1</v>
      </c>
      <c r="AR826" s="356"/>
      <c r="AS826" s="356"/>
      <c r="AT826" s="357"/>
      <c r="AU826" s="358"/>
      <c r="AV826" s="72">
        <v>2013</v>
      </c>
      <c r="AW826" s="118"/>
      <c r="AX826" s="118"/>
      <c r="AY826" s="118"/>
      <c r="AZ826" s="118"/>
      <c r="BA826" s="118"/>
      <c r="BB826" s="118"/>
      <c r="BC826" s="118"/>
      <c r="BD826" s="118"/>
      <c r="BE826" s="118"/>
      <c r="BF826" s="118"/>
      <c r="BG826" s="118"/>
      <c r="BH826" s="118"/>
      <c r="BI826" s="118"/>
      <c r="BJ826" s="69">
        <v>1</v>
      </c>
      <c r="BK826" s="70" t="s">
        <v>1369</v>
      </c>
      <c r="BL826" s="70" t="str">
        <f>BK826</f>
        <v>OKO</v>
      </c>
      <c r="BM826" s="70">
        <f>INDEX(MasterSheet_rng_PLOYearAdjs,MATCH(MasterSheet_Repeater_PloYRep&amp;"-"&amp;AV826,MasterSheet_rng_PLOYearAdjsConcat,0))</f>
        <v>1</v>
      </c>
      <c r="BN826" s="123"/>
      <c r="BO826" s="123"/>
      <c r="BP826" s="123"/>
      <c r="BQ826" s="123"/>
      <c r="BR826" s="123"/>
      <c r="BS826" s="123"/>
      <c r="BT826" s="123"/>
      <c r="BU826" s="123"/>
      <c r="BV826" s="123"/>
      <c r="BW826" s="123"/>
      <c r="BX826" s="123"/>
      <c r="BY826" s="123"/>
    </row>
    <row r="827" spans="1:77" ht="16.5" customHeight="1" x14ac:dyDescent="0.2">
      <c r="A827" s="99">
        <v>0</v>
      </c>
      <c r="B827" s="99" t="s">
        <v>406</v>
      </c>
      <c r="C827" s="99" t="s">
        <v>89</v>
      </c>
      <c r="D827" s="99"/>
      <c r="E827" s="99"/>
      <c r="F827" s="99">
        <v>11</v>
      </c>
      <c r="G827" s="99" t="str">
        <f>B827</f>
        <v>Business casen</v>
      </c>
      <c r="H827" s="99" t="s">
        <v>1607</v>
      </c>
      <c r="I827" s="99">
        <f>COUNTIF(G:G,B827)</f>
        <v>362</v>
      </c>
      <c r="J827" s="99" t="b">
        <f t="shared" ref="J827:J843" si="85">$H$5</f>
        <v>1</v>
      </c>
      <c r="K827" s="99" t="b">
        <v>1</v>
      </c>
      <c r="L827" s="99"/>
      <c r="M827" s="99"/>
      <c r="N827" s="99"/>
      <c r="O827" s="99"/>
      <c r="P827" s="99"/>
      <c r="Q827" s="99"/>
      <c r="R827" s="99"/>
      <c r="S827" s="99"/>
      <c r="T827" s="99"/>
      <c r="U827" s="99"/>
      <c r="V827" s="99"/>
      <c r="W827" s="99" t="s">
        <v>1355</v>
      </c>
      <c r="X827" s="99"/>
      <c r="Y827" s="99"/>
      <c r="Z827" s="99"/>
      <c r="AA827" s="99"/>
      <c r="AB827" s="99"/>
      <c r="AC827" s="99"/>
      <c r="AD827" s="99"/>
      <c r="AE827" s="99"/>
      <c r="AF827" s="99"/>
      <c r="AG827" s="99"/>
      <c r="AH827" s="99"/>
      <c r="AI827" s="99"/>
      <c r="AJ827" s="99">
        <v>80</v>
      </c>
      <c r="AK827" s="99"/>
      <c r="AL827" s="99"/>
      <c r="AM827" s="99"/>
      <c r="AN827" s="99"/>
      <c r="AO827" s="99"/>
      <c r="AP827" s="99"/>
    </row>
    <row r="828" spans="1:77" ht="16.5" customHeight="1" x14ac:dyDescent="0.2">
      <c r="A828" s="112">
        <f>$A$827+2</f>
        <v>2</v>
      </c>
      <c r="B828" s="112" t="s">
        <v>93</v>
      </c>
      <c r="C828" s="112" t="s">
        <v>90</v>
      </c>
      <c r="D828" s="112"/>
      <c r="E828" s="112"/>
      <c r="F828" s="112"/>
      <c r="G828" s="112" t="s">
        <v>406</v>
      </c>
      <c r="H828" s="112"/>
      <c r="I828" s="112"/>
      <c r="J828" s="112" t="b">
        <f t="shared" si="85"/>
        <v>1</v>
      </c>
      <c r="K828" s="112" t="b">
        <v>1</v>
      </c>
      <c r="L828" s="112"/>
      <c r="M828" s="112"/>
      <c r="N828" s="112"/>
      <c r="O828" s="112" t="str">
        <f>"$B$"&amp;A828</f>
        <v>$B$2</v>
      </c>
      <c r="P828" s="112" t="str">
        <f>"$S$"&amp;A828</f>
        <v>$S$2</v>
      </c>
      <c r="Q828" s="112"/>
      <c r="R828" s="112"/>
      <c r="S828" s="112"/>
      <c r="T828" s="112"/>
      <c r="U828" s="112"/>
      <c r="V828" s="112"/>
      <c r="W828" s="112"/>
      <c r="X828" s="112"/>
      <c r="Y828" s="112"/>
      <c r="Z828" s="112"/>
      <c r="AA828" s="112"/>
      <c r="AB828" s="112"/>
      <c r="AC828" s="112"/>
      <c r="AD828" s="112" t="s">
        <v>105</v>
      </c>
      <c r="AE828" s="112">
        <v>44</v>
      </c>
      <c r="AF828" s="112" t="b">
        <v>1</v>
      </c>
      <c r="AG828" s="112" t="s">
        <v>1355</v>
      </c>
      <c r="AH828" s="112" t="s">
        <v>27</v>
      </c>
      <c r="AI828" s="112" t="s">
        <v>28</v>
      </c>
      <c r="AJ828" s="112"/>
      <c r="AK828" s="112"/>
      <c r="AL828" s="112"/>
      <c r="AM828" s="112"/>
      <c r="AN828" s="112"/>
      <c r="AO828" s="112"/>
      <c r="AP828" s="112"/>
    </row>
    <row r="829" spans="1:77" ht="16.5" customHeight="1" x14ac:dyDescent="0.2">
      <c r="A829" s="109">
        <f>$A$828+0</f>
        <v>2</v>
      </c>
      <c r="B829" s="109" t="s">
        <v>94</v>
      </c>
      <c r="C829" s="109" t="s">
        <v>96</v>
      </c>
      <c r="D829" s="109"/>
      <c r="E829" s="109"/>
      <c r="F829" s="109"/>
      <c r="G829" s="109" t="s">
        <v>406</v>
      </c>
      <c r="H829" s="109"/>
      <c r="I829" s="109"/>
      <c r="J829" s="109" t="b">
        <f t="shared" si="85"/>
        <v>1</v>
      </c>
      <c r="K829" s="109" t="b">
        <v>1</v>
      </c>
      <c r="L829" s="109"/>
      <c r="M829" s="109"/>
      <c r="N829" s="109"/>
      <c r="O829" s="109" t="str">
        <f>"$B$"&amp;A829</f>
        <v>$B$2</v>
      </c>
      <c r="P829" s="109" t="s">
        <v>109</v>
      </c>
      <c r="Q829" s="109"/>
      <c r="R829" s="109"/>
      <c r="S829" s="109"/>
      <c r="T829" s="109">
        <v>40</v>
      </c>
      <c r="U829" s="109"/>
      <c r="V829" s="109"/>
      <c r="W829" s="109"/>
      <c r="X829" s="109"/>
      <c r="Y829" s="109"/>
      <c r="Z829" s="109"/>
      <c r="AA829" s="109"/>
      <c r="AB829" s="109"/>
      <c r="AC829" s="109"/>
      <c r="AD829" s="109"/>
      <c r="AE829" s="109"/>
      <c r="AF829" s="109"/>
      <c r="AG829" s="109"/>
      <c r="AH829" s="109"/>
      <c r="AI829" s="109"/>
      <c r="AJ829" s="109"/>
      <c r="AK829" s="109"/>
      <c r="AL829" s="109"/>
      <c r="AM829" s="109"/>
      <c r="AN829" s="109"/>
      <c r="AO829" s="109"/>
      <c r="AP829" s="109" t="b">
        <v>1</v>
      </c>
      <c r="AQ829" s="172" t="s">
        <v>67</v>
      </c>
    </row>
    <row r="830" spans="1:77" ht="16.5" customHeight="1" x14ac:dyDescent="0.2">
      <c r="A830" s="109">
        <f>$A$828+0</f>
        <v>2</v>
      </c>
      <c r="B830" s="109" t="s">
        <v>95</v>
      </c>
      <c r="C830" s="109" t="s">
        <v>96</v>
      </c>
      <c r="D830" s="109"/>
      <c r="E830" s="109"/>
      <c r="F830" s="109"/>
      <c r="G830" s="109" t="s">
        <v>406</v>
      </c>
      <c r="H830" s="109"/>
      <c r="I830" s="109"/>
      <c r="J830" s="109" t="b">
        <f t="shared" si="85"/>
        <v>1</v>
      </c>
      <c r="K830" s="109" t="b">
        <v>1</v>
      </c>
      <c r="L830" s="109"/>
      <c r="M830" s="109"/>
      <c r="N830" s="109"/>
      <c r="O830" s="109" t="str">
        <f>"$S$"&amp;A830</f>
        <v>$S$2</v>
      </c>
      <c r="P830" s="109" t="str">
        <f>"$S$"&amp;A830</f>
        <v>$S$2</v>
      </c>
      <c r="Q830" s="109"/>
      <c r="R830" s="109"/>
      <c r="S830" s="109"/>
      <c r="T830" s="109">
        <v>40</v>
      </c>
      <c r="U830" s="109"/>
      <c r="V830" s="109"/>
      <c r="W830" s="109"/>
      <c r="X830" s="109"/>
      <c r="Y830" s="109"/>
      <c r="Z830" s="109"/>
      <c r="AA830" s="109"/>
      <c r="AB830" s="109"/>
      <c r="AC830" s="109"/>
      <c r="AD830" s="109"/>
      <c r="AE830" s="109"/>
      <c r="AF830" s="109"/>
      <c r="AG830" s="109"/>
      <c r="AH830" s="109"/>
      <c r="AI830" s="109" t="s">
        <v>31</v>
      </c>
      <c r="AJ830" s="109"/>
      <c r="AK830" s="109"/>
      <c r="AL830" s="109"/>
      <c r="AM830" s="109"/>
      <c r="AN830" s="109"/>
      <c r="AO830" s="109"/>
      <c r="AP830" s="109" t="b">
        <v>1</v>
      </c>
      <c r="AQ830" s="173" t="str">
        <f>MasterSheet_Repeater_SP_StamdataT1Rep</f>
        <v>[Projektnavn / programnavn]</v>
      </c>
    </row>
    <row r="831" spans="1:77" ht="16.5" customHeight="1" x14ac:dyDescent="0.2">
      <c r="A831" s="112">
        <f>$A$828+4</f>
        <v>6</v>
      </c>
      <c r="B831" s="112" t="s">
        <v>97</v>
      </c>
      <c r="C831" s="112" t="s">
        <v>90</v>
      </c>
      <c r="D831" s="112"/>
      <c r="E831" s="112"/>
      <c r="F831" s="112"/>
      <c r="G831" s="112" t="s">
        <v>406</v>
      </c>
      <c r="H831" s="112"/>
      <c r="I831" s="112"/>
      <c r="J831" s="112" t="b">
        <f t="shared" si="85"/>
        <v>1</v>
      </c>
      <c r="K831" s="112" t="b">
        <v>1</v>
      </c>
      <c r="L831" s="112"/>
      <c r="M831" s="112"/>
      <c r="N831" s="112"/>
      <c r="O831" s="112" t="str">
        <f t="shared" ref="O831:O842" si="86">"$B$"&amp;A831</f>
        <v>$B$6</v>
      </c>
      <c r="P831" s="112" t="str">
        <f>"$S$"&amp;A842</f>
        <v>$S$16</v>
      </c>
      <c r="Q831" s="112"/>
      <c r="R831" s="112"/>
      <c r="S831" s="112"/>
      <c r="T831" s="112"/>
      <c r="U831" s="112"/>
      <c r="V831" s="112"/>
      <c r="W831" s="112"/>
      <c r="X831" s="112"/>
      <c r="Y831" s="112"/>
      <c r="Z831" s="112"/>
      <c r="AA831" s="112"/>
      <c r="AB831" s="112"/>
      <c r="AC831" s="112"/>
      <c r="AD831" s="112" t="s">
        <v>105</v>
      </c>
      <c r="AE831" s="112">
        <v>12</v>
      </c>
      <c r="AF831" s="112" t="b">
        <v>1</v>
      </c>
      <c r="AG831" s="112" t="s">
        <v>1355</v>
      </c>
      <c r="AH831" s="112" t="s">
        <v>27</v>
      </c>
      <c r="AI831" s="112" t="s">
        <v>28</v>
      </c>
      <c r="AJ831" s="112"/>
      <c r="AK831" s="112"/>
      <c r="AL831" s="112"/>
      <c r="AM831" s="112"/>
      <c r="AN831" s="112"/>
      <c r="AO831" s="112"/>
      <c r="AP831" s="112"/>
    </row>
    <row r="832" spans="1:77" ht="16.5" customHeight="1" thickBot="1" x14ac:dyDescent="0.25">
      <c r="A832" s="113">
        <f>$A$831+0</f>
        <v>6</v>
      </c>
      <c r="B832" s="113" t="s">
        <v>947</v>
      </c>
      <c r="C832" s="113" t="s">
        <v>92</v>
      </c>
      <c r="D832" s="113"/>
      <c r="E832" s="113"/>
      <c r="F832" s="113"/>
      <c r="G832" s="113" t="s">
        <v>406</v>
      </c>
      <c r="H832" s="113"/>
      <c r="I832" s="113"/>
      <c r="J832" s="113" t="b">
        <f t="shared" si="85"/>
        <v>1</v>
      </c>
      <c r="K832" s="113" t="b">
        <v>1</v>
      </c>
      <c r="L832" s="113"/>
      <c r="M832" s="113"/>
      <c r="N832" s="113"/>
      <c r="O832" s="113" t="str">
        <f t="shared" si="86"/>
        <v>$B$6</v>
      </c>
      <c r="P832" s="113" t="str">
        <f t="shared" ref="P832:P842" si="87">"$S$"&amp;A832</f>
        <v>$S$6</v>
      </c>
      <c r="Q832" s="113"/>
      <c r="R832" s="113"/>
      <c r="S832" s="113"/>
      <c r="T832" s="113">
        <v>52</v>
      </c>
      <c r="U832" s="113"/>
      <c r="V832" s="113"/>
      <c r="W832" s="113"/>
      <c r="X832" s="113"/>
      <c r="Y832" s="113"/>
      <c r="Z832" s="113"/>
      <c r="AA832" s="113"/>
      <c r="AB832" s="113"/>
      <c r="AC832" s="113"/>
      <c r="AD832" s="113"/>
      <c r="AE832" s="113"/>
      <c r="AF832" s="113"/>
      <c r="AG832" s="113"/>
      <c r="AH832" s="113"/>
      <c r="AI832" s="113"/>
      <c r="AJ832" s="113"/>
      <c r="AK832" s="113"/>
      <c r="AL832" s="113">
        <v>1</v>
      </c>
      <c r="AM832" s="113"/>
      <c r="AN832" s="113"/>
      <c r="AO832" s="113"/>
      <c r="AP832" s="113" t="b">
        <v>1</v>
      </c>
      <c r="AQ832" s="372" t="s">
        <v>68</v>
      </c>
      <c r="AR832" s="372"/>
      <c r="AS832" s="372"/>
      <c r="AT832" s="124"/>
      <c r="AU832" s="124"/>
      <c r="AV832" s="125"/>
      <c r="AW832" s="125"/>
      <c r="AX832" s="125"/>
      <c r="AY832" s="125"/>
      <c r="AZ832" s="125"/>
      <c r="BA832" s="373" t="s">
        <v>407</v>
      </c>
      <c r="BB832" s="373"/>
      <c r="BC832" s="373"/>
      <c r="BD832" s="373"/>
      <c r="BE832" s="373" t="s">
        <v>408</v>
      </c>
      <c r="BF832" s="373"/>
      <c r="BG832" s="373"/>
      <c r="BH832" s="373"/>
    </row>
    <row r="833" spans="1:60" ht="16.5" customHeight="1" thickBot="1" x14ac:dyDescent="0.25">
      <c r="A833" s="113">
        <f>$A$831+1</f>
        <v>7</v>
      </c>
      <c r="B833" s="113" t="s">
        <v>948</v>
      </c>
      <c r="C833" s="113" t="s">
        <v>92</v>
      </c>
      <c r="D833" s="113"/>
      <c r="E833" s="113"/>
      <c r="F833" s="113"/>
      <c r="G833" s="113" t="s">
        <v>406</v>
      </c>
      <c r="H833" s="113"/>
      <c r="I833" s="113"/>
      <c r="J833" s="113" t="b">
        <f t="shared" si="85"/>
        <v>1</v>
      </c>
      <c r="K833" s="113" t="b">
        <v>1</v>
      </c>
      <c r="L833" s="113"/>
      <c r="M833" s="113"/>
      <c r="N833" s="113"/>
      <c r="O833" s="113" t="str">
        <f t="shared" si="86"/>
        <v>$B$7</v>
      </c>
      <c r="P833" s="113" t="str">
        <f t="shared" si="87"/>
        <v>$S$7</v>
      </c>
      <c r="Q833" s="113"/>
      <c r="R833" s="113"/>
      <c r="S833" s="113"/>
      <c r="T833" s="113">
        <v>20</v>
      </c>
      <c r="U833" s="113"/>
      <c r="V833" s="113"/>
      <c r="W833" s="113"/>
      <c r="X833" s="113"/>
      <c r="Y833" s="113"/>
      <c r="Z833" s="113"/>
      <c r="AA833" s="113"/>
      <c r="AB833" s="113"/>
      <c r="AC833" s="113"/>
      <c r="AD833" s="113"/>
      <c r="AE833" s="113"/>
      <c r="AF833" s="113"/>
      <c r="AG833" s="113"/>
      <c r="AH833" s="113"/>
      <c r="AI833" s="113"/>
      <c r="AJ833" s="113"/>
      <c r="AK833" s="113"/>
      <c r="AL833" s="113">
        <v>1</v>
      </c>
      <c r="AM833" s="113"/>
      <c r="AN833" s="113"/>
      <c r="AO833" s="113"/>
      <c r="AP833" s="113" t="b">
        <v>1</v>
      </c>
      <c r="AQ833" s="374" t="str">
        <f>MasterSheet_Repeater_SP_StamdataT1Rep</f>
        <v>[Projektnavn / programnavn]</v>
      </c>
      <c r="AR833" s="375"/>
      <c r="AS833" s="376"/>
      <c r="AV833" s="92"/>
      <c r="AW833" s="92"/>
      <c r="AX833" s="92"/>
      <c r="AY833" s="92"/>
      <c r="AZ833" s="92"/>
      <c r="BA833" s="92"/>
      <c r="BB833" s="92"/>
      <c r="BC833" s="92"/>
      <c r="BD833" s="92"/>
      <c r="BE833" s="92"/>
      <c r="BF833" s="92"/>
      <c r="BG833" s="92"/>
      <c r="BH833" s="92"/>
    </row>
    <row r="834" spans="1:60" ht="16.5" customHeight="1" thickBot="1" x14ac:dyDescent="0.25">
      <c r="A834" s="113">
        <f>$A$831+2</f>
        <v>8</v>
      </c>
      <c r="B834" s="113" t="s">
        <v>949</v>
      </c>
      <c r="C834" s="113" t="s">
        <v>92</v>
      </c>
      <c r="D834" s="113"/>
      <c r="E834" s="113"/>
      <c r="F834" s="113"/>
      <c r="G834" s="113" t="s">
        <v>406</v>
      </c>
      <c r="H834" s="113"/>
      <c r="I834" s="113"/>
      <c r="J834" s="113" t="b">
        <f t="shared" si="85"/>
        <v>1</v>
      </c>
      <c r="K834" s="113" t="b">
        <v>1</v>
      </c>
      <c r="L834" s="113"/>
      <c r="M834" s="113"/>
      <c r="N834" s="113"/>
      <c r="O834" s="113" t="str">
        <f t="shared" si="86"/>
        <v>$B$8</v>
      </c>
      <c r="P834" s="113" t="str">
        <f t="shared" si="87"/>
        <v>$S$8</v>
      </c>
      <c r="Q834" s="113"/>
      <c r="R834" s="113"/>
      <c r="S834" s="113"/>
      <c r="T834" s="113">
        <v>20</v>
      </c>
      <c r="U834" s="113"/>
      <c r="V834" s="113"/>
      <c r="W834" s="113"/>
      <c r="X834" s="113"/>
      <c r="Y834" s="113"/>
      <c r="Z834" s="113"/>
      <c r="AA834" s="113"/>
      <c r="AB834" s="113"/>
      <c r="AC834" s="113"/>
      <c r="AD834" s="113"/>
      <c r="AE834" s="113"/>
      <c r="AF834" s="113"/>
      <c r="AG834" s="113"/>
      <c r="AH834" s="113"/>
      <c r="AI834" s="113"/>
      <c r="AJ834" s="113"/>
      <c r="AK834" s="113"/>
      <c r="AL834" s="113">
        <v>1</v>
      </c>
      <c r="AM834" s="113"/>
      <c r="AN834" s="113"/>
      <c r="AO834" s="113"/>
      <c r="AP834" s="113" t="b">
        <v>1</v>
      </c>
      <c r="AQ834" s="380" t="str">
        <f>MasterSheet_Repeater_SP_StamdataT2Rep</f>
        <v>[Journaliseringsnummer]</v>
      </c>
      <c r="AR834" s="381"/>
      <c r="AS834" s="382"/>
      <c r="AV834" s="377" t="s">
        <v>409</v>
      </c>
      <c r="AW834" s="377"/>
      <c r="AX834" s="377"/>
      <c r="AY834" s="377"/>
      <c r="AZ834" s="377"/>
      <c r="BA834" s="383">
        <f ca="1">OFFSET(Businesscasen_f_BCM_Table4_start,MATCH("1. Nettonutidsværdi",OFFSET(Businesscasen_f_BCM_Table4_start,0,0,ROWS(Businesscasen_f_BCM_Table4_start:Businesscasen_f_BCM_Table4_end),1),0)-1,2)</f>
        <v>0</v>
      </c>
      <c r="BB834" s="383">
        <f ca="1">OFFSET(Businesscasen_f_BCM_Table4_start,MATCH("1. Nettonutidsværdi",OFFSET(Businesscasen_f_BCM_Table4_start,0,0,ROWS(Businesscasen_f_BCM_Table4_start:Businesscasen_f_BCM_Table4_end),1),0)-1,2)</f>
        <v>0</v>
      </c>
      <c r="BC834" s="379" t="s">
        <v>410</v>
      </c>
      <c r="BD834" s="379"/>
      <c r="BE834" s="384">
        <f ca="1">NPV(MasterSheet_f_NPVDiscount,OFFSET(Businesscasen_f_BCM_subcat18_Table1_start,32,4,1,57))</f>
        <v>0</v>
      </c>
      <c r="BF834" s="384"/>
      <c r="BG834" s="385" t="s">
        <v>70</v>
      </c>
      <c r="BH834" s="385"/>
    </row>
    <row r="835" spans="1:60" ht="16.5" customHeight="1" thickBot="1" x14ac:dyDescent="0.25">
      <c r="A835" s="113">
        <f>$A$831+3</f>
        <v>9</v>
      </c>
      <c r="B835" s="113" t="s">
        <v>950</v>
      </c>
      <c r="C835" s="113" t="s">
        <v>92</v>
      </c>
      <c r="D835" s="113"/>
      <c r="E835" s="113"/>
      <c r="F835" s="113"/>
      <c r="G835" s="113" t="s">
        <v>406</v>
      </c>
      <c r="H835" s="113"/>
      <c r="I835" s="113"/>
      <c r="J835" s="113" t="b">
        <f t="shared" si="85"/>
        <v>1</v>
      </c>
      <c r="K835" s="113" t="b">
        <v>1</v>
      </c>
      <c r="L835" s="113"/>
      <c r="M835" s="113"/>
      <c r="N835" s="113"/>
      <c r="O835" s="113" t="str">
        <f t="shared" si="86"/>
        <v>$B$9</v>
      </c>
      <c r="P835" s="113" t="str">
        <f t="shared" si="87"/>
        <v>$S$9</v>
      </c>
      <c r="Q835" s="113"/>
      <c r="R835" s="113"/>
      <c r="S835" s="113"/>
      <c r="T835" s="113">
        <v>20</v>
      </c>
      <c r="U835" s="113"/>
      <c r="V835" s="113"/>
      <c r="W835" s="113"/>
      <c r="X835" s="113"/>
      <c r="Y835" s="113"/>
      <c r="Z835" s="113"/>
      <c r="AA835" s="113"/>
      <c r="AB835" s="113"/>
      <c r="AC835" s="113"/>
      <c r="AD835" s="113"/>
      <c r="AE835" s="113"/>
      <c r="AF835" s="113"/>
      <c r="AG835" s="113"/>
      <c r="AH835" s="113"/>
      <c r="AI835" s="113"/>
      <c r="AJ835" s="113"/>
      <c r="AK835" s="113"/>
      <c r="AL835" s="113">
        <v>1</v>
      </c>
      <c r="AM835" s="113"/>
      <c r="AN835" s="113"/>
      <c r="AO835" s="113"/>
      <c r="AP835" s="113" t="b">
        <v>1</v>
      </c>
      <c r="AQ835" s="374" t="str">
        <f>MasterSheet_Repeater_SP_StamdataT3Rep</f>
        <v>[Projektleder / programleder]</v>
      </c>
      <c r="AR835" s="375"/>
      <c r="AS835" s="376"/>
      <c r="AV835" s="377"/>
      <c r="AW835" s="377"/>
      <c r="AX835" s="377"/>
      <c r="AY835" s="377"/>
      <c r="AZ835" s="377"/>
      <c r="BA835" s="378"/>
      <c r="BB835" s="378"/>
      <c r="BC835" s="379"/>
      <c r="BD835" s="379"/>
      <c r="BE835" s="378"/>
      <c r="BF835" s="378"/>
      <c r="BG835" s="377"/>
      <c r="BH835" s="377"/>
    </row>
    <row r="836" spans="1:60" ht="16.5" customHeight="1" thickBot="1" x14ac:dyDescent="0.25">
      <c r="A836" s="113">
        <f>$A$831+4</f>
        <v>10</v>
      </c>
      <c r="B836" s="113" t="s">
        <v>951</v>
      </c>
      <c r="C836" s="113" t="s">
        <v>92</v>
      </c>
      <c r="D836" s="113"/>
      <c r="E836" s="113"/>
      <c r="F836" s="113"/>
      <c r="G836" s="113" t="s">
        <v>406</v>
      </c>
      <c r="H836" s="113"/>
      <c r="I836" s="113"/>
      <c r="J836" s="113" t="b">
        <f t="shared" si="85"/>
        <v>1</v>
      </c>
      <c r="K836" s="113" t="b">
        <v>1</v>
      </c>
      <c r="L836" s="113"/>
      <c r="M836" s="113"/>
      <c r="N836" s="113"/>
      <c r="O836" s="113" t="str">
        <f t="shared" si="86"/>
        <v>$B$10</v>
      </c>
      <c r="P836" s="113" t="str">
        <f t="shared" si="87"/>
        <v>$S$10</v>
      </c>
      <c r="Q836" s="113"/>
      <c r="R836" s="113"/>
      <c r="S836" s="113"/>
      <c r="T836" s="113">
        <v>20</v>
      </c>
      <c r="U836" s="113"/>
      <c r="V836" s="113"/>
      <c r="W836" s="113"/>
      <c r="X836" s="113"/>
      <c r="Y836" s="113"/>
      <c r="Z836" s="113"/>
      <c r="AA836" s="113"/>
      <c r="AB836" s="113"/>
      <c r="AC836" s="113"/>
      <c r="AD836" s="113"/>
      <c r="AE836" s="113"/>
      <c r="AF836" s="113"/>
      <c r="AG836" s="113"/>
      <c r="AH836" s="113"/>
      <c r="AI836" s="113"/>
      <c r="AJ836" s="113"/>
      <c r="AK836" s="113"/>
      <c r="AL836" s="113">
        <v>1</v>
      </c>
      <c r="AM836" s="113"/>
      <c r="AN836" s="113"/>
      <c r="AO836" s="113"/>
      <c r="AP836" s="113" t="b">
        <v>1</v>
      </c>
      <c r="AQ836" s="380" t="str">
        <f t="shared" ref="AQ836" ca="1" si="88">IFERROR(INDIRECT("MasterSheet_f_FP_StamdataG1_VS",TRUE),"#Projektets primære formål")</f>
        <v>Effektivisering</v>
      </c>
      <c r="AR836" s="381"/>
      <c r="AS836" s="382"/>
      <c r="AV836" s="377"/>
      <c r="AW836" s="377"/>
      <c r="AX836" s="377"/>
      <c r="AY836" s="377"/>
      <c r="AZ836" s="377"/>
      <c r="BA836" s="378"/>
      <c r="BB836" s="378"/>
      <c r="BC836" s="379"/>
      <c r="BD836" s="379"/>
      <c r="BE836" s="378"/>
      <c r="BF836" s="378"/>
      <c r="BG836" s="377"/>
      <c r="BH836" s="377"/>
    </row>
    <row r="837" spans="1:60" ht="16.5" customHeight="1" thickBot="1" x14ac:dyDescent="0.25">
      <c r="A837" s="113">
        <f>$A$831+5</f>
        <v>11</v>
      </c>
      <c r="B837" s="113" t="s">
        <v>952</v>
      </c>
      <c r="C837" s="113" t="s">
        <v>92</v>
      </c>
      <c r="D837" s="113"/>
      <c r="E837" s="113"/>
      <c r="F837" s="113"/>
      <c r="G837" s="113" t="s">
        <v>406</v>
      </c>
      <c r="H837" s="113"/>
      <c r="I837" s="113"/>
      <c r="J837" s="113" t="b">
        <f t="shared" si="85"/>
        <v>1</v>
      </c>
      <c r="K837" s="113" t="b">
        <v>1</v>
      </c>
      <c r="L837" s="113"/>
      <c r="M837" s="113"/>
      <c r="N837" s="113"/>
      <c r="O837" s="113" t="str">
        <f t="shared" si="86"/>
        <v>$B$11</v>
      </c>
      <c r="P837" s="113" t="str">
        <f t="shared" si="87"/>
        <v>$S$11</v>
      </c>
      <c r="Q837" s="113"/>
      <c r="R837" s="113"/>
      <c r="S837" s="113"/>
      <c r="T837" s="113">
        <v>20</v>
      </c>
      <c r="U837" s="113"/>
      <c r="V837" s="113"/>
      <c r="W837" s="113"/>
      <c r="X837" s="113"/>
      <c r="Y837" s="113"/>
      <c r="Z837" s="113"/>
      <c r="AA837" s="113"/>
      <c r="AB837" s="113"/>
      <c r="AC837" s="113"/>
      <c r="AD837" s="113"/>
      <c r="AE837" s="113"/>
      <c r="AF837" s="113"/>
      <c r="AG837" s="113"/>
      <c r="AH837" s="113"/>
      <c r="AI837" s="113"/>
      <c r="AJ837" s="113"/>
      <c r="AK837" s="113"/>
      <c r="AL837" s="113">
        <v>1</v>
      </c>
      <c r="AM837" s="113"/>
      <c r="AN837" s="113"/>
      <c r="AO837" s="113"/>
      <c r="AP837" s="113" t="b">
        <v>1</v>
      </c>
      <c r="AQ837" s="386" t="str">
        <f t="shared" ref="AQ837" ca="1" si="89">IFERROR(INDIRECT("MasterSheet_f_FP_StamdataG2_VS",TRUE),"#Nuværende fase")</f>
        <v>Analyse</v>
      </c>
      <c r="AR837" s="387"/>
      <c r="AS837" s="388"/>
      <c r="AV837" s="377"/>
      <c r="AW837" s="377"/>
      <c r="AX837" s="377"/>
      <c r="AY837" s="377"/>
      <c r="AZ837" s="377"/>
      <c r="BA837" s="378"/>
      <c r="BB837" s="378"/>
      <c r="BC837" s="379"/>
      <c r="BD837" s="379"/>
      <c r="BE837" s="378"/>
      <c r="BF837" s="378"/>
      <c r="BG837" s="377"/>
      <c r="BH837" s="377"/>
    </row>
    <row r="838" spans="1:60" ht="16.5" customHeight="1" x14ac:dyDescent="0.2">
      <c r="A838" s="113">
        <f>$A$831+6</f>
        <v>12</v>
      </c>
      <c r="B838" s="113" t="s">
        <v>952</v>
      </c>
      <c r="C838" s="113" t="s">
        <v>92</v>
      </c>
      <c r="D838" s="113"/>
      <c r="E838" s="113"/>
      <c r="F838" s="113"/>
      <c r="G838" s="113" t="s">
        <v>406</v>
      </c>
      <c r="H838" s="113"/>
      <c r="I838" s="113"/>
      <c r="J838" s="113" t="b">
        <f t="shared" si="85"/>
        <v>1</v>
      </c>
      <c r="K838" s="113" t="b">
        <v>1</v>
      </c>
      <c r="L838" s="113"/>
      <c r="M838" s="113"/>
      <c r="N838" s="113"/>
      <c r="O838" s="113" t="str">
        <f t="shared" si="86"/>
        <v>$B$12</v>
      </c>
      <c r="P838" s="113" t="str">
        <f t="shared" si="87"/>
        <v>$S$12</v>
      </c>
      <c r="Q838" s="113"/>
      <c r="R838" s="113"/>
      <c r="S838" s="113"/>
      <c r="T838" s="113">
        <v>20</v>
      </c>
      <c r="U838" s="113"/>
      <c r="V838" s="113"/>
      <c r="W838" s="113"/>
      <c r="X838" s="113"/>
      <c r="Y838" s="113"/>
      <c r="Z838" s="113"/>
      <c r="AA838" s="113"/>
      <c r="AB838" s="113"/>
      <c r="AC838" s="113"/>
      <c r="AD838" s="113"/>
      <c r="AE838" s="113"/>
      <c r="AF838" s="113"/>
      <c r="AG838" s="113"/>
      <c r="AH838" s="113"/>
      <c r="AI838" s="113"/>
      <c r="AJ838" s="113"/>
      <c r="AK838" s="113"/>
      <c r="AL838" s="113">
        <v>1</v>
      </c>
      <c r="AM838" s="113"/>
      <c r="AN838" s="113"/>
      <c r="AO838" s="113"/>
      <c r="AP838" s="113" t="b">
        <v>1</v>
      </c>
      <c r="AV838" s="385" t="s">
        <v>1611</v>
      </c>
      <c r="AW838" s="385"/>
      <c r="AX838" s="385"/>
      <c r="AY838" s="385"/>
      <c r="AZ838" s="385"/>
      <c r="BA838" s="384" t="e">
        <f ca="1">OFFSET(Businesscasen_f_BCM_Table4_start,MATCH("7. Samlet nettogevinst, ekskl. renter (6 - 3)",OFFSET(Businesscasen_f_BCM_Table4_start,0,0,ROWS(Businesscasen_f_BCM_Table4_start:Businesscasen_f_BCM_Table4_end),1),0)-1,2)-Businesscasen_f_InterestAmount</f>
        <v>#N/A</v>
      </c>
      <c r="BB838" s="384" t="e">
        <f ca="1">OFFSET(Businesscasen_f_BCM_Table4_start,MATCH("7. Samlet nettogevinst, ekskl. renter (6 - 3)",OFFSET(Businesscasen_f_BCM_Table4_start,0,0,ROWS(Businesscasen_f_BCM_Table4_start:Businesscasen_f_BCM_Table4_end),1),0)-1,2)-Businesscasen_f_InterestAmount</f>
        <v>#N/A</v>
      </c>
      <c r="BC838" s="390" t="s">
        <v>70</v>
      </c>
      <c r="BD838" s="390"/>
      <c r="BE838" s="384" t="s">
        <v>69</v>
      </c>
      <c r="BF838" s="384"/>
      <c r="BG838" s="385" t="s">
        <v>70</v>
      </c>
      <c r="BH838" s="385"/>
    </row>
    <row r="839" spans="1:60" ht="16.5" customHeight="1" x14ac:dyDescent="0.2">
      <c r="A839" s="113">
        <f>$A$831+7</f>
        <v>13</v>
      </c>
      <c r="B839" s="113" t="s">
        <v>952</v>
      </c>
      <c r="C839" s="113" t="s">
        <v>92</v>
      </c>
      <c r="D839" s="113"/>
      <c r="E839" s="113"/>
      <c r="F839" s="113"/>
      <c r="G839" s="113" t="s">
        <v>406</v>
      </c>
      <c r="H839" s="113"/>
      <c r="I839" s="113"/>
      <c r="J839" s="113" t="b">
        <f t="shared" si="85"/>
        <v>1</v>
      </c>
      <c r="K839" s="113" t="b">
        <v>1</v>
      </c>
      <c r="L839" s="113"/>
      <c r="M839" s="113"/>
      <c r="N839" s="113"/>
      <c r="O839" s="113" t="str">
        <f t="shared" si="86"/>
        <v>$B$13</v>
      </c>
      <c r="P839" s="113" t="str">
        <f t="shared" si="87"/>
        <v>$S$13</v>
      </c>
      <c r="Q839" s="113"/>
      <c r="R839" s="113"/>
      <c r="S839" s="113"/>
      <c r="T839" s="113">
        <v>20</v>
      </c>
      <c r="U839" s="113"/>
      <c r="V839" s="113"/>
      <c r="W839" s="113"/>
      <c r="X839" s="113"/>
      <c r="Y839" s="113"/>
      <c r="Z839" s="113"/>
      <c r="AA839" s="113"/>
      <c r="AB839" s="113"/>
      <c r="AC839" s="113"/>
      <c r="AD839" s="113"/>
      <c r="AE839" s="113"/>
      <c r="AF839" s="113"/>
      <c r="AG839" s="113"/>
      <c r="AH839" s="113"/>
      <c r="AI839" s="113"/>
      <c r="AJ839" s="113"/>
      <c r="AK839" s="113"/>
      <c r="AL839" s="113">
        <v>1</v>
      </c>
      <c r="AM839" s="113"/>
      <c r="AN839" s="113"/>
      <c r="AO839" s="113"/>
      <c r="AP839" s="113" t="b">
        <v>1</v>
      </c>
      <c r="AV839" s="377"/>
      <c r="AW839" s="377"/>
      <c r="AX839" s="377"/>
      <c r="AY839" s="377"/>
      <c r="AZ839" s="377"/>
      <c r="BA839" s="389"/>
      <c r="BB839" s="389"/>
      <c r="BC839" s="377"/>
      <c r="BD839" s="377"/>
      <c r="BE839" s="389"/>
      <c r="BF839" s="389"/>
      <c r="BG839" s="377"/>
      <c r="BH839" s="377"/>
    </row>
    <row r="840" spans="1:60" ht="16.5" customHeight="1" x14ac:dyDescent="0.2">
      <c r="A840" s="113">
        <f>$A$831+8</f>
        <v>14</v>
      </c>
      <c r="B840" s="113" t="s">
        <v>952</v>
      </c>
      <c r="C840" s="113" t="s">
        <v>92</v>
      </c>
      <c r="D840" s="113"/>
      <c r="E840" s="113"/>
      <c r="F840" s="113"/>
      <c r="G840" s="113" t="s">
        <v>406</v>
      </c>
      <c r="H840" s="113"/>
      <c r="I840" s="113"/>
      <c r="J840" s="113" t="b">
        <f t="shared" si="85"/>
        <v>1</v>
      </c>
      <c r="K840" s="113" t="b">
        <v>1</v>
      </c>
      <c r="L840" s="113"/>
      <c r="M840" s="113"/>
      <c r="N840" s="113"/>
      <c r="O840" s="113" t="str">
        <f t="shared" si="86"/>
        <v>$B$14</v>
      </c>
      <c r="P840" s="113" t="str">
        <f t="shared" si="87"/>
        <v>$S$14</v>
      </c>
      <c r="Q840" s="113"/>
      <c r="R840" s="113"/>
      <c r="S840" s="113"/>
      <c r="T840" s="113">
        <v>20</v>
      </c>
      <c r="U840" s="113"/>
      <c r="V840" s="113"/>
      <c r="W840" s="113"/>
      <c r="X840" s="113"/>
      <c r="Y840" s="113"/>
      <c r="Z840" s="113"/>
      <c r="AA840" s="113"/>
      <c r="AB840" s="113"/>
      <c r="AC840" s="113"/>
      <c r="AD840" s="113"/>
      <c r="AE840" s="113"/>
      <c r="AF840" s="113"/>
      <c r="AG840" s="113"/>
      <c r="AH840" s="113"/>
      <c r="AI840" s="113"/>
      <c r="AJ840" s="113"/>
      <c r="AK840" s="113"/>
      <c r="AL840" s="113">
        <v>1</v>
      </c>
      <c r="AM840" s="113"/>
      <c r="AN840" s="113"/>
      <c r="AO840" s="113"/>
      <c r="AP840" s="113" t="b">
        <v>1</v>
      </c>
      <c r="AV840" s="377"/>
      <c r="AW840" s="377"/>
      <c r="AX840" s="377"/>
      <c r="AY840" s="377"/>
      <c r="AZ840" s="377"/>
      <c r="BA840" s="389"/>
      <c r="BB840" s="389"/>
      <c r="BC840" s="377"/>
      <c r="BD840" s="377"/>
      <c r="BE840" s="389"/>
      <c r="BF840" s="389"/>
      <c r="BG840" s="377"/>
      <c r="BH840" s="377"/>
    </row>
    <row r="841" spans="1:60" ht="16.5" customHeight="1" x14ac:dyDescent="0.2">
      <c r="A841" s="113">
        <f>$A$831+9</f>
        <v>15</v>
      </c>
      <c r="B841" s="113" t="s">
        <v>952</v>
      </c>
      <c r="C841" s="113" t="s">
        <v>92</v>
      </c>
      <c r="D841" s="113"/>
      <c r="E841" s="113"/>
      <c r="F841" s="113"/>
      <c r="G841" s="113" t="s">
        <v>406</v>
      </c>
      <c r="H841" s="113"/>
      <c r="I841" s="113"/>
      <c r="J841" s="113" t="b">
        <f t="shared" si="85"/>
        <v>1</v>
      </c>
      <c r="K841" s="113" t="b">
        <v>1</v>
      </c>
      <c r="L841" s="113"/>
      <c r="M841" s="113"/>
      <c r="N841" s="113"/>
      <c r="O841" s="113" t="str">
        <f t="shared" si="86"/>
        <v>$B$15</v>
      </c>
      <c r="P841" s="113" t="str">
        <f t="shared" si="87"/>
        <v>$S$15</v>
      </c>
      <c r="Q841" s="113"/>
      <c r="R841" s="113"/>
      <c r="S841" s="113"/>
      <c r="T841" s="113">
        <v>20</v>
      </c>
      <c r="U841" s="113"/>
      <c r="V841" s="113"/>
      <c r="W841" s="113"/>
      <c r="X841" s="113"/>
      <c r="Y841" s="113"/>
      <c r="Z841" s="113"/>
      <c r="AA841" s="113"/>
      <c r="AB841" s="113"/>
      <c r="AC841" s="113"/>
      <c r="AD841" s="113"/>
      <c r="AE841" s="113"/>
      <c r="AF841" s="113"/>
      <c r="AG841" s="113"/>
      <c r="AH841" s="113"/>
      <c r="AI841" s="113"/>
      <c r="AJ841" s="113"/>
      <c r="AK841" s="113"/>
      <c r="AL841" s="113">
        <v>1</v>
      </c>
      <c r="AM841" s="113"/>
      <c r="AN841" s="113"/>
      <c r="AO841" s="113"/>
      <c r="AP841" s="113" t="b">
        <v>1</v>
      </c>
      <c r="AV841" s="377"/>
      <c r="AW841" s="377"/>
      <c r="AX841" s="377"/>
      <c r="AY841" s="377"/>
      <c r="AZ841" s="377"/>
      <c r="BA841" s="389"/>
      <c r="BB841" s="389"/>
      <c r="BC841" s="377"/>
      <c r="BD841" s="377"/>
      <c r="BE841" s="389"/>
      <c r="BF841" s="389"/>
      <c r="BG841" s="377"/>
      <c r="BH841" s="377"/>
    </row>
    <row r="842" spans="1:60" ht="16.5" customHeight="1" x14ac:dyDescent="0.2">
      <c r="A842" s="113">
        <f>$A$831+10</f>
        <v>16</v>
      </c>
      <c r="B842" s="113" t="s">
        <v>952</v>
      </c>
      <c r="C842" s="113" t="s">
        <v>92</v>
      </c>
      <c r="D842" s="113"/>
      <c r="E842" s="113"/>
      <c r="F842" s="113"/>
      <c r="G842" s="113" t="s">
        <v>406</v>
      </c>
      <c r="H842" s="113"/>
      <c r="I842" s="113"/>
      <c r="J842" s="113" t="b">
        <f t="shared" si="85"/>
        <v>1</v>
      </c>
      <c r="K842" s="113" t="b">
        <v>1</v>
      </c>
      <c r="L842" s="113"/>
      <c r="M842" s="113"/>
      <c r="N842" s="113"/>
      <c r="O842" s="113" t="str">
        <f t="shared" si="86"/>
        <v>$B$16</v>
      </c>
      <c r="P842" s="113" t="str">
        <f t="shared" si="87"/>
        <v>$S$16</v>
      </c>
      <c r="Q842" s="113"/>
      <c r="R842" s="113"/>
      <c r="S842" s="113"/>
      <c r="T842" s="113">
        <v>20</v>
      </c>
      <c r="U842" s="113"/>
      <c r="V842" s="113"/>
      <c r="W842" s="113"/>
      <c r="X842" s="113"/>
      <c r="Y842" s="113"/>
      <c r="Z842" s="113"/>
      <c r="AA842" s="113"/>
      <c r="AB842" s="113"/>
      <c r="AC842" s="113"/>
      <c r="AD842" s="113"/>
      <c r="AE842" s="113"/>
      <c r="AF842" s="113"/>
      <c r="AG842" s="113"/>
      <c r="AH842" s="113"/>
      <c r="AI842" s="113"/>
      <c r="AJ842" s="113"/>
      <c r="AK842" s="113"/>
      <c r="AL842" s="113">
        <v>1</v>
      </c>
      <c r="AM842" s="113"/>
      <c r="AN842" s="113"/>
      <c r="AO842" s="113"/>
      <c r="AP842" s="113" t="b">
        <v>1</v>
      </c>
      <c r="AV842" s="377" t="s">
        <v>627</v>
      </c>
      <c r="AW842" s="377"/>
      <c r="AX842" s="377"/>
      <c r="AY842" s="377"/>
      <c r="AZ842" s="377"/>
      <c r="BA842" s="389"/>
      <c r="BB842" s="389"/>
      <c r="BC842" s="383">
        <f ca="1">OFFSET(Businesscasen_f_BCM_Table4_start,MATCH("2. Samlede udgifter, ekskl. renter",OFFSET(Businesscasen_f_BCM_Table4_start,0,0,ROWS(Businesscasen_f_BCM_Table4_start:Businesscasen_f_BCM_Table4_end),1),0)-1,2)</f>
        <v>0</v>
      </c>
      <c r="BD842" s="383">
        <f ca="1">OFFSET(Businesscasen_f_BCM_Table4_start,MATCH("2. Samlede udgifter, ekskl. renter",OFFSET(Businesscasen_f_BCM_Table4_start,0,0,ROWS(Businesscasen_f_BCM_Table4_start:Businesscasen_f_BCM_Table4_end),1),0)-1,2)</f>
        <v>0</v>
      </c>
      <c r="BE842" s="377" t="s">
        <v>410</v>
      </c>
      <c r="BF842" s="377"/>
      <c r="BG842" s="377"/>
      <c r="BH842" s="377"/>
    </row>
    <row r="843" spans="1:60" ht="16.5" customHeight="1" x14ac:dyDescent="0.2">
      <c r="A843" s="81">
        <f>$A$831+6</f>
        <v>12</v>
      </c>
      <c r="B843" s="81" t="s">
        <v>510</v>
      </c>
      <c r="C843" s="81" t="s">
        <v>512</v>
      </c>
      <c r="D843" s="81" t="s">
        <v>900</v>
      </c>
      <c r="E843" s="81"/>
      <c r="F843" s="81"/>
      <c r="G843" s="81" t="s">
        <v>406</v>
      </c>
      <c r="H843" s="81"/>
      <c r="I843" s="81"/>
      <c r="J843" s="81" t="b">
        <f t="shared" si="85"/>
        <v>1</v>
      </c>
      <c r="K843" s="81" t="b">
        <v>1</v>
      </c>
      <c r="L843" s="81" t="b">
        <v>1</v>
      </c>
      <c r="M843" s="81"/>
      <c r="N843" s="81" t="s">
        <v>59</v>
      </c>
      <c r="O843" s="81" t="str">
        <f>"$A$"&amp;A843</f>
        <v>$A$12</v>
      </c>
      <c r="P843" s="81" t="str">
        <f>"$A$"&amp;A843+3</f>
        <v>$A$15</v>
      </c>
      <c r="Q843" s="81"/>
      <c r="R843" s="81">
        <v>1</v>
      </c>
      <c r="S843" s="81">
        <v>20</v>
      </c>
      <c r="T843" s="81"/>
      <c r="U843" s="81" t="b">
        <f>$I$5</f>
        <v>0</v>
      </c>
      <c r="V843" s="81" t="s">
        <v>1350</v>
      </c>
      <c r="W843" s="81" t="s">
        <v>1350</v>
      </c>
      <c r="X843" s="81"/>
      <c r="Y843" s="81"/>
      <c r="Z843" s="81"/>
      <c r="AA843" s="81"/>
      <c r="AB843" s="81"/>
      <c r="AC843" s="81"/>
      <c r="AD843" s="81"/>
      <c r="AE843" s="81"/>
      <c r="AF843" s="81"/>
      <c r="AG843" s="81"/>
      <c r="AH843" s="81"/>
      <c r="AI843" s="81"/>
      <c r="AJ843" s="81"/>
      <c r="AK843" s="81"/>
      <c r="AL843" s="81">
        <v>10</v>
      </c>
      <c r="AM843" s="81">
        <v>5</v>
      </c>
      <c r="AN843" s="81"/>
      <c r="AO843" s="81"/>
      <c r="AP843" s="81"/>
    </row>
    <row r="844" spans="1:60" ht="16.5" customHeight="1" x14ac:dyDescent="0.2">
      <c r="A844" s="81">
        <f>$A$831+6</f>
        <v>12</v>
      </c>
      <c r="B844" s="81" t="s">
        <v>963</v>
      </c>
      <c r="C844" s="81" t="s">
        <v>512</v>
      </c>
      <c r="D844" s="81" t="s">
        <v>961</v>
      </c>
      <c r="E844" s="81"/>
      <c r="F844" s="81"/>
      <c r="G844" s="81" t="s">
        <v>406</v>
      </c>
      <c r="H844" s="81"/>
      <c r="I844" s="81"/>
      <c r="J844" s="81" t="b">
        <v>1</v>
      </c>
      <c r="K844" s="81" t="b">
        <v>1</v>
      </c>
      <c r="L844" s="81" t="b">
        <v>0</v>
      </c>
      <c r="M844" s="81"/>
      <c r="N844" s="81" t="s">
        <v>59</v>
      </c>
      <c r="O844" s="81" t="str">
        <f>"$U$"&amp;A844</f>
        <v>$U$12</v>
      </c>
      <c r="P844" s="81" t="str">
        <f>"$U$"&amp;A844+3</f>
        <v>$U$15</v>
      </c>
      <c r="Q844" s="81"/>
      <c r="R844" s="81">
        <v>1</v>
      </c>
      <c r="S844" s="81">
        <v>-20</v>
      </c>
      <c r="T844" s="81"/>
      <c r="U844" s="81" t="b">
        <f>$I$5</f>
        <v>0</v>
      </c>
      <c r="V844" s="81" t="s">
        <v>1348</v>
      </c>
      <c r="W844" s="81" t="s">
        <v>1348</v>
      </c>
      <c r="X844" s="81"/>
      <c r="Y844" s="81"/>
      <c r="Z844" s="81"/>
      <c r="AA844" s="81"/>
      <c r="AB844" s="81"/>
      <c r="AC844" s="81"/>
      <c r="AD844" s="81"/>
      <c r="AE844" s="81"/>
      <c r="AF844" s="81"/>
      <c r="AG844" s="81"/>
      <c r="AH844" s="81"/>
      <c r="AI844" s="81"/>
      <c r="AJ844" s="81"/>
      <c r="AK844" s="81"/>
      <c r="AL844" s="81">
        <v>-10</v>
      </c>
      <c r="AM844" s="81">
        <v>5</v>
      </c>
      <c r="AN844" s="81"/>
      <c r="AO844" s="81"/>
      <c r="AP844" s="81"/>
    </row>
    <row r="845" spans="1:60" ht="16.5" customHeight="1" x14ac:dyDescent="0.2">
      <c r="A845" s="100">
        <f>$A$831+3</f>
        <v>9</v>
      </c>
      <c r="B845" s="100" t="s">
        <v>487</v>
      </c>
      <c r="C845" s="100" t="s">
        <v>649</v>
      </c>
      <c r="D845" s="100"/>
      <c r="E845" s="100"/>
      <c r="F845" s="100"/>
      <c r="G845" s="100" t="s">
        <v>406</v>
      </c>
      <c r="H845" s="100"/>
      <c r="I845" s="100" t="s">
        <v>1505</v>
      </c>
      <c r="J845" s="100" t="b">
        <f t="shared" ref="J845:J890" si="90">$H$5</f>
        <v>1</v>
      </c>
      <c r="K845" s="100" t="b">
        <v>1</v>
      </c>
      <c r="L845" s="100"/>
      <c r="M845" s="100"/>
      <c r="N845" s="100" t="s">
        <v>59</v>
      </c>
      <c r="O845" s="100" t="str">
        <f>"$G$"&amp;A845</f>
        <v>$G$9</v>
      </c>
      <c r="P845" s="100" t="str">
        <f>"$K$"&amp;A845+2</f>
        <v>$K$11</v>
      </c>
      <c r="Q845" s="100"/>
      <c r="R845" s="100">
        <v>3</v>
      </c>
      <c r="S845" s="100"/>
      <c r="T845" s="100"/>
      <c r="U845" s="100"/>
      <c r="V845" s="100" t="s">
        <v>1342</v>
      </c>
      <c r="W845" s="100" t="s">
        <v>1351</v>
      </c>
      <c r="X845" s="100"/>
      <c r="Y845" s="100"/>
      <c r="Z845" s="100"/>
      <c r="AA845" s="100"/>
      <c r="AB845" s="100">
        <v>3</v>
      </c>
      <c r="AC845" s="100">
        <v>5</v>
      </c>
      <c r="AD845" s="100" t="s">
        <v>105</v>
      </c>
      <c r="AE845" s="100">
        <v>12</v>
      </c>
      <c r="AF845" s="100" t="b">
        <v>0</v>
      </c>
      <c r="AG845" s="100" t="s">
        <v>1355</v>
      </c>
      <c r="AH845" s="100" t="s">
        <v>27</v>
      </c>
      <c r="AI845" s="100" t="s">
        <v>28</v>
      </c>
      <c r="AJ845" s="100"/>
      <c r="AK845" s="100"/>
      <c r="AL845" s="100">
        <v>0</v>
      </c>
      <c r="AM845" s="100"/>
      <c r="AN845" s="100"/>
      <c r="AO845" s="100"/>
      <c r="AP845" s="100"/>
    </row>
    <row r="846" spans="1:60" ht="16.5" customHeight="1" x14ac:dyDescent="0.2">
      <c r="A846" s="100">
        <f>$A$831+7</f>
        <v>13</v>
      </c>
      <c r="B846" s="100" t="s">
        <v>488</v>
      </c>
      <c r="C846" s="100" t="s">
        <v>649</v>
      </c>
      <c r="D846" s="100"/>
      <c r="E846" s="100"/>
      <c r="F846" s="100"/>
      <c r="G846" s="100" t="s">
        <v>406</v>
      </c>
      <c r="H846" s="100"/>
      <c r="I846" s="100" t="s">
        <v>72</v>
      </c>
      <c r="J846" s="100" t="b">
        <f t="shared" si="90"/>
        <v>1</v>
      </c>
      <c r="K846" s="100" t="b">
        <v>1</v>
      </c>
      <c r="L846" s="100"/>
      <c r="M846" s="100"/>
      <c r="N846" s="100" t="s">
        <v>59</v>
      </c>
      <c r="O846" s="100" t="str">
        <f>"$G$"&amp;A846</f>
        <v>$G$13</v>
      </c>
      <c r="P846" s="100" t="str">
        <f>"$K$"&amp;A846+2</f>
        <v>$K$15</v>
      </c>
      <c r="Q846" s="100"/>
      <c r="R846" s="100">
        <v>3</v>
      </c>
      <c r="S846" s="100"/>
      <c r="T846" s="100"/>
      <c r="U846" s="100"/>
      <c r="V846" s="100" t="s">
        <v>1342</v>
      </c>
      <c r="W846" s="100" t="s">
        <v>1351</v>
      </c>
      <c r="X846" s="100"/>
      <c r="Y846" s="100"/>
      <c r="Z846" s="100"/>
      <c r="AA846" s="100"/>
      <c r="AB846" s="100">
        <v>3</v>
      </c>
      <c r="AC846" s="100">
        <v>5</v>
      </c>
      <c r="AD846" s="100" t="s">
        <v>105</v>
      </c>
      <c r="AE846" s="100">
        <v>12</v>
      </c>
      <c r="AF846" s="100" t="b">
        <v>0</v>
      </c>
      <c r="AG846" s="100" t="s">
        <v>1355</v>
      </c>
      <c r="AH846" s="100" t="s">
        <v>27</v>
      </c>
      <c r="AI846" s="100" t="s">
        <v>28</v>
      </c>
      <c r="AJ846" s="100"/>
      <c r="AK846" s="100"/>
      <c r="AL846" s="100">
        <v>0</v>
      </c>
      <c r="AM846" s="100"/>
      <c r="AN846" s="100"/>
      <c r="AO846" s="100"/>
      <c r="AP846" s="100"/>
    </row>
    <row r="847" spans="1:60" ht="16.5" customHeight="1" x14ac:dyDescent="0.2">
      <c r="A847" s="100">
        <f>$A$831+11</f>
        <v>17</v>
      </c>
      <c r="B847" s="100" t="s">
        <v>489</v>
      </c>
      <c r="C847" s="100" t="s">
        <v>649</v>
      </c>
      <c r="D847" s="100"/>
      <c r="E847" s="100"/>
      <c r="F847" s="100"/>
      <c r="G847" s="100" t="s">
        <v>406</v>
      </c>
      <c r="H847" s="100"/>
      <c r="I847" s="100" t="s">
        <v>1504</v>
      </c>
      <c r="J847" s="100" t="b">
        <f t="shared" si="90"/>
        <v>1</v>
      </c>
      <c r="K847" s="100" t="b">
        <v>1</v>
      </c>
      <c r="L847" s="100"/>
      <c r="M847" s="100"/>
      <c r="N847" s="100" t="s">
        <v>59</v>
      </c>
      <c r="O847" s="100" t="str">
        <f>"$G$"&amp;A847</f>
        <v>$G$17</v>
      </c>
      <c r="P847" s="100" t="str">
        <f>"$K$"&amp;A847+1</f>
        <v>$K$18</v>
      </c>
      <c r="Q847" s="100"/>
      <c r="R847" s="100">
        <v>3</v>
      </c>
      <c r="S847" s="100"/>
      <c r="T847" s="100">
        <v>56</v>
      </c>
      <c r="U847" s="100"/>
      <c r="V847" s="100" t="s">
        <v>1342</v>
      </c>
      <c r="W847" s="100" t="s">
        <v>1351</v>
      </c>
      <c r="X847" s="100"/>
      <c r="Y847" s="100"/>
      <c r="Z847" s="100"/>
      <c r="AA847" s="100"/>
      <c r="AB847" s="100">
        <v>3</v>
      </c>
      <c r="AC847" s="100">
        <v>5</v>
      </c>
      <c r="AD847" s="100" t="s">
        <v>105</v>
      </c>
      <c r="AE847" s="100">
        <v>12</v>
      </c>
      <c r="AF847" s="100" t="b">
        <v>0</v>
      </c>
      <c r="AG847" s="100" t="s">
        <v>1355</v>
      </c>
      <c r="AH847" s="100" t="s">
        <v>27</v>
      </c>
      <c r="AI847" s="100" t="s">
        <v>28</v>
      </c>
      <c r="AJ847" s="100"/>
      <c r="AK847" s="100"/>
      <c r="AL847" s="100">
        <v>0</v>
      </c>
      <c r="AM847" s="100"/>
      <c r="AN847" s="100"/>
      <c r="AO847" s="100"/>
      <c r="AP847" s="100"/>
    </row>
    <row r="848" spans="1:60" ht="16.5" customHeight="1" x14ac:dyDescent="0.2">
      <c r="A848" s="100">
        <f>$A$831+11</f>
        <v>17</v>
      </c>
      <c r="B848" s="100" t="s">
        <v>490</v>
      </c>
      <c r="C848" s="100" t="s">
        <v>649</v>
      </c>
      <c r="D848" s="100"/>
      <c r="E848" s="100"/>
      <c r="F848" s="100"/>
      <c r="G848" s="100" t="s">
        <v>406</v>
      </c>
      <c r="H848" s="100"/>
      <c r="I848" s="100" t="s">
        <v>1596</v>
      </c>
      <c r="J848" s="100" t="b">
        <f t="shared" si="90"/>
        <v>1</v>
      </c>
      <c r="K848" s="100" t="b">
        <v>1</v>
      </c>
      <c r="L848" s="100"/>
      <c r="M848" s="100"/>
      <c r="N848" s="100" t="s">
        <v>59</v>
      </c>
      <c r="O848" s="100" t="str">
        <f>"$B$"&amp;A848</f>
        <v>$B$17</v>
      </c>
      <c r="P848" s="100" t="str">
        <f>"$D$"&amp;A848+1</f>
        <v>$D$18</v>
      </c>
      <c r="Q848" s="100"/>
      <c r="R848" s="100">
        <v>3</v>
      </c>
      <c r="S848" s="100"/>
      <c r="T848" s="100">
        <v>56</v>
      </c>
      <c r="U848" s="100"/>
      <c r="V848" s="100" t="s">
        <v>1342</v>
      </c>
      <c r="W848" s="100" t="s">
        <v>1351</v>
      </c>
      <c r="X848" s="100"/>
      <c r="Y848" s="100"/>
      <c r="Z848" s="100"/>
      <c r="AA848" s="100"/>
      <c r="AB848" s="100">
        <v>3</v>
      </c>
      <c r="AC848" s="100">
        <v>5</v>
      </c>
      <c r="AD848" s="100" t="s">
        <v>105</v>
      </c>
      <c r="AE848" s="100">
        <v>12</v>
      </c>
      <c r="AF848" s="100" t="b">
        <v>0</v>
      </c>
      <c r="AG848" s="100" t="s">
        <v>1355</v>
      </c>
      <c r="AH848" s="100" t="s">
        <v>27</v>
      </c>
      <c r="AI848" s="100" t="s">
        <v>28</v>
      </c>
      <c r="AJ848" s="100"/>
      <c r="AK848" s="100"/>
      <c r="AL848" s="100">
        <v>0</v>
      </c>
      <c r="AM848" s="100"/>
      <c r="AN848" s="100"/>
      <c r="AO848" s="100"/>
      <c r="AP848" s="100"/>
    </row>
    <row r="849" spans="1:60" ht="16.5" customHeight="1" x14ac:dyDescent="0.2">
      <c r="A849" s="100">
        <f>$A$831+2</f>
        <v>8</v>
      </c>
      <c r="B849" s="100" t="s">
        <v>1294</v>
      </c>
      <c r="C849" s="100" t="s">
        <v>649</v>
      </c>
      <c r="D849" s="100"/>
      <c r="E849" s="100"/>
      <c r="F849" s="100"/>
      <c r="G849" s="100" t="s">
        <v>406</v>
      </c>
      <c r="H849" s="100"/>
      <c r="I849" s="100"/>
      <c r="J849" s="100" t="b">
        <v>1</v>
      </c>
      <c r="K849" s="100" t="b">
        <v>1</v>
      </c>
      <c r="L849" s="100"/>
      <c r="M849" s="100"/>
      <c r="N849" s="100" t="s">
        <v>59</v>
      </c>
      <c r="O849" s="100" t="str">
        <f>"$G$"&amp;A849</f>
        <v>$G$8</v>
      </c>
      <c r="P849" s="100" t="str">
        <f>"$S$"&amp;A849+3</f>
        <v>$S$11</v>
      </c>
      <c r="Q849" s="100"/>
      <c r="R849" s="100"/>
      <c r="S849" s="100"/>
      <c r="T849" s="100"/>
      <c r="U849" s="100" t="b">
        <v>1</v>
      </c>
      <c r="V849" s="100" t="s">
        <v>1351</v>
      </c>
      <c r="W849" s="100" t="s">
        <v>1351</v>
      </c>
      <c r="X849" s="100"/>
      <c r="Y849" s="100"/>
      <c r="Z849" s="100"/>
      <c r="AA849" s="100"/>
      <c r="AB849" s="100">
        <v>3</v>
      </c>
      <c r="AC849" s="100">
        <v>5</v>
      </c>
      <c r="AD849" s="100" t="s">
        <v>105</v>
      </c>
      <c r="AE849" s="100">
        <v>12</v>
      </c>
      <c r="AF849" s="100" t="b">
        <v>0</v>
      </c>
      <c r="AG849" s="100" t="s">
        <v>1355</v>
      </c>
      <c r="AH849" s="100" t="s">
        <v>27</v>
      </c>
      <c r="AI849" s="100" t="s">
        <v>28</v>
      </c>
      <c r="AJ849" s="100"/>
      <c r="AK849" s="100"/>
      <c r="AL849" s="100">
        <v>0</v>
      </c>
      <c r="AM849" s="100"/>
      <c r="AN849" s="100"/>
      <c r="AO849" s="100"/>
      <c r="AP849" s="100"/>
    </row>
    <row r="850" spans="1:60" ht="16.5" customHeight="1" x14ac:dyDescent="0.2">
      <c r="A850" s="103">
        <f>$A$831+13</f>
        <v>19</v>
      </c>
      <c r="B850" s="103" t="s">
        <v>100</v>
      </c>
      <c r="C850" s="103" t="s">
        <v>654</v>
      </c>
      <c r="D850" s="103"/>
      <c r="E850" s="103"/>
      <c r="F850" s="103"/>
      <c r="G850" s="103" t="s">
        <v>406</v>
      </c>
      <c r="H850" s="103"/>
      <c r="I850" s="103" t="s">
        <v>73</v>
      </c>
      <c r="J850" s="103" t="b">
        <f t="shared" si="90"/>
        <v>1</v>
      </c>
      <c r="K850" s="103" t="b">
        <v>1</v>
      </c>
      <c r="L850" s="103"/>
      <c r="M850" s="103"/>
      <c r="N850" s="103" t="s">
        <v>59</v>
      </c>
      <c r="O850" s="103" t="str">
        <f>"$B$"&amp;A850</f>
        <v>$B$19</v>
      </c>
      <c r="P850" s="103" t="str">
        <f>"$S$"&amp;A866-1</f>
        <v>$S$30</v>
      </c>
      <c r="Q850" s="103"/>
      <c r="R850" s="103">
        <v>1</v>
      </c>
      <c r="S850" s="103"/>
      <c r="T850" s="103">
        <v>27</v>
      </c>
      <c r="U850" s="103" t="b">
        <v>1</v>
      </c>
      <c r="V850" s="103" t="s">
        <v>1352</v>
      </c>
      <c r="W850" s="103" t="s">
        <v>1352</v>
      </c>
      <c r="X850" s="103"/>
      <c r="Y850" s="103"/>
      <c r="Z850" s="103"/>
      <c r="AA850" s="103"/>
      <c r="AB850" s="103"/>
      <c r="AC850" s="103">
        <v>7</v>
      </c>
      <c r="AD850" s="103" t="s">
        <v>105</v>
      </c>
      <c r="AE850" s="103">
        <v>20</v>
      </c>
      <c r="AF850" s="103" t="b">
        <v>1</v>
      </c>
      <c r="AG850" s="103" t="s">
        <v>1351</v>
      </c>
      <c r="AH850" s="103" t="s">
        <v>29</v>
      </c>
      <c r="AI850" s="103" t="s">
        <v>28</v>
      </c>
      <c r="AJ850" s="103"/>
      <c r="AK850" s="103"/>
      <c r="AL850" s="103">
        <v>0</v>
      </c>
      <c r="AM850" s="103"/>
      <c r="AN850" s="103"/>
      <c r="AO850" s="103"/>
      <c r="AP850" s="103"/>
      <c r="AQ850" s="93" t="s">
        <v>73</v>
      </c>
    </row>
    <row r="851" spans="1:60" ht="16.5" customHeight="1" x14ac:dyDescent="0.2">
      <c r="A851" s="81">
        <f>$A$850+3</f>
        <v>22</v>
      </c>
      <c r="B851" s="81" t="s">
        <v>964</v>
      </c>
      <c r="C851" s="81" t="s">
        <v>512</v>
      </c>
      <c r="D851" s="81" t="s">
        <v>961</v>
      </c>
      <c r="E851" s="81"/>
      <c r="F851" s="81"/>
      <c r="G851" s="81" t="s">
        <v>406</v>
      </c>
      <c r="H851" s="81"/>
      <c r="I851" s="81"/>
      <c r="J851" s="81" t="b">
        <f t="shared" si="90"/>
        <v>1</v>
      </c>
      <c r="K851" s="81" t="b">
        <v>1</v>
      </c>
      <c r="L851" s="81" t="b">
        <v>0</v>
      </c>
      <c r="M851" s="81"/>
      <c r="N851" s="81" t="s">
        <v>59</v>
      </c>
      <c r="O851" s="81" t="str">
        <f>"$U$"&amp;A851</f>
        <v>$U$22</v>
      </c>
      <c r="P851" s="81" t="str">
        <f>"$U$"&amp;A851</f>
        <v>$U$22</v>
      </c>
      <c r="Q851" s="81"/>
      <c r="R851" s="81">
        <v>1</v>
      </c>
      <c r="S851" s="81">
        <v>-20</v>
      </c>
      <c r="T851" s="81"/>
      <c r="U851" s="81" t="b">
        <f>$I$5</f>
        <v>0</v>
      </c>
      <c r="V851" s="81" t="s">
        <v>1348</v>
      </c>
      <c r="W851" s="81" t="s">
        <v>1348</v>
      </c>
      <c r="X851" s="81"/>
      <c r="Y851" s="81"/>
      <c r="Z851" s="81"/>
      <c r="AA851" s="81"/>
      <c r="AB851" s="81"/>
      <c r="AC851" s="81"/>
      <c r="AD851" s="81"/>
      <c r="AE851" s="81"/>
      <c r="AF851" s="81"/>
      <c r="AG851" s="81"/>
      <c r="AH851" s="81"/>
      <c r="AI851" s="81"/>
      <c r="AJ851" s="81"/>
      <c r="AK851" s="81"/>
      <c r="AL851" s="81">
        <v>-10</v>
      </c>
      <c r="AM851" s="81">
        <v>5</v>
      </c>
      <c r="AN851" s="81"/>
      <c r="AO851" s="81"/>
      <c r="AP851" s="81"/>
    </row>
    <row r="852" spans="1:60" ht="16.5" customHeight="1" x14ac:dyDescent="0.2">
      <c r="A852" s="81">
        <f>$A$850+5</f>
        <v>24</v>
      </c>
      <c r="B852" s="81" t="s">
        <v>965</v>
      </c>
      <c r="C852" s="81" t="s">
        <v>512</v>
      </c>
      <c r="D852" s="81" t="s">
        <v>961</v>
      </c>
      <c r="E852" s="81"/>
      <c r="F852" s="81"/>
      <c r="G852" s="81" t="s">
        <v>406</v>
      </c>
      <c r="H852" s="81"/>
      <c r="I852" s="81"/>
      <c r="J852" s="81" t="b">
        <f t="shared" si="90"/>
        <v>1</v>
      </c>
      <c r="K852" s="81" t="b">
        <v>1</v>
      </c>
      <c r="L852" s="81" t="b">
        <v>0</v>
      </c>
      <c r="M852" s="81"/>
      <c r="N852" s="81" t="s">
        <v>59</v>
      </c>
      <c r="O852" s="81" t="str">
        <f>"$U$"&amp;A852</f>
        <v>$U$24</v>
      </c>
      <c r="P852" s="81" t="str">
        <f>"$U$"&amp;A852+4</f>
        <v>$U$28</v>
      </c>
      <c r="Q852" s="81"/>
      <c r="R852" s="81">
        <v>1</v>
      </c>
      <c r="S852" s="81">
        <v>-20</v>
      </c>
      <c r="T852" s="81"/>
      <c r="U852" s="81" t="b">
        <f>$I$5</f>
        <v>0</v>
      </c>
      <c r="V852" s="81" t="s">
        <v>1348</v>
      </c>
      <c r="W852" s="81" t="s">
        <v>1348</v>
      </c>
      <c r="X852" s="81"/>
      <c r="Y852" s="81"/>
      <c r="Z852" s="81"/>
      <c r="AA852" s="81"/>
      <c r="AB852" s="81"/>
      <c r="AC852" s="81"/>
      <c r="AD852" s="81"/>
      <c r="AE852" s="81"/>
      <c r="AF852" s="81"/>
      <c r="AG852" s="81"/>
      <c r="AH852" s="81"/>
      <c r="AI852" s="81"/>
      <c r="AJ852" s="81"/>
      <c r="AK852" s="81"/>
      <c r="AL852" s="81">
        <v>-10</v>
      </c>
      <c r="AM852" s="81">
        <v>5</v>
      </c>
      <c r="AN852" s="81"/>
      <c r="AO852" s="81"/>
      <c r="AP852" s="81"/>
    </row>
    <row r="853" spans="1:60" ht="16.5" customHeight="1" x14ac:dyDescent="0.2">
      <c r="A853" s="112">
        <f>$A$850+2</f>
        <v>21</v>
      </c>
      <c r="B853" s="112" t="s">
        <v>106</v>
      </c>
      <c r="C853" s="112" t="s">
        <v>90</v>
      </c>
      <c r="D853" s="112"/>
      <c r="E853" s="112"/>
      <c r="F853" s="112"/>
      <c r="G853" s="112" t="s">
        <v>406</v>
      </c>
      <c r="H853" s="112"/>
      <c r="I853" s="112"/>
      <c r="J853" s="112" t="b">
        <f t="shared" si="90"/>
        <v>1</v>
      </c>
      <c r="K853" s="112" t="b">
        <v>1</v>
      </c>
      <c r="L853" s="112"/>
      <c r="M853" s="112"/>
      <c r="N853" s="112"/>
      <c r="O853" s="112" t="str">
        <f t="shared" ref="O853:O862" si="91">"$B$"&amp;A853</f>
        <v>$B$21</v>
      </c>
      <c r="P853" s="112" t="str">
        <f>"$K$"&amp;A853+7</f>
        <v>$K$28</v>
      </c>
      <c r="Q853" s="112"/>
      <c r="R853" s="112"/>
      <c r="S853" s="112"/>
      <c r="T853" s="112"/>
      <c r="U853" s="112"/>
      <c r="V853" s="112" t="s">
        <v>1342</v>
      </c>
      <c r="W853" s="112"/>
      <c r="X853" s="112"/>
      <c r="Y853" s="112"/>
      <c r="Z853" s="112"/>
      <c r="AA853" s="112"/>
      <c r="AB853" s="112"/>
      <c r="AC853" s="112"/>
      <c r="AD853" s="112" t="s">
        <v>105</v>
      </c>
      <c r="AE853" s="112">
        <v>12</v>
      </c>
      <c r="AF853" s="112" t="b">
        <v>1</v>
      </c>
      <c r="AG853" s="112" t="s">
        <v>1355</v>
      </c>
      <c r="AH853" s="112" t="s">
        <v>29</v>
      </c>
      <c r="AI853" s="112" t="s">
        <v>28</v>
      </c>
      <c r="AJ853" s="112"/>
      <c r="AK853" s="112"/>
      <c r="AL853" s="112"/>
      <c r="AM853" s="112"/>
      <c r="AN853" s="112"/>
      <c r="AO853" s="112"/>
      <c r="AP853" s="112"/>
    </row>
    <row r="854" spans="1:60" ht="16.5" customHeight="1" thickBot="1" x14ac:dyDescent="0.25">
      <c r="A854" s="113">
        <f>$A$853+0</f>
        <v>21</v>
      </c>
      <c r="B854" s="113" t="s">
        <v>108</v>
      </c>
      <c r="C854" s="113" t="s">
        <v>92</v>
      </c>
      <c r="D854" s="113"/>
      <c r="E854" s="113"/>
      <c r="F854" s="113"/>
      <c r="G854" s="113" t="s">
        <v>406</v>
      </c>
      <c r="H854" s="113"/>
      <c r="I854" s="113"/>
      <c r="J854" s="113" t="b">
        <f t="shared" si="90"/>
        <v>1</v>
      </c>
      <c r="K854" s="113" t="b">
        <v>1</v>
      </c>
      <c r="L854" s="113"/>
      <c r="M854" s="113"/>
      <c r="N854" s="113"/>
      <c r="O854" s="113" t="str">
        <f t="shared" si="91"/>
        <v>$B$21</v>
      </c>
      <c r="P854" s="113" t="str">
        <f t="shared" ref="P854:P862" si="92">"$S$"&amp;A854</f>
        <v>$S$21</v>
      </c>
      <c r="Q854" s="113"/>
      <c r="R854" s="113"/>
      <c r="S854" s="113"/>
      <c r="T854" s="113">
        <v>52</v>
      </c>
      <c r="U854" s="113"/>
      <c r="V854" s="113"/>
      <c r="W854" s="113"/>
      <c r="X854" s="113"/>
      <c r="Y854" s="113"/>
      <c r="Z854" s="113"/>
      <c r="AA854" s="113"/>
      <c r="AB854" s="113"/>
      <c r="AC854" s="113"/>
      <c r="AD854" s="113"/>
      <c r="AE854" s="113"/>
      <c r="AF854" s="113"/>
      <c r="AG854" s="113"/>
      <c r="AH854" s="113"/>
      <c r="AI854" s="113"/>
      <c r="AJ854" s="113"/>
      <c r="AK854" s="113"/>
      <c r="AL854" s="113">
        <v>1</v>
      </c>
      <c r="AM854" s="113"/>
      <c r="AN854" s="113"/>
      <c r="AO854" s="113"/>
      <c r="AP854" s="113" t="b">
        <v>1</v>
      </c>
      <c r="AQ854" s="360" t="str">
        <f>"Tabel 1.2: Økonomiske nøgletal, mio. kr."</f>
        <v>Tabel 1.2: Økonomiske nøgletal, mio. kr.</v>
      </c>
      <c r="AR854" s="361"/>
      <c r="AS854" s="391" t="s">
        <v>74</v>
      </c>
      <c r="AT854" s="392"/>
      <c r="AU854" s="391" t="s">
        <v>75</v>
      </c>
      <c r="AV854" s="392"/>
      <c r="AW854" s="391" t="s">
        <v>76</v>
      </c>
      <c r="AX854" s="392"/>
      <c r="AY854" s="391" t="s">
        <v>77</v>
      </c>
      <c r="AZ854" s="392"/>
      <c r="BA854" s="126"/>
      <c r="BB854" s="126"/>
      <c r="BC854" s="399" t="s">
        <v>943</v>
      </c>
      <c r="BD854" s="399"/>
      <c r="BE854" s="399"/>
      <c r="BF854" s="399"/>
      <c r="BG854" s="393">
        <f t="shared" ref="BG854" ca="1" si="93">OFFSET(INDIRECT("MasterSheet_f_FP_PloYRepY_1_VS",TRUE),0,35)</f>
        <v>2013</v>
      </c>
      <c r="BH854" s="394"/>
    </row>
    <row r="855" spans="1:60" ht="16.5" customHeight="1" x14ac:dyDescent="0.2">
      <c r="A855" s="113">
        <f>$A$853+1</f>
        <v>22</v>
      </c>
      <c r="B855" s="113" t="s">
        <v>480</v>
      </c>
      <c r="C855" s="113" t="s">
        <v>92</v>
      </c>
      <c r="D855" s="113"/>
      <c r="E855" s="113"/>
      <c r="F855" s="113"/>
      <c r="G855" s="113" t="s">
        <v>406</v>
      </c>
      <c r="H855" s="113"/>
      <c r="I855" s="113"/>
      <c r="J855" s="113" t="b">
        <f t="shared" si="90"/>
        <v>1</v>
      </c>
      <c r="K855" s="113" t="b">
        <v>1</v>
      </c>
      <c r="L855" s="113"/>
      <c r="M855" s="113"/>
      <c r="N855" s="113"/>
      <c r="O855" s="113" t="str">
        <f t="shared" si="91"/>
        <v>$B$22</v>
      </c>
      <c r="P855" s="113" t="str">
        <f t="shared" si="92"/>
        <v>$S$22</v>
      </c>
      <c r="Q855" s="113"/>
      <c r="R855" s="113"/>
      <c r="S855" s="113"/>
      <c r="T855" s="113"/>
      <c r="U855" s="113"/>
      <c r="V855" s="113"/>
      <c r="W855" s="113"/>
      <c r="X855" s="113"/>
      <c r="Y855" s="113"/>
      <c r="Z855" s="113"/>
      <c r="AA855" s="113"/>
      <c r="AB855" s="113"/>
      <c r="AC855" s="113"/>
      <c r="AD855" s="113"/>
      <c r="AE855" s="113"/>
      <c r="AF855" s="113"/>
      <c r="AG855" s="113"/>
      <c r="AH855" s="113"/>
      <c r="AI855" s="113"/>
      <c r="AJ855" s="113"/>
      <c r="AK855" s="113"/>
      <c r="AL855" s="113">
        <v>1</v>
      </c>
      <c r="AM855" s="113"/>
      <c r="AN855" s="113"/>
      <c r="AO855" s="113"/>
      <c r="AP855" s="113" t="b">
        <v>1</v>
      </c>
      <c r="AQ855" s="141" t="s">
        <v>628</v>
      </c>
      <c r="AR855" s="146"/>
      <c r="AS855" s="395">
        <f ca="1">NPV(MasterSheet_f_NPVDiscount,OFFSET(Businesscasen_f_BCM_subcat18_Table1_start,MATCH("Samlet nettogevinst",OFFSET(Businesscasen_f_BCM_subcat18_Table1_start,0,0,ROWS(Businesscasen_f_BCM_subcat18_Table1_start:Businesscasen_f_BCM_subcat18_Table1_end),1),0),4,1,50))</f>
        <v>0</v>
      </c>
      <c r="AT855" s="396"/>
      <c r="AU855" s="395">
        <f ca="1">NPV(MasterSheet_f_NPVDiscount,OFFSET(Businesscasen_f_BCM_subcat18_Table1_start,MATCH("Samlet nettogevinst",OFFSET(Businesscasen_f_BCM_subcat18_Table1_start,0,0,ROWS(Businesscasen_f_BCM_subcat18_Table1_start:Businesscasen_f_BCM_subcat18_Table1_end),1),0)+1,4,1,50))</f>
        <v>0</v>
      </c>
      <c r="AV855" s="396"/>
      <c r="AW855" s="395">
        <f ca="1">NPV(MasterSheet_f_NPVDiscount,OFFSET(Businesscasen_f_BCM_subcat18_Table1_start,MATCH("Samlet nettogevinst",OFFSET(Businesscasen_f_BCM_subcat18_Table1_start,0,0,ROWS(Businesscasen_f_BCM_subcat18_Table1_start:Businesscasen_f_BCM_subcat18_Table1_end),1),0)+3,4,1,50))</f>
        <v>0</v>
      </c>
      <c r="AX855" s="396"/>
      <c r="AY855" s="395">
        <f ca="1">NPV(MasterSheet_f_NPVDiscount,OFFSET(Businesscasen_f_BCM_subcat18_Table1_start,MATCH("Samlet nettogevinst",OFFSET(Businesscasen_f_BCM_subcat18_Table1_start,0,0,ROWS(Businesscasen_f_BCM_subcat18_Table1_start:Businesscasen_f_BCM_subcat18_Table1_end),1),0)+2,4,1,50))</f>
        <v>0</v>
      </c>
      <c r="AZ855" s="396"/>
      <c r="BA855" s="126"/>
      <c r="BB855" s="126"/>
      <c r="BC855" s="91"/>
      <c r="BD855" s="15"/>
      <c r="BE855" s="15"/>
      <c r="BF855" s="15"/>
      <c r="BG855" s="183"/>
      <c r="BH855" s="183"/>
    </row>
    <row r="856" spans="1:60" ht="16.5" customHeight="1" x14ac:dyDescent="0.2">
      <c r="A856" s="113">
        <f>$A$853+2</f>
        <v>23</v>
      </c>
      <c r="B856" s="113" t="s">
        <v>481</v>
      </c>
      <c r="C856" s="113" t="s">
        <v>92</v>
      </c>
      <c r="D856" s="113"/>
      <c r="E856" s="113"/>
      <c r="F856" s="113"/>
      <c r="G856" s="113" t="s">
        <v>406</v>
      </c>
      <c r="H856" s="113"/>
      <c r="I856" s="113"/>
      <c r="J856" s="113" t="b">
        <f t="shared" si="90"/>
        <v>1</v>
      </c>
      <c r="K856" s="113" t="b">
        <v>1</v>
      </c>
      <c r="L856" s="113"/>
      <c r="M856" s="113"/>
      <c r="N856" s="113"/>
      <c r="O856" s="113" t="str">
        <f t="shared" si="91"/>
        <v>$B$23</v>
      </c>
      <c r="P856" s="113" t="str">
        <f t="shared" si="92"/>
        <v>$S$23</v>
      </c>
      <c r="Q856" s="113"/>
      <c r="R856" s="113"/>
      <c r="S856" s="113"/>
      <c r="T856" s="113"/>
      <c r="U856" s="113"/>
      <c r="V856" s="113"/>
      <c r="W856" s="113"/>
      <c r="X856" s="113"/>
      <c r="Y856" s="113"/>
      <c r="Z856" s="113"/>
      <c r="AA856" s="113"/>
      <c r="AB856" s="113"/>
      <c r="AC856" s="113"/>
      <c r="AD856" s="113"/>
      <c r="AE856" s="113"/>
      <c r="AF856" s="113"/>
      <c r="AG856" s="113"/>
      <c r="AH856" s="113"/>
      <c r="AI856" s="113"/>
      <c r="AJ856" s="113"/>
      <c r="AK856" s="113"/>
      <c r="AL856" s="113">
        <v>1</v>
      </c>
      <c r="AM856" s="113"/>
      <c r="AN856" s="113"/>
      <c r="AO856" s="113"/>
      <c r="AP856" s="113" t="b">
        <v>1</v>
      </c>
      <c r="AQ856" s="132" t="s">
        <v>629</v>
      </c>
      <c r="AR856" s="147"/>
      <c r="AS856" s="397">
        <f ca="1">OFFSET(Businesscasen_f_BCM_subcat18_Table1_start,MATCH(IF(MasterSheet_f_FP_CfgGroup1R3_VS,"Program","Projekt")&amp;"udgifter",OFFSET(Businesscasen_f_BCM_subcat18_Table1_start,0,0,ROWS(Businesscasen_f_BCM_subcat18_Table1_start:Businesscasen_f_BCM_subcat18_Table1_end),1),0),3)</f>
        <v>0</v>
      </c>
      <c r="AT856" s="398"/>
      <c r="AU856" s="397">
        <f ca="1">OFFSET(Businesscasen_f_BCM_subcat18_Table1_start,MATCH(IF(MasterSheet_f_FP_CfgGroup1R3_VS,"Program","Projekt")&amp;"udgifter",OFFSET(Businesscasen_f_BCM_subcat18_Table1_start,0,0,ROWS(Businesscasen_f_BCM_subcat18_Table1_start:Businesscasen_f_BCM_subcat18_Table1_end),1),0)+1,3)</f>
        <v>0</v>
      </c>
      <c r="AV856" s="398"/>
      <c r="AW856" s="397">
        <f ca="1">OFFSET(Businesscasen_f_BCM_subcat18_Table1_start,MATCH(IF(MasterSheet_f_FP_CfgGroup1R3_VS,"Program","Projekt")&amp;"udgifter",OFFSET(Businesscasen_f_BCM_subcat18_Table1_start,0,0,ROWS(Businesscasen_f_BCM_subcat18_Table1_start:Businesscasen_f_BCM_subcat18_Table1_end),1),0)+3,3)</f>
        <v>0</v>
      </c>
      <c r="AX856" s="398"/>
      <c r="AY856" s="397">
        <f ca="1">OFFSET(Businesscasen_f_BCM_subcat18_Table1_start,MATCH(IF(MasterSheet_f_FP_CfgGroup1R3_VS,"Program","Projekt")&amp;"udgifter",OFFSET(Businesscasen_f_BCM_subcat18_Table1_start,0,0,ROWS(Businesscasen_f_BCM_subcat18_Table1_start:Businesscasen_f_BCM_subcat18_Table1_end),1),0)+2,3)</f>
        <v>0</v>
      </c>
      <c r="AZ856" s="398"/>
      <c r="BA856" s="126"/>
      <c r="BB856" s="126"/>
      <c r="BC856" s="16"/>
      <c r="BD856" s="16"/>
      <c r="BE856" s="16"/>
      <c r="BF856" s="16"/>
      <c r="BG856" s="184"/>
      <c r="BH856" s="184"/>
    </row>
    <row r="857" spans="1:60" ht="16.5" customHeight="1" x14ac:dyDescent="0.2">
      <c r="A857" s="113">
        <f>$A$853+3</f>
        <v>24</v>
      </c>
      <c r="B857" s="113" t="s">
        <v>482</v>
      </c>
      <c r="C857" s="113" t="s">
        <v>92</v>
      </c>
      <c r="D857" s="113"/>
      <c r="E857" s="113"/>
      <c r="F857" s="113"/>
      <c r="G857" s="113" t="s">
        <v>406</v>
      </c>
      <c r="H857" s="113"/>
      <c r="I857" s="113"/>
      <c r="J857" s="113" t="b">
        <f t="shared" si="90"/>
        <v>1</v>
      </c>
      <c r="K857" s="113" t="b">
        <v>1</v>
      </c>
      <c r="L857" s="113"/>
      <c r="M857" s="113"/>
      <c r="N857" s="113"/>
      <c r="O857" s="113" t="str">
        <f t="shared" si="91"/>
        <v>$B$24</v>
      </c>
      <c r="P857" s="113" t="str">
        <f t="shared" si="92"/>
        <v>$S$24</v>
      </c>
      <c r="Q857" s="113"/>
      <c r="R857" s="113"/>
      <c r="S857" s="113"/>
      <c r="T857" s="113"/>
      <c r="U857" s="113"/>
      <c r="V857" s="113"/>
      <c r="W857" s="113"/>
      <c r="X857" s="113"/>
      <c r="Y857" s="113"/>
      <c r="Z857" s="113"/>
      <c r="AA857" s="113"/>
      <c r="AB857" s="113"/>
      <c r="AC857" s="113"/>
      <c r="AD857" s="113"/>
      <c r="AE857" s="113"/>
      <c r="AF857" s="113"/>
      <c r="AG857" s="113"/>
      <c r="AH857" s="113"/>
      <c r="AI857" s="113"/>
      <c r="AJ857" s="113"/>
      <c r="AK857" s="113"/>
      <c r="AL857" s="113">
        <v>1</v>
      </c>
      <c r="AM857" s="113"/>
      <c r="AN857" s="113"/>
      <c r="AO857" s="113"/>
      <c r="AP857" s="113" t="b">
        <v>1</v>
      </c>
      <c r="AQ857" s="132" t="str">
        <f>"3. Drift uden "&amp;IF(MasterSheet_f_FP_CfgGroup1R3_VS,"program","projekt")</f>
        <v>3. Drift uden projekt</v>
      </c>
      <c r="AR857" s="147"/>
      <c r="AS857" s="397">
        <f ca="1">OFFSET(Businesscasen_f_BCM_subcat18_Table1_start,MATCH("Drift - fremtidig uden "&amp;IF(MasterSheet_f_FP_CfgGroup1R3_VS,"program","projekt"),OFFSET(Businesscasen_f_BCM_subcat18_Table1_start,0,0,ROWS(Businesscasen_f_BCM_subcat18_Table1_start:Businesscasen_f_BCM_subcat18_Table1_end),1),0),3)</f>
        <v>0</v>
      </c>
      <c r="AT857" s="398"/>
      <c r="AU857" s="397">
        <f ca="1">OFFSET(Businesscasen_f_BCM_subcat18_Table1_start,MATCH("Drift - fremtidig uden "&amp;IF(MasterSheet_f_FP_CfgGroup1R3_VS,"program","projekt"),OFFSET(Businesscasen_f_BCM_subcat18_Table1_start,0,0,ROWS(Businesscasen_f_BCM_subcat18_Table1_start:Businesscasen_f_BCM_subcat18_Table1_end),1),0)+1,3)</f>
        <v>0</v>
      </c>
      <c r="AV857" s="398"/>
      <c r="AW857" s="397">
        <f ca="1">OFFSET(Businesscasen_f_BCM_subcat18_Table1_start,MATCH("Drift - fremtidig uden "&amp;IF(MasterSheet_f_FP_CfgGroup1R3_VS,"program","projekt"),OFFSET(Businesscasen_f_BCM_subcat18_Table1_start,0,0,ROWS(Businesscasen_f_BCM_subcat18_Table1_start:Businesscasen_f_BCM_subcat18_Table1_end),1),0)+3,3)</f>
        <v>0</v>
      </c>
      <c r="AX857" s="398"/>
      <c r="AY857" s="397">
        <f ca="1">OFFSET(Businesscasen_f_BCM_subcat18_Table1_start,MATCH("Drift - fremtidig uden "&amp;IF(MasterSheet_f_FP_CfgGroup1R3_VS,"program","projekt"),OFFSET(Businesscasen_f_BCM_subcat18_Table1_start,0,0,ROWS(Businesscasen_f_BCM_subcat18_Table1_start:Businesscasen_f_BCM_subcat18_Table1_end),1),0)+2,3)</f>
        <v>0</v>
      </c>
      <c r="AZ857" s="398"/>
      <c r="BA857" s="126"/>
      <c r="BB857" s="126"/>
      <c r="BC857" s="400" t="s">
        <v>411</v>
      </c>
      <c r="BD857" s="400"/>
      <c r="BE857" s="400"/>
      <c r="BF857" s="400"/>
      <c r="BG857" s="401">
        <f ca="1">OFFSET(Businesscasen_f_BCM_subcat16_Table1_start,19,2)</f>
        <v>0</v>
      </c>
      <c r="BH857" s="401"/>
    </row>
    <row r="858" spans="1:60" ht="16.5" customHeight="1" x14ac:dyDescent="0.2">
      <c r="A858" s="113">
        <f>$A$853+4</f>
        <v>25</v>
      </c>
      <c r="B858" s="113" t="s">
        <v>483</v>
      </c>
      <c r="C858" s="113" t="s">
        <v>92</v>
      </c>
      <c r="D858" s="113"/>
      <c r="E858" s="113"/>
      <c r="F858" s="113"/>
      <c r="G858" s="113" t="s">
        <v>406</v>
      </c>
      <c r="H858" s="113"/>
      <c r="I858" s="113"/>
      <c r="J858" s="113" t="b">
        <f t="shared" si="90"/>
        <v>1</v>
      </c>
      <c r="K858" s="113" t="b">
        <v>1</v>
      </c>
      <c r="L858" s="113"/>
      <c r="M858" s="113"/>
      <c r="N858" s="113"/>
      <c r="O858" s="113" t="str">
        <f t="shared" si="91"/>
        <v>$B$25</v>
      </c>
      <c r="P858" s="113" t="str">
        <f t="shared" si="92"/>
        <v>$S$25</v>
      </c>
      <c r="Q858" s="113"/>
      <c r="R858" s="113"/>
      <c r="S858" s="113"/>
      <c r="T858" s="113"/>
      <c r="U858" s="113"/>
      <c r="V858" s="113"/>
      <c r="W858" s="113"/>
      <c r="X858" s="113"/>
      <c r="Y858" s="113"/>
      <c r="Z858" s="113"/>
      <c r="AA858" s="113"/>
      <c r="AB858" s="113"/>
      <c r="AC858" s="113"/>
      <c r="AD858" s="113"/>
      <c r="AE858" s="113"/>
      <c r="AF858" s="113"/>
      <c r="AG858" s="113"/>
      <c r="AH858" s="113"/>
      <c r="AI858" s="113"/>
      <c r="AJ858" s="113"/>
      <c r="AK858" s="113"/>
      <c r="AL858" s="113">
        <v>1</v>
      </c>
      <c r="AM858" s="113"/>
      <c r="AN858" s="113"/>
      <c r="AO858" s="113"/>
      <c r="AP858" s="113" t="b">
        <v>1</v>
      </c>
      <c r="AQ858" s="132" t="str">
        <f>"4. Drift med "&amp;IF(MasterSheet_f_FP_CfgGroup1R3_VS,"program","projekt")</f>
        <v>4. Drift med projekt</v>
      </c>
      <c r="AR858" s="147"/>
      <c r="AS858" s="397">
        <f ca="1">OFFSET(Businesscasen_f_BCM_subcat18_Table1_start,MATCH("Drift - med "&amp;IF(MasterSheet_f_FP_CfgGroup1R3_VS,"program","projekt"),OFFSET(Businesscasen_f_BCM_subcat18_Table1_start,0,0,ROWS(Businesscasen_f_BCM_subcat18_Table1_start:Businesscasen_f_BCM_subcat18_Table1_end),1),0),3)</f>
        <v>0</v>
      </c>
      <c r="AT858" s="398"/>
      <c r="AU858" s="397">
        <f ca="1">OFFSET(Businesscasen_f_BCM_subcat18_Table1_start,MATCH("Drift - med "&amp;IF(MasterSheet_f_FP_CfgGroup1R3_VS,"program","projekt"),OFFSET(Businesscasen_f_BCM_subcat18_Table1_start,0,0,ROWS(Businesscasen_f_BCM_subcat18_Table1_start:Businesscasen_f_BCM_subcat18_Table1_end),1),0)+1,3)</f>
        <v>0</v>
      </c>
      <c r="AV858" s="398"/>
      <c r="AW858" s="397">
        <f ca="1">OFFSET(Businesscasen_f_BCM_subcat18_Table1_start,MATCH("Drift - med "&amp;IF(MasterSheet_f_FP_CfgGroup1R3_VS,"program","projekt"),OFFSET(Businesscasen_f_BCM_subcat18_Table1_start,0,0,ROWS(Businesscasen_f_BCM_subcat18_Table1_start:Businesscasen_f_BCM_subcat18_Table1_end),1),0)+3,3)</f>
        <v>0</v>
      </c>
      <c r="AX858" s="398"/>
      <c r="AY858" s="397">
        <f ca="1">OFFSET(Businesscasen_f_BCM_subcat18_Table1_start,MATCH("Drift - med "&amp;IF(MasterSheet_f_FP_CfgGroup1R3_VS,"program","projekt"),OFFSET(Businesscasen_f_BCM_subcat18_Table1_start,0,0,ROWS(Businesscasen_f_BCM_subcat18_Table1_start:Businesscasen_f_BCM_subcat18_Table1_end),1),0)+2,3)</f>
        <v>0</v>
      </c>
      <c r="AZ858" s="398"/>
      <c r="BA858" s="126"/>
      <c r="BB858" s="126"/>
      <c r="BC858" s="138"/>
      <c r="BD858" s="138"/>
      <c r="BE858" s="17"/>
      <c r="BF858" s="16"/>
      <c r="BG858" s="187"/>
      <c r="BH858" s="187"/>
    </row>
    <row r="859" spans="1:60" ht="16.5" customHeight="1" x14ac:dyDescent="0.2">
      <c r="A859" s="113">
        <f>$A$853+5</f>
        <v>26</v>
      </c>
      <c r="B859" s="113" t="s">
        <v>484</v>
      </c>
      <c r="C859" s="113" t="s">
        <v>92</v>
      </c>
      <c r="D859" s="113"/>
      <c r="E859" s="113"/>
      <c r="F859" s="113"/>
      <c r="G859" s="113" t="s">
        <v>406</v>
      </c>
      <c r="H859" s="113"/>
      <c r="I859" s="113"/>
      <c r="J859" s="113" t="b">
        <f t="shared" si="90"/>
        <v>1</v>
      </c>
      <c r="K859" s="113" t="b">
        <v>1</v>
      </c>
      <c r="L859" s="113"/>
      <c r="M859" s="113"/>
      <c r="N859" s="113"/>
      <c r="O859" s="113" t="str">
        <f t="shared" si="91"/>
        <v>$B$26</v>
      </c>
      <c r="P859" s="113" t="str">
        <f t="shared" si="92"/>
        <v>$S$26</v>
      </c>
      <c r="Q859" s="113"/>
      <c r="R859" s="113"/>
      <c r="S859" s="113"/>
      <c r="T859" s="113"/>
      <c r="U859" s="113"/>
      <c r="V859" s="113"/>
      <c r="W859" s="113"/>
      <c r="X859" s="113"/>
      <c r="Y859" s="113"/>
      <c r="Z859" s="113"/>
      <c r="AA859" s="113"/>
      <c r="AB859" s="113"/>
      <c r="AC859" s="113"/>
      <c r="AD859" s="113"/>
      <c r="AE859" s="113"/>
      <c r="AF859" s="113"/>
      <c r="AG859" s="113"/>
      <c r="AH859" s="113"/>
      <c r="AI859" s="113"/>
      <c r="AJ859" s="113"/>
      <c r="AK859" s="113"/>
      <c r="AL859" s="113">
        <v>1</v>
      </c>
      <c r="AM859" s="113"/>
      <c r="AN859" s="113"/>
      <c r="AO859" s="113"/>
      <c r="AP859" s="113" t="b">
        <v>1</v>
      </c>
      <c r="AQ859" s="132" t="s">
        <v>630</v>
      </c>
      <c r="AR859" s="147"/>
      <c r="AS859" s="397">
        <f ca="1">AS857-AS858</f>
        <v>0</v>
      </c>
      <c r="AT859" s="398"/>
      <c r="AU859" s="397">
        <f t="shared" ref="AU859" ca="1" si="94">AU857-AU858</f>
        <v>0</v>
      </c>
      <c r="AV859" s="398"/>
      <c r="AW859" s="397">
        <f t="shared" ref="AW859" ca="1" si="95">AW857-AW858</f>
        <v>0</v>
      </c>
      <c r="AX859" s="398"/>
      <c r="AY859" s="397">
        <f t="shared" ref="AY859" ca="1" si="96">AY857-AY858</f>
        <v>0</v>
      </c>
      <c r="AZ859" s="398"/>
      <c r="BA859" s="126"/>
      <c r="BB859" s="126"/>
      <c r="BC859" s="400" t="str">
        <f>IF(MasterSheet_f_FP_CfgGroup2R2_VS,"Ekstra højrisikopulje","")</f>
        <v/>
      </c>
      <c r="BD859" s="400"/>
      <c r="BE859" s="400"/>
      <c r="BF859" s="400"/>
      <c r="BG859" s="401" t="str">
        <f ca="1">IF(MasterSheet_f_FP_CfgGroup2R2_VS,OFFSET(Businesscasen_f_BCM_subcat16_Table1_start,19,1)-OFFSET(Businesscasen_f_BCM_subcat16_Table1_start,18,1),"")</f>
        <v/>
      </c>
      <c r="BH859" s="401"/>
    </row>
    <row r="860" spans="1:60" ht="16.5" customHeight="1" x14ac:dyDescent="0.2">
      <c r="A860" s="113">
        <f>$A$853+6</f>
        <v>27</v>
      </c>
      <c r="B860" s="113" t="s">
        <v>485</v>
      </c>
      <c r="C860" s="113" t="s">
        <v>92</v>
      </c>
      <c r="D860" s="113"/>
      <c r="E860" s="113"/>
      <c r="F860" s="113"/>
      <c r="G860" s="113" t="s">
        <v>406</v>
      </c>
      <c r="H860" s="113"/>
      <c r="I860" s="113"/>
      <c r="J860" s="113" t="b">
        <f t="shared" si="90"/>
        <v>1</v>
      </c>
      <c r="K860" s="113" t="b">
        <v>1</v>
      </c>
      <c r="L860" s="113"/>
      <c r="M860" s="113"/>
      <c r="N860" s="113"/>
      <c r="O860" s="113" t="str">
        <f t="shared" si="91"/>
        <v>$B$27</v>
      </c>
      <c r="P860" s="113" t="str">
        <f t="shared" si="92"/>
        <v>$S$27</v>
      </c>
      <c r="Q860" s="113"/>
      <c r="R860" s="113"/>
      <c r="S860" s="113"/>
      <c r="T860" s="113"/>
      <c r="U860" s="113"/>
      <c r="V860" s="113"/>
      <c r="W860" s="113"/>
      <c r="X860" s="113"/>
      <c r="Y860" s="113"/>
      <c r="Z860" s="113"/>
      <c r="AA860" s="113"/>
      <c r="AB860" s="113"/>
      <c r="AC860" s="113"/>
      <c r="AD860" s="113"/>
      <c r="AE860" s="113"/>
      <c r="AF860" s="113"/>
      <c r="AG860" s="113"/>
      <c r="AH860" s="113"/>
      <c r="AI860" s="113"/>
      <c r="AJ860" s="113"/>
      <c r="AK860" s="113"/>
      <c r="AL860" s="113">
        <v>1</v>
      </c>
      <c r="AM860" s="113"/>
      <c r="AN860" s="113"/>
      <c r="AO860" s="113"/>
      <c r="AP860" s="113" t="b">
        <v>1</v>
      </c>
      <c r="AQ860" s="368" t="str">
        <f>"6. Samlede udgifter med "&amp;IF(MasterSheet_f_FP_CfgGroup1R3_VS,"program","projekt")&amp;", ekskl. renter (2 + 4)"</f>
        <v>6. Samlede udgifter med projekt, ekskl. renter (2 + 4)</v>
      </c>
      <c r="AR860" s="368"/>
      <c r="AS860" s="397">
        <f ca="1">AS856+AS858</f>
        <v>0</v>
      </c>
      <c r="AT860" s="398"/>
      <c r="AU860" s="397">
        <f t="shared" ref="AU860" ca="1" si="97">AU856+AU858</f>
        <v>0</v>
      </c>
      <c r="AV860" s="398"/>
      <c r="AW860" s="397">
        <f t="shared" ref="AW860" ca="1" si="98">AW856+AW858</f>
        <v>0</v>
      </c>
      <c r="AX860" s="398"/>
      <c r="AY860" s="397">
        <f t="shared" ref="AY860" ca="1" si="99">AY856+AY858</f>
        <v>0</v>
      </c>
      <c r="AZ860" s="398"/>
      <c r="BA860" s="126"/>
      <c r="BB860" s="126"/>
      <c r="BC860" s="131"/>
      <c r="BD860" s="17"/>
      <c r="BE860" s="17"/>
      <c r="BF860" s="16"/>
      <c r="BG860" s="188"/>
      <c r="BH860" s="188"/>
    </row>
    <row r="861" spans="1:60" ht="16.5" customHeight="1" x14ac:dyDescent="0.2">
      <c r="A861" s="113">
        <f>$A$853+7</f>
        <v>28</v>
      </c>
      <c r="B861" s="113" t="s">
        <v>486</v>
      </c>
      <c r="C861" s="113" t="s">
        <v>92</v>
      </c>
      <c r="D861" s="113"/>
      <c r="E861" s="113"/>
      <c r="F861" s="113"/>
      <c r="G861" s="113" t="s">
        <v>406</v>
      </c>
      <c r="H861" s="113"/>
      <c r="I861" s="113"/>
      <c r="J861" s="113" t="b">
        <f t="shared" si="90"/>
        <v>1</v>
      </c>
      <c r="K861" s="113" t="b">
        <v>1</v>
      </c>
      <c r="L861" s="113"/>
      <c r="M861" s="113"/>
      <c r="N861" s="113"/>
      <c r="O861" s="113" t="str">
        <f t="shared" si="91"/>
        <v>$B$28</v>
      </c>
      <c r="P861" s="113" t="str">
        <f t="shared" si="92"/>
        <v>$S$28</v>
      </c>
      <c r="Q861" s="113"/>
      <c r="R861" s="113"/>
      <c r="S861" s="113"/>
      <c r="T861" s="113"/>
      <c r="U861" s="113"/>
      <c r="V861" s="113"/>
      <c r="W861" s="113"/>
      <c r="X861" s="113"/>
      <c r="Y861" s="113"/>
      <c r="Z861" s="113"/>
      <c r="AA861" s="113"/>
      <c r="AB861" s="113"/>
      <c r="AC861" s="113"/>
      <c r="AD861" s="113"/>
      <c r="AE861" s="113"/>
      <c r="AF861" s="113"/>
      <c r="AG861" s="113"/>
      <c r="AH861" s="113"/>
      <c r="AI861" s="113"/>
      <c r="AJ861" s="113"/>
      <c r="AK861" s="113"/>
      <c r="AL861" s="113">
        <v>1</v>
      </c>
      <c r="AM861" s="113"/>
      <c r="AN861" s="113"/>
      <c r="AO861" s="113"/>
      <c r="AP861" s="113" t="b">
        <v>1</v>
      </c>
      <c r="AQ861" s="132" t="s">
        <v>1569</v>
      </c>
      <c r="AR861" s="147"/>
      <c r="AS861" s="397">
        <f ca="1">AS859-AS856</f>
        <v>0</v>
      </c>
      <c r="AT861" s="398"/>
      <c r="AU861" s="397">
        <f ca="1">AU859-AU856</f>
        <v>0</v>
      </c>
      <c r="AV861" s="398"/>
      <c r="AW861" s="397">
        <f ca="1">AW859-AW856</f>
        <v>0</v>
      </c>
      <c r="AX861" s="398"/>
      <c r="AY861" s="397">
        <f ca="1">AY859-AY856</f>
        <v>0</v>
      </c>
      <c r="AZ861" s="398"/>
      <c r="BA861" s="126"/>
      <c r="BB861" s="126"/>
      <c r="BC861" s="400" t="str">
        <f>IF(MasterSheet_f_FP_CfgGroup2R2_VS,"Samlet risikopulje","")</f>
        <v/>
      </c>
      <c r="BD861" s="400"/>
      <c r="BE861" s="400"/>
      <c r="BF861" s="400"/>
      <c r="BG861" s="401" t="str">
        <f>IF(MasterSheet_f_FP_CfgGroup2R2_VS,SUM(BG856:BH860),"")</f>
        <v/>
      </c>
      <c r="BH861" s="401"/>
    </row>
    <row r="862" spans="1:60" ht="16.5" customHeight="1" x14ac:dyDescent="0.2">
      <c r="A862" s="113">
        <f>$A$853+8</f>
        <v>29</v>
      </c>
      <c r="B862" s="113" t="s">
        <v>1293</v>
      </c>
      <c r="C862" s="113" t="s">
        <v>92</v>
      </c>
      <c r="D862" s="113"/>
      <c r="E862" s="113"/>
      <c r="F862" s="113"/>
      <c r="G862" s="113" t="s">
        <v>406</v>
      </c>
      <c r="H862" s="113"/>
      <c r="I862" s="113"/>
      <c r="J862" s="113" t="b">
        <f t="shared" si="90"/>
        <v>1</v>
      </c>
      <c r="K862" s="113" t="b">
        <v>1</v>
      </c>
      <c r="L862" s="113"/>
      <c r="M862" s="113"/>
      <c r="N862" s="113"/>
      <c r="O862" s="113" t="str">
        <f t="shared" si="91"/>
        <v>$B$29</v>
      </c>
      <c r="P862" s="113" t="str">
        <f t="shared" si="92"/>
        <v>$S$29</v>
      </c>
      <c r="Q862" s="113"/>
      <c r="R862" s="113"/>
      <c r="S862" s="113"/>
      <c r="T862" s="113"/>
      <c r="U862" s="113"/>
      <c r="V862" s="113"/>
      <c r="W862" s="113"/>
      <c r="X862" s="113"/>
      <c r="Y862" s="113"/>
      <c r="Z862" s="113"/>
      <c r="AA862" s="113"/>
      <c r="AB862" s="113"/>
      <c r="AC862" s="113"/>
      <c r="AD862" s="113"/>
      <c r="AE862" s="113"/>
      <c r="AF862" s="113"/>
      <c r="AG862" s="113"/>
      <c r="AH862" s="113"/>
      <c r="AI862" s="113"/>
      <c r="AJ862" s="113"/>
      <c r="AK862" s="113"/>
      <c r="AL862" s="113">
        <v>1</v>
      </c>
      <c r="AM862" s="113"/>
      <c r="AN862" s="113"/>
      <c r="AO862" s="113"/>
      <c r="AP862" s="113" t="b">
        <v>1</v>
      </c>
      <c r="AQ862" s="127"/>
      <c r="AR862" s="127"/>
      <c r="AS862" s="127"/>
      <c r="AT862" s="127"/>
      <c r="AU862" s="127"/>
      <c r="AV862" s="127"/>
      <c r="AW862" s="127"/>
      <c r="AX862" s="127"/>
      <c r="AY862" s="127"/>
      <c r="AZ862" s="127"/>
      <c r="BA862" s="118"/>
      <c r="BB862" s="118"/>
      <c r="BC862" s="118"/>
      <c r="BD862" s="118"/>
      <c r="BE862" s="118"/>
      <c r="BF862" s="118"/>
      <c r="BG862" s="118"/>
    </row>
    <row r="863" spans="1:60" ht="16.5" customHeight="1" x14ac:dyDescent="0.2">
      <c r="A863" s="96">
        <f>$A$853+3</f>
        <v>24</v>
      </c>
      <c r="B863" s="96" t="s">
        <v>1535</v>
      </c>
      <c r="C863" s="96" t="s">
        <v>7</v>
      </c>
      <c r="D863" s="96"/>
      <c r="E863" s="96"/>
      <c r="F863" s="96"/>
      <c r="G863" s="96" t="s">
        <v>406</v>
      </c>
      <c r="H863" s="96" t="s">
        <v>1536</v>
      </c>
      <c r="I863" s="96"/>
      <c r="J863" s="96" t="b">
        <f t="shared" si="90"/>
        <v>1</v>
      </c>
      <c r="K863" s="96"/>
      <c r="L863" s="96"/>
      <c r="M863" s="96"/>
      <c r="N863" s="96"/>
      <c r="O863" s="96" t="str">
        <f>"$R$"&amp;A863</f>
        <v>$R$24</v>
      </c>
      <c r="P863" s="96" t="str">
        <f>"$S$"&amp;A863</f>
        <v>$S$24</v>
      </c>
      <c r="Q863" s="96"/>
      <c r="R863" s="96"/>
      <c r="S863" s="96"/>
      <c r="T863" s="96"/>
      <c r="U863" s="96"/>
      <c r="V863" s="96"/>
      <c r="W863" s="96"/>
      <c r="X863" s="96"/>
      <c r="Y863" s="96"/>
      <c r="Z863" s="96"/>
      <c r="AA863" s="96"/>
      <c r="AB863" s="96"/>
      <c r="AC863" s="96"/>
      <c r="AD863" s="96"/>
      <c r="AE863" s="96"/>
      <c r="AF863" s="96"/>
      <c r="AG863" s="96"/>
      <c r="AH863" s="96"/>
      <c r="AI863" s="96"/>
      <c r="AJ863" s="96"/>
      <c r="AK863" s="96"/>
      <c r="AL863" s="96"/>
      <c r="AM863" s="96"/>
      <c r="AN863" s="96"/>
      <c r="AO863" s="96"/>
      <c r="AP863" s="96"/>
    </row>
    <row r="864" spans="1:60" ht="16.5" customHeight="1" x14ac:dyDescent="0.2">
      <c r="A864" s="96">
        <f>$A$853+5</f>
        <v>26</v>
      </c>
      <c r="B864" s="96" t="s">
        <v>1537</v>
      </c>
      <c r="C864" s="96" t="s">
        <v>7</v>
      </c>
      <c r="D864" s="96"/>
      <c r="E864" s="96"/>
      <c r="F864" s="96"/>
      <c r="G864" s="96" t="s">
        <v>406</v>
      </c>
      <c r="H864" s="96" t="s">
        <v>1538</v>
      </c>
      <c r="I864" s="96"/>
      <c r="J864" s="96" t="b">
        <f t="shared" si="90"/>
        <v>1</v>
      </c>
      <c r="K864" s="96"/>
      <c r="L864" s="96"/>
      <c r="M864" s="96"/>
      <c r="N864" s="96"/>
      <c r="O864" s="96" t="str">
        <f>"$R$"&amp;A864</f>
        <v>$R$26</v>
      </c>
      <c r="P864" s="96" t="str">
        <f>"$S$"&amp;A864</f>
        <v>$S$26</v>
      </c>
      <c r="Q864" s="96"/>
      <c r="R864" s="96"/>
      <c r="S864" s="96"/>
      <c r="T864" s="96"/>
      <c r="U864" s="96"/>
      <c r="V864" s="96"/>
      <c r="W864" s="96"/>
      <c r="X864" s="96"/>
      <c r="Y864" s="96"/>
      <c r="Z864" s="96"/>
      <c r="AA864" s="96"/>
      <c r="AB864" s="96"/>
      <c r="AC864" s="96"/>
      <c r="AD864" s="96"/>
      <c r="AE864" s="96"/>
      <c r="AF864" s="96"/>
      <c r="AG864" s="96"/>
      <c r="AH864" s="96"/>
      <c r="AI864" s="96"/>
      <c r="AJ864" s="96"/>
      <c r="AK864" s="96"/>
      <c r="AL864" s="96"/>
      <c r="AM864" s="96"/>
      <c r="AN864" s="96"/>
      <c r="AO864" s="96"/>
      <c r="AP864" s="96"/>
    </row>
    <row r="865" spans="1:147" ht="16.5" customHeight="1" x14ac:dyDescent="0.2">
      <c r="A865" s="108">
        <f>$A$853+5</f>
        <v>26</v>
      </c>
      <c r="B865" s="100" t="s">
        <v>1269</v>
      </c>
      <c r="C865" s="100" t="s">
        <v>649</v>
      </c>
      <c r="D865" s="100"/>
      <c r="E865" s="100"/>
      <c r="F865" s="100"/>
      <c r="G865" s="100" t="s">
        <v>406</v>
      </c>
      <c r="H865" s="100"/>
      <c r="I865" s="100"/>
      <c r="J865" s="100"/>
      <c r="K865" s="100" t="b">
        <v>1</v>
      </c>
      <c r="L865" s="100"/>
      <c r="M865" s="100"/>
      <c r="N865" s="100" t="s">
        <v>59</v>
      </c>
      <c r="O865" s="100" t="str">
        <f>"$N$"&amp;A865</f>
        <v>$N$26</v>
      </c>
      <c r="P865" s="100" t="str">
        <f>"$S$"&amp;A865+2</f>
        <v>$S$28</v>
      </c>
      <c r="Q865" s="100"/>
      <c r="R865" s="100"/>
      <c r="S865" s="100"/>
      <c r="T865" s="100"/>
      <c r="U865" s="100" t="b">
        <v>1</v>
      </c>
      <c r="V865" s="100" t="s">
        <v>1351</v>
      </c>
      <c r="W865" s="100" t="s">
        <v>1351</v>
      </c>
      <c r="X865" s="100"/>
      <c r="Y865" s="100"/>
      <c r="Z865" s="100"/>
      <c r="AA865" s="100"/>
      <c r="AB865" s="100">
        <v>3</v>
      </c>
      <c r="AC865" s="100">
        <v>5</v>
      </c>
      <c r="AD865" s="100" t="s">
        <v>105</v>
      </c>
      <c r="AE865" s="100">
        <v>12</v>
      </c>
      <c r="AF865" s="100" t="b">
        <v>0</v>
      </c>
      <c r="AG865" s="100" t="s">
        <v>1355</v>
      </c>
      <c r="AH865" s="100" t="s">
        <v>27</v>
      </c>
      <c r="AI865" s="100" t="s">
        <v>28</v>
      </c>
      <c r="AJ865" s="100"/>
      <c r="AK865" s="100"/>
      <c r="AL865" s="100">
        <v>0</v>
      </c>
      <c r="AM865" s="100"/>
      <c r="AN865" s="100"/>
      <c r="AO865" s="100"/>
      <c r="AP865" s="100"/>
    </row>
    <row r="866" spans="1:147" ht="16.5" customHeight="1" x14ac:dyDescent="0.2">
      <c r="A866" s="103">
        <f>$A$853+10</f>
        <v>31</v>
      </c>
      <c r="B866" s="103" t="s">
        <v>102</v>
      </c>
      <c r="C866" s="103" t="s">
        <v>654</v>
      </c>
      <c r="D866" s="103"/>
      <c r="E866" s="103"/>
      <c r="F866" s="103"/>
      <c r="G866" s="103" t="s">
        <v>406</v>
      </c>
      <c r="H866" s="103"/>
      <c r="I866" s="103" t="s">
        <v>412</v>
      </c>
      <c r="J866" s="103" t="b">
        <f t="shared" si="90"/>
        <v>1</v>
      </c>
      <c r="K866" s="103" t="b">
        <v>1</v>
      </c>
      <c r="L866" s="103"/>
      <c r="M866" s="103"/>
      <c r="N866" s="103" t="s">
        <v>59</v>
      </c>
      <c r="O866" s="103" t="str">
        <f>"$B$"&amp;A866</f>
        <v>$B$31</v>
      </c>
      <c r="P866" s="103" t="str">
        <f>"$S$"&amp;A883-1</f>
        <v>$S$46</v>
      </c>
      <c r="Q866" s="103"/>
      <c r="R866" s="103">
        <v>1</v>
      </c>
      <c r="S866" s="103"/>
      <c r="T866" s="103">
        <v>27</v>
      </c>
      <c r="U866" s="103" t="b">
        <v>1</v>
      </c>
      <c r="V866" s="103" t="s">
        <v>1352</v>
      </c>
      <c r="W866" s="103" t="s">
        <v>1352</v>
      </c>
      <c r="X866" s="103"/>
      <c r="Y866" s="103"/>
      <c r="Z866" s="103"/>
      <c r="AA866" s="103"/>
      <c r="AB866" s="103"/>
      <c r="AC866" s="103">
        <v>7</v>
      </c>
      <c r="AD866" s="103" t="s">
        <v>105</v>
      </c>
      <c r="AE866" s="103">
        <v>20</v>
      </c>
      <c r="AF866" s="103" t="b">
        <v>1</v>
      </c>
      <c r="AG866" s="103" t="s">
        <v>1351</v>
      </c>
      <c r="AH866" s="103" t="s">
        <v>29</v>
      </c>
      <c r="AI866" s="103" t="s">
        <v>28</v>
      </c>
      <c r="AJ866" s="103"/>
      <c r="AK866" s="103"/>
      <c r="AL866" s="103">
        <v>0</v>
      </c>
      <c r="AM866" s="103"/>
      <c r="AN866" s="103"/>
      <c r="AO866" s="103"/>
      <c r="AP866" s="103"/>
      <c r="AQ866" s="93" t="s">
        <v>412</v>
      </c>
    </row>
    <row r="867" spans="1:147" ht="16.5" customHeight="1" x14ac:dyDescent="0.2">
      <c r="A867" s="81">
        <f>$A$866+0</f>
        <v>31</v>
      </c>
      <c r="B867" s="81" t="s">
        <v>513</v>
      </c>
      <c r="C867" s="81" t="s">
        <v>512</v>
      </c>
      <c r="D867" s="81" t="s">
        <v>901</v>
      </c>
      <c r="E867" s="81"/>
      <c r="F867" s="81"/>
      <c r="G867" s="81" t="s">
        <v>406</v>
      </c>
      <c r="H867" s="81"/>
      <c r="I867" s="81"/>
      <c r="J867" s="81" t="b">
        <f t="shared" si="90"/>
        <v>1</v>
      </c>
      <c r="K867" s="81" t="b">
        <v>1</v>
      </c>
      <c r="L867" s="81" t="b">
        <v>0</v>
      </c>
      <c r="M867" s="81"/>
      <c r="N867" s="81" t="s">
        <v>59</v>
      </c>
      <c r="O867" s="81" t="str">
        <f>"$A$"&amp;A867</f>
        <v>$A$31</v>
      </c>
      <c r="P867" s="81" t="str">
        <f>"$A$"&amp;A883-1</f>
        <v>$A$46</v>
      </c>
      <c r="Q867" s="81"/>
      <c r="R867" s="81">
        <v>1</v>
      </c>
      <c r="S867" s="81">
        <v>20</v>
      </c>
      <c r="T867" s="81"/>
      <c r="U867" s="81" t="b">
        <f>$I$5</f>
        <v>0</v>
      </c>
      <c r="V867" s="81" t="s">
        <v>1353</v>
      </c>
      <c r="W867" s="81" t="s">
        <v>1353</v>
      </c>
      <c r="X867" s="81"/>
      <c r="Y867" s="81"/>
      <c r="Z867" s="81"/>
      <c r="AA867" s="81"/>
      <c r="AB867" s="81"/>
      <c r="AC867" s="81"/>
      <c r="AD867" s="81"/>
      <c r="AE867" s="81"/>
      <c r="AF867" s="81"/>
      <c r="AG867" s="81"/>
      <c r="AH867" s="81"/>
      <c r="AI867" s="81"/>
      <c r="AJ867" s="81"/>
      <c r="AK867" s="81"/>
      <c r="AL867" s="81">
        <v>10</v>
      </c>
      <c r="AM867" s="81">
        <v>5</v>
      </c>
      <c r="AN867" s="81"/>
      <c r="AO867" s="81"/>
      <c r="AP867" s="81"/>
    </row>
    <row r="868" spans="1:147" ht="16.5" customHeight="1" x14ac:dyDescent="0.2">
      <c r="A868" s="81">
        <f>$A$866+11</f>
        <v>42</v>
      </c>
      <c r="B868" s="81" t="s">
        <v>515</v>
      </c>
      <c r="C868" s="81" t="s">
        <v>512</v>
      </c>
      <c r="D868" s="81" t="s">
        <v>903</v>
      </c>
      <c r="E868" s="81"/>
      <c r="F868" s="81"/>
      <c r="G868" s="81" t="s">
        <v>406</v>
      </c>
      <c r="H868" s="81"/>
      <c r="I868" s="81"/>
      <c r="J868" s="81" t="b">
        <f t="shared" si="90"/>
        <v>1</v>
      </c>
      <c r="K868" s="81" t="b">
        <v>1</v>
      </c>
      <c r="L868" s="81" t="b">
        <v>1</v>
      </c>
      <c r="M868" s="81"/>
      <c r="N868" s="81" t="s">
        <v>59</v>
      </c>
      <c r="O868" s="81" t="str">
        <f>"$A$"&amp;A878</f>
        <v>$A$40</v>
      </c>
      <c r="P868" s="81" t="str">
        <f>"$A$"&amp;A878</f>
        <v>$A$40</v>
      </c>
      <c r="Q868" s="81"/>
      <c r="R868" s="81">
        <v>1</v>
      </c>
      <c r="S868" s="81">
        <v>20</v>
      </c>
      <c r="T868" s="81"/>
      <c r="U868" s="81" t="b">
        <f>$I$5</f>
        <v>0</v>
      </c>
      <c r="V868" s="81" t="s">
        <v>1354</v>
      </c>
      <c r="W868" s="81" t="s">
        <v>1354</v>
      </c>
      <c r="X868" s="81"/>
      <c r="Y868" s="81"/>
      <c r="Z868" s="81"/>
      <c r="AA868" s="81"/>
      <c r="AB868" s="81"/>
      <c r="AC868" s="81"/>
      <c r="AD868" s="81"/>
      <c r="AE868" s="81"/>
      <c r="AF868" s="81"/>
      <c r="AG868" s="81"/>
      <c r="AH868" s="81"/>
      <c r="AI868" s="81"/>
      <c r="AJ868" s="81"/>
      <c r="AK868" s="81"/>
      <c r="AL868" s="81">
        <v>10</v>
      </c>
      <c r="AM868" s="81">
        <v>5</v>
      </c>
      <c r="AN868" s="81"/>
      <c r="AO868" s="81"/>
      <c r="AP868" s="81"/>
    </row>
    <row r="869" spans="1:147" ht="16.5" customHeight="1" x14ac:dyDescent="0.2">
      <c r="A869" s="81">
        <f>$A$866+14</f>
        <v>45</v>
      </c>
      <c r="B869" s="81" t="s">
        <v>516</v>
      </c>
      <c r="C869" s="81" t="s">
        <v>512</v>
      </c>
      <c r="D869" s="81" t="s">
        <v>900</v>
      </c>
      <c r="E869" s="81"/>
      <c r="F869" s="81"/>
      <c r="G869" s="81" t="s">
        <v>406</v>
      </c>
      <c r="H869" s="81"/>
      <c r="I869" s="81"/>
      <c r="J869" s="81" t="b">
        <f t="shared" si="90"/>
        <v>1</v>
      </c>
      <c r="K869" s="81" t="b">
        <v>1</v>
      </c>
      <c r="L869" s="81" t="b">
        <v>1</v>
      </c>
      <c r="M869" s="81"/>
      <c r="N869" s="81" t="s">
        <v>59</v>
      </c>
      <c r="O869" s="81" t="str">
        <f>"$A$"&amp;A880</f>
        <v>$A$42</v>
      </c>
      <c r="P869" s="81" t="str">
        <f>"$A$"&amp;A882</f>
        <v>$A$44</v>
      </c>
      <c r="Q869" s="81"/>
      <c r="R869" s="81">
        <v>1</v>
      </c>
      <c r="S869" s="81">
        <v>20</v>
      </c>
      <c r="T869" s="81"/>
      <c r="U869" s="81" t="b">
        <f>$I$5</f>
        <v>0</v>
      </c>
      <c r="V869" s="81" t="s">
        <v>1350</v>
      </c>
      <c r="W869" s="81" t="s">
        <v>1350</v>
      </c>
      <c r="X869" s="81"/>
      <c r="Y869" s="81"/>
      <c r="Z869" s="81"/>
      <c r="AA869" s="81"/>
      <c r="AB869" s="81"/>
      <c r="AC869" s="81"/>
      <c r="AD869" s="81"/>
      <c r="AE869" s="81"/>
      <c r="AF869" s="81"/>
      <c r="AG869" s="81"/>
      <c r="AH869" s="81"/>
      <c r="AI869" s="81"/>
      <c r="AJ869" s="81"/>
      <c r="AK869" s="81"/>
      <c r="AL869" s="81">
        <v>10</v>
      </c>
      <c r="AM869" s="81">
        <v>5</v>
      </c>
      <c r="AN869" s="81"/>
      <c r="AO869" s="81"/>
      <c r="AP869" s="81"/>
    </row>
    <row r="870" spans="1:147" ht="16.5" customHeight="1" x14ac:dyDescent="0.2">
      <c r="A870" s="112">
        <f>$A$866+2</f>
        <v>33</v>
      </c>
      <c r="B870" s="112" t="s">
        <v>521</v>
      </c>
      <c r="C870" s="112" t="s">
        <v>90</v>
      </c>
      <c r="D870" s="112"/>
      <c r="E870" s="112"/>
      <c r="F870" s="112"/>
      <c r="G870" s="112" t="s">
        <v>406</v>
      </c>
      <c r="H870" s="112"/>
      <c r="I870" s="112"/>
      <c r="J870" s="112" t="b">
        <f t="shared" si="90"/>
        <v>1</v>
      </c>
      <c r="K870" s="112" t="b">
        <v>1</v>
      </c>
      <c r="L870" s="112"/>
      <c r="M870" s="112"/>
      <c r="N870" s="112"/>
      <c r="O870" s="112" t="str">
        <f t="shared" ref="O870:O883" si="100">"$B$"&amp;A870</f>
        <v>$B$33</v>
      </c>
      <c r="P870" s="112" t="str">
        <f>"$BK$"&amp;A882</f>
        <v>$BK$44</v>
      </c>
      <c r="Q870" s="112"/>
      <c r="R870" s="112"/>
      <c r="S870" s="112"/>
      <c r="T870" s="112"/>
      <c r="U870" s="112"/>
      <c r="V870" s="112" t="s">
        <v>1342</v>
      </c>
      <c r="W870" s="112"/>
      <c r="X870" s="112"/>
      <c r="Y870" s="112"/>
      <c r="Z870" s="112"/>
      <c r="AA870" s="112"/>
      <c r="AB870" s="112"/>
      <c r="AC870" s="112"/>
      <c r="AD870" s="112" t="s">
        <v>105</v>
      </c>
      <c r="AE870" s="112">
        <v>12</v>
      </c>
      <c r="AF870" s="112" t="b">
        <v>1</v>
      </c>
      <c r="AG870" s="112" t="s">
        <v>1355</v>
      </c>
      <c r="AH870" s="112" t="s">
        <v>29</v>
      </c>
      <c r="AI870" s="112" t="s">
        <v>28</v>
      </c>
      <c r="AJ870" s="112"/>
      <c r="AK870" s="112"/>
      <c r="AL870" s="112"/>
      <c r="AM870" s="112"/>
      <c r="AN870" s="112"/>
      <c r="AO870" s="112"/>
      <c r="AP870" s="112"/>
    </row>
    <row r="871" spans="1:147" ht="16.5" customHeight="1" thickBot="1" x14ac:dyDescent="0.3">
      <c r="A871" s="113">
        <f>$A$870+0</f>
        <v>33</v>
      </c>
      <c r="B871" s="113" t="s">
        <v>522</v>
      </c>
      <c r="C871" s="113" t="s">
        <v>92</v>
      </c>
      <c r="D871" s="113"/>
      <c r="E871" s="113"/>
      <c r="F871" s="113" t="s">
        <v>521</v>
      </c>
      <c r="G871" s="113" t="s">
        <v>406</v>
      </c>
      <c r="H871" s="113"/>
      <c r="I871" s="113"/>
      <c r="J871" s="113" t="b">
        <f t="shared" si="90"/>
        <v>1</v>
      </c>
      <c r="K871" s="113" t="b">
        <v>1</v>
      </c>
      <c r="L871" s="113"/>
      <c r="M871" s="113"/>
      <c r="N871" s="113"/>
      <c r="O871" s="113" t="str">
        <f t="shared" si="100"/>
        <v>$B$33</v>
      </c>
      <c r="P871" s="113" t="str">
        <f t="shared" ref="P871:P882" si="101">"$BK$"&amp;A871</f>
        <v>$BK$33</v>
      </c>
      <c r="Q871" s="113"/>
      <c r="R871" s="113"/>
      <c r="S871" s="113"/>
      <c r="T871" s="113">
        <v>52</v>
      </c>
      <c r="U871" s="113"/>
      <c r="V871" s="113"/>
      <c r="W871" s="113"/>
      <c r="X871" s="113"/>
      <c r="Y871" s="113"/>
      <c r="Z871" s="113"/>
      <c r="AA871" s="113"/>
      <c r="AB871" s="113"/>
      <c r="AC871" s="113"/>
      <c r="AD871" s="113"/>
      <c r="AE871" s="113"/>
      <c r="AF871" s="113"/>
      <c r="AG871" s="113"/>
      <c r="AH871" s="113"/>
      <c r="AI871" s="113"/>
      <c r="AJ871" s="113"/>
      <c r="AK871" s="113"/>
      <c r="AL871" s="113">
        <v>1</v>
      </c>
      <c r="AM871" s="113"/>
      <c r="AN871" s="113"/>
      <c r="AO871" s="113"/>
      <c r="AP871" s="113" t="b">
        <v>1</v>
      </c>
      <c r="AQ871" s="412" t="s">
        <v>1539</v>
      </c>
      <c r="AR871" s="413"/>
      <c r="AS871" s="142" t="s">
        <v>413</v>
      </c>
      <c r="AT871" s="143" t="s">
        <v>414</v>
      </c>
      <c r="AU871" s="142">
        <v>2013</v>
      </c>
      <c r="AV871" s="142">
        <v>2014</v>
      </c>
      <c r="AW871"/>
      <c r="AX871"/>
      <c r="AY871"/>
      <c r="AZ871"/>
      <c r="BA871"/>
      <c r="BB871"/>
      <c r="BC871"/>
      <c r="BD871"/>
      <c r="BE871"/>
      <c r="BF871"/>
      <c r="BG871"/>
      <c r="BH871"/>
      <c r="BI871"/>
      <c r="BJ871"/>
      <c r="BK871"/>
      <c r="BL871"/>
      <c r="BM871"/>
      <c r="BN871"/>
      <c r="BO871"/>
      <c r="BP871"/>
      <c r="BQ871"/>
      <c r="BR871"/>
      <c r="BS871"/>
      <c r="BT871"/>
      <c r="BU871"/>
      <c r="BV871"/>
      <c r="BW871"/>
      <c r="BX871"/>
      <c r="BY871"/>
      <c r="BZ871"/>
      <c r="CA871"/>
      <c r="CB871"/>
      <c r="CC871"/>
      <c r="CD871"/>
      <c r="CE871"/>
      <c r="CF871"/>
      <c r="CG871"/>
      <c r="CH871"/>
      <c r="CI871"/>
      <c r="CJ871"/>
      <c r="CK871"/>
      <c r="CL871"/>
      <c r="CM871"/>
      <c r="CN871"/>
      <c r="CO871"/>
      <c r="CP871"/>
      <c r="CQ871"/>
      <c r="CR871"/>
      <c r="CS871"/>
      <c r="CT871"/>
      <c r="CU871"/>
      <c r="CV871"/>
      <c r="CW871"/>
      <c r="CX871"/>
      <c r="CY871"/>
      <c r="CZ871"/>
      <c r="DA871"/>
      <c r="DB871"/>
      <c r="DC871"/>
      <c r="DD871"/>
      <c r="DE871"/>
      <c r="DF871"/>
      <c r="DG871"/>
      <c r="DH871"/>
      <c r="DI871"/>
      <c r="DJ871"/>
      <c r="DK871"/>
      <c r="DL871"/>
      <c r="DM871"/>
      <c r="DN871"/>
      <c r="DO871"/>
      <c r="DP871"/>
      <c r="DQ871"/>
      <c r="DR871"/>
      <c r="DS871"/>
      <c r="DT871"/>
      <c r="DU871"/>
      <c r="DV871"/>
      <c r="DW871"/>
      <c r="DX871"/>
      <c r="DY871"/>
      <c r="DZ871"/>
      <c r="EA871"/>
      <c r="EB871"/>
      <c r="EC871"/>
      <c r="ED871"/>
      <c r="EE871"/>
      <c r="EF871"/>
      <c r="EG871"/>
      <c r="EH871"/>
      <c r="EI871"/>
      <c r="EJ871"/>
      <c r="EK871"/>
      <c r="EL871"/>
      <c r="EM871"/>
      <c r="EN871"/>
      <c r="EO871"/>
      <c r="EP871"/>
      <c r="EQ871"/>
    </row>
    <row r="872" spans="1:147" ht="16.5" customHeight="1" x14ac:dyDescent="0.25">
      <c r="A872" s="113">
        <f>$A$870+1</f>
        <v>34</v>
      </c>
      <c r="B872" s="113" t="s">
        <v>523</v>
      </c>
      <c r="C872" s="113" t="s">
        <v>92</v>
      </c>
      <c r="D872" s="113"/>
      <c r="E872" s="113"/>
      <c r="F872" s="113" t="s">
        <v>521</v>
      </c>
      <c r="G872" s="113" t="s">
        <v>406</v>
      </c>
      <c r="H872" s="113"/>
      <c r="I872" s="113"/>
      <c r="J872" s="113" t="b">
        <f t="shared" si="90"/>
        <v>1</v>
      </c>
      <c r="K872" s="113" t="b">
        <v>1</v>
      </c>
      <c r="L872" s="113"/>
      <c r="M872" s="113"/>
      <c r="N872" s="113"/>
      <c r="O872" s="113" t="str">
        <f t="shared" si="100"/>
        <v>$B$34</v>
      </c>
      <c r="P872" s="113" t="str">
        <f t="shared" si="101"/>
        <v>$BK$34</v>
      </c>
      <c r="Q872" s="113"/>
      <c r="R872" s="113"/>
      <c r="S872" s="113"/>
      <c r="T872" s="113"/>
      <c r="U872" s="113"/>
      <c r="V872" s="113"/>
      <c r="W872" s="113"/>
      <c r="X872" s="113"/>
      <c r="Y872" s="113"/>
      <c r="Z872" s="113"/>
      <c r="AA872" s="113"/>
      <c r="AB872" s="113"/>
      <c r="AC872" s="113"/>
      <c r="AD872" s="113"/>
      <c r="AE872" s="113"/>
      <c r="AF872" s="113"/>
      <c r="AG872" s="113"/>
      <c r="AH872" s="113"/>
      <c r="AI872" s="113"/>
      <c r="AJ872" s="113"/>
      <c r="AK872" s="113"/>
      <c r="AL872" s="113">
        <v>1</v>
      </c>
      <c r="AM872" s="113"/>
      <c r="AN872" s="113"/>
      <c r="AO872" s="113"/>
      <c r="AP872" s="113" t="b">
        <v>1</v>
      </c>
      <c r="AQ872" s="140" t="s">
        <v>491</v>
      </c>
      <c r="AR872" s="185" t="s">
        <v>309</v>
      </c>
      <c r="AS872" s="190">
        <f t="shared" ref="AS872:AS876" ca="1" si="102">SUM(AU872:CY872)</f>
        <v>0</v>
      </c>
      <c r="AT872" s="262" t="e">
        <f ca="1">AS872/AS879</f>
        <v>#DIV/0!</v>
      </c>
      <c r="AU872" s="190">
        <f ca="1">SUMIFS(IF(MasterSheet_f_FP_CfgGroup1R3_VS,ProgramudgifterC!$N:$N,ProjektudgifterC!$N:$N),IF(MasterSheet_f_FP_CfgGroup1R3_VS,ProgramudgifterC!$B:$B,ProjektudgifterC!$B:$B),OFFSET(Businesscasen_f_BCM_subcat2_Table1_start,ROW()-ROW(Businesscasen_f_BCM_subcat2_Table1_start),COLUMN(Businesscasen_f_BCM_subcat2_Table1_start)-1),IF(MasterSheet_f_FP_CfgGroup1R3_VS,ProgramudgifterC!$E:$E,ProgramudgifterC!$E:$E),OFFSET(Businesscasen_f_BCM_subcat2_Table1_start,0,COLUMN()-COLUMN(Businesscasen_f_BCM_subcat2_Table1_start)))/1000</f>
        <v>0</v>
      </c>
      <c r="AV872" s="190">
        <f ca="1">SUMIFS(IF(MasterSheet_f_FP_CfgGroup1R3_VS,ProgramudgifterC!$N:$N,ProjektudgifterC!$N:$N),IF(MasterSheet_f_FP_CfgGroup1R3_VS,ProgramudgifterC!$B:$B,ProjektudgifterC!$B:$B),OFFSET(Businesscasen_f_BCM_subcat2_Table1_start,ROW()-ROW(Businesscasen_f_BCM_subcat2_Table1_start),COLUMN(Businesscasen_f_BCM_subcat2_Table1_start)-1),IF(MasterSheet_f_FP_CfgGroup1R3_VS,ProgramudgifterC!$E:$E,ProgramudgifterC!$E:$E),OFFSET(Businesscasen_f_BCM_subcat2_Table1_start,0,COLUMN()-COLUMN(Businesscasen_f_BCM_subcat2_Table1_start)))/1000</f>
        <v>0</v>
      </c>
      <c r="AW872"/>
      <c r="AX872"/>
      <c r="AY872"/>
      <c r="AZ872"/>
      <c r="BA872"/>
      <c r="BB872"/>
      <c r="BC872"/>
      <c r="BD872"/>
      <c r="BE872"/>
      <c r="BF872"/>
      <c r="BG872"/>
      <c r="BH872"/>
      <c r="BI872"/>
      <c r="BJ872"/>
      <c r="BK872"/>
      <c r="BL872"/>
      <c r="BM872"/>
      <c r="BN872"/>
      <c r="BO872"/>
      <c r="BP872"/>
      <c r="BQ872"/>
      <c r="BR872"/>
      <c r="BS872"/>
      <c r="BT872"/>
      <c r="BU872"/>
      <c r="BV872"/>
      <c r="BW872"/>
      <c r="BX872"/>
      <c r="BY872"/>
      <c r="BZ872"/>
      <c r="CA872"/>
      <c r="CB872"/>
      <c r="CC872"/>
      <c r="CD872"/>
      <c r="CE872"/>
      <c r="CF872"/>
      <c r="CG872"/>
      <c r="CH872"/>
      <c r="CI872"/>
      <c r="CJ872"/>
      <c r="CK872"/>
      <c r="CL872"/>
      <c r="CM872"/>
      <c r="CN872"/>
      <c r="CO872"/>
      <c r="CP872"/>
      <c r="CQ872"/>
      <c r="CR872"/>
      <c r="CS872"/>
      <c r="CT872"/>
      <c r="CU872"/>
      <c r="CV872"/>
      <c r="CW872"/>
      <c r="CX872"/>
      <c r="CY872"/>
      <c r="CZ872"/>
      <c r="DA872"/>
      <c r="DB872"/>
      <c r="DC872"/>
      <c r="DD872"/>
      <c r="DE872"/>
      <c r="DF872"/>
      <c r="DG872"/>
      <c r="DH872"/>
      <c r="DI872"/>
      <c r="DJ872"/>
      <c r="DK872"/>
      <c r="DL872"/>
      <c r="DM872"/>
      <c r="DN872"/>
      <c r="DO872"/>
      <c r="DP872"/>
      <c r="DQ872"/>
      <c r="DR872"/>
      <c r="DS872"/>
      <c r="DT872"/>
      <c r="DU872"/>
      <c r="DV872"/>
      <c r="DW872"/>
      <c r="DX872"/>
      <c r="DY872"/>
      <c r="DZ872"/>
      <c r="EA872"/>
      <c r="EB872"/>
      <c r="EC872"/>
      <c r="ED872"/>
      <c r="EE872"/>
      <c r="EF872"/>
      <c r="EG872"/>
      <c r="EH872"/>
      <c r="EI872"/>
      <c r="EJ872"/>
      <c r="EK872"/>
      <c r="EL872"/>
      <c r="EM872"/>
      <c r="EN872"/>
      <c r="EO872"/>
      <c r="EP872"/>
      <c r="EQ872"/>
    </row>
    <row r="873" spans="1:147" ht="16.5" customHeight="1" x14ac:dyDescent="0.25">
      <c r="A873" s="113">
        <f>$A$870+2</f>
        <v>35</v>
      </c>
      <c r="B873" s="113" t="s">
        <v>524</v>
      </c>
      <c r="C873" s="113" t="s">
        <v>92</v>
      </c>
      <c r="D873" s="113"/>
      <c r="E873" s="113"/>
      <c r="F873" s="113" t="s">
        <v>521</v>
      </c>
      <c r="G873" s="113" t="s">
        <v>406</v>
      </c>
      <c r="H873" s="113"/>
      <c r="I873" s="113"/>
      <c r="J873" s="113" t="b">
        <f t="shared" si="90"/>
        <v>1</v>
      </c>
      <c r="K873" s="113" t="b">
        <v>1</v>
      </c>
      <c r="L873" s="113"/>
      <c r="M873" s="113"/>
      <c r="N873" s="113"/>
      <c r="O873" s="113" t="str">
        <f t="shared" si="100"/>
        <v>$B$35</v>
      </c>
      <c r="P873" s="113" t="str">
        <f t="shared" si="101"/>
        <v>$BK$35</v>
      </c>
      <c r="Q873" s="113"/>
      <c r="R873" s="113"/>
      <c r="S873" s="113"/>
      <c r="T873" s="113"/>
      <c r="U873" s="113"/>
      <c r="V873" s="113"/>
      <c r="W873" s="113"/>
      <c r="X873" s="113"/>
      <c r="Y873" s="113"/>
      <c r="Z873" s="113"/>
      <c r="AA873" s="113"/>
      <c r="AB873" s="113"/>
      <c r="AC873" s="113"/>
      <c r="AD873" s="113"/>
      <c r="AE873" s="113"/>
      <c r="AF873" s="113"/>
      <c r="AG873" s="113"/>
      <c r="AH873" s="113"/>
      <c r="AI873" s="113"/>
      <c r="AJ873" s="113"/>
      <c r="AK873" s="113"/>
      <c r="AL873" s="113">
        <v>1</v>
      </c>
      <c r="AM873" s="113"/>
      <c r="AN873" s="113"/>
      <c r="AO873" s="113"/>
      <c r="AP873" s="113" t="b">
        <v>1</v>
      </c>
      <c r="AQ873" s="139" t="s">
        <v>492</v>
      </c>
      <c r="AR873" s="186" t="s">
        <v>317</v>
      </c>
      <c r="AS873" s="191">
        <f t="shared" ca="1" si="102"/>
        <v>0</v>
      </c>
      <c r="AT873" s="263" t="e">
        <f ca="1">AS873/AS879</f>
        <v>#DIV/0!</v>
      </c>
      <c r="AU873" s="191">
        <f ca="1">SUMIFS(IF(MasterSheet_f_FP_CfgGroup1R3_VS,ProgramudgifterC!$N:$N,ProjektudgifterC!$N:$N),IF(MasterSheet_f_FP_CfgGroup1R3_VS,ProgramudgifterC!$B:$B,ProjektudgifterC!$B:$B),OFFSET(Businesscasen_f_BCM_subcat2_Table1_start,ROW()-ROW(Businesscasen_f_BCM_subcat2_Table1_start),COLUMN(Businesscasen_f_BCM_subcat2_Table1_start)-1),IF(MasterSheet_f_FP_CfgGroup1R3_VS,ProgramudgifterC!$E:$E,ProgramudgifterC!$E:$E),OFFSET(Businesscasen_f_BCM_subcat2_Table1_start,0,COLUMN()-COLUMN(Businesscasen_f_BCM_subcat2_Table1_start)))/1000</f>
        <v>0</v>
      </c>
      <c r="AV873" s="191">
        <f ca="1">SUMIFS(IF(MasterSheet_f_FP_CfgGroup1R3_VS,ProgramudgifterC!$N:$N,ProjektudgifterC!$N:$N),IF(MasterSheet_f_FP_CfgGroup1R3_VS,ProgramudgifterC!$B:$B,ProjektudgifterC!$B:$B),OFFSET(Businesscasen_f_BCM_subcat2_Table1_start,ROW()-ROW(Businesscasen_f_BCM_subcat2_Table1_start),COLUMN(Businesscasen_f_BCM_subcat2_Table1_start)-1),IF(MasterSheet_f_FP_CfgGroup1R3_VS,ProgramudgifterC!$E:$E,ProgramudgifterC!$E:$E),OFFSET(Businesscasen_f_BCM_subcat2_Table1_start,0,COLUMN()-COLUMN(Businesscasen_f_BCM_subcat2_Table1_start)))/1000</f>
        <v>0</v>
      </c>
      <c r="AW873"/>
      <c r="AX873"/>
      <c r="AY873"/>
      <c r="AZ873"/>
      <c r="BA873"/>
      <c r="BB873"/>
      <c r="BC873"/>
      <c r="BD873"/>
      <c r="BE873"/>
      <c r="BF873"/>
      <c r="BG873"/>
      <c r="BH873"/>
      <c r="BI873"/>
      <c r="BJ873"/>
      <c r="BK873"/>
      <c r="BL873"/>
      <c r="BM873"/>
      <c r="BN873"/>
      <c r="BO873"/>
      <c r="BP873"/>
      <c r="BQ873"/>
      <c r="BR873"/>
      <c r="BS873"/>
      <c r="BT873"/>
      <c r="BU873"/>
      <c r="BV873"/>
      <c r="BW873"/>
      <c r="BX873"/>
      <c r="BY873"/>
      <c r="BZ873"/>
      <c r="CA873"/>
      <c r="CB873"/>
      <c r="CC873"/>
      <c r="CD873"/>
      <c r="CE873"/>
      <c r="CF873"/>
      <c r="CG873"/>
      <c r="CH873"/>
      <c r="CI873"/>
      <c r="CJ873"/>
      <c r="CK873"/>
      <c r="CL873"/>
      <c r="CM873"/>
      <c r="CN873"/>
      <c r="CO873"/>
      <c r="CP873"/>
      <c r="CQ873"/>
      <c r="CR873"/>
      <c r="CS873"/>
      <c r="CT873"/>
      <c r="CU873"/>
      <c r="CV873"/>
      <c r="CW873"/>
      <c r="CX873"/>
      <c r="CY873"/>
      <c r="CZ873"/>
      <c r="DA873"/>
      <c r="DB873"/>
      <c r="DC873"/>
      <c r="DD873"/>
      <c r="DE873"/>
      <c r="DF873"/>
      <c r="DG873"/>
      <c r="DH873"/>
      <c r="DI873"/>
      <c r="DJ873"/>
      <c r="DK873"/>
      <c r="DL873"/>
      <c r="DM873"/>
      <c r="DN873"/>
      <c r="DO873"/>
      <c r="DP873"/>
      <c r="DQ873"/>
      <c r="DR873"/>
      <c r="DS873"/>
      <c r="DT873"/>
      <c r="DU873"/>
      <c r="DV873"/>
      <c r="DW873"/>
      <c r="DX873"/>
      <c r="DY873"/>
      <c r="DZ873"/>
      <c r="EA873"/>
      <c r="EB873"/>
      <c r="EC873"/>
      <c r="ED873"/>
      <c r="EE873"/>
      <c r="EF873"/>
      <c r="EG873"/>
      <c r="EH873"/>
      <c r="EI873"/>
      <c r="EJ873"/>
      <c r="EK873"/>
      <c r="EL873"/>
      <c r="EM873"/>
      <c r="EN873"/>
      <c r="EO873"/>
      <c r="EP873"/>
      <c r="EQ873"/>
    </row>
    <row r="874" spans="1:147" ht="16.5" customHeight="1" x14ac:dyDescent="0.25">
      <c r="A874" s="113">
        <f>$A$870+3</f>
        <v>36</v>
      </c>
      <c r="B874" s="113" t="s">
        <v>525</v>
      </c>
      <c r="C874" s="113" t="s">
        <v>92</v>
      </c>
      <c r="D874" s="113"/>
      <c r="E874" s="113"/>
      <c r="F874" s="113" t="s">
        <v>521</v>
      </c>
      <c r="G874" s="113" t="s">
        <v>406</v>
      </c>
      <c r="H874" s="113"/>
      <c r="I874" s="113"/>
      <c r="J874" s="113" t="b">
        <f t="shared" si="90"/>
        <v>1</v>
      </c>
      <c r="K874" s="113" t="b">
        <v>1</v>
      </c>
      <c r="L874" s="113"/>
      <c r="M874" s="113"/>
      <c r="N874" s="113"/>
      <c r="O874" s="113" t="str">
        <f t="shared" si="100"/>
        <v>$B$36</v>
      </c>
      <c r="P874" s="113" t="str">
        <f t="shared" si="101"/>
        <v>$BK$36</v>
      </c>
      <c r="Q874" s="113"/>
      <c r="R874" s="113"/>
      <c r="S874" s="113"/>
      <c r="T874" s="113"/>
      <c r="U874" s="113"/>
      <c r="V874" s="113"/>
      <c r="W874" s="113"/>
      <c r="X874" s="113"/>
      <c r="Y874" s="113"/>
      <c r="Z874" s="113"/>
      <c r="AA874" s="113"/>
      <c r="AB874" s="113"/>
      <c r="AC874" s="113"/>
      <c r="AD874" s="113"/>
      <c r="AE874" s="113"/>
      <c r="AF874" s="113"/>
      <c r="AG874" s="113"/>
      <c r="AH874" s="113"/>
      <c r="AI874" s="113"/>
      <c r="AJ874" s="113"/>
      <c r="AK874" s="113"/>
      <c r="AL874" s="113">
        <v>1</v>
      </c>
      <c r="AM874" s="113"/>
      <c r="AN874" s="113"/>
      <c r="AO874" s="113"/>
      <c r="AP874" s="113" t="b">
        <v>1</v>
      </c>
      <c r="AQ874" s="139" t="s">
        <v>1512</v>
      </c>
      <c r="AR874" s="186" t="s">
        <v>318</v>
      </c>
      <c r="AS874" s="191">
        <f t="shared" ca="1" si="102"/>
        <v>0</v>
      </c>
      <c r="AT874" s="263" t="e">
        <f ca="1">AS874/AS879</f>
        <v>#DIV/0!</v>
      </c>
      <c r="AU874" s="191">
        <f ca="1">SUMIFS(IF(MasterSheet_f_FP_CfgGroup1R3_VS,ProgramudgifterC!$N:$N,ProjektudgifterC!$N:$N),IF(MasterSheet_f_FP_CfgGroup1R3_VS,ProgramudgifterC!$B:$B,ProjektudgifterC!$B:$B),OFFSET(Businesscasen_f_BCM_subcat2_Table1_start,ROW()-ROW(Businesscasen_f_BCM_subcat2_Table1_start),COLUMN(Businesscasen_f_BCM_subcat2_Table1_start)-1),IF(MasterSheet_f_FP_CfgGroup1R3_VS,ProgramudgifterC!$E:$E,ProgramudgifterC!$E:$E),OFFSET(Businesscasen_f_BCM_subcat2_Table1_start,0,COLUMN()-COLUMN(Businesscasen_f_BCM_subcat2_Table1_start)))/1000</f>
        <v>0</v>
      </c>
      <c r="AV874" s="191">
        <f ca="1">SUMIFS(IF(MasterSheet_f_FP_CfgGroup1R3_VS,ProgramudgifterC!$N:$N,ProjektudgifterC!$N:$N),IF(MasterSheet_f_FP_CfgGroup1R3_VS,ProgramudgifterC!$B:$B,ProjektudgifterC!$B:$B),OFFSET(Businesscasen_f_BCM_subcat2_Table1_start,ROW()-ROW(Businesscasen_f_BCM_subcat2_Table1_start),COLUMN(Businesscasen_f_BCM_subcat2_Table1_start)-1),IF(MasterSheet_f_FP_CfgGroup1R3_VS,ProgramudgifterC!$E:$E,ProgramudgifterC!$E:$E),OFFSET(Businesscasen_f_BCM_subcat2_Table1_start,0,COLUMN()-COLUMN(Businesscasen_f_BCM_subcat2_Table1_start)))/1000</f>
        <v>0</v>
      </c>
      <c r="AW874"/>
      <c r="AX874"/>
      <c r="AY874"/>
      <c r="AZ874"/>
      <c r="BA874"/>
      <c r="BB874"/>
      <c r="BC874"/>
      <c r="BD874"/>
      <c r="BE874"/>
      <c r="BF874"/>
      <c r="BG874"/>
      <c r="BH874"/>
      <c r="BI874"/>
      <c r="BJ874"/>
      <c r="BK874"/>
      <c r="BL874"/>
      <c r="BM874"/>
      <c r="BN874"/>
      <c r="BO874"/>
      <c r="BP874"/>
      <c r="BQ874"/>
      <c r="BR874"/>
      <c r="BS874"/>
      <c r="BT874"/>
      <c r="BU874"/>
      <c r="BV874"/>
      <c r="BW874"/>
      <c r="BX874"/>
      <c r="BY874"/>
      <c r="BZ874"/>
      <c r="CA874"/>
      <c r="CB874"/>
      <c r="CC874"/>
      <c r="CD874"/>
      <c r="CE874"/>
      <c r="CF874"/>
      <c r="CG874"/>
      <c r="CH874"/>
      <c r="CI874"/>
      <c r="CJ874"/>
      <c r="CK874"/>
      <c r="CL874"/>
      <c r="CM874"/>
      <c r="CN874"/>
      <c r="CO874"/>
      <c r="CP874"/>
      <c r="CQ874"/>
      <c r="CR874"/>
      <c r="CS874"/>
      <c r="CT874"/>
      <c r="CU874"/>
      <c r="CV874"/>
      <c r="CW874"/>
      <c r="CX874"/>
      <c r="CY874"/>
      <c r="CZ874"/>
      <c r="DA874"/>
      <c r="DB874"/>
      <c r="DC874"/>
      <c r="DD874"/>
      <c r="DE874"/>
      <c r="DF874"/>
      <c r="DG874"/>
      <c r="DH874"/>
      <c r="DI874"/>
      <c r="DJ874"/>
      <c r="DK874"/>
      <c r="DL874"/>
      <c r="DM874"/>
      <c r="DN874"/>
      <c r="DO874"/>
      <c r="DP874"/>
      <c r="DQ874"/>
      <c r="DR874"/>
      <c r="DS874"/>
      <c r="DT874"/>
      <c r="DU874"/>
      <c r="DV874"/>
      <c r="DW874"/>
      <c r="DX874"/>
      <c r="DY874"/>
      <c r="DZ874"/>
      <c r="EA874"/>
      <c r="EB874"/>
      <c r="EC874"/>
      <c r="ED874"/>
      <c r="EE874"/>
      <c r="EF874"/>
      <c r="EG874"/>
      <c r="EH874"/>
      <c r="EI874"/>
      <c r="EJ874"/>
      <c r="EK874"/>
      <c r="EL874"/>
      <c r="EM874"/>
      <c r="EN874"/>
      <c r="EO874"/>
      <c r="EP874"/>
      <c r="EQ874"/>
    </row>
    <row r="875" spans="1:147" ht="16.5" customHeight="1" x14ac:dyDescent="0.25">
      <c r="A875" s="113">
        <f>$A$870+4</f>
        <v>37</v>
      </c>
      <c r="B875" s="113" t="s">
        <v>526</v>
      </c>
      <c r="C875" s="113" t="s">
        <v>92</v>
      </c>
      <c r="D875" s="113"/>
      <c r="E875" s="113"/>
      <c r="F875" s="113" t="s">
        <v>521</v>
      </c>
      <c r="G875" s="113" t="s">
        <v>406</v>
      </c>
      <c r="H875" s="113"/>
      <c r="I875" s="113"/>
      <c r="J875" s="113" t="b">
        <f t="shared" si="90"/>
        <v>1</v>
      </c>
      <c r="K875" s="113" t="b">
        <v>1</v>
      </c>
      <c r="L875" s="113"/>
      <c r="M875" s="113"/>
      <c r="N875" s="113"/>
      <c r="O875" s="113" t="str">
        <f t="shared" si="100"/>
        <v>$B$37</v>
      </c>
      <c r="P875" s="113" t="str">
        <f t="shared" si="101"/>
        <v>$BK$37</v>
      </c>
      <c r="Q875" s="113"/>
      <c r="R875" s="113"/>
      <c r="S875" s="113"/>
      <c r="T875" s="113"/>
      <c r="U875" s="113"/>
      <c r="V875" s="113"/>
      <c r="W875" s="113"/>
      <c r="X875" s="113"/>
      <c r="Y875" s="113"/>
      <c r="Z875" s="113"/>
      <c r="AA875" s="113"/>
      <c r="AB875" s="113"/>
      <c r="AC875" s="113"/>
      <c r="AD875" s="113"/>
      <c r="AE875" s="113"/>
      <c r="AF875" s="113"/>
      <c r="AG875" s="113"/>
      <c r="AH875" s="113"/>
      <c r="AI875" s="113"/>
      <c r="AJ875" s="113"/>
      <c r="AK875" s="113"/>
      <c r="AL875" s="113">
        <v>1</v>
      </c>
      <c r="AM875" s="113"/>
      <c r="AN875" s="113"/>
      <c r="AO875" s="113"/>
      <c r="AP875" s="113" t="b">
        <v>1</v>
      </c>
      <c r="AQ875" s="139" t="s">
        <v>493</v>
      </c>
      <c r="AR875" s="186" t="s">
        <v>1250</v>
      </c>
      <c r="AS875" s="191">
        <f t="shared" ca="1" si="102"/>
        <v>0</v>
      </c>
      <c r="AT875" s="263" t="e">
        <f ca="1">AS875/AS879</f>
        <v>#DIV/0!</v>
      </c>
      <c r="AU875" s="191">
        <f ca="1">SUMIFS(IF(MasterSheet_f_FP_CfgGroup1R3_VS,ProgramudgifterC!$N:$N,ProjektudgifterC!$N:$N),IF(MasterSheet_f_FP_CfgGroup1R3_VS,ProgramudgifterC!$B:$B,ProjektudgifterC!$B:$B),OFFSET(Businesscasen_f_BCM_subcat2_Table1_start,ROW()-ROW(Businesscasen_f_BCM_subcat2_Table1_start),COLUMN(Businesscasen_f_BCM_subcat2_Table1_start)-1),IF(MasterSheet_f_FP_CfgGroup1R3_VS,ProgramudgifterC!$E:$E,ProgramudgifterC!$E:$E),OFFSET(Businesscasen_f_BCM_subcat2_Table1_start,0,COLUMN()-COLUMN(Businesscasen_f_BCM_subcat2_Table1_start)))/1000</f>
        <v>0</v>
      </c>
      <c r="AV875" s="191">
        <f ca="1">SUMIFS(IF(MasterSheet_f_FP_CfgGroup1R3_VS,ProgramudgifterC!$N:$N,ProjektudgifterC!$N:$N),IF(MasterSheet_f_FP_CfgGroup1R3_VS,ProgramudgifterC!$B:$B,ProjektudgifterC!$B:$B),OFFSET(Businesscasen_f_BCM_subcat2_Table1_start,ROW()-ROW(Businesscasen_f_BCM_subcat2_Table1_start),COLUMN(Businesscasen_f_BCM_subcat2_Table1_start)-1),IF(MasterSheet_f_FP_CfgGroup1R3_VS,ProgramudgifterC!$E:$E,ProgramudgifterC!$E:$E),OFFSET(Businesscasen_f_BCM_subcat2_Table1_start,0,COLUMN()-COLUMN(Businesscasen_f_BCM_subcat2_Table1_start)))/1000</f>
        <v>0</v>
      </c>
      <c r="AW875"/>
      <c r="AX875"/>
      <c r="AY875"/>
      <c r="AZ875"/>
      <c r="BA875"/>
      <c r="BB875"/>
      <c r="BC875"/>
      <c r="BD875"/>
      <c r="BE875"/>
      <c r="BF875"/>
      <c r="BG875"/>
      <c r="BH875"/>
      <c r="BI875"/>
      <c r="BJ875"/>
      <c r="BK875"/>
      <c r="BL875"/>
      <c r="BM875"/>
      <c r="BN875"/>
      <c r="BO875"/>
      <c r="BP875"/>
      <c r="BQ875"/>
      <c r="BR875"/>
      <c r="BS875"/>
      <c r="BT875"/>
      <c r="BU875"/>
      <c r="BV875"/>
      <c r="BW875"/>
      <c r="BX875"/>
      <c r="BY875"/>
      <c r="BZ875"/>
      <c r="CA875"/>
      <c r="CB875"/>
      <c r="CC875"/>
      <c r="CD875"/>
      <c r="CE875"/>
      <c r="CF875"/>
      <c r="CG875"/>
      <c r="CH875"/>
      <c r="CI875"/>
      <c r="CJ875"/>
      <c r="CK875"/>
      <c r="CL875"/>
      <c r="CM875"/>
      <c r="CN875"/>
      <c r="CO875"/>
      <c r="CP875"/>
      <c r="CQ875"/>
      <c r="CR875"/>
      <c r="CS875"/>
      <c r="CT875"/>
      <c r="CU875"/>
      <c r="CV875"/>
      <c r="CW875"/>
      <c r="CX875"/>
      <c r="CY875"/>
      <c r="CZ875"/>
      <c r="DA875"/>
      <c r="DB875"/>
      <c r="DC875"/>
      <c r="DD875"/>
      <c r="DE875"/>
      <c r="DF875"/>
      <c r="DG875"/>
      <c r="DH875"/>
      <c r="DI875"/>
      <c r="DJ875"/>
      <c r="DK875"/>
      <c r="DL875"/>
      <c r="DM875"/>
      <c r="DN875"/>
      <c r="DO875"/>
      <c r="DP875"/>
      <c r="DQ875"/>
      <c r="DR875"/>
      <c r="DS875"/>
      <c r="DT875"/>
      <c r="DU875"/>
      <c r="DV875"/>
      <c r="DW875"/>
      <c r="DX875"/>
      <c r="DY875"/>
      <c r="DZ875"/>
      <c r="EA875"/>
      <c r="EB875"/>
      <c r="EC875"/>
      <c r="ED875"/>
      <c r="EE875"/>
      <c r="EF875"/>
      <c r="EG875"/>
      <c r="EH875"/>
      <c r="EI875"/>
      <c r="EJ875"/>
      <c r="EK875"/>
      <c r="EL875"/>
      <c r="EM875"/>
      <c r="EN875"/>
      <c r="EO875"/>
      <c r="EP875"/>
      <c r="EQ875"/>
    </row>
    <row r="876" spans="1:147" ht="16.5" customHeight="1" x14ac:dyDescent="0.25">
      <c r="A876" s="113">
        <f>$A$870+5</f>
        <v>38</v>
      </c>
      <c r="B876" s="113" t="s">
        <v>527</v>
      </c>
      <c r="C876" s="113" t="s">
        <v>92</v>
      </c>
      <c r="D876" s="113"/>
      <c r="E876" s="113"/>
      <c r="F876" s="113" t="s">
        <v>521</v>
      </c>
      <c r="G876" s="113" t="s">
        <v>406</v>
      </c>
      <c r="H876" s="113"/>
      <c r="I876" s="113"/>
      <c r="J876" s="113" t="b">
        <f t="shared" si="90"/>
        <v>1</v>
      </c>
      <c r="K876" s="113" t="b">
        <v>1</v>
      </c>
      <c r="L876" s="113"/>
      <c r="M876" s="113"/>
      <c r="N876" s="113"/>
      <c r="O876" s="113" t="str">
        <f t="shared" si="100"/>
        <v>$B$38</v>
      </c>
      <c r="P876" s="113" t="str">
        <f t="shared" si="101"/>
        <v>$BK$38</v>
      </c>
      <c r="Q876" s="113"/>
      <c r="R876" s="113"/>
      <c r="S876" s="113"/>
      <c r="T876" s="113"/>
      <c r="U876" s="113"/>
      <c r="V876" s="113"/>
      <c r="W876" s="113"/>
      <c r="X876" s="113"/>
      <c r="Y876" s="113"/>
      <c r="Z876" s="113"/>
      <c r="AA876" s="113"/>
      <c r="AB876" s="113"/>
      <c r="AC876" s="113"/>
      <c r="AD876" s="113"/>
      <c r="AE876" s="113"/>
      <c r="AF876" s="113"/>
      <c r="AG876" s="113"/>
      <c r="AH876" s="113"/>
      <c r="AI876" s="113"/>
      <c r="AJ876" s="113"/>
      <c r="AK876" s="113"/>
      <c r="AL876" s="113">
        <v>1</v>
      </c>
      <c r="AM876" s="113"/>
      <c r="AN876" s="113"/>
      <c r="AO876" s="113"/>
      <c r="AP876" s="113" t="b">
        <v>1</v>
      </c>
      <c r="AQ876" s="139" t="s">
        <v>494</v>
      </c>
      <c r="AR876" s="186" t="s">
        <v>319</v>
      </c>
      <c r="AS876" s="191">
        <f t="shared" ca="1" si="102"/>
        <v>0</v>
      </c>
      <c r="AT876" s="263" t="e">
        <f ca="1">AS876/AS879</f>
        <v>#DIV/0!</v>
      </c>
      <c r="AU876" s="191">
        <f ca="1">SUMIFS(IF(MasterSheet_f_FP_CfgGroup1R3_VS,ProgramudgifterC!$N:$N,ProjektudgifterC!$N:$N),IF(MasterSheet_f_FP_CfgGroup1R3_VS,ProgramudgifterC!$B:$B,ProjektudgifterC!$B:$B),OFFSET(Businesscasen_f_BCM_subcat2_Table1_start,ROW()-ROW(Businesscasen_f_BCM_subcat2_Table1_start),COLUMN(Businesscasen_f_BCM_subcat2_Table1_start)-1),IF(MasterSheet_f_FP_CfgGroup1R3_VS,ProgramudgifterC!$E:$E,ProgramudgifterC!$E:$E),OFFSET(Businesscasen_f_BCM_subcat2_Table1_start,0,COLUMN()-COLUMN(Businesscasen_f_BCM_subcat2_Table1_start)))/1000</f>
        <v>0</v>
      </c>
      <c r="AV876" s="191">
        <f ca="1">SUMIFS(IF(MasterSheet_f_FP_CfgGroup1R3_VS,ProgramudgifterC!$N:$N,ProjektudgifterC!$N:$N),IF(MasterSheet_f_FP_CfgGroup1R3_VS,ProgramudgifterC!$B:$B,ProjektudgifterC!$B:$B),OFFSET(Businesscasen_f_BCM_subcat2_Table1_start,ROW()-ROW(Businesscasen_f_BCM_subcat2_Table1_start),COLUMN(Businesscasen_f_BCM_subcat2_Table1_start)-1),IF(MasterSheet_f_FP_CfgGroup1R3_VS,ProgramudgifterC!$E:$E,ProgramudgifterC!$E:$E),OFFSET(Businesscasen_f_BCM_subcat2_Table1_start,0,COLUMN()-COLUMN(Businesscasen_f_BCM_subcat2_Table1_start)))/1000</f>
        <v>0</v>
      </c>
      <c r="AW876"/>
      <c r="AX876"/>
      <c r="AY876"/>
      <c r="AZ876"/>
      <c r="BA876"/>
      <c r="BB876"/>
      <c r="BC876"/>
      <c r="BD876"/>
      <c r="BE876"/>
      <c r="BF876"/>
      <c r="BG876"/>
      <c r="BH876"/>
      <c r="BI876"/>
      <c r="BJ876"/>
      <c r="BK876"/>
      <c r="BL876"/>
      <c r="BM876"/>
      <c r="BN876"/>
      <c r="BO876"/>
      <c r="BP876"/>
      <c r="BQ876"/>
      <c r="BR876"/>
      <c r="BS876"/>
      <c r="BT876"/>
      <c r="BU876"/>
      <c r="BV876"/>
      <c r="BW876"/>
      <c r="BX876"/>
      <c r="BY876"/>
      <c r="BZ876"/>
      <c r="CA876"/>
      <c r="CB876"/>
      <c r="CC876"/>
      <c r="CD876"/>
      <c r="CE876"/>
      <c r="CF876"/>
      <c r="CG876"/>
      <c r="CH876"/>
      <c r="CI876"/>
      <c r="CJ876"/>
      <c r="CK876"/>
      <c r="CL876"/>
      <c r="CM876"/>
      <c r="CN876"/>
      <c r="CO876"/>
      <c r="CP876"/>
      <c r="CQ876"/>
      <c r="CR876"/>
      <c r="CS876"/>
      <c r="CT876"/>
      <c r="CU876"/>
      <c r="CV876"/>
      <c r="CW876"/>
      <c r="CX876"/>
      <c r="CY876"/>
      <c r="CZ876"/>
      <c r="DA876"/>
      <c r="DB876"/>
      <c r="DC876"/>
      <c r="DD876"/>
      <c r="DE876"/>
      <c r="DF876"/>
      <c r="DG876"/>
      <c r="DH876"/>
      <c r="DI876"/>
      <c r="DJ876"/>
      <c r="DK876"/>
      <c r="DL876"/>
      <c r="DM876"/>
      <c r="DN876"/>
      <c r="DO876"/>
      <c r="DP876"/>
      <c r="DQ876"/>
      <c r="DR876"/>
      <c r="DS876"/>
      <c r="DT876"/>
      <c r="DU876"/>
      <c r="DV876"/>
      <c r="DW876"/>
      <c r="DX876"/>
      <c r="DY876"/>
      <c r="DZ876"/>
      <c r="EA876"/>
      <c r="EB876"/>
      <c r="EC876"/>
      <c r="ED876"/>
      <c r="EE876"/>
      <c r="EF876"/>
      <c r="EG876"/>
      <c r="EH876"/>
      <c r="EI876"/>
      <c r="EJ876"/>
      <c r="EK876"/>
      <c r="EL876"/>
      <c r="EM876"/>
      <c r="EN876"/>
      <c r="EO876"/>
      <c r="EP876"/>
      <c r="EQ876"/>
    </row>
    <row r="877" spans="1:147" ht="16.5" customHeight="1" x14ac:dyDescent="0.25">
      <c r="A877" s="113">
        <f>$A$870+6</f>
        <v>39</v>
      </c>
      <c r="B877" s="113" t="s">
        <v>528</v>
      </c>
      <c r="C877" s="113" t="s">
        <v>92</v>
      </c>
      <c r="D877" s="113"/>
      <c r="E877" s="113"/>
      <c r="F877" s="113" t="s">
        <v>521</v>
      </c>
      <c r="G877" s="113" t="s">
        <v>406</v>
      </c>
      <c r="H877" s="113"/>
      <c r="I877" s="113"/>
      <c r="J877" s="113" t="b">
        <f t="shared" si="90"/>
        <v>1</v>
      </c>
      <c r="K877" s="113" t="b">
        <v>1</v>
      </c>
      <c r="L877" s="113"/>
      <c r="M877" s="113"/>
      <c r="N877" s="113"/>
      <c r="O877" s="113" t="str">
        <f t="shared" si="100"/>
        <v>$B$39</v>
      </c>
      <c r="P877" s="113" t="str">
        <f t="shared" si="101"/>
        <v>$BK$39</v>
      </c>
      <c r="Q877" s="113"/>
      <c r="R877" s="113"/>
      <c r="S877" s="113"/>
      <c r="T877" s="113"/>
      <c r="U877" s="113"/>
      <c r="V877" s="113"/>
      <c r="W877" s="113"/>
      <c r="X877" s="113"/>
      <c r="Y877" s="113"/>
      <c r="Z877" s="113"/>
      <c r="AA877" s="113"/>
      <c r="AB877" s="113"/>
      <c r="AC877" s="113"/>
      <c r="AD877" s="113"/>
      <c r="AE877" s="113"/>
      <c r="AF877" s="113"/>
      <c r="AG877" s="113"/>
      <c r="AH877" s="113"/>
      <c r="AI877" s="113"/>
      <c r="AJ877" s="113"/>
      <c r="AK877" s="113"/>
      <c r="AL877" s="113">
        <v>1</v>
      </c>
      <c r="AM877" s="113"/>
      <c r="AN877" s="113"/>
      <c r="AO877" s="113"/>
      <c r="AP877" s="113" t="b">
        <v>1</v>
      </c>
      <c r="AQ877" s="139" t="s">
        <v>411</v>
      </c>
      <c r="AR877" s="139"/>
      <c r="AS877" s="191">
        <f ca="1">SUM(Businesscasen_rng_RiskPool)</f>
        <v>0</v>
      </c>
      <c r="AT877" s="263" t="e">
        <f ca="1">AS877/AS879</f>
        <v>#DIV/0!</v>
      </c>
      <c r="AU877" s="189"/>
      <c r="AV877" s="189"/>
      <c r="AW877"/>
      <c r="AX877"/>
      <c r="AY877"/>
      <c r="AZ877"/>
      <c r="BA877"/>
      <c r="BB877"/>
      <c r="BC877"/>
      <c r="BD877"/>
      <c r="BE877"/>
      <c r="BF877"/>
      <c r="BG877"/>
      <c r="BH877"/>
      <c r="BI877"/>
      <c r="BJ877"/>
      <c r="BK877"/>
      <c r="BL877"/>
      <c r="BM877"/>
      <c r="BN877"/>
      <c r="BO877"/>
      <c r="BP877"/>
      <c r="BQ877"/>
      <c r="BR877"/>
      <c r="BS877"/>
      <c r="BT877"/>
      <c r="BU877"/>
      <c r="BV877"/>
      <c r="BW877"/>
      <c r="BX877"/>
      <c r="BY877"/>
      <c r="BZ877"/>
      <c r="CA877"/>
      <c r="CB877"/>
      <c r="CC877"/>
      <c r="CD877"/>
      <c r="CE877"/>
      <c r="CF877"/>
      <c r="CG877"/>
      <c r="CH877"/>
      <c r="CI877"/>
      <c r="CJ877"/>
      <c r="CK877"/>
      <c r="CL877"/>
      <c r="CM877"/>
      <c r="CN877"/>
      <c r="CO877"/>
      <c r="CP877"/>
      <c r="CQ877"/>
      <c r="CR877"/>
      <c r="CS877"/>
      <c r="CT877"/>
      <c r="CU877"/>
      <c r="CV877"/>
      <c r="CW877"/>
      <c r="CX877"/>
      <c r="CY877"/>
      <c r="CZ877"/>
      <c r="DA877"/>
      <c r="DB877"/>
      <c r="DC877"/>
      <c r="DD877"/>
      <c r="DE877"/>
      <c r="DF877"/>
      <c r="DG877"/>
      <c r="DH877"/>
      <c r="DI877"/>
      <c r="DJ877"/>
      <c r="DK877"/>
      <c r="DL877"/>
      <c r="DM877"/>
      <c r="DN877"/>
      <c r="DO877"/>
      <c r="DP877"/>
      <c r="DQ877"/>
      <c r="DR877"/>
      <c r="DS877"/>
      <c r="DT877"/>
      <c r="DU877"/>
      <c r="DV877"/>
      <c r="DW877"/>
      <c r="DX877"/>
      <c r="DY877"/>
      <c r="DZ877"/>
      <c r="EA877"/>
      <c r="EB877"/>
      <c r="EC877"/>
      <c r="ED877"/>
      <c r="EE877"/>
      <c r="EF877"/>
      <c r="EG877"/>
      <c r="EH877"/>
      <c r="EI877"/>
      <c r="EJ877"/>
      <c r="EK877"/>
      <c r="EL877"/>
      <c r="EM877"/>
      <c r="EN877"/>
      <c r="EO877"/>
      <c r="EP877"/>
      <c r="EQ877"/>
    </row>
    <row r="878" spans="1:147" ht="16.5" customHeight="1" x14ac:dyDescent="0.25">
      <c r="A878" s="113">
        <f>$A$870+7</f>
        <v>40</v>
      </c>
      <c r="B878" s="113" t="s">
        <v>529</v>
      </c>
      <c r="C878" s="113" t="s">
        <v>92</v>
      </c>
      <c r="D878" s="113"/>
      <c r="E878" s="113"/>
      <c r="F878" s="113" t="s">
        <v>521</v>
      </c>
      <c r="G878" s="113" t="s">
        <v>406</v>
      </c>
      <c r="H878" s="113"/>
      <c r="I878" s="113"/>
      <c r="J878" s="113" t="b">
        <f t="shared" si="90"/>
        <v>1</v>
      </c>
      <c r="K878" s="113" t="b">
        <v>1</v>
      </c>
      <c r="L878" s="113"/>
      <c r="M878" s="113"/>
      <c r="N878" s="113"/>
      <c r="O878" s="113" t="str">
        <f t="shared" si="100"/>
        <v>$B$40</v>
      </c>
      <c r="P878" s="113" t="str">
        <f t="shared" si="101"/>
        <v>$BK$40</v>
      </c>
      <c r="Q878" s="113"/>
      <c r="R878" s="113"/>
      <c r="S878" s="113"/>
      <c r="T878" s="113"/>
      <c r="U878" s="113"/>
      <c r="V878" s="113"/>
      <c r="W878" s="113"/>
      <c r="X878" s="113"/>
      <c r="Y878" s="113"/>
      <c r="Z878" s="113"/>
      <c r="AA878" s="113"/>
      <c r="AB878" s="113"/>
      <c r="AC878" s="113"/>
      <c r="AD878" s="113"/>
      <c r="AE878" s="113"/>
      <c r="AF878" s="113"/>
      <c r="AG878" s="113"/>
      <c r="AH878" s="113"/>
      <c r="AI878" s="113"/>
      <c r="AJ878" s="113"/>
      <c r="AK878" s="113"/>
      <c r="AL878" s="113">
        <v>1</v>
      </c>
      <c r="AM878" s="113"/>
      <c r="AN878" s="113"/>
      <c r="AO878" s="113"/>
      <c r="AP878" s="113" t="b">
        <v>1</v>
      </c>
      <c r="AQ878" s="76" t="s">
        <v>417</v>
      </c>
      <c r="AR878" s="76"/>
      <c r="AS878" s="191">
        <f ca="1">SUM(Businesscasen_rng_HighRiskPool)</f>
        <v>0</v>
      </c>
      <c r="AT878" s="264" t="e">
        <f ca="1">AS878/AS879</f>
        <v>#DIV/0!</v>
      </c>
      <c r="AU878" s="189"/>
      <c r="AV878" s="189"/>
      <c r="AW878"/>
      <c r="AX878"/>
      <c r="AY878"/>
      <c r="AZ878"/>
      <c r="BA878"/>
      <c r="BB878"/>
      <c r="BC878"/>
      <c r="BD878"/>
      <c r="BE878"/>
      <c r="BF878"/>
      <c r="BG878"/>
      <c r="BH878"/>
      <c r="BI878"/>
      <c r="BJ878"/>
      <c r="BK878"/>
      <c r="BL878"/>
      <c r="BM878"/>
      <c r="BN878"/>
      <c r="BO878"/>
      <c r="BP878"/>
      <c r="BQ878"/>
      <c r="BR878"/>
      <c r="BS878"/>
      <c r="BT878"/>
      <c r="BU878"/>
      <c r="BV878"/>
      <c r="BW878"/>
      <c r="BX878"/>
      <c r="BY878"/>
      <c r="BZ878"/>
      <c r="CA878"/>
      <c r="CB878"/>
      <c r="CC878"/>
      <c r="CD878"/>
      <c r="CE878"/>
      <c r="CF878"/>
      <c r="CG878"/>
      <c r="CH878"/>
      <c r="CI878"/>
      <c r="CJ878"/>
      <c r="CK878"/>
      <c r="CL878"/>
      <c r="CM878"/>
      <c r="CN878"/>
      <c r="CO878"/>
      <c r="CP878"/>
      <c r="CQ878"/>
      <c r="CR878"/>
      <c r="CS878"/>
      <c r="CT878"/>
      <c r="CU878"/>
      <c r="CV878"/>
      <c r="CW878"/>
      <c r="CX878"/>
      <c r="CY878"/>
      <c r="CZ878"/>
      <c r="DA878"/>
      <c r="DB878"/>
      <c r="DC878"/>
      <c r="DD878"/>
      <c r="DE878"/>
      <c r="DF878"/>
      <c r="DG878"/>
      <c r="DH878"/>
      <c r="DI878"/>
      <c r="DJ878"/>
      <c r="DK878"/>
      <c r="DL878"/>
      <c r="DM878"/>
      <c r="DN878"/>
      <c r="DO878"/>
      <c r="DP878"/>
      <c r="DQ878"/>
      <c r="DR878"/>
      <c r="DS878"/>
      <c r="DT878"/>
      <c r="DU878"/>
      <c r="DV878"/>
      <c r="DW878"/>
      <c r="DX878"/>
      <c r="DY878"/>
      <c r="DZ878"/>
      <c r="EA878"/>
      <c r="EB878"/>
      <c r="EC878"/>
      <c r="ED878"/>
      <c r="EE878"/>
      <c r="EF878"/>
      <c r="EG878"/>
      <c r="EH878"/>
      <c r="EI878"/>
      <c r="EJ878"/>
      <c r="EK878"/>
      <c r="EL878"/>
      <c r="EM878"/>
      <c r="EN878"/>
      <c r="EO878"/>
      <c r="EP878"/>
      <c r="EQ878"/>
    </row>
    <row r="879" spans="1:147" ht="16.5" customHeight="1" thickBot="1" x14ac:dyDescent="0.3">
      <c r="A879" s="113">
        <f>$A$870+8</f>
        <v>41</v>
      </c>
      <c r="B879" s="113" t="s">
        <v>530</v>
      </c>
      <c r="C879" s="113" t="s">
        <v>92</v>
      </c>
      <c r="D879" s="113"/>
      <c r="E879" s="113"/>
      <c r="F879" s="113" t="s">
        <v>521</v>
      </c>
      <c r="G879" s="113" t="s">
        <v>406</v>
      </c>
      <c r="H879" s="113"/>
      <c r="I879" s="113"/>
      <c r="J879" s="113" t="b">
        <f t="shared" si="90"/>
        <v>1</v>
      </c>
      <c r="K879" s="113" t="b">
        <v>1</v>
      </c>
      <c r="L879" s="113"/>
      <c r="M879" s="113"/>
      <c r="N879" s="113"/>
      <c r="O879" s="113" t="str">
        <f t="shared" si="100"/>
        <v>$B$41</v>
      </c>
      <c r="P879" s="113" t="str">
        <f t="shared" si="101"/>
        <v>$BK$41</v>
      </c>
      <c r="Q879" s="113"/>
      <c r="R879" s="113"/>
      <c r="S879" s="113"/>
      <c r="T879" s="113"/>
      <c r="U879" s="113"/>
      <c r="V879" s="113"/>
      <c r="W879" s="113"/>
      <c r="X879" s="113"/>
      <c r="Y879" s="113"/>
      <c r="Z879" s="113"/>
      <c r="AA879" s="113"/>
      <c r="AB879" s="113"/>
      <c r="AC879" s="113"/>
      <c r="AD879" s="113"/>
      <c r="AE879" s="113"/>
      <c r="AF879" s="113"/>
      <c r="AG879" s="113"/>
      <c r="AH879" s="113"/>
      <c r="AI879" s="113"/>
      <c r="AJ879" s="113"/>
      <c r="AK879" s="113"/>
      <c r="AL879" s="113">
        <v>1</v>
      </c>
      <c r="AM879" s="113"/>
      <c r="AN879" s="113"/>
      <c r="AO879" s="113"/>
      <c r="AP879" s="113" t="b">
        <v>1</v>
      </c>
      <c r="AQ879" s="276" t="s">
        <v>418</v>
      </c>
      <c r="AR879" s="276"/>
      <c r="AS879" s="194">
        <f t="shared" ref="AS879:AU879" ca="1" si="103">SUM(AS872:AS878)</f>
        <v>0</v>
      </c>
      <c r="AT879" s="265" t="e">
        <f ca="1">AS879/AS879</f>
        <v>#DIV/0!</v>
      </c>
      <c r="AU879" s="194">
        <f t="shared" ca="1" si="103"/>
        <v>0</v>
      </c>
      <c r="AV879" s="194">
        <f t="shared" ref="AV879" ca="1" si="104">SUM(AV872:AV878)</f>
        <v>0</v>
      </c>
      <c r="AW879"/>
      <c r="AX879"/>
      <c r="AY879"/>
      <c r="AZ879"/>
      <c r="BA879"/>
      <c r="BB879"/>
      <c r="BC879"/>
      <c r="BD879"/>
      <c r="BE879"/>
      <c r="BF879"/>
      <c r="BG879"/>
      <c r="BH879"/>
      <c r="BI879"/>
      <c r="BJ879"/>
      <c r="BK879"/>
      <c r="BL879"/>
      <c r="BM879"/>
      <c r="BN879"/>
      <c r="BO879"/>
      <c r="BP879"/>
      <c r="BQ879"/>
      <c r="BR879"/>
      <c r="BS879"/>
      <c r="BT879"/>
      <c r="BU879"/>
      <c r="BV879"/>
      <c r="BW879"/>
      <c r="BX879"/>
      <c r="BY879"/>
      <c r="BZ879"/>
      <c r="CA879"/>
      <c r="CB879"/>
      <c r="CC879"/>
      <c r="CD879"/>
      <c r="CE879"/>
      <c r="CF879"/>
      <c r="CG879"/>
      <c r="CH879"/>
      <c r="CI879"/>
      <c r="CJ879"/>
      <c r="CK879"/>
      <c r="CL879"/>
      <c r="CM879"/>
      <c r="CN879"/>
      <c r="CO879"/>
      <c r="CP879"/>
      <c r="CQ879"/>
      <c r="CR879"/>
      <c r="CS879"/>
      <c r="CT879"/>
      <c r="CU879"/>
      <c r="CV879"/>
      <c r="CW879"/>
      <c r="CX879"/>
      <c r="CY879"/>
      <c r="CZ879"/>
      <c r="DA879"/>
      <c r="DB879"/>
      <c r="DC879"/>
      <c r="DD879"/>
      <c r="DE879"/>
      <c r="DF879"/>
      <c r="DG879"/>
      <c r="DH879"/>
      <c r="DI879"/>
      <c r="DJ879"/>
      <c r="DK879"/>
      <c r="DL879"/>
      <c r="DM879"/>
      <c r="DN879"/>
      <c r="DO879"/>
      <c r="DP879"/>
      <c r="DQ879"/>
      <c r="DR879"/>
      <c r="DS879"/>
      <c r="DT879"/>
      <c r="DU879"/>
      <c r="DV879"/>
      <c r="DW879"/>
      <c r="DX879"/>
      <c r="DY879"/>
      <c r="DZ879"/>
      <c r="EA879"/>
      <c r="EB879"/>
      <c r="EC879"/>
      <c r="ED879"/>
      <c r="EE879"/>
      <c r="EF879"/>
      <c r="EG879"/>
      <c r="EH879"/>
      <c r="EI879"/>
      <c r="EJ879"/>
      <c r="EK879"/>
      <c r="EL879"/>
      <c r="EM879"/>
      <c r="EN879"/>
      <c r="EO879"/>
      <c r="EP879"/>
      <c r="EQ879"/>
    </row>
    <row r="880" spans="1:147" ht="16.5" customHeight="1" x14ac:dyDescent="0.25">
      <c r="A880" s="113">
        <f>$A$870+9</f>
        <v>42</v>
      </c>
      <c r="B880" s="113" t="s">
        <v>531</v>
      </c>
      <c r="C880" s="113" t="s">
        <v>92</v>
      </c>
      <c r="D880" s="113"/>
      <c r="E880" s="113"/>
      <c r="F880" s="113" t="s">
        <v>521</v>
      </c>
      <c r="G880" s="113" t="s">
        <v>406</v>
      </c>
      <c r="H880" s="113"/>
      <c r="I880" s="113"/>
      <c r="J880" s="113" t="b">
        <f t="shared" si="90"/>
        <v>1</v>
      </c>
      <c r="K880" s="113" t="b">
        <v>1</v>
      </c>
      <c r="L880" s="113"/>
      <c r="M880" s="113"/>
      <c r="N880" s="113"/>
      <c r="O880" s="113" t="str">
        <f t="shared" si="100"/>
        <v>$B$42</v>
      </c>
      <c r="P880" s="113" t="str">
        <f t="shared" si="101"/>
        <v>$BK$42</v>
      </c>
      <c r="Q880" s="113"/>
      <c r="R880" s="113"/>
      <c r="S880" s="113"/>
      <c r="T880" s="113"/>
      <c r="U880" s="113"/>
      <c r="V880" s="113"/>
      <c r="W880" s="113"/>
      <c r="X880" s="113"/>
      <c r="Y880" s="113"/>
      <c r="Z880" s="113"/>
      <c r="AA880" s="113"/>
      <c r="AB880" s="113"/>
      <c r="AC880" s="113"/>
      <c r="AD880" s="113"/>
      <c r="AE880" s="113"/>
      <c r="AF880" s="113"/>
      <c r="AG880" s="113"/>
      <c r="AH880" s="113"/>
      <c r="AI880" s="113"/>
      <c r="AJ880" s="113"/>
      <c r="AK880" s="113"/>
      <c r="AL880" s="113">
        <v>1</v>
      </c>
      <c r="AM880" s="113"/>
      <c r="AN880" s="113"/>
      <c r="AO880" s="113"/>
      <c r="AP880" s="113" t="b">
        <v>1</v>
      </c>
      <c r="AQ880" s="18"/>
      <c r="AR880" s="18"/>
      <c r="AS880" s="195"/>
      <c r="AT880" s="196"/>
      <c r="AU880" s="195"/>
      <c r="AV880" s="195"/>
      <c r="AW880"/>
      <c r="AX880"/>
      <c r="AY880"/>
      <c r="AZ880"/>
      <c r="BA880"/>
      <c r="BB880"/>
      <c r="BC880"/>
      <c r="BD880"/>
      <c r="BE880"/>
      <c r="BF880"/>
      <c r="BG880"/>
      <c r="BH880"/>
      <c r="BI880"/>
      <c r="BJ880"/>
      <c r="BK880"/>
      <c r="BL880"/>
      <c r="BM880"/>
      <c r="BN880"/>
      <c r="BO880"/>
      <c r="BP880"/>
      <c r="BQ880"/>
      <c r="BR880"/>
      <c r="BS880"/>
      <c r="BT880"/>
      <c r="BU880"/>
      <c r="BV880"/>
      <c r="BW880"/>
      <c r="BX880"/>
      <c r="BY880"/>
      <c r="BZ880"/>
      <c r="CA880"/>
      <c r="CB880"/>
      <c r="CC880"/>
      <c r="CD880"/>
      <c r="CE880"/>
      <c r="CF880"/>
      <c r="CG880"/>
      <c r="CH880"/>
      <c r="CI880"/>
      <c r="CJ880"/>
      <c r="CK880"/>
      <c r="CL880"/>
      <c r="CM880"/>
      <c r="CN880"/>
      <c r="CO880"/>
      <c r="CP880"/>
      <c r="CQ880"/>
      <c r="CR880"/>
      <c r="CS880"/>
      <c r="CT880"/>
      <c r="CU880"/>
      <c r="CV880"/>
      <c r="CW880"/>
      <c r="CX880"/>
      <c r="CY880"/>
      <c r="CZ880"/>
      <c r="DA880"/>
      <c r="DB880"/>
      <c r="DC880"/>
      <c r="DD880"/>
      <c r="DE880"/>
      <c r="DF880"/>
      <c r="DG880"/>
      <c r="DH880"/>
      <c r="DI880"/>
      <c r="DJ880"/>
      <c r="DK880"/>
      <c r="DL880"/>
      <c r="DM880"/>
      <c r="DN880"/>
      <c r="DO880"/>
      <c r="DP880"/>
      <c r="DQ880"/>
      <c r="DR880"/>
      <c r="DS880"/>
      <c r="DT880"/>
      <c r="DU880"/>
      <c r="DV880"/>
      <c r="DW880"/>
      <c r="DX880"/>
      <c r="DY880"/>
      <c r="DZ880"/>
      <c r="EA880"/>
      <c r="EB880"/>
      <c r="EC880"/>
      <c r="ED880"/>
      <c r="EE880"/>
      <c r="EF880"/>
      <c r="EG880"/>
      <c r="EH880"/>
      <c r="EI880"/>
      <c r="EJ880"/>
      <c r="EK880"/>
      <c r="EL880"/>
      <c r="EM880"/>
      <c r="EN880"/>
      <c r="EO880"/>
      <c r="EP880"/>
      <c r="EQ880"/>
    </row>
    <row r="881" spans="1:147" ht="16.5" customHeight="1" x14ac:dyDescent="0.25">
      <c r="A881" s="113">
        <f>$A$870+10</f>
        <v>43</v>
      </c>
      <c r="B881" s="113" t="s">
        <v>532</v>
      </c>
      <c r="C881" s="113" t="s">
        <v>92</v>
      </c>
      <c r="D881" s="113"/>
      <c r="E881" s="113"/>
      <c r="F881" s="113" t="s">
        <v>521</v>
      </c>
      <c r="G881" s="113" t="s">
        <v>406</v>
      </c>
      <c r="H881" s="113"/>
      <c r="I881" s="113"/>
      <c r="J881" s="113" t="b">
        <f t="shared" si="90"/>
        <v>1</v>
      </c>
      <c r="K881" s="113" t="b">
        <v>1</v>
      </c>
      <c r="L881" s="113"/>
      <c r="M881" s="113"/>
      <c r="N881" s="113"/>
      <c r="O881" s="113" t="str">
        <f t="shared" si="100"/>
        <v>$B$43</v>
      </c>
      <c r="P881" s="113" t="str">
        <f t="shared" si="101"/>
        <v>$BK$43</v>
      </c>
      <c r="Q881" s="113"/>
      <c r="R881" s="113"/>
      <c r="S881" s="113"/>
      <c r="T881" s="113"/>
      <c r="U881" s="113"/>
      <c r="V881" s="113"/>
      <c r="W881" s="113"/>
      <c r="X881" s="113"/>
      <c r="Y881" s="113"/>
      <c r="Z881" s="113"/>
      <c r="AA881" s="113"/>
      <c r="AB881" s="113"/>
      <c r="AC881" s="113"/>
      <c r="AD881" s="113"/>
      <c r="AE881" s="113"/>
      <c r="AF881" s="113"/>
      <c r="AG881" s="113"/>
      <c r="AH881" s="113"/>
      <c r="AI881" s="113"/>
      <c r="AJ881" s="113"/>
      <c r="AK881" s="113"/>
      <c r="AL881" s="113">
        <v>1</v>
      </c>
      <c r="AM881" s="113"/>
      <c r="AN881" s="113"/>
      <c r="AO881" s="113"/>
      <c r="AP881" s="113" t="b">
        <v>1</v>
      </c>
      <c r="AQ881" s="77" t="s">
        <v>419</v>
      </c>
      <c r="AR881" s="77"/>
      <c r="AS881" s="197">
        <f ca="1">SUM(AU881:CY881)</f>
        <v>0</v>
      </c>
      <c r="AT881" s="266"/>
      <c r="AU881" s="197">
        <f ca="1">IFERROR(OFFSET(Businesscasen_f_BCM_subcat14_Table1_start,MATCH("Renteomkostninger (FF4)",OFFSET(Businesscasen_f_BCM_subcat14_Table1_start,0,0,ROWS(Businesscasen_f_BCM_subcat14_Table1_start:Businesscasen_f_BCM_subcat14_Table1_end),1),0)-1,5+MATCH(OFFSET(Businesscasen_f_BCM_subcat2_Table1_start,0,COLUMN()-COLUMN(Businesscasen_f_BCM_subcat2_Table1_start)),OFFSET(Businesscasen_f_BCM_subcat14_Table1_start,0,6,1,50),0)),0)/1000</f>
        <v>0</v>
      </c>
      <c r="AV881" s="197">
        <f ca="1">IFERROR(OFFSET(Businesscasen_f_BCM_subcat14_Table1_start,MATCH("Renteomkostninger (FF4)",OFFSET(Businesscasen_f_BCM_subcat14_Table1_start,0,0,ROWS(Businesscasen_f_BCM_subcat14_Table1_start:Businesscasen_f_BCM_subcat14_Table1_end),1),0)-1,5+MATCH(OFFSET(Businesscasen_f_BCM_subcat2_Table1_start,0,COLUMN()-COLUMN(Businesscasen_f_BCM_subcat2_Table1_start)),OFFSET(Businesscasen_f_BCM_subcat14_Table1_start,0,6,1,50),0)),0)/1000</f>
        <v>0</v>
      </c>
      <c r="AW881"/>
      <c r="AX881"/>
      <c r="AY881"/>
      <c r="AZ881"/>
      <c r="BA881"/>
      <c r="BB881"/>
      <c r="BC881"/>
      <c r="BD881"/>
      <c r="BE881"/>
      <c r="BF881"/>
      <c r="BG881"/>
      <c r="BH881"/>
      <c r="BI881"/>
      <c r="BJ881"/>
      <c r="BK881"/>
      <c r="BL881"/>
      <c r="BM881"/>
      <c r="BN881"/>
      <c r="BO881"/>
      <c r="BP881"/>
      <c r="BQ881"/>
      <c r="BR881"/>
      <c r="BS881"/>
      <c r="BT881"/>
      <c r="BU881"/>
      <c r="BV881"/>
      <c r="BW881"/>
      <c r="BX881"/>
      <c r="BY881"/>
      <c r="BZ881"/>
      <c r="CA881"/>
      <c r="CB881"/>
      <c r="CC881"/>
      <c r="CD881"/>
      <c r="CE881"/>
      <c r="CF881"/>
      <c r="CG881"/>
      <c r="CH881"/>
      <c r="CI881"/>
      <c r="CJ881"/>
      <c r="CK881"/>
      <c r="CL881"/>
      <c r="CM881"/>
      <c r="CN881"/>
      <c r="CO881"/>
      <c r="CP881"/>
      <c r="CQ881"/>
      <c r="CR881"/>
      <c r="CS881"/>
      <c r="CT881"/>
      <c r="CU881"/>
      <c r="CV881"/>
      <c r="CW881"/>
      <c r="CX881"/>
      <c r="CY881"/>
      <c r="CZ881"/>
      <c r="DA881"/>
      <c r="DB881"/>
      <c r="DC881"/>
      <c r="DD881"/>
      <c r="DE881"/>
      <c r="DF881"/>
      <c r="DG881"/>
      <c r="DH881"/>
      <c r="DI881"/>
      <c r="DJ881"/>
      <c r="DK881"/>
      <c r="DL881"/>
      <c r="DM881"/>
      <c r="DN881"/>
      <c r="DO881"/>
      <c r="DP881"/>
      <c r="DQ881"/>
      <c r="DR881"/>
      <c r="DS881"/>
      <c r="DT881"/>
      <c r="DU881"/>
      <c r="DV881"/>
      <c r="DW881"/>
      <c r="DX881"/>
      <c r="DY881"/>
      <c r="DZ881"/>
      <c r="EA881"/>
      <c r="EB881"/>
      <c r="EC881"/>
      <c r="ED881"/>
      <c r="EE881"/>
      <c r="EF881"/>
      <c r="EG881"/>
      <c r="EH881"/>
      <c r="EI881"/>
      <c r="EJ881"/>
      <c r="EK881"/>
      <c r="EL881"/>
      <c r="EM881"/>
      <c r="EN881"/>
      <c r="EO881"/>
      <c r="EP881"/>
      <c r="EQ881"/>
    </row>
    <row r="882" spans="1:147" ht="16.5" customHeight="1" x14ac:dyDescent="0.25">
      <c r="A882" s="113">
        <f>$A$870+11</f>
        <v>44</v>
      </c>
      <c r="B882" s="113" t="s">
        <v>533</v>
      </c>
      <c r="C882" s="113" t="s">
        <v>92</v>
      </c>
      <c r="D882" s="113"/>
      <c r="E882" s="113"/>
      <c r="F882" s="113" t="s">
        <v>521</v>
      </c>
      <c r="G882" s="113" t="s">
        <v>406</v>
      </c>
      <c r="H882" s="113"/>
      <c r="I882" s="113"/>
      <c r="J882" s="113" t="b">
        <f t="shared" si="90"/>
        <v>1</v>
      </c>
      <c r="K882" s="113" t="b">
        <v>1</v>
      </c>
      <c r="L882" s="113"/>
      <c r="M882" s="113"/>
      <c r="N882" s="113"/>
      <c r="O882" s="113" t="str">
        <f t="shared" si="100"/>
        <v>$B$44</v>
      </c>
      <c r="P882" s="113" t="str">
        <f t="shared" si="101"/>
        <v>$BK$44</v>
      </c>
      <c r="Q882" s="113"/>
      <c r="R882" s="113"/>
      <c r="S882" s="113"/>
      <c r="T882" s="113"/>
      <c r="U882" s="113"/>
      <c r="V882" s="113"/>
      <c r="W882" s="113"/>
      <c r="X882" s="113"/>
      <c r="Y882" s="113"/>
      <c r="Z882" s="113"/>
      <c r="AA882" s="113"/>
      <c r="AB882" s="113"/>
      <c r="AC882" s="113"/>
      <c r="AD882" s="113"/>
      <c r="AE882" s="113"/>
      <c r="AF882" s="113"/>
      <c r="AG882" s="113"/>
      <c r="AH882" s="113"/>
      <c r="AI882" s="113"/>
      <c r="AJ882" s="113"/>
      <c r="AK882" s="113"/>
      <c r="AL882" s="113">
        <v>1</v>
      </c>
      <c r="AM882" s="113"/>
      <c r="AN882" s="113"/>
      <c r="AO882" s="113"/>
      <c r="AP882" s="113" t="b">
        <v>1</v>
      </c>
      <c r="AQ882" s="78" t="s">
        <v>420</v>
      </c>
      <c r="AR882" s="78"/>
      <c r="AS882" s="198">
        <f ca="1">AS881+AS879</f>
        <v>0</v>
      </c>
      <c r="AT882" s="267"/>
      <c r="AU882" s="198">
        <f ca="1">AU881+AU879</f>
        <v>0</v>
      </c>
      <c r="AV882" s="198">
        <f t="shared" ref="AV882" ca="1" si="105">AV881+AV879</f>
        <v>0</v>
      </c>
      <c r="AW882"/>
      <c r="AX882"/>
      <c r="AY882"/>
      <c r="AZ882"/>
      <c r="BA882"/>
      <c r="BB882"/>
      <c r="BC882"/>
      <c r="BD882"/>
      <c r="BE882"/>
      <c r="BF882"/>
      <c r="BG882"/>
      <c r="BH882"/>
      <c r="BI882"/>
      <c r="BJ882"/>
      <c r="BK882"/>
      <c r="BL882"/>
      <c r="BM882"/>
      <c r="BN882"/>
      <c r="BO882"/>
      <c r="BP882"/>
      <c r="BQ882"/>
      <c r="BR882"/>
      <c r="BS882"/>
      <c r="BT882"/>
      <c r="BU882"/>
      <c r="BV882"/>
      <c r="BW882"/>
      <c r="BX882"/>
      <c r="BY882"/>
      <c r="BZ882"/>
      <c r="CA882"/>
      <c r="CB882"/>
      <c r="CC882"/>
      <c r="CD882"/>
      <c r="CE882"/>
      <c r="CF882"/>
      <c r="CG882"/>
      <c r="CH882"/>
      <c r="CI882"/>
      <c r="CJ882"/>
      <c r="CK882"/>
      <c r="CL882"/>
      <c r="CM882"/>
      <c r="CN882"/>
      <c r="CO882"/>
      <c r="CP882"/>
      <c r="CQ882"/>
      <c r="CR882"/>
      <c r="CS882"/>
      <c r="CT882"/>
      <c r="CU882"/>
      <c r="CV882"/>
      <c r="CW882"/>
      <c r="CX882"/>
      <c r="CY882"/>
      <c r="CZ882"/>
      <c r="DA882"/>
      <c r="DB882"/>
      <c r="DC882"/>
      <c r="DD882"/>
      <c r="DE882"/>
      <c r="DF882"/>
      <c r="DG882"/>
      <c r="DH882"/>
      <c r="DI882"/>
      <c r="DJ882"/>
      <c r="DK882"/>
      <c r="DL882"/>
      <c r="DM882"/>
      <c r="DN882"/>
      <c r="DO882"/>
      <c r="DP882"/>
      <c r="DQ882"/>
      <c r="DR882"/>
      <c r="DS882"/>
      <c r="DT882"/>
      <c r="DU882"/>
      <c r="DV882"/>
      <c r="DW882"/>
      <c r="DX882"/>
      <c r="DY882"/>
      <c r="DZ882"/>
      <c r="EA882"/>
      <c r="EB882"/>
      <c r="EC882"/>
      <c r="ED882"/>
      <c r="EE882"/>
      <c r="EF882"/>
      <c r="EG882"/>
      <c r="EH882"/>
      <c r="EI882"/>
      <c r="EJ882"/>
      <c r="EK882"/>
      <c r="EL882"/>
      <c r="EM882"/>
      <c r="EN882"/>
      <c r="EO882"/>
      <c r="EP882"/>
      <c r="EQ882"/>
    </row>
    <row r="883" spans="1:147" ht="16.5" customHeight="1" x14ac:dyDescent="0.2">
      <c r="A883" s="103">
        <f>$A$870+14</f>
        <v>47</v>
      </c>
      <c r="B883" s="103" t="s">
        <v>103</v>
      </c>
      <c r="C883" s="103" t="s">
        <v>654</v>
      </c>
      <c r="D883" s="103"/>
      <c r="E883" s="103"/>
      <c r="F883" s="103"/>
      <c r="G883" s="103" t="s">
        <v>406</v>
      </c>
      <c r="H883" s="103"/>
      <c r="I883" s="103" t="s">
        <v>421</v>
      </c>
      <c r="J883" s="103" t="b">
        <f t="shared" si="90"/>
        <v>1</v>
      </c>
      <c r="K883" s="103" t="b">
        <v>1</v>
      </c>
      <c r="L883" s="103"/>
      <c r="M883" s="103"/>
      <c r="N883" s="103" t="s">
        <v>59</v>
      </c>
      <c r="O883" s="103" t="str">
        <f t="shared" si="100"/>
        <v>$B$47</v>
      </c>
      <c r="P883" s="103" t="str">
        <f>"$S$"&amp;A903-1</f>
        <v>$S$62</v>
      </c>
      <c r="Q883" s="103"/>
      <c r="R883" s="103">
        <v>1</v>
      </c>
      <c r="S883" s="103"/>
      <c r="T883" s="103">
        <v>27</v>
      </c>
      <c r="U883" s="103" t="b">
        <v>1</v>
      </c>
      <c r="V883" s="103" t="s">
        <v>1352</v>
      </c>
      <c r="W883" s="103" t="s">
        <v>1352</v>
      </c>
      <c r="X883" s="103"/>
      <c r="Y883" s="103"/>
      <c r="Z883" s="103"/>
      <c r="AA883" s="103"/>
      <c r="AB883" s="103"/>
      <c r="AC883" s="103">
        <v>7</v>
      </c>
      <c r="AD883" s="103" t="s">
        <v>105</v>
      </c>
      <c r="AE883" s="103">
        <v>20</v>
      </c>
      <c r="AF883" s="103" t="b">
        <v>1</v>
      </c>
      <c r="AG883" s="103" t="s">
        <v>1351</v>
      </c>
      <c r="AH883" s="103" t="s">
        <v>29</v>
      </c>
      <c r="AI883" s="103" t="s">
        <v>28</v>
      </c>
      <c r="AJ883" s="103"/>
      <c r="AK883" s="103"/>
      <c r="AL883" s="103">
        <v>0</v>
      </c>
      <c r="AM883" s="103"/>
      <c r="AN883" s="103"/>
      <c r="AO883" s="103"/>
      <c r="AP883" s="103"/>
      <c r="AQ883" s="148" t="s">
        <v>421</v>
      </c>
      <c r="AR883" s="148"/>
      <c r="AS883" s="148"/>
      <c r="AT883" s="148"/>
      <c r="AU883" s="148"/>
      <c r="AV883" s="148"/>
      <c r="AW883" s="148"/>
      <c r="AX883" s="148"/>
      <c r="AY883" s="148"/>
      <c r="AZ883" s="148"/>
      <c r="BA883" s="148"/>
      <c r="BB883" s="148"/>
    </row>
    <row r="884" spans="1:147" ht="16.5" customHeight="1" x14ac:dyDescent="0.2">
      <c r="A884" s="81">
        <f>$A$883+0</f>
        <v>47</v>
      </c>
      <c r="B884" s="81" t="s">
        <v>968</v>
      </c>
      <c r="C884" s="81" t="s">
        <v>512</v>
      </c>
      <c r="D884" s="81" t="s">
        <v>961</v>
      </c>
      <c r="E884" s="81"/>
      <c r="F884" s="81"/>
      <c r="G884" s="81" t="s">
        <v>406</v>
      </c>
      <c r="H884" s="81"/>
      <c r="I884" s="81"/>
      <c r="J884" s="81" t="b">
        <f t="shared" si="90"/>
        <v>1</v>
      </c>
      <c r="K884" s="81" t="b">
        <v>1</v>
      </c>
      <c r="L884" s="81" t="b">
        <v>0</v>
      </c>
      <c r="M884" s="81"/>
      <c r="N884" s="81" t="s">
        <v>59</v>
      </c>
      <c r="O884" s="81" t="str">
        <f>"$U$"&amp;A884</f>
        <v>$U$47</v>
      </c>
      <c r="P884" s="81" t="str">
        <f>"$U$"&amp;A903-1</f>
        <v>$U$62</v>
      </c>
      <c r="Q884" s="81"/>
      <c r="R884" s="81">
        <v>1</v>
      </c>
      <c r="S884" s="81">
        <v>-20</v>
      </c>
      <c r="T884" s="81"/>
      <c r="U884" s="81" t="b">
        <f>$I$5</f>
        <v>0</v>
      </c>
      <c r="V884" s="81" t="s">
        <v>1348</v>
      </c>
      <c r="W884" s="81" t="s">
        <v>1348</v>
      </c>
      <c r="X884" s="81"/>
      <c r="Y884" s="81"/>
      <c r="Z884" s="81"/>
      <c r="AA884" s="81"/>
      <c r="AB884" s="81"/>
      <c r="AC884" s="81"/>
      <c r="AD884" s="81"/>
      <c r="AE884" s="81"/>
      <c r="AF884" s="81"/>
      <c r="AG884" s="81"/>
      <c r="AH884" s="81"/>
      <c r="AI884" s="81"/>
      <c r="AJ884" s="81"/>
      <c r="AK884" s="81"/>
      <c r="AL884" s="81">
        <v>-10</v>
      </c>
      <c r="AM884" s="81">
        <v>5</v>
      </c>
      <c r="AN884" s="81"/>
      <c r="AO884" s="81"/>
      <c r="AP884" s="81"/>
    </row>
    <row r="885" spans="1:147" ht="16.5" customHeight="1" x14ac:dyDescent="0.2">
      <c r="A885" s="81">
        <f>$A$883+0</f>
        <v>47</v>
      </c>
      <c r="B885" s="81" t="s">
        <v>518</v>
      </c>
      <c r="C885" s="81" t="s">
        <v>512</v>
      </c>
      <c r="D885" s="81" t="s">
        <v>902</v>
      </c>
      <c r="E885" s="81"/>
      <c r="F885" s="81"/>
      <c r="G885" s="81" t="s">
        <v>406</v>
      </c>
      <c r="H885" s="81"/>
      <c r="I885" s="81"/>
      <c r="J885" s="81" t="b">
        <f t="shared" si="90"/>
        <v>1</v>
      </c>
      <c r="K885" s="81" t="b">
        <v>1</v>
      </c>
      <c r="L885" s="81" t="b">
        <v>1</v>
      </c>
      <c r="M885" s="81"/>
      <c r="N885" s="81" t="s">
        <v>59</v>
      </c>
      <c r="O885" s="81" t="str">
        <f>"$A$"&amp;A885</f>
        <v>$A$47</v>
      </c>
      <c r="P885" s="81" t="str">
        <f>"$A$"&amp;A903-1</f>
        <v>$A$62</v>
      </c>
      <c r="Q885" s="81"/>
      <c r="R885" s="81">
        <v>1</v>
      </c>
      <c r="S885" s="81">
        <v>20</v>
      </c>
      <c r="T885" s="81"/>
      <c r="U885" s="81" t="b">
        <f>$I$5</f>
        <v>0</v>
      </c>
      <c r="V885" s="81" t="s">
        <v>1349</v>
      </c>
      <c r="W885" s="81" t="s">
        <v>1349</v>
      </c>
      <c r="X885" s="81"/>
      <c r="Y885" s="81"/>
      <c r="Z885" s="81"/>
      <c r="AA885" s="81"/>
      <c r="AB885" s="81"/>
      <c r="AC885" s="81"/>
      <c r="AD885" s="81"/>
      <c r="AE885" s="81"/>
      <c r="AF885" s="81"/>
      <c r="AG885" s="81"/>
      <c r="AH885" s="81"/>
      <c r="AI885" s="81"/>
      <c r="AJ885" s="81"/>
      <c r="AK885" s="81"/>
      <c r="AL885" s="81">
        <v>10</v>
      </c>
      <c r="AM885" s="81">
        <v>5</v>
      </c>
      <c r="AN885" s="81"/>
      <c r="AO885" s="81"/>
      <c r="AP885" s="81"/>
    </row>
    <row r="886" spans="1:147" ht="16.5" customHeight="1" x14ac:dyDescent="0.2">
      <c r="A886" s="112">
        <f>$A$883+3</f>
        <v>50</v>
      </c>
      <c r="B886" s="112" t="s">
        <v>534</v>
      </c>
      <c r="C886" s="112" t="s">
        <v>90</v>
      </c>
      <c r="D886" s="112"/>
      <c r="E886" s="112"/>
      <c r="F886" s="112"/>
      <c r="G886" s="112" t="s">
        <v>406</v>
      </c>
      <c r="H886" s="112"/>
      <c r="I886" s="112"/>
      <c r="J886" s="112" t="b">
        <f t="shared" si="90"/>
        <v>1</v>
      </c>
      <c r="K886" s="112" t="b">
        <v>1</v>
      </c>
      <c r="L886" s="112"/>
      <c r="M886" s="112"/>
      <c r="N886" s="112"/>
      <c r="O886" s="112" t="str">
        <f>"$B$"&amp;A886</f>
        <v>$B$50</v>
      </c>
      <c r="P886" s="112" t="str">
        <f>"$BK$"&amp;A900</f>
        <v>$BK$60</v>
      </c>
      <c r="Q886" s="112"/>
      <c r="R886" s="112"/>
      <c r="S886" s="112"/>
      <c r="T886" s="112"/>
      <c r="U886" s="112"/>
      <c r="V886" s="112" t="s">
        <v>1342</v>
      </c>
      <c r="W886" s="112"/>
      <c r="X886" s="112"/>
      <c r="Y886" s="112"/>
      <c r="Z886" s="112"/>
      <c r="AA886" s="112"/>
      <c r="AB886" s="112"/>
      <c r="AC886" s="112"/>
      <c r="AD886" s="112" t="s">
        <v>105</v>
      </c>
      <c r="AE886" s="112">
        <v>12</v>
      </c>
      <c r="AF886" s="112" t="b">
        <v>1</v>
      </c>
      <c r="AG886" s="112" t="s">
        <v>1355</v>
      </c>
      <c r="AH886" s="112" t="s">
        <v>29</v>
      </c>
      <c r="AI886" s="112" t="s">
        <v>28</v>
      </c>
      <c r="AJ886" s="112"/>
      <c r="AK886" s="112"/>
      <c r="AL886" s="112"/>
      <c r="AM886" s="112"/>
      <c r="AN886" s="112"/>
      <c r="AO886" s="112"/>
      <c r="AP886" s="112"/>
    </row>
    <row r="887" spans="1:147" ht="16.5" customHeight="1" thickBot="1" x14ac:dyDescent="0.3">
      <c r="A887" s="113">
        <f>$A$886+0</f>
        <v>50</v>
      </c>
      <c r="B887" s="113" t="s">
        <v>535</v>
      </c>
      <c r="C887" s="113" t="s">
        <v>92</v>
      </c>
      <c r="D887" s="113"/>
      <c r="E887" s="113"/>
      <c r="F887" s="113" t="s">
        <v>534</v>
      </c>
      <c r="G887" s="113" t="s">
        <v>406</v>
      </c>
      <c r="H887" s="113"/>
      <c r="I887" s="113"/>
      <c r="J887" s="113" t="b">
        <f t="shared" si="90"/>
        <v>1</v>
      </c>
      <c r="K887" s="113" t="b">
        <v>1</v>
      </c>
      <c r="L887" s="113"/>
      <c r="M887" s="113"/>
      <c r="N887" s="113"/>
      <c r="O887" s="113" t="str">
        <f>"$B$"&amp;A887</f>
        <v>$B$50</v>
      </c>
      <c r="P887" s="113" t="str">
        <f>"$BK$"&amp;A887</f>
        <v>$BK$50</v>
      </c>
      <c r="Q887" s="113"/>
      <c r="R887" s="113"/>
      <c r="S887" s="113"/>
      <c r="T887" s="113">
        <v>52</v>
      </c>
      <c r="U887" s="113"/>
      <c r="V887" s="113" t="s">
        <v>1342</v>
      </c>
      <c r="W887" s="113"/>
      <c r="X887" s="113"/>
      <c r="Y887" s="113"/>
      <c r="Z887" s="113"/>
      <c r="AA887" s="113"/>
      <c r="AB887" s="113"/>
      <c r="AC887" s="113"/>
      <c r="AD887" s="113"/>
      <c r="AE887" s="113"/>
      <c r="AF887" s="113"/>
      <c r="AG887" s="113"/>
      <c r="AH887" s="113"/>
      <c r="AI887" s="113"/>
      <c r="AJ887" s="113"/>
      <c r="AK887" s="113"/>
      <c r="AL887" s="113">
        <v>1</v>
      </c>
      <c r="AM887" s="113"/>
      <c r="AN887" s="113"/>
      <c r="AO887" s="113"/>
      <c r="AP887" s="113" t="b">
        <v>1</v>
      </c>
      <c r="AQ887" s="402" t="s">
        <v>1610</v>
      </c>
      <c r="AR887" s="414"/>
      <c r="AS887" s="200" t="s">
        <v>413</v>
      </c>
      <c r="AT887" s="201" t="s">
        <v>414</v>
      </c>
      <c r="AU887" s="200">
        <v>2013</v>
      </c>
      <c r="AV887" s="200">
        <v>2014</v>
      </c>
      <c r="AW887"/>
      <c r="AX887"/>
      <c r="AY887"/>
      <c r="AZ887"/>
      <c r="BA887"/>
      <c r="BB887"/>
      <c r="BC887"/>
      <c r="BD887"/>
      <c r="BE887"/>
      <c r="BF887"/>
      <c r="BG887"/>
      <c r="BH887"/>
      <c r="BI887"/>
      <c r="BJ887"/>
      <c r="BK887"/>
      <c r="BL887"/>
      <c r="BM887"/>
      <c r="BN887"/>
      <c r="BO887"/>
      <c r="BP887"/>
      <c r="BQ887"/>
      <c r="BR887"/>
      <c r="BS887"/>
      <c r="BT887"/>
      <c r="BU887"/>
      <c r="BV887"/>
      <c r="BW887"/>
      <c r="BX887"/>
      <c r="BY887"/>
      <c r="BZ887"/>
      <c r="CA887"/>
      <c r="CB887"/>
      <c r="CC887"/>
      <c r="CD887"/>
      <c r="CE887"/>
      <c r="CF887"/>
      <c r="CG887"/>
      <c r="CH887"/>
      <c r="CI887"/>
      <c r="CJ887"/>
      <c r="CK887"/>
      <c r="CL887"/>
      <c r="CM887"/>
      <c r="CN887"/>
      <c r="CO887"/>
      <c r="CP887"/>
      <c r="CQ887"/>
      <c r="CR887"/>
      <c r="CS887"/>
      <c r="CT887"/>
      <c r="CU887"/>
      <c r="CV887"/>
      <c r="CW887"/>
      <c r="CX887"/>
      <c r="CY887"/>
      <c r="CZ887"/>
      <c r="DA887"/>
      <c r="DB887"/>
      <c r="DC887"/>
      <c r="DD887"/>
      <c r="DE887"/>
      <c r="DF887"/>
      <c r="DG887"/>
      <c r="DH887"/>
      <c r="DI887"/>
      <c r="DJ887"/>
      <c r="DK887"/>
      <c r="DL887"/>
      <c r="DM887"/>
      <c r="DN887"/>
      <c r="DO887"/>
      <c r="DP887"/>
      <c r="DQ887"/>
      <c r="DR887"/>
      <c r="DS887"/>
      <c r="DT887"/>
      <c r="DU887"/>
      <c r="DV887"/>
      <c r="DW887"/>
      <c r="DX887"/>
      <c r="DY887"/>
      <c r="DZ887"/>
      <c r="EA887"/>
      <c r="EB887"/>
      <c r="EC887"/>
      <c r="ED887"/>
      <c r="EE887"/>
      <c r="EF887"/>
      <c r="EG887"/>
      <c r="EH887"/>
      <c r="EI887"/>
      <c r="EJ887"/>
      <c r="EK887"/>
      <c r="EL887"/>
      <c r="EM887"/>
      <c r="EN887"/>
      <c r="EO887"/>
      <c r="EP887"/>
      <c r="EQ887"/>
    </row>
    <row r="888" spans="1:147" ht="16.5" customHeight="1" x14ac:dyDescent="0.25">
      <c r="A888" s="113">
        <f>$A$886+1</f>
        <v>51</v>
      </c>
      <c r="B888" s="113" t="s">
        <v>1418</v>
      </c>
      <c r="C888" s="113" t="s">
        <v>92</v>
      </c>
      <c r="D888" s="113"/>
      <c r="E888" s="113"/>
      <c r="F888" s="113" t="s">
        <v>534</v>
      </c>
      <c r="G888" s="113" t="s">
        <v>406</v>
      </c>
      <c r="H888" s="113"/>
      <c r="I888" s="113"/>
      <c r="J888" s="113" t="b">
        <f t="shared" si="90"/>
        <v>1</v>
      </c>
      <c r="K888" s="113" t="b">
        <v>1</v>
      </c>
      <c r="L888" s="113"/>
      <c r="M888" s="113"/>
      <c r="N888" s="113"/>
      <c r="O888" s="113" t="str">
        <f>"$B$"&amp;A888</f>
        <v>$B$51</v>
      </c>
      <c r="P888" s="113" t="str">
        <f>"$BK$"&amp;A888</f>
        <v>$BK$51</v>
      </c>
      <c r="Q888" s="113"/>
      <c r="R888" s="113"/>
      <c r="S888" s="113"/>
      <c r="T888" s="113">
        <v>2</v>
      </c>
      <c r="U888" s="113"/>
      <c r="V888" s="113" t="s">
        <v>1342</v>
      </c>
      <c r="W888" s="113"/>
      <c r="X888" s="113"/>
      <c r="Y888" s="113"/>
      <c r="Z888" s="113"/>
      <c r="AA888" s="113"/>
      <c r="AB888" s="113"/>
      <c r="AC888" s="113"/>
      <c r="AD888" s="113"/>
      <c r="AE888" s="113"/>
      <c r="AF888" s="113"/>
      <c r="AG888" s="113"/>
      <c r="AH888" s="113"/>
      <c r="AI888" s="113"/>
      <c r="AJ888" s="113"/>
      <c r="AK888" s="113"/>
      <c r="AL888" s="113">
        <v>1</v>
      </c>
      <c r="AM888" s="113"/>
      <c r="AN888" s="113"/>
      <c r="AO888" s="113"/>
      <c r="AP888" s="113" t="b">
        <v>1</v>
      </c>
      <c r="AQ888" s="202"/>
      <c r="AR888" s="202"/>
      <c r="AS888" s="203"/>
      <c r="AT888" s="268"/>
      <c r="AU888" s="203"/>
      <c r="AV888" s="203"/>
      <c r="AW888"/>
      <c r="AX888"/>
      <c r="AY888"/>
      <c r="AZ888"/>
      <c r="BA888"/>
      <c r="BB888"/>
      <c r="BC888"/>
      <c r="BD888"/>
      <c r="BE888"/>
      <c r="BF888"/>
      <c r="BG888"/>
      <c r="BH888"/>
      <c r="BI888"/>
      <c r="BJ888"/>
      <c r="BK888"/>
      <c r="BL888"/>
      <c r="BM888"/>
      <c r="BN888"/>
      <c r="BO888"/>
      <c r="BP888"/>
      <c r="BQ888"/>
      <c r="BR888"/>
      <c r="BS888"/>
      <c r="BT888"/>
      <c r="BU888"/>
      <c r="BV888"/>
      <c r="BW888"/>
      <c r="BX888"/>
      <c r="BY888"/>
      <c r="BZ888"/>
      <c r="CA888"/>
      <c r="CB888"/>
      <c r="CC888"/>
      <c r="CD888"/>
      <c r="CE888"/>
      <c r="CF888"/>
      <c r="CG888"/>
      <c r="CH888"/>
      <c r="CI888"/>
      <c r="CJ888"/>
      <c r="CK888"/>
      <c r="CL888"/>
      <c r="CM888"/>
      <c r="CN888"/>
      <c r="CO888"/>
      <c r="CP888"/>
      <c r="CQ888"/>
      <c r="CR888"/>
      <c r="CS888"/>
      <c r="CT888"/>
      <c r="CU888"/>
      <c r="CV888"/>
      <c r="CW888"/>
      <c r="CX888"/>
      <c r="CY888"/>
      <c r="CZ888"/>
      <c r="DA888"/>
      <c r="DB888"/>
      <c r="DC888"/>
      <c r="DD888"/>
      <c r="DE888"/>
      <c r="DF888"/>
      <c r="DG888"/>
      <c r="DH888"/>
      <c r="DI888"/>
      <c r="DJ888"/>
      <c r="DK888"/>
      <c r="DL888"/>
      <c r="DM888"/>
      <c r="DN888"/>
      <c r="DO888"/>
      <c r="DP888"/>
      <c r="DQ888"/>
      <c r="DR888"/>
      <c r="DS888"/>
      <c r="DT888"/>
      <c r="DU888"/>
      <c r="DV888"/>
      <c r="DW888"/>
      <c r="DX888"/>
      <c r="DY888"/>
      <c r="DZ888"/>
      <c r="EA888"/>
      <c r="EB888"/>
      <c r="EC888"/>
      <c r="ED888"/>
      <c r="EE888"/>
      <c r="EF888"/>
      <c r="EG888"/>
      <c r="EH888"/>
      <c r="EI888"/>
      <c r="EJ888"/>
      <c r="EK888"/>
      <c r="EL888"/>
      <c r="EM888"/>
      <c r="EN888"/>
      <c r="EO888"/>
      <c r="EP888"/>
      <c r="EQ888"/>
    </row>
    <row r="889" spans="1:147" ht="16.5" customHeight="1" x14ac:dyDescent="0.25">
      <c r="A889" s="113">
        <f>$A$886+2</f>
        <v>52</v>
      </c>
      <c r="B889" s="113" t="s">
        <v>1420</v>
      </c>
      <c r="C889" s="113" t="s">
        <v>92</v>
      </c>
      <c r="D889" s="113"/>
      <c r="E889" s="113"/>
      <c r="F889" s="113" t="s">
        <v>534</v>
      </c>
      <c r="G889" s="113" t="s">
        <v>406</v>
      </c>
      <c r="H889" s="113"/>
      <c r="I889" s="113"/>
      <c r="J889" s="113" t="b">
        <f t="shared" si="90"/>
        <v>1</v>
      </c>
      <c r="K889" s="113" t="b">
        <v>1</v>
      </c>
      <c r="L889" s="113"/>
      <c r="M889" s="113"/>
      <c r="N889" s="113"/>
      <c r="O889" s="113" t="str">
        <f>"$B$"&amp;A889</f>
        <v>$B$52</v>
      </c>
      <c r="P889" s="113" t="str">
        <f>"$BK$"&amp;A889</f>
        <v>$BK$52</v>
      </c>
      <c r="Q889" s="113"/>
      <c r="R889" s="113"/>
      <c r="S889" s="113"/>
      <c r="T889" s="113">
        <v>2</v>
      </c>
      <c r="U889" s="113"/>
      <c r="V889" s="113" t="s">
        <v>1342</v>
      </c>
      <c r="W889" s="113"/>
      <c r="X889" s="113"/>
      <c r="Y889" s="113"/>
      <c r="Z889" s="113"/>
      <c r="AA889" s="113"/>
      <c r="AB889" s="113"/>
      <c r="AC889" s="113"/>
      <c r="AD889" s="113"/>
      <c r="AE889" s="113"/>
      <c r="AF889" s="113"/>
      <c r="AG889" s="113"/>
      <c r="AH889" s="113"/>
      <c r="AI889" s="113"/>
      <c r="AJ889" s="113"/>
      <c r="AK889" s="113"/>
      <c r="AL889" s="113">
        <v>1</v>
      </c>
      <c r="AM889" s="113"/>
      <c r="AN889" s="113"/>
      <c r="AO889" s="113"/>
      <c r="AP889" s="113" t="b">
        <v>1</v>
      </c>
      <c r="AQ889" s="76"/>
      <c r="AR889" s="76"/>
      <c r="AS889" s="204"/>
      <c r="AT889" s="269"/>
      <c r="AU889" s="204"/>
      <c r="AV889" s="204"/>
      <c r="AW889"/>
      <c r="AX889"/>
      <c r="AY889"/>
      <c r="AZ889"/>
      <c r="BA889"/>
      <c r="BB889"/>
      <c r="BC889"/>
      <c r="BD889"/>
      <c r="BE889"/>
      <c r="BF889"/>
      <c r="BG889"/>
      <c r="BH889"/>
      <c r="BI889"/>
      <c r="BJ889"/>
      <c r="BK889"/>
      <c r="BL889"/>
      <c r="BM889"/>
      <c r="BN889"/>
      <c r="BO889"/>
      <c r="BP889"/>
      <c r="BQ889"/>
      <c r="BR889"/>
      <c r="BS889"/>
      <c r="BT889"/>
      <c r="BU889"/>
      <c r="BV889"/>
      <c r="BW889"/>
      <c r="BX889"/>
      <c r="BY889"/>
      <c r="BZ889"/>
      <c r="CA889"/>
      <c r="CB889"/>
      <c r="CC889"/>
      <c r="CD889"/>
      <c r="CE889"/>
      <c r="CF889"/>
      <c r="CG889"/>
      <c r="CH889"/>
      <c r="CI889"/>
      <c r="CJ889"/>
      <c r="CK889"/>
      <c r="CL889"/>
      <c r="CM889"/>
      <c r="CN889"/>
      <c r="CO889"/>
      <c r="CP889"/>
      <c r="CQ889"/>
      <c r="CR889"/>
      <c r="CS889"/>
      <c r="CT889"/>
      <c r="CU889"/>
      <c r="CV889"/>
      <c r="CW889"/>
      <c r="CX889"/>
      <c r="CY889"/>
      <c r="CZ889"/>
      <c r="DA889"/>
      <c r="DB889"/>
      <c r="DC889"/>
      <c r="DD889"/>
      <c r="DE889"/>
      <c r="DF889"/>
      <c r="DG889"/>
      <c r="DH889"/>
      <c r="DI889"/>
      <c r="DJ889"/>
      <c r="DK889"/>
      <c r="DL889"/>
      <c r="DM889"/>
      <c r="DN889"/>
      <c r="DO889"/>
      <c r="DP889"/>
      <c r="DQ889"/>
      <c r="DR889"/>
      <c r="DS889"/>
      <c r="DT889"/>
      <c r="DU889"/>
      <c r="DV889"/>
      <c r="DW889"/>
      <c r="DX889"/>
      <c r="DY889"/>
      <c r="DZ889"/>
      <c r="EA889"/>
      <c r="EB889"/>
      <c r="EC889"/>
      <c r="ED889"/>
      <c r="EE889"/>
      <c r="EF889"/>
      <c r="EG889"/>
      <c r="EH889"/>
      <c r="EI889"/>
      <c r="EJ889"/>
      <c r="EK889"/>
      <c r="EL889"/>
      <c r="EM889"/>
      <c r="EN889"/>
      <c r="EO889"/>
      <c r="EP889"/>
      <c r="EQ889"/>
    </row>
    <row r="890" spans="1:147" ht="16.5" customHeight="1" x14ac:dyDescent="0.25">
      <c r="A890" s="107">
        <f>$A$886+3</f>
        <v>53</v>
      </c>
      <c r="B890" s="107" t="s">
        <v>833</v>
      </c>
      <c r="C890" s="107" t="s">
        <v>663</v>
      </c>
      <c r="D890" s="107"/>
      <c r="E890" s="107"/>
      <c r="F890" s="107" t="s">
        <v>534</v>
      </c>
      <c r="G890" s="107" t="s">
        <v>406</v>
      </c>
      <c r="H890" s="107">
        <v>3</v>
      </c>
      <c r="I890" s="107">
        <v>1</v>
      </c>
      <c r="J890" s="107" t="b">
        <f t="shared" si="90"/>
        <v>1</v>
      </c>
      <c r="K890" s="107"/>
      <c r="L890" s="107"/>
      <c r="M890" s="107"/>
      <c r="N890" s="107"/>
      <c r="O890" s="107">
        <f>A890</f>
        <v>53</v>
      </c>
      <c r="P890" s="107">
        <f>O890</f>
        <v>53</v>
      </c>
      <c r="Q890" s="107"/>
      <c r="R890" s="107"/>
      <c r="S890" s="107"/>
      <c r="T890" s="107"/>
      <c r="U890" s="107"/>
      <c r="V890" s="107"/>
      <c r="W890" s="107"/>
      <c r="X890" s="107"/>
      <c r="Y890" s="107"/>
      <c r="Z890" s="107"/>
      <c r="AA890" s="107"/>
      <c r="AB890" s="107"/>
      <c r="AC890" s="107"/>
      <c r="AD890" s="107"/>
      <c r="AE890" s="107"/>
      <c r="AF890" s="107"/>
      <c r="AG890" s="107"/>
      <c r="AH890" s="107"/>
      <c r="AI890" s="107"/>
      <c r="AJ890" s="107"/>
      <c r="AK890" s="107"/>
      <c r="AL890" s="107"/>
      <c r="AM890" s="107"/>
      <c r="AN890" s="107"/>
      <c r="AO890" s="107"/>
      <c r="AP890" s="107"/>
      <c r="AQ890" s="150"/>
      <c r="AR890" s="150"/>
      <c r="AS890" s="150"/>
      <c r="AT890" s="270"/>
      <c r="AU890" s="150"/>
      <c r="AV890" s="150"/>
      <c r="AW890"/>
      <c r="AX890"/>
      <c r="AY890"/>
      <c r="AZ890"/>
      <c r="BA890"/>
      <c r="BB890"/>
      <c r="BC890"/>
      <c r="BD890"/>
      <c r="BE890"/>
      <c r="BF890"/>
      <c r="BG890"/>
      <c r="BH890"/>
      <c r="BI890"/>
      <c r="BJ890"/>
      <c r="BK890"/>
      <c r="BL890"/>
      <c r="BM890"/>
      <c r="BN890"/>
      <c r="BO890"/>
      <c r="BP890"/>
      <c r="BQ890"/>
      <c r="BR890"/>
      <c r="BS890"/>
      <c r="BT890"/>
      <c r="BU890"/>
      <c r="BV890"/>
      <c r="BW890"/>
      <c r="BX890"/>
      <c r="BY890"/>
      <c r="BZ890"/>
      <c r="CA890"/>
      <c r="CB890"/>
      <c r="CC890"/>
      <c r="CD890"/>
      <c r="CE890"/>
      <c r="CF890"/>
      <c r="CG890"/>
      <c r="CH890"/>
      <c r="CI890"/>
      <c r="CJ890"/>
      <c r="CK890"/>
      <c r="CL890"/>
      <c r="CM890"/>
      <c r="CN890"/>
      <c r="CO890"/>
      <c r="CP890"/>
      <c r="CQ890"/>
      <c r="CR890"/>
      <c r="CS890"/>
      <c r="CT890"/>
      <c r="CU890"/>
      <c r="CV890"/>
      <c r="CW890"/>
      <c r="CX890"/>
      <c r="CY890"/>
      <c r="CZ890"/>
      <c r="DA890"/>
      <c r="DB890"/>
      <c r="DC890"/>
      <c r="DD890"/>
      <c r="DE890"/>
      <c r="DF890"/>
      <c r="DG890"/>
      <c r="DH890"/>
      <c r="DI890"/>
      <c r="DJ890"/>
      <c r="DK890"/>
      <c r="DL890"/>
      <c r="DM890"/>
      <c r="DN890"/>
      <c r="DO890"/>
      <c r="DP890"/>
      <c r="DQ890"/>
      <c r="DR890"/>
      <c r="DS890"/>
      <c r="DT890"/>
      <c r="DU890"/>
      <c r="DV890"/>
      <c r="DW890"/>
      <c r="DX890"/>
      <c r="DY890"/>
      <c r="DZ890"/>
      <c r="EA890"/>
      <c r="EB890"/>
      <c r="EC890"/>
      <c r="ED890"/>
      <c r="EE890"/>
      <c r="EF890"/>
      <c r="EG890"/>
      <c r="EH890"/>
      <c r="EI890"/>
      <c r="EJ890"/>
      <c r="EK890"/>
      <c r="EL890"/>
      <c r="EM890"/>
      <c r="EN890"/>
      <c r="EO890"/>
      <c r="EP890"/>
      <c r="EQ890"/>
    </row>
    <row r="891" spans="1:147" ht="16.5" customHeight="1" x14ac:dyDescent="0.25">
      <c r="A891" s="108">
        <f>$A$890+0</f>
        <v>53</v>
      </c>
      <c r="B891" s="113" t="s">
        <v>1116</v>
      </c>
      <c r="C891" s="113" t="s">
        <v>92</v>
      </c>
      <c r="D891" s="113"/>
      <c r="E891" s="113" t="s">
        <v>833</v>
      </c>
      <c r="F891" s="113" t="s">
        <v>534</v>
      </c>
      <c r="G891" s="113" t="s">
        <v>406</v>
      </c>
      <c r="H891" s="113"/>
      <c r="I891" s="113"/>
      <c r="J891" s="113"/>
      <c r="K891" s="113" t="b">
        <v>1</v>
      </c>
      <c r="L891" s="113"/>
      <c r="M891" s="113"/>
      <c r="N891" s="113"/>
      <c r="O891" s="113" t="str">
        <f>"$B$"&amp;A891</f>
        <v>$B$53</v>
      </c>
      <c r="P891" s="113" t="str">
        <f>"$BK$"&amp;A891</f>
        <v>$BK$53</v>
      </c>
      <c r="Q891" s="113"/>
      <c r="R891" s="113"/>
      <c r="S891" s="113"/>
      <c r="T891" s="113"/>
      <c r="U891" s="113" t="b">
        <v>1</v>
      </c>
      <c r="V891" s="113" t="s">
        <v>1342</v>
      </c>
      <c r="W891" s="113" t="s">
        <v>1342</v>
      </c>
      <c r="X891" s="113"/>
      <c r="Y891" s="113"/>
      <c r="Z891" s="113"/>
      <c r="AA891" s="113"/>
      <c r="AB891" s="113"/>
      <c r="AC891" s="113">
        <v>5</v>
      </c>
      <c r="AD891" s="113" t="s">
        <v>105</v>
      </c>
      <c r="AE891" s="113">
        <v>14</v>
      </c>
      <c r="AF891" s="113"/>
      <c r="AG891" s="113" t="s">
        <v>1360</v>
      </c>
      <c r="AH891" s="113" t="s">
        <v>29</v>
      </c>
      <c r="AI891" s="113" t="s">
        <v>28</v>
      </c>
      <c r="AJ891" s="113"/>
      <c r="AK891" s="113" t="s">
        <v>1342</v>
      </c>
      <c r="AL891" s="113">
        <v>5</v>
      </c>
      <c r="AM891" s="113"/>
      <c r="AN891" s="113"/>
      <c r="AO891" s="113"/>
      <c r="AP891" s="113" t="b">
        <v>1</v>
      </c>
      <c r="AQ891" s="205" t="e">
        <f ca="1">OFFSET(INDIRECT("MasterSheet_f_FP_Projekter_"&amp;ROWS(AQ891:INDIRECT("Businesscasen_f_BCM_subcat3_Table1_start",TRUE))-3&amp;"_VS",TRUE),0,35)</f>
        <v>#VALUE!</v>
      </c>
      <c r="AR891" s="133"/>
      <c r="AS891" s="191">
        <f ca="1">SUM(AU891:CZ891)</f>
        <v>0</v>
      </c>
      <c r="AT891" s="263" t="e">
        <f ca="1">AS891/OFFSET(Businesscasen_f_BCM_subcat3_Table1_start,ROWS(Businesscasen_f_BCM_subcat3_Table1_start:Businesscasen_f_BCM_subcat3_Table1_end)-4,2,1,1)</f>
        <v>#DIV/0!</v>
      </c>
      <c r="AU891" s="191">
        <f ca="1">SUMIFS(ProgramudgifterC!$N:$N,ProgramudgifterC!$B:$B,OFFSET(Businesscasen_f_BCM_subcat3_Table1_start,ROW()-ROW(Businesscasen_f_BCM_subcat3_Table1_start),0),ProgramudgifterC!$E:$E,OFFSET(Businesscasen_f_BCM_subcat3_Table1_start,0,COLUMN()-COLUMN(Businesscasen_f_BCM_subcat3_Table1_start)))/1000</f>
        <v>0</v>
      </c>
      <c r="AV891" s="191">
        <f ca="1">SUMIFS(ProgramudgifterC!$N:$N,ProgramudgifterC!$B:$B,OFFSET(Businesscasen_f_BCM_subcat3_Table1_start,ROW()-ROW(Businesscasen_f_BCM_subcat3_Table1_start),0),ProgramudgifterC!$E:$E,OFFSET(Businesscasen_f_BCM_subcat3_Table1_start,0,COLUMN()-COLUMN(Businesscasen_f_BCM_subcat3_Table1_start)))/1000</f>
        <v>0</v>
      </c>
      <c r="AW891"/>
      <c r="AX891"/>
      <c r="AY891"/>
      <c r="AZ891"/>
      <c r="BA891"/>
      <c r="BB891"/>
      <c r="BC891"/>
      <c r="BD891"/>
      <c r="BE891"/>
      <c r="BF891"/>
      <c r="BG891"/>
      <c r="BH891"/>
      <c r="BI891"/>
      <c r="BJ891"/>
      <c r="BK891"/>
      <c r="BL891"/>
      <c r="BM891"/>
      <c r="BN891"/>
      <c r="BO891"/>
      <c r="BP891"/>
      <c r="BQ891"/>
      <c r="BR891"/>
      <c r="BS891"/>
      <c r="BT891"/>
      <c r="BU891"/>
      <c r="BV891"/>
      <c r="BW891"/>
      <c r="BX891"/>
      <c r="BY891"/>
      <c r="BZ891"/>
      <c r="CA891"/>
      <c r="CB891"/>
      <c r="CC891"/>
      <c r="CD891"/>
      <c r="CE891"/>
      <c r="CF891"/>
      <c r="CG891"/>
      <c r="CH891"/>
      <c r="CI891"/>
      <c r="CJ891"/>
      <c r="CK891"/>
      <c r="CL891"/>
      <c r="CM891"/>
      <c r="CN891"/>
      <c r="CO891"/>
      <c r="CP891"/>
      <c r="CQ891"/>
      <c r="CR891"/>
      <c r="CS891"/>
      <c r="CT891"/>
      <c r="CU891"/>
      <c r="CV891"/>
      <c r="CW891"/>
      <c r="CX891"/>
      <c r="CY891"/>
      <c r="CZ891"/>
      <c r="DA891"/>
      <c r="DB891"/>
      <c r="DC891"/>
      <c r="DD891"/>
      <c r="DE891"/>
      <c r="DF891"/>
      <c r="DG891"/>
      <c r="DH891"/>
      <c r="DI891"/>
      <c r="DJ891"/>
      <c r="DK891"/>
      <c r="DL891"/>
      <c r="DM891"/>
      <c r="DN891"/>
      <c r="DO891"/>
      <c r="DP891"/>
      <c r="DQ891"/>
      <c r="DR891"/>
      <c r="DS891"/>
      <c r="DT891"/>
      <c r="DU891"/>
      <c r="DV891"/>
      <c r="DW891"/>
      <c r="DX891"/>
      <c r="DY891"/>
      <c r="DZ891"/>
      <c r="EA891"/>
      <c r="EB891"/>
      <c r="EC891"/>
      <c r="ED891"/>
      <c r="EE891"/>
      <c r="EF891"/>
      <c r="EG891"/>
      <c r="EH891"/>
      <c r="EI891"/>
      <c r="EJ891"/>
      <c r="EK891"/>
      <c r="EL891"/>
      <c r="EM891"/>
      <c r="EN891"/>
      <c r="EO891"/>
      <c r="EP891"/>
      <c r="EQ891"/>
    </row>
    <row r="892" spans="1:147" ht="16.5" customHeight="1" x14ac:dyDescent="0.25">
      <c r="A892" s="113">
        <f>$A$890+0</f>
        <v>53</v>
      </c>
      <c r="B892" s="113" t="s">
        <v>1124</v>
      </c>
      <c r="C892" s="113" t="s">
        <v>92</v>
      </c>
      <c r="D892" s="113"/>
      <c r="E892" s="113" t="s">
        <v>833</v>
      </c>
      <c r="F892" s="113" t="s">
        <v>534</v>
      </c>
      <c r="G892" s="113" t="s">
        <v>406</v>
      </c>
      <c r="H892" s="113">
        <v>1</v>
      </c>
      <c r="I892" s="113"/>
      <c r="J892" s="113" t="b">
        <f t="shared" ref="J892:J919" si="106">$H$5</f>
        <v>1</v>
      </c>
      <c r="K892" s="113" t="b">
        <v>1</v>
      </c>
      <c r="L892" s="113"/>
      <c r="M892" s="113"/>
      <c r="N892" s="113"/>
      <c r="O892" s="113" t="str">
        <f>"$B$"&amp;A892</f>
        <v>$B$53</v>
      </c>
      <c r="P892" s="113" t="str">
        <f>"$BK$"&amp;A892</f>
        <v>$BK$53</v>
      </c>
      <c r="Q892" s="113"/>
      <c r="R892" s="113"/>
      <c r="S892" s="113"/>
      <c r="T892" s="113"/>
      <c r="U892" s="113" t="b">
        <v>1</v>
      </c>
      <c r="V892" s="113" t="s">
        <v>1342</v>
      </c>
      <c r="W892" s="113" t="s">
        <v>1342</v>
      </c>
      <c r="X892" s="113"/>
      <c r="Y892" s="113"/>
      <c r="Z892" s="113"/>
      <c r="AA892" s="113"/>
      <c r="AB892" s="113"/>
      <c r="AC892" s="113">
        <v>5</v>
      </c>
      <c r="AD892" s="113" t="s">
        <v>105</v>
      </c>
      <c r="AE892" s="113">
        <v>14</v>
      </c>
      <c r="AF892" s="113"/>
      <c r="AG892" s="113" t="s">
        <v>1360</v>
      </c>
      <c r="AH892" s="113" t="s">
        <v>29</v>
      </c>
      <c r="AI892" s="113" t="s">
        <v>28</v>
      </c>
      <c r="AJ892" s="113"/>
      <c r="AK892" s="113" t="s">
        <v>1342</v>
      </c>
      <c r="AL892" s="113">
        <v>5</v>
      </c>
      <c r="AM892" s="113"/>
      <c r="AN892" s="113"/>
      <c r="AO892" s="113"/>
      <c r="AP892" s="113" t="b">
        <v>1</v>
      </c>
      <c r="AQ892" s="205" t="e">
        <f ca="1">OFFSET(INDIRECT("MasterSheet_f_FP_Projekter_"&amp;ROWS(AQ892:INDIRECT("Businesscasen_f_BCM_subcat3_Table1_start",TRUE))-3&amp;"_VS",TRUE),0,35)</f>
        <v>#VALUE!</v>
      </c>
      <c r="AR892" s="133"/>
      <c r="AS892" s="191">
        <f ca="1">SUM(AU892:CZ892)</f>
        <v>0</v>
      </c>
      <c r="AT892" s="263" t="e">
        <f ca="1">AS892/OFFSET(Businesscasen_f_BCM_subcat3_Table1_start,ROWS(Businesscasen_f_BCM_subcat3_Table1_start:Businesscasen_f_BCM_subcat3_Table1_end)-4,2,1,1)</f>
        <v>#DIV/0!</v>
      </c>
      <c r="AU892" s="191">
        <f ca="1">SUMIFS(ProgramudgifterC!$N:$N,ProgramudgifterC!$B:$B,OFFSET(Businesscasen_f_BCM_subcat3_Table1_start,ROW()-ROW(Businesscasen_f_BCM_subcat3_Table1_start),0),ProgramudgifterC!$E:$E,OFFSET(Businesscasen_f_BCM_subcat3_Table1_start,0,COLUMN()-COLUMN(Businesscasen_f_BCM_subcat3_Table1_start)))/1000</f>
        <v>0</v>
      </c>
      <c r="AV892" s="191">
        <f ca="1">SUMIFS(ProgramudgifterC!$N:$N,ProgramudgifterC!$B:$B,OFFSET(Businesscasen_f_BCM_subcat3_Table1_start,ROW()-ROW(Businesscasen_f_BCM_subcat3_Table1_start),0),ProgramudgifterC!$E:$E,OFFSET(Businesscasen_f_BCM_subcat3_Table1_start,0,COLUMN()-COLUMN(Businesscasen_f_BCM_subcat3_Table1_start)))/1000</f>
        <v>0</v>
      </c>
      <c r="AW892"/>
      <c r="AX892"/>
      <c r="AY892"/>
      <c r="AZ892"/>
      <c r="BA892"/>
      <c r="BB892"/>
      <c r="BC892"/>
      <c r="BD892"/>
      <c r="BE892"/>
      <c r="BF892"/>
      <c r="BG892"/>
      <c r="BH892"/>
      <c r="BI892"/>
      <c r="BJ892"/>
      <c r="BK892"/>
      <c r="BL892"/>
      <c r="BM892"/>
      <c r="BN892"/>
      <c r="BO892"/>
      <c r="BP892"/>
      <c r="BQ892"/>
      <c r="BR892"/>
      <c r="BS892"/>
      <c r="BT892"/>
      <c r="BU892"/>
      <c r="BV892"/>
      <c r="BW892"/>
      <c r="BX892"/>
      <c r="BY892"/>
      <c r="BZ892"/>
      <c r="CA892"/>
      <c r="CB892"/>
      <c r="CC892"/>
      <c r="CD892"/>
      <c r="CE892"/>
      <c r="CF892"/>
      <c r="CG892"/>
      <c r="CH892"/>
      <c r="CI892"/>
      <c r="CJ892"/>
      <c r="CK892"/>
      <c r="CL892"/>
      <c r="CM892"/>
      <c r="CN892"/>
      <c r="CO892"/>
      <c r="CP892"/>
      <c r="CQ892"/>
      <c r="CR892"/>
      <c r="CS892"/>
      <c r="CT892"/>
      <c r="CU892"/>
      <c r="CV892"/>
      <c r="CW892"/>
      <c r="CX892"/>
      <c r="CY892"/>
      <c r="CZ892"/>
      <c r="DA892"/>
      <c r="DB892"/>
      <c r="DC892"/>
      <c r="DD892"/>
      <c r="DE892"/>
      <c r="DF892"/>
      <c r="DG892"/>
      <c r="DH892"/>
      <c r="DI892"/>
      <c r="DJ892"/>
      <c r="DK892"/>
      <c r="DL892"/>
      <c r="DM892"/>
      <c r="DN892"/>
      <c r="DO892"/>
      <c r="DP892"/>
      <c r="DQ892"/>
      <c r="DR892"/>
      <c r="DS892"/>
      <c r="DT892"/>
      <c r="DU892"/>
      <c r="DV892"/>
      <c r="DW892"/>
      <c r="DX892"/>
      <c r="DY892"/>
      <c r="DZ892"/>
      <c r="EA892"/>
      <c r="EB892"/>
      <c r="EC892"/>
      <c r="ED892"/>
      <c r="EE892"/>
      <c r="EF892"/>
      <c r="EG892"/>
      <c r="EH892"/>
      <c r="EI892"/>
      <c r="EJ892"/>
      <c r="EK892"/>
      <c r="EL892"/>
      <c r="EM892"/>
      <c r="EN892"/>
      <c r="EO892"/>
      <c r="EP892"/>
      <c r="EQ892"/>
    </row>
    <row r="893" spans="1:147" ht="16.5" customHeight="1" x14ac:dyDescent="0.25">
      <c r="A893" s="113">
        <f>$A$890+1</f>
        <v>54</v>
      </c>
      <c r="B893" s="113" t="s">
        <v>1264</v>
      </c>
      <c r="C893" s="113" t="s">
        <v>92</v>
      </c>
      <c r="D893" s="113"/>
      <c r="E893" s="113" t="s">
        <v>833</v>
      </c>
      <c r="F893" s="113" t="s">
        <v>534</v>
      </c>
      <c r="G893" s="113" t="s">
        <v>406</v>
      </c>
      <c r="H893" s="113">
        <v>2</v>
      </c>
      <c r="I893" s="113"/>
      <c r="J893" s="113" t="b">
        <f t="shared" si="106"/>
        <v>1</v>
      </c>
      <c r="K893" s="113" t="b">
        <v>1</v>
      </c>
      <c r="L893" s="113"/>
      <c r="M893" s="113"/>
      <c r="N893" s="113"/>
      <c r="O893" s="113" t="str">
        <f>"$B$"&amp;A893</f>
        <v>$B$54</v>
      </c>
      <c r="P893" s="113" t="str">
        <f>"$BK$"&amp;A893</f>
        <v>$BK$54</v>
      </c>
      <c r="Q893" s="113"/>
      <c r="R893" s="113"/>
      <c r="S893" s="113"/>
      <c r="T893" s="113"/>
      <c r="U893" s="113" t="b">
        <v>1</v>
      </c>
      <c r="V893" s="113" t="s">
        <v>1342</v>
      </c>
      <c r="W893" s="113" t="s">
        <v>1342</v>
      </c>
      <c r="X893" s="113"/>
      <c r="Y893" s="113"/>
      <c r="Z893" s="113"/>
      <c r="AA893" s="113"/>
      <c r="AB893" s="113"/>
      <c r="AC893" s="113">
        <v>5</v>
      </c>
      <c r="AD893" s="113" t="s">
        <v>105</v>
      </c>
      <c r="AE893" s="113">
        <v>14</v>
      </c>
      <c r="AF893" s="113"/>
      <c r="AG893" s="113" t="s">
        <v>1360</v>
      </c>
      <c r="AH893" s="113" t="s">
        <v>29</v>
      </c>
      <c r="AI893" s="113" t="s">
        <v>28</v>
      </c>
      <c r="AJ893" s="113"/>
      <c r="AK893" s="113" t="s">
        <v>1342</v>
      </c>
      <c r="AL893" s="113">
        <v>5</v>
      </c>
      <c r="AM893" s="113"/>
      <c r="AN893" s="113"/>
      <c r="AO893" s="113"/>
      <c r="AP893" s="113" t="b">
        <v>1</v>
      </c>
      <c r="AQ893" s="205" t="e">
        <f ca="1">OFFSET(INDIRECT("MasterSheet_f_FP_Projekter_"&amp;ROWS(AQ893:INDIRECT("Businesscasen_f_BCM_subcat3_Table1_start",TRUE))-3&amp;"_VS",TRUE),0,35)</f>
        <v>#VALUE!</v>
      </c>
      <c r="AR893" s="133"/>
      <c r="AS893" s="191">
        <f ca="1">SUM(AU893:CZ893)</f>
        <v>0</v>
      </c>
      <c r="AT893" s="263" t="e">
        <f ca="1">AS893/OFFSET(Businesscasen_f_BCM_subcat3_Table1_start,ROWS(Businesscasen_f_BCM_subcat3_Table1_start:Businesscasen_f_BCM_subcat3_Table1_end)-4,2,1,1)</f>
        <v>#DIV/0!</v>
      </c>
      <c r="AU893" s="191">
        <f ca="1">SUMIFS(ProgramudgifterC!$N:$N,ProgramudgifterC!$B:$B,OFFSET(Businesscasen_f_BCM_subcat3_Table1_start,ROW()-ROW(Businesscasen_f_BCM_subcat3_Table1_start),0),ProgramudgifterC!$E:$E,OFFSET(Businesscasen_f_BCM_subcat3_Table1_start,0,COLUMN()-COLUMN(Businesscasen_f_BCM_subcat3_Table1_start)))/1000</f>
        <v>0</v>
      </c>
      <c r="AV893" s="191">
        <f ca="1">SUMIFS(ProgramudgifterC!$N:$N,ProgramudgifterC!$B:$B,OFFSET(Businesscasen_f_BCM_subcat3_Table1_start,ROW()-ROW(Businesscasen_f_BCM_subcat3_Table1_start),0),ProgramudgifterC!$E:$E,OFFSET(Businesscasen_f_BCM_subcat3_Table1_start,0,COLUMN()-COLUMN(Businesscasen_f_BCM_subcat3_Table1_start)))/1000</f>
        <v>0</v>
      </c>
      <c r="AW893"/>
      <c r="AX893"/>
      <c r="AY893"/>
      <c r="AZ893"/>
      <c r="BA893"/>
      <c r="BB893"/>
      <c r="BC893"/>
      <c r="BD893"/>
      <c r="BE893"/>
      <c r="BF893"/>
      <c r="BG893"/>
      <c r="BH893"/>
      <c r="BI893"/>
      <c r="BJ893"/>
      <c r="BK893"/>
      <c r="BL893"/>
      <c r="BM893"/>
      <c r="BN893"/>
      <c r="BO893"/>
      <c r="BP893"/>
      <c r="BQ893"/>
      <c r="BR893"/>
      <c r="BS893"/>
      <c r="BT893"/>
      <c r="BU893"/>
      <c r="BV893"/>
      <c r="BW893"/>
      <c r="BX893"/>
      <c r="BY893"/>
      <c r="BZ893"/>
      <c r="CA893"/>
      <c r="CB893"/>
      <c r="CC893"/>
      <c r="CD893"/>
      <c r="CE893"/>
      <c r="CF893"/>
      <c r="CG893"/>
      <c r="CH893"/>
      <c r="CI893"/>
      <c r="CJ893"/>
      <c r="CK893"/>
      <c r="CL893"/>
      <c r="CM893"/>
      <c r="CN893"/>
      <c r="CO893"/>
      <c r="CP893"/>
      <c r="CQ893"/>
      <c r="CR893"/>
      <c r="CS893"/>
      <c r="CT893"/>
      <c r="CU893"/>
      <c r="CV893"/>
      <c r="CW893"/>
      <c r="CX893"/>
      <c r="CY893"/>
      <c r="CZ893"/>
      <c r="DA893"/>
      <c r="DB893"/>
      <c r="DC893"/>
      <c r="DD893"/>
      <c r="DE893"/>
      <c r="DF893"/>
      <c r="DG893"/>
      <c r="DH893"/>
      <c r="DI893"/>
      <c r="DJ893"/>
      <c r="DK893"/>
      <c r="DL893"/>
      <c r="DM893"/>
      <c r="DN893"/>
      <c r="DO893"/>
      <c r="DP893"/>
      <c r="DQ893"/>
      <c r="DR893"/>
      <c r="DS893"/>
      <c r="DT893"/>
      <c r="DU893"/>
      <c r="DV893"/>
      <c r="DW893"/>
      <c r="DX893"/>
      <c r="DY893"/>
      <c r="DZ893"/>
      <c r="EA893"/>
      <c r="EB893"/>
      <c r="EC893"/>
      <c r="ED893"/>
      <c r="EE893"/>
      <c r="EF893"/>
      <c r="EG893"/>
      <c r="EH893"/>
      <c r="EI893"/>
      <c r="EJ893"/>
      <c r="EK893"/>
      <c r="EL893"/>
      <c r="EM893"/>
      <c r="EN893"/>
      <c r="EO893"/>
      <c r="EP893"/>
      <c r="EQ893"/>
    </row>
    <row r="894" spans="1:147" ht="16.5" customHeight="1" x14ac:dyDescent="0.25">
      <c r="A894" s="107">
        <f>$O$890+(P890-O890+1)*(H890-1)-1</f>
        <v>54</v>
      </c>
      <c r="B894" s="107" t="s">
        <v>833</v>
      </c>
      <c r="C894" s="107" t="s">
        <v>663</v>
      </c>
      <c r="D894" s="107" t="s">
        <v>1096</v>
      </c>
      <c r="E894" s="107"/>
      <c r="F894" s="107" t="s">
        <v>534</v>
      </c>
      <c r="G894" s="107" t="s">
        <v>406</v>
      </c>
      <c r="H894" s="107"/>
      <c r="I894" s="107"/>
      <c r="J894" s="107" t="b">
        <f t="shared" si="106"/>
        <v>1</v>
      </c>
      <c r="K894" s="107"/>
      <c r="L894" s="107"/>
      <c r="M894" s="107"/>
      <c r="N894" s="107"/>
      <c r="O894" s="107"/>
      <c r="P894" s="107"/>
      <c r="Q894" s="107"/>
      <c r="R894" s="107"/>
      <c r="S894" s="107"/>
      <c r="T894" s="107"/>
      <c r="U894" s="107"/>
      <c r="V894" s="107"/>
      <c r="W894" s="107"/>
      <c r="X894" s="107"/>
      <c r="Y894" s="107"/>
      <c r="Z894" s="107"/>
      <c r="AA894" s="107"/>
      <c r="AB894" s="107"/>
      <c r="AC894" s="107"/>
      <c r="AD894" s="107"/>
      <c r="AE894" s="107"/>
      <c r="AF894" s="107"/>
      <c r="AG894" s="107"/>
      <c r="AH894" s="107"/>
      <c r="AI894" s="107"/>
      <c r="AJ894" s="107"/>
      <c r="AK894" s="107"/>
      <c r="AL894" s="107"/>
      <c r="AM894" s="107"/>
      <c r="AN894" s="107"/>
      <c r="AO894" s="107"/>
      <c r="AP894" s="107"/>
      <c r="AQ894" s="150"/>
      <c r="AR894" s="150"/>
      <c r="AS894" s="199"/>
      <c r="AT894" s="270"/>
      <c r="AU894" s="199"/>
      <c r="AV894" s="199"/>
      <c r="AW894"/>
      <c r="AX894"/>
      <c r="AY894"/>
      <c r="AZ894"/>
      <c r="BA894"/>
      <c r="BB894"/>
      <c r="BC894"/>
      <c r="BD894"/>
      <c r="BE894"/>
      <c r="BF894"/>
      <c r="BG894"/>
      <c r="BH894"/>
      <c r="BI894"/>
      <c r="BJ894"/>
      <c r="BK894"/>
      <c r="BL894"/>
      <c r="BM894"/>
      <c r="BN894"/>
      <c r="BO894"/>
      <c r="BP894"/>
      <c r="BQ894"/>
      <c r="BR894"/>
      <c r="BS894"/>
      <c r="BT894"/>
      <c r="BU894"/>
      <c r="BV894"/>
      <c r="BW894"/>
      <c r="BX894"/>
      <c r="BY894"/>
      <c r="BZ894"/>
      <c r="CA894"/>
      <c r="CB894"/>
      <c r="CC894"/>
      <c r="CD894"/>
      <c r="CE894"/>
      <c r="CF894"/>
      <c r="CG894"/>
      <c r="CH894"/>
      <c r="CI894"/>
      <c r="CJ894"/>
      <c r="CK894"/>
      <c r="CL894"/>
      <c r="CM894"/>
      <c r="CN894"/>
      <c r="CO894"/>
      <c r="CP894"/>
      <c r="CQ894"/>
      <c r="CR894"/>
      <c r="CS894"/>
      <c r="CT894"/>
      <c r="CU894"/>
      <c r="CV894"/>
      <c r="CW894"/>
      <c r="CX894"/>
      <c r="CY894"/>
      <c r="CZ894"/>
      <c r="DA894"/>
      <c r="DB894"/>
      <c r="DC894"/>
      <c r="DD894"/>
      <c r="DE894"/>
      <c r="DF894"/>
      <c r="DG894"/>
      <c r="DH894"/>
      <c r="DI894"/>
      <c r="DJ894"/>
      <c r="DK894"/>
      <c r="DL894"/>
      <c r="DM894"/>
      <c r="DN894"/>
      <c r="DO894"/>
      <c r="DP894"/>
      <c r="DQ894"/>
      <c r="DR894"/>
      <c r="DS894"/>
      <c r="DT894"/>
      <c r="DU894"/>
      <c r="DV894"/>
      <c r="DW894"/>
      <c r="DX894"/>
      <c r="DY894"/>
      <c r="DZ894"/>
      <c r="EA894"/>
      <c r="EB894"/>
      <c r="EC894"/>
      <c r="ED894"/>
      <c r="EE894"/>
      <c r="EF894"/>
      <c r="EG894"/>
      <c r="EH894"/>
      <c r="EI894"/>
      <c r="EJ894"/>
      <c r="EK894"/>
      <c r="EL894"/>
      <c r="EM894"/>
      <c r="EN894"/>
      <c r="EO894"/>
      <c r="EP894"/>
      <c r="EQ894"/>
    </row>
    <row r="895" spans="1:147" ht="16.5" customHeight="1" x14ac:dyDescent="0.25">
      <c r="A895" s="113">
        <f>$A$894+1</f>
        <v>55</v>
      </c>
      <c r="B895" s="113" t="s">
        <v>1111</v>
      </c>
      <c r="C895" s="113" t="s">
        <v>92</v>
      </c>
      <c r="D895" s="113"/>
      <c r="E895" s="113"/>
      <c r="F895" s="113" t="s">
        <v>534</v>
      </c>
      <c r="G895" s="113" t="s">
        <v>406</v>
      </c>
      <c r="H895" s="113"/>
      <c r="I895" s="113"/>
      <c r="J895" s="113" t="b">
        <f t="shared" si="106"/>
        <v>1</v>
      </c>
      <c r="K895" s="113" t="b">
        <v>1</v>
      </c>
      <c r="L895" s="113"/>
      <c r="M895" s="113"/>
      <c r="N895" s="113"/>
      <c r="O895" s="113" t="str">
        <f t="shared" ref="O895:O900" si="107">"$B$"&amp;A895</f>
        <v>$B$55</v>
      </c>
      <c r="P895" s="113" t="str">
        <f t="shared" ref="P895:P900" si="108">"$BK$"&amp;A895</f>
        <v>$BK$55</v>
      </c>
      <c r="Q895" s="113"/>
      <c r="R895" s="113"/>
      <c r="S895" s="113"/>
      <c r="T895" s="113"/>
      <c r="U895" s="113"/>
      <c r="V895" s="113" t="s">
        <v>1342</v>
      </c>
      <c r="W895" s="113"/>
      <c r="X895" s="113"/>
      <c r="Y895" s="113"/>
      <c r="Z895" s="113"/>
      <c r="AA895" s="113"/>
      <c r="AB895" s="113"/>
      <c r="AC895" s="113"/>
      <c r="AD895" s="113"/>
      <c r="AE895" s="113"/>
      <c r="AF895" s="113"/>
      <c r="AG895" s="113"/>
      <c r="AH895" s="113"/>
      <c r="AI895" s="113"/>
      <c r="AJ895" s="113"/>
      <c r="AK895" s="113"/>
      <c r="AL895" s="113">
        <v>1</v>
      </c>
      <c r="AM895" s="113"/>
      <c r="AN895" s="113"/>
      <c r="AO895" s="113"/>
      <c r="AP895" s="113" t="b">
        <v>1</v>
      </c>
      <c r="AQ895" s="133" t="s">
        <v>411</v>
      </c>
      <c r="AR895" s="133"/>
      <c r="AS895" s="191">
        <f ca="1">SUM(Businesscasen_rng_RiskPool)</f>
        <v>0</v>
      </c>
      <c r="AT895" s="263" t="e">
        <f ca="1">AS895/OFFSET(Businesscasen_f_BCM_subcat3_Table1_start,ROWS(Businesscasen_f_BCM_subcat3_Table1_start:Businesscasen_f_BCM_subcat3_Table1_end)-4,2,1,1)</f>
        <v>#DIV/0!</v>
      </c>
      <c r="AU895" s="189"/>
      <c r="AV895" s="189"/>
      <c r="AW895"/>
      <c r="AX895"/>
      <c r="AY895"/>
      <c r="AZ895"/>
      <c r="BA895"/>
      <c r="BB895"/>
      <c r="BC895"/>
      <c r="BD895"/>
      <c r="BE895"/>
      <c r="BF895"/>
      <c r="BG895"/>
      <c r="BH895"/>
      <c r="BI895"/>
      <c r="BJ895"/>
      <c r="BK895"/>
      <c r="BL895"/>
      <c r="BM895"/>
      <c r="BN895"/>
      <c r="BO895"/>
      <c r="BP895"/>
      <c r="BQ895"/>
      <c r="BR895"/>
      <c r="BS895"/>
      <c r="BT895"/>
      <c r="BU895"/>
      <c r="BV895"/>
      <c r="BW895"/>
      <c r="BX895"/>
      <c r="BY895"/>
      <c r="BZ895"/>
      <c r="CA895"/>
      <c r="CB895"/>
      <c r="CC895"/>
      <c r="CD895"/>
      <c r="CE895"/>
      <c r="CF895"/>
      <c r="CG895"/>
      <c r="CH895"/>
      <c r="CI895"/>
      <c r="CJ895"/>
      <c r="CK895"/>
      <c r="CL895"/>
      <c r="CM895"/>
      <c r="CN895"/>
      <c r="CO895"/>
      <c r="CP895"/>
      <c r="CQ895"/>
      <c r="CR895"/>
      <c r="CS895"/>
      <c r="CT895"/>
      <c r="CU895"/>
      <c r="CV895"/>
      <c r="CW895"/>
      <c r="CX895"/>
      <c r="CY895"/>
      <c r="CZ895"/>
      <c r="DA895"/>
      <c r="DB895"/>
      <c r="DC895"/>
      <c r="DD895"/>
      <c r="DE895"/>
      <c r="DF895"/>
      <c r="DG895"/>
      <c r="DH895"/>
      <c r="DI895"/>
      <c r="DJ895"/>
      <c r="DK895"/>
      <c r="DL895"/>
      <c r="DM895"/>
      <c r="DN895"/>
      <c r="DO895"/>
      <c r="DP895"/>
      <c r="DQ895"/>
      <c r="DR895"/>
      <c r="DS895"/>
      <c r="DT895"/>
      <c r="DU895"/>
      <c r="DV895"/>
      <c r="DW895"/>
      <c r="DX895"/>
      <c r="DY895"/>
      <c r="DZ895"/>
      <c r="EA895"/>
      <c r="EB895"/>
      <c r="EC895"/>
      <c r="ED895"/>
      <c r="EE895"/>
      <c r="EF895"/>
      <c r="EG895"/>
      <c r="EH895"/>
      <c r="EI895"/>
      <c r="EJ895"/>
      <c r="EK895"/>
      <c r="EL895"/>
      <c r="EM895"/>
      <c r="EN895"/>
      <c r="EO895"/>
      <c r="EP895"/>
      <c r="EQ895"/>
    </row>
    <row r="896" spans="1:147" ht="16.5" customHeight="1" x14ac:dyDescent="0.25">
      <c r="A896" s="113">
        <f>$A$894+2</f>
        <v>56</v>
      </c>
      <c r="B896" s="113" t="s">
        <v>1112</v>
      </c>
      <c r="C896" s="113" t="s">
        <v>92</v>
      </c>
      <c r="D896" s="113"/>
      <c r="E896" s="113"/>
      <c r="F896" s="113" t="s">
        <v>534</v>
      </c>
      <c r="G896" s="113" t="s">
        <v>406</v>
      </c>
      <c r="H896" s="113"/>
      <c r="I896" s="113"/>
      <c r="J896" s="113" t="b">
        <f t="shared" si="106"/>
        <v>1</v>
      </c>
      <c r="K896" s="113" t="b">
        <v>1</v>
      </c>
      <c r="L896" s="113"/>
      <c r="M896" s="113"/>
      <c r="N896" s="113"/>
      <c r="O896" s="113" t="str">
        <f t="shared" si="107"/>
        <v>$B$56</v>
      </c>
      <c r="P896" s="113" t="str">
        <f t="shared" si="108"/>
        <v>$BK$56</v>
      </c>
      <c r="Q896" s="113"/>
      <c r="R896" s="113"/>
      <c r="S896" s="113"/>
      <c r="T896" s="113"/>
      <c r="U896" s="113"/>
      <c r="V896" s="113" t="s">
        <v>1342</v>
      </c>
      <c r="W896" s="113"/>
      <c r="X896" s="113"/>
      <c r="Y896" s="113"/>
      <c r="Z896" s="113"/>
      <c r="AA896" s="113"/>
      <c r="AB896" s="113"/>
      <c r="AC896" s="113"/>
      <c r="AD896" s="113"/>
      <c r="AE896" s="113"/>
      <c r="AF896" s="113"/>
      <c r="AG896" s="113"/>
      <c r="AH896" s="113"/>
      <c r="AI896" s="113"/>
      <c r="AJ896" s="113"/>
      <c r="AK896" s="113"/>
      <c r="AL896" s="113">
        <v>1</v>
      </c>
      <c r="AM896" s="113"/>
      <c r="AN896" s="113"/>
      <c r="AO896" s="113"/>
      <c r="AP896" s="113" t="b">
        <v>1</v>
      </c>
      <c r="AQ896" s="133" t="s">
        <v>417</v>
      </c>
      <c r="AR896" s="133"/>
      <c r="AS896" s="191">
        <f ca="1">SUM(Businesscasen_rng_HighRiskPool)</f>
        <v>0</v>
      </c>
      <c r="AT896" s="263" t="e">
        <f ca="1">AS896/OFFSET(Businesscasen_f_BCM_subcat3_Table1_start,ROWS(Businesscasen_f_BCM_subcat3_Table1_start:Businesscasen_f_BCM_subcat3_Table1_end)-4,2,1,1)</f>
        <v>#DIV/0!</v>
      </c>
      <c r="AU896" s="189"/>
      <c r="AV896" s="189"/>
      <c r="AW896"/>
      <c r="AX896"/>
      <c r="AY896"/>
      <c r="AZ896"/>
      <c r="BA896"/>
      <c r="BB896"/>
      <c r="BC896"/>
      <c r="BD896"/>
      <c r="BE896"/>
      <c r="BF896"/>
      <c r="BG896"/>
      <c r="BH896"/>
      <c r="BI896"/>
      <c r="BJ896"/>
      <c r="BK896"/>
      <c r="BL896"/>
      <c r="BM896"/>
      <c r="BN896"/>
      <c r="BO896"/>
      <c r="BP896"/>
      <c r="BQ896"/>
      <c r="BR896"/>
      <c r="BS896"/>
      <c r="BT896"/>
      <c r="BU896"/>
      <c r="BV896"/>
      <c r="BW896"/>
      <c r="BX896"/>
      <c r="BY896"/>
      <c r="BZ896"/>
      <c r="CA896"/>
      <c r="CB896"/>
      <c r="CC896"/>
      <c r="CD896"/>
      <c r="CE896"/>
      <c r="CF896"/>
      <c r="CG896"/>
      <c r="CH896"/>
      <c r="CI896"/>
      <c r="CJ896"/>
      <c r="CK896"/>
      <c r="CL896"/>
      <c r="CM896"/>
      <c r="CN896"/>
      <c r="CO896"/>
      <c r="CP896"/>
      <c r="CQ896"/>
      <c r="CR896"/>
      <c r="CS896"/>
      <c r="CT896"/>
      <c r="CU896"/>
      <c r="CV896"/>
      <c r="CW896"/>
      <c r="CX896"/>
      <c r="CY896"/>
      <c r="CZ896"/>
      <c r="DA896"/>
      <c r="DB896"/>
      <c r="DC896"/>
      <c r="DD896"/>
      <c r="DE896"/>
      <c r="DF896"/>
      <c r="DG896"/>
      <c r="DH896"/>
      <c r="DI896"/>
      <c r="DJ896"/>
      <c r="DK896"/>
      <c r="DL896"/>
      <c r="DM896"/>
      <c r="DN896"/>
      <c r="DO896"/>
      <c r="DP896"/>
      <c r="DQ896"/>
      <c r="DR896"/>
      <c r="DS896"/>
      <c r="DT896"/>
      <c r="DU896"/>
      <c r="DV896"/>
      <c r="DW896"/>
      <c r="DX896"/>
      <c r="DY896"/>
      <c r="DZ896"/>
      <c r="EA896"/>
      <c r="EB896"/>
      <c r="EC896"/>
      <c r="ED896"/>
      <c r="EE896"/>
      <c r="EF896"/>
      <c r="EG896"/>
      <c r="EH896"/>
      <c r="EI896"/>
      <c r="EJ896"/>
      <c r="EK896"/>
      <c r="EL896"/>
      <c r="EM896"/>
      <c r="EN896"/>
      <c r="EO896"/>
      <c r="EP896"/>
      <c r="EQ896"/>
    </row>
    <row r="897" spans="1:147" ht="16.5" customHeight="1" thickBot="1" x14ac:dyDescent="0.3">
      <c r="A897" s="113">
        <f>$A$894+3</f>
        <v>57</v>
      </c>
      <c r="B897" s="113" t="s">
        <v>1113</v>
      </c>
      <c r="C897" s="113" t="s">
        <v>92</v>
      </c>
      <c r="D897" s="113"/>
      <c r="E897" s="113"/>
      <c r="F897" s="113" t="s">
        <v>534</v>
      </c>
      <c r="G897" s="113" t="s">
        <v>406</v>
      </c>
      <c r="H897" s="113"/>
      <c r="I897" s="113"/>
      <c r="J897" s="113" t="b">
        <f t="shared" si="106"/>
        <v>1</v>
      </c>
      <c r="K897" s="113" t="b">
        <v>1</v>
      </c>
      <c r="L897" s="113"/>
      <c r="M897" s="113"/>
      <c r="N897" s="113"/>
      <c r="O897" s="113" t="str">
        <f t="shared" si="107"/>
        <v>$B$57</v>
      </c>
      <c r="P897" s="113" t="str">
        <f t="shared" si="108"/>
        <v>$BK$57</v>
      </c>
      <c r="Q897" s="113"/>
      <c r="R897" s="113"/>
      <c r="S897" s="113"/>
      <c r="T897" s="113"/>
      <c r="U897" s="113"/>
      <c r="V897" s="113" t="s">
        <v>1342</v>
      </c>
      <c r="W897" s="113"/>
      <c r="X897" s="113"/>
      <c r="Y897" s="113"/>
      <c r="Z897" s="113"/>
      <c r="AA897" s="113"/>
      <c r="AB897" s="113"/>
      <c r="AC897" s="113"/>
      <c r="AD897" s="113"/>
      <c r="AE897" s="113"/>
      <c r="AF897" s="113"/>
      <c r="AG897" s="113"/>
      <c r="AH897" s="113"/>
      <c r="AI897" s="113"/>
      <c r="AJ897" s="113"/>
      <c r="AK897" s="113"/>
      <c r="AL897" s="113">
        <v>1</v>
      </c>
      <c r="AM897" s="113"/>
      <c r="AN897" s="113"/>
      <c r="AO897" s="113"/>
      <c r="AP897" s="113" t="b">
        <v>1</v>
      </c>
      <c r="AQ897" s="206" t="s">
        <v>418</v>
      </c>
      <c r="AR897" s="206"/>
      <c r="AS897" s="193">
        <f ca="1">SUM(AS891:AS896)</f>
        <v>0</v>
      </c>
      <c r="AT897" s="265" t="e">
        <f ca="1">SUM(AT891:AT896)</f>
        <v>#DIV/0!</v>
      </c>
      <c r="AU897" s="193">
        <f ca="1">SUM(AU891:AU896)</f>
        <v>0</v>
      </c>
      <c r="AV897" s="193">
        <f t="shared" ref="AV897" ca="1" si="109">SUM(AV891:AV896)</f>
        <v>0</v>
      </c>
      <c r="AW897"/>
      <c r="AX897"/>
      <c r="AY897"/>
      <c r="AZ897"/>
      <c r="BA897"/>
      <c r="BB897"/>
      <c r="BC897"/>
      <c r="BD897"/>
      <c r="BE897"/>
      <c r="BF897"/>
      <c r="BG897"/>
      <c r="BH897"/>
      <c r="BI897"/>
      <c r="BJ897"/>
      <c r="BK897"/>
      <c r="BL897"/>
      <c r="BM897"/>
      <c r="BN897"/>
      <c r="BO897"/>
      <c r="BP897"/>
      <c r="BQ897"/>
      <c r="BR897"/>
      <c r="BS897"/>
      <c r="BT897"/>
      <c r="BU897"/>
      <c r="BV897"/>
      <c r="BW897"/>
      <c r="BX897"/>
      <c r="BY897"/>
      <c r="BZ897"/>
      <c r="CA897"/>
      <c r="CB897"/>
      <c r="CC897"/>
      <c r="CD897"/>
      <c r="CE897"/>
      <c r="CF897"/>
      <c r="CG897"/>
      <c r="CH897"/>
      <c r="CI897"/>
      <c r="CJ897"/>
      <c r="CK897"/>
      <c r="CL897"/>
      <c r="CM897"/>
      <c r="CN897"/>
      <c r="CO897"/>
      <c r="CP897"/>
      <c r="CQ897"/>
      <c r="CR897"/>
      <c r="CS897"/>
      <c r="CT897"/>
      <c r="CU897"/>
      <c r="CV897"/>
      <c r="CW897"/>
      <c r="CX897"/>
      <c r="CY897"/>
      <c r="CZ897"/>
      <c r="DA897"/>
      <c r="DB897"/>
      <c r="DC897"/>
      <c r="DD897"/>
      <c r="DE897"/>
      <c r="DF897"/>
      <c r="DG897"/>
      <c r="DH897"/>
      <c r="DI897"/>
      <c r="DJ897"/>
      <c r="DK897"/>
      <c r="DL897"/>
      <c r="DM897"/>
      <c r="DN897"/>
      <c r="DO897"/>
      <c r="DP897"/>
      <c r="DQ897"/>
      <c r="DR897"/>
      <c r="DS897"/>
      <c r="DT897"/>
      <c r="DU897"/>
      <c r="DV897"/>
      <c r="DW897"/>
      <c r="DX897"/>
      <c r="DY897"/>
      <c r="DZ897"/>
      <c r="EA897"/>
      <c r="EB897"/>
      <c r="EC897"/>
      <c r="ED897"/>
      <c r="EE897"/>
      <c r="EF897"/>
      <c r="EG897"/>
      <c r="EH897"/>
      <c r="EI897"/>
      <c r="EJ897"/>
      <c r="EK897"/>
      <c r="EL897"/>
      <c r="EM897"/>
      <c r="EN897"/>
      <c r="EO897"/>
      <c r="EP897"/>
      <c r="EQ897"/>
    </row>
    <row r="898" spans="1:147" ht="16.5" customHeight="1" x14ac:dyDescent="0.25">
      <c r="A898" s="113">
        <f>$A$894+4</f>
        <v>58</v>
      </c>
      <c r="B898" s="113" t="s">
        <v>1114</v>
      </c>
      <c r="C898" s="113" t="s">
        <v>92</v>
      </c>
      <c r="D898" s="113"/>
      <c r="E898" s="113"/>
      <c r="F898" s="113" t="s">
        <v>534</v>
      </c>
      <c r="G898" s="113" t="s">
        <v>406</v>
      </c>
      <c r="H898" s="113"/>
      <c r="I898" s="113"/>
      <c r="J898" s="113" t="b">
        <f t="shared" si="106"/>
        <v>1</v>
      </c>
      <c r="K898" s="113" t="b">
        <v>1</v>
      </c>
      <c r="L898" s="113"/>
      <c r="M898" s="113"/>
      <c r="N898" s="113"/>
      <c r="O898" s="113" t="str">
        <f t="shared" si="107"/>
        <v>$B$58</v>
      </c>
      <c r="P898" s="113" t="str">
        <f t="shared" si="108"/>
        <v>$BK$58</v>
      </c>
      <c r="Q898" s="113"/>
      <c r="R898" s="113"/>
      <c r="S898" s="113"/>
      <c r="T898" s="113"/>
      <c r="U898" s="113"/>
      <c r="V898" s="113" t="s">
        <v>1342</v>
      </c>
      <c r="W898" s="113"/>
      <c r="X898" s="113"/>
      <c r="Y898" s="113"/>
      <c r="Z898" s="113"/>
      <c r="AA898" s="113"/>
      <c r="AB898" s="113"/>
      <c r="AC898" s="113"/>
      <c r="AD898" s="113"/>
      <c r="AE898" s="113"/>
      <c r="AF898" s="113"/>
      <c r="AG898" s="113"/>
      <c r="AH898" s="113"/>
      <c r="AI898" s="113"/>
      <c r="AJ898" s="113"/>
      <c r="AK898" s="113"/>
      <c r="AL898" s="113">
        <v>1</v>
      </c>
      <c r="AM898" s="113"/>
      <c r="AN898" s="113"/>
      <c r="AO898" s="113"/>
      <c r="AP898" s="113" t="b">
        <v>1</v>
      </c>
      <c r="AQ898" s="207"/>
      <c r="AR898" s="207"/>
      <c r="AS898" s="208"/>
      <c r="AT898" s="209"/>
      <c r="AU898" s="210"/>
      <c r="AV898" s="210"/>
      <c r="AW898"/>
      <c r="AX898"/>
      <c r="AY898"/>
      <c r="AZ898"/>
      <c r="BA898"/>
      <c r="BB898"/>
      <c r="BC898"/>
      <c r="BD898"/>
      <c r="BE898"/>
      <c r="BF898"/>
      <c r="BG898"/>
      <c r="BH898"/>
      <c r="BI898"/>
      <c r="BJ898"/>
      <c r="BK898"/>
      <c r="BL898"/>
      <c r="BM898"/>
      <c r="BN898"/>
      <c r="BO898"/>
      <c r="BP898"/>
      <c r="BQ898"/>
      <c r="BR898"/>
      <c r="BS898"/>
      <c r="BT898"/>
      <c r="BU898"/>
      <c r="BV898"/>
      <c r="BW898"/>
      <c r="BX898"/>
      <c r="BY898"/>
      <c r="BZ898"/>
      <c r="CA898"/>
      <c r="CB898"/>
      <c r="CC898"/>
      <c r="CD898"/>
      <c r="CE898"/>
      <c r="CF898"/>
      <c r="CG898"/>
      <c r="CH898"/>
      <c r="CI898"/>
      <c r="CJ898"/>
      <c r="CK898"/>
      <c r="CL898"/>
      <c r="CM898"/>
      <c r="CN898"/>
      <c r="CO898"/>
      <c r="CP898"/>
      <c r="CQ898"/>
      <c r="CR898"/>
      <c r="CS898"/>
      <c r="CT898"/>
      <c r="CU898"/>
      <c r="CV898"/>
      <c r="CW898"/>
      <c r="CX898"/>
      <c r="CY898"/>
      <c r="CZ898"/>
      <c r="DA898"/>
      <c r="DB898"/>
      <c r="DC898"/>
      <c r="DD898"/>
      <c r="DE898"/>
      <c r="DF898"/>
      <c r="DG898"/>
      <c r="DH898"/>
      <c r="DI898"/>
      <c r="DJ898"/>
      <c r="DK898"/>
      <c r="DL898"/>
      <c r="DM898"/>
      <c r="DN898"/>
      <c r="DO898"/>
      <c r="DP898"/>
      <c r="DQ898"/>
      <c r="DR898"/>
      <c r="DS898"/>
      <c r="DT898"/>
      <c r="DU898"/>
      <c r="DV898"/>
      <c r="DW898"/>
      <c r="DX898"/>
      <c r="DY898"/>
      <c r="DZ898"/>
      <c r="EA898"/>
      <c r="EB898"/>
      <c r="EC898"/>
      <c r="ED898"/>
      <c r="EE898"/>
      <c r="EF898"/>
      <c r="EG898"/>
      <c r="EH898"/>
      <c r="EI898"/>
      <c r="EJ898"/>
      <c r="EK898"/>
      <c r="EL898"/>
      <c r="EM898"/>
      <c r="EN898"/>
      <c r="EO898"/>
      <c r="EP898"/>
      <c r="EQ898"/>
    </row>
    <row r="899" spans="1:147" ht="16.5" customHeight="1" x14ac:dyDescent="0.25">
      <c r="A899" s="113">
        <f>$A$894+5</f>
        <v>59</v>
      </c>
      <c r="B899" s="113" t="s">
        <v>1115</v>
      </c>
      <c r="C899" s="113" t="s">
        <v>92</v>
      </c>
      <c r="D899" s="113"/>
      <c r="E899" s="113"/>
      <c r="F899" s="113" t="s">
        <v>534</v>
      </c>
      <c r="G899" s="113" t="s">
        <v>406</v>
      </c>
      <c r="H899" s="113"/>
      <c r="I899" s="113"/>
      <c r="J899" s="113" t="b">
        <f t="shared" si="106"/>
        <v>1</v>
      </c>
      <c r="K899" s="113" t="b">
        <v>1</v>
      </c>
      <c r="L899" s="113"/>
      <c r="M899" s="113"/>
      <c r="N899" s="113"/>
      <c r="O899" s="113" t="str">
        <f t="shared" si="107"/>
        <v>$B$59</v>
      </c>
      <c r="P899" s="113" t="str">
        <f t="shared" si="108"/>
        <v>$BK$59</v>
      </c>
      <c r="Q899" s="113"/>
      <c r="R899" s="113"/>
      <c r="S899" s="113"/>
      <c r="T899" s="113"/>
      <c r="U899" s="113"/>
      <c r="V899" s="113" t="s">
        <v>1342</v>
      </c>
      <c r="W899" s="113"/>
      <c r="X899" s="113"/>
      <c r="Y899" s="113"/>
      <c r="Z899" s="113"/>
      <c r="AA899" s="113"/>
      <c r="AB899" s="113"/>
      <c r="AC899" s="113"/>
      <c r="AD899" s="113"/>
      <c r="AE899" s="113"/>
      <c r="AF899" s="113"/>
      <c r="AG899" s="113"/>
      <c r="AH899" s="113"/>
      <c r="AI899" s="113"/>
      <c r="AJ899" s="113"/>
      <c r="AK899" s="113"/>
      <c r="AL899" s="113">
        <v>1</v>
      </c>
      <c r="AM899" s="113"/>
      <c r="AN899" s="113"/>
      <c r="AO899" s="113"/>
      <c r="AP899" s="113" t="b">
        <v>1</v>
      </c>
      <c r="AQ899" s="134" t="s">
        <v>419</v>
      </c>
      <c r="AR899" s="134"/>
      <c r="AS899" s="197">
        <f ca="1">SUM(AU899:CY899)</f>
        <v>0</v>
      </c>
      <c r="AT899" s="248"/>
      <c r="AU899" s="197">
        <f ca="1">IFERROR(OFFSET(Businesscasen_f_BCM_subcat14_Table1_start,MATCH("Renteomkostninger (FF4)",OFFSET(Businesscasen_f_BCM_subcat14_Table1_start,0,0,ROWS(Businesscasen_f_BCM_subcat14_Table1_start:Businesscasen_f_BCM_subcat14_Table1_end),1),0)-1,5+MATCH(OFFSET(Businesscasen_f_BCM_subcat3_Table1_start,0,COLUMN()-COLUMN(Businesscasen_f_BCM_subcat3_Table1_start)),OFFSET(Businesscasen_f_BCM_subcat14_Table1_start,0,6,1,50),0)),0)/1000</f>
        <v>0</v>
      </c>
      <c r="AV899" s="197">
        <f ca="1">IFERROR(OFFSET(Businesscasen_f_BCM_subcat14_Table1_start,MATCH("Renteomkostninger (FF4)",OFFSET(Businesscasen_f_BCM_subcat14_Table1_start,0,0,ROWS(Businesscasen_f_BCM_subcat14_Table1_start:Businesscasen_f_BCM_subcat14_Table1_end),1),0)-1,5+MATCH(OFFSET(Businesscasen_f_BCM_subcat3_Table1_start,0,COLUMN()-COLUMN(Businesscasen_f_BCM_subcat3_Table1_start)),OFFSET(Businesscasen_f_BCM_subcat14_Table1_start,0,6,1,50),0)),0)/1000</f>
        <v>0</v>
      </c>
      <c r="AW899"/>
      <c r="AX899"/>
      <c r="AY899"/>
      <c r="AZ899"/>
      <c r="BA899"/>
      <c r="BB899"/>
      <c r="BC899"/>
      <c r="BD899"/>
      <c r="BE899"/>
      <c r="BF899"/>
      <c r="BG899"/>
      <c r="BH899"/>
      <c r="BI899"/>
      <c r="BJ899"/>
      <c r="BK899"/>
      <c r="BL899"/>
      <c r="BM899"/>
      <c r="BN899"/>
      <c r="BO899"/>
      <c r="BP899"/>
      <c r="BQ899"/>
      <c r="BR899"/>
      <c r="BS899"/>
      <c r="BT899"/>
      <c r="BU899"/>
      <c r="BV899"/>
      <c r="BW899"/>
      <c r="BX899"/>
      <c r="BY899"/>
      <c r="BZ899"/>
      <c r="CA899"/>
      <c r="CB899"/>
      <c r="CC899"/>
      <c r="CD899"/>
      <c r="CE899"/>
      <c r="CF899"/>
      <c r="CG899"/>
      <c r="CH899"/>
      <c r="CI899"/>
      <c r="CJ899"/>
      <c r="CK899"/>
      <c r="CL899"/>
      <c r="CM899"/>
      <c r="CN899"/>
      <c r="CO899"/>
      <c r="CP899"/>
      <c r="CQ899"/>
      <c r="CR899"/>
      <c r="CS899"/>
      <c r="CT899"/>
      <c r="CU899"/>
      <c r="CV899"/>
      <c r="CW899"/>
      <c r="CX899"/>
      <c r="CY899"/>
      <c r="CZ899"/>
      <c r="DA899"/>
      <c r="DB899"/>
      <c r="DC899"/>
      <c r="DD899"/>
      <c r="DE899"/>
      <c r="DF899"/>
      <c r="DG899"/>
      <c r="DH899"/>
      <c r="DI899"/>
      <c r="DJ899"/>
      <c r="DK899"/>
      <c r="DL899"/>
      <c r="DM899"/>
      <c r="DN899"/>
      <c r="DO899"/>
      <c r="DP899"/>
      <c r="DQ899"/>
      <c r="DR899"/>
      <c r="DS899"/>
      <c r="DT899"/>
      <c r="DU899"/>
      <c r="DV899"/>
      <c r="DW899"/>
      <c r="DX899"/>
      <c r="DY899"/>
      <c r="DZ899"/>
      <c r="EA899"/>
      <c r="EB899"/>
      <c r="EC899"/>
      <c r="ED899"/>
      <c r="EE899"/>
      <c r="EF899"/>
      <c r="EG899"/>
      <c r="EH899"/>
      <c r="EI899"/>
      <c r="EJ899"/>
      <c r="EK899"/>
      <c r="EL899"/>
      <c r="EM899"/>
      <c r="EN899"/>
      <c r="EO899"/>
      <c r="EP899"/>
      <c r="EQ899"/>
    </row>
    <row r="900" spans="1:147" ht="16.5" customHeight="1" x14ac:dyDescent="0.25">
      <c r="A900" s="113">
        <f>$A$894+6</f>
        <v>60</v>
      </c>
      <c r="B900" s="113" t="s">
        <v>1419</v>
      </c>
      <c r="C900" s="113" t="s">
        <v>92</v>
      </c>
      <c r="D900" s="113"/>
      <c r="E900" s="113"/>
      <c r="F900" s="113" t="s">
        <v>534</v>
      </c>
      <c r="G900" s="113" t="s">
        <v>406</v>
      </c>
      <c r="H900" s="113"/>
      <c r="I900" s="113"/>
      <c r="J900" s="113" t="b">
        <f t="shared" si="106"/>
        <v>1</v>
      </c>
      <c r="K900" s="113" t="b">
        <v>1</v>
      </c>
      <c r="L900" s="113"/>
      <c r="M900" s="113"/>
      <c r="N900" s="113"/>
      <c r="O900" s="113" t="str">
        <f t="shared" si="107"/>
        <v>$B$60</v>
      </c>
      <c r="P900" s="113" t="str">
        <f t="shared" si="108"/>
        <v>$BK$60</v>
      </c>
      <c r="Q900" s="113"/>
      <c r="R900" s="113"/>
      <c r="S900" s="113"/>
      <c r="T900" s="113"/>
      <c r="U900" s="113"/>
      <c r="V900" s="113" t="s">
        <v>1342</v>
      </c>
      <c r="W900" s="113"/>
      <c r="X900" s="113"/>
      <c r="Y900" s="113"/>
      <c r="Z900" s="113"/>
      <c r="AA900" s="113"/>
      <c r="AB900" s="113"/>
      <c r="AC900" s="113"/>
      <c r="AD900" s="113"/>
      <c r="AE900" s="113"/>
      <c r="AF900" s="113"/>
      <c r="AG900" s="113"/>
      <c r="AH900" s="113"/>
      <c r="AI900" s="113"/>
      <c r="AJ900" s="113"/>
      <c r="AK900" s="113"/>
      <c r="AL900" s="113">
        <v>1</v>
      </c>
      <c r="AM900" s="113"/>
      <c r="AN900" s="113"/>
      <c r="AO900" s="113"/>
      <c r="AP900" s="113" t="b">
        <v>1</v>
      </c>
      <c r="AQ900" s="135" t="s">
        <v>420</v>
      </c>
      <c r="AR900" s="135"/>
      <c r="AS900" s="198">
        <f ca="1">AS899+AS897</f>
        <v>0</v>
      </c>
      <c r="AT900" s="249"/>
      <c r="AU900" s="198">
        <f ca="1">AU899+AU897</f>
        <v>0</v>
      </c>
      <c r="AV900" s="198">
        <f t="shared" ref="AV900" ca="1" si="110">AV899+AV897</f>
        <v>0</v>
      </c>
      <c r="AW900"/>
      <c r="AX900"/>
      <c r="AY900"/>
      <c r="AZ900"/>
      <c r="BA900"/>
      <c r="BB900"/>
      <c r="BC900"/>
      <c r="BD900"/>
      <c r="BE900"/>
      <c r="BF900"/>
      <c r="BG900"/>
      <c r="BH900"/>
      <c r="BI900"/>
      <c r="BJ900"/>
      <c r="BK900"/>
      <c r="BL900"/>
      <c r="BM900"/>
      <c r="BN900"/>
      <c r="BO900"/>
      <c r="BP900"/>
      <c r="BQ900"/>
      <c r="BR900"/>
      <c r="BS900"/>
      <c r="BT900"/>
      <c r="BU900"/>
      <c r="BV900"/>
      <c r="BW900"/>
      <c r="BX900"/>
      <c r="BY900"/>
      <c r="BZ900"/>
      <c r="CA900"/>
      <c r="CB900"/>
      <c r="CC900"/>
      <c r="CD900"/>
      <c r="CE900"/>
      <c r="CF900"/>
      <c r="CG900"/>
      <c r="CH900"/>
      <c r="CI900"/>
      <c r="CJ900"/>
      <c r="CK900"/>
      <c r="CL900"/>
      <c r="CM900"/>
      <c r="CN900"/>
      <c r="CO900"/>
      <c r="CP900"/>
      <c r="CQ900"/>
      <c r="CR900"/>
      <c r="CS900"/>
      <c r="CT900"/>
      <c r="CU900"/>
      <c r="CV900"/>
      <c r="CW900"/>
      <c r="CX900"/>
      <c r="CY900"/>
      <c r="CZ900"/>
      <c r="DA900"/>
      <c r="DB900"/>
      <c r="DC900"/>
      <c r="DD900"/>
      <c r="DE900"/>
      <c r="DF900"/>
      <c r="DG900"/>
      <c r="DH900"/>
      <c r="DI900"/>
      <c r="DJ900"/>
      <c r="DK900"/>
      <c r="DL900"/>
      <c r="DM900"/>
      <c r="DN900"/>
      <c r="DO900"/>
      <c r="DP900"/>
      <c r="DQ900"/>
      <c r="DR900"/>
      <c r="DS900"/>
      <c r="DT900"/>
      <c r="DU900"/>
      <c r="DV900"/>
      <c r="DW900"/>
      <c r="DX900"/>
      <c r="DY900"/>
      <c r="DZ900"/>
      <c r="EA900"/>
      <c r="EB900"/>
      <c r="EC900"/>
      <c r="ED900"/>
      <c r="EE900"/>
      <c r="EF900"/>
      <c r="EG900"/>
      <c r="EH900"/>
      <c r="EI900"/>
      <c r="EJ900"/>
      <c r="EK900"/>
      <c r="EL900"/>
      <c r="EM900"/>
      <c r="EN900"/>
      <c r="EO900"/>
      <c r="EP900"/>
      <c r="EQ900"/>
    </row>
    <row r="901" spans="1:147" ht="16.5" customHeight="1" x14ac:dyDescent="0.2">
      <c r="A901" s="81">
        <f>$A$894+2</f>
        <v>56</v>
      </c>
      <c r="B901" s="81" t="s">
        <v>519</v>
      </c>
      <c r="C901" s="81" t="s">
        <v>512</v>
      </c>
      <c r="D901" s="81" t="s">
        <v>903</v>
      </c>
      <c r="E901" s="81"/>
      <c r="F901" s="81"/>
      <c r="G901" s="81" t="s">
        <v>406</v>
      </c>
      <c r="H901" s="81"/>
      <c r="I901" s="81"/>
      <c r="J901" s="81" t="b">
        <f t="shared" si="106"/>
        <v>1</v>
      </c>
      <c r="K901" s="81" t="b">
        <v>1</v>
      </c>
      <c r="L901" s="81" t="b">
        <v>1</v>
      </c>
      <c r="M901" s="81"/>
      <c r="N901" s="81" t="s">
        <v>59</v>
      </c>
      <c r="O901" s="81" t="str">
        <f>"$A$"&amp;A896</f>
        <v>$A$56</v>
      </c>
      <c r="P901" s="81" t="str">
        <f>"$A$"&amp;A896</f>
        <v>$A$56</v>
      </c>
      <c r="Q901" s="81"/>
      <c r="R901" s="81">
        <v>1</v>
      </c>
      <c r="S901" s="81">
        <v>20</v>
      </c>
      <c r="T901" s="81"/>
      <c r="U901" s="81" t="b">
        <f>$I$5</f>
        <v>0</v>
      </c>
      <c r="V901" s="81" t="s">
        <v>1354</v>
      </c>
      <c r="W901" s="81" t="s">
        <v>1354</v>
      </c>
      <c r="X901" s="81"/>
      <c r="Y901" s="81"/>
      <c r="Z901" s="81"/>
      <c r="AA901" s="81"/>
      <c r="AB901" s="81"/>
      <c r="AC901" s="81"/>
      <c r="AD901" s="81"/>
      <c r="AE901" s="81"/>
      <c r="AF901" s="81"/>
      <c r="AG901" s="81"/>
      <c r="AH901" s="81"/>
      <c r="AI901" s="81"/>
      <c r="AJ901" s="81"/>
      <c r="AK901" s="81"/>
      <c r="AL901" s="81">
        <v>10</v>
      </c>
      <c r="AM901" s="81">
        <v>5</v>
      </c>
      <c r="AN901" s="81"/>
      <c r="AO901" s="81"/>
      <c r="AP901" s="81"/>
    </row>
    <row r="902" spans="1:147" ht="16.5" customHeight="1" x14ac:dyDescent="0.2">
      <c r="A902" s="81">
        <f>$A$894+5</f>
        <v>59</v>
      </c>
      <c r="B902" s="81" t="s">
        <v>520</v>
      </c>
      <c r="C902" s="81" t="s">
        <v>512</v>
      </c>
      <c r="D902" s="81" t="s">
        <v>900</v>
      </c>
      <c r="E902" s="81"/>
      <c r="F902" s="81"/>
      <c r="G902" s="81" t="s">
        <v>406</v>
      </c>
      <c r="H902" s="81"/>
      <c r="I902" s="81"/>
      <c r="J902" s="81" t="b">
        <f t="shared" si="106"/>
        <v>1</v>
      </c>
      <c r="K902" s="81" t="b">
        <v>1</v>
      </c>
      <c r="L902" s="81" t="b">
        <v>1</v>
      </c>
      <c r="M902" s="81"/>
      <c r="N902" s="81" t="s">
        <v>59</v>
      </c>
      <c r="O902" s="81" t="str">
        <f>"$A$"&amp;A902</f>
        <v>$A$59</v>
      </c>
      <c r="P902" s="81" t="str">
        <f>"$A$"&amp;A899+1</f>
        <v>$A$60</v>
      </c>
      <c r="Q902" s="81"/>
      <c r="R902" s="81">
        <v>1</v>
      </c>
      <c r="S902" s="81">
        <v>20</v>
      </c>
      <c r="T902" s="81"/>
      <c r="U902" s="81" t="b">
        <f>$I$5</f>
        <v>0</v>
      </c>
      <c r="V902" s="81" t="s">
        <v>1350</v>
      </c>
      <c r="W902" s="81" t="s">
        <v>1350</v>
      </c>
      <c r="X902" s="81"/>
      <c r="Y902" s="81"/>
      <c r="Z902" s="81"/>
      <c r="AA902" s="81"/>
      <c r="AB902" s="81"/>
      <c r="AC902" s="81"/>
      <c r="AD902" s="81"/>
      <c r="AE902" s="81"/>
      <c r="AF902" s="81"/>
      <c r="AG902" s="81"/>
      <c r="AH902" s="81"/>
      <c r="AI902" s="81"/>
      <c r="AJ902" s="81"/>
      <c r="AK902" s="81"/>
      <c r="AL902" s="81">
        <v>10</v>
      </c>
      <c r="AM902" s="81">
        <v>5</v>
      </c>
      <c r="AN902" s="81"/>
      <c r="AO902" s="81"/>
      <c r="AP902" s="81"/>
    </row>
    <row r="903" spans="1:147" ht="16.5" customHeight="1" x14ac:dyDescent="0.2">
      <c r="A903" s="103">
        <f>$A$894+9</f>
        <v>63</v>
      </c>
      <c r="B903" s="103" t="s">
        <v>104</v>
      </c>
      <c r="C903" s="103" t="s">
        <v>654</v>
      </c>
      <c r="D903" s="103"/>
      <c r="E903" s="103"/>
      <c r="F903" s="103"/>
      <c r="G903" s="103" t="s">
        <v>406</v>
      </c>
      <c r="H903" s="103"/>
      <c r="I903" s="103" t="s">
        <v>78</v>
      </c>
      <c r="J903" s="103" t="b">
        <f t="shared" si="106"/>
        <v>1</v>
      </c>
      <c r="K903" s="103" t="b">
        <v>1</v>
      </c>
      <c r="L903" s="103"/>
      <c r="M903" s="103"/>
      <c r="N903" s="103" t="s">
        <v>59</v>
      </c>
      <c r="O903" s="103" t="str">
        <f>"$B$"&amp;A903</f>
        <v>$B$63</v>
      </c>
      <c r="P903" s="103" t="str">
        <f>"$S$"&amp;A913-1</f>
        <v>$S$72</v>
      </c>
      <c r="Q903" s="103"/>
      <c r="R903" s="103">
        <v>1</v>
      </c>
      <c r="S903" s="103"/>
      <c r="T903" s="103">
        <v>27</v>
      </c>
      <c r="U903" s="103" t="b">
        <v>1</v>
      </c>
      <c r="V903" s="103" t="s">
        <v>1352</v>
      </c>
      <c r="W903" s="103" t="s">
        <v>1352</v>
      </c>
      <c r="X903" s="103"/>
      <c r="Y903" s="103"/>
      <c r="Z903" s="103"/>
      <c r="AA903" s="103"/>
      <c r="AB903" s="103"/>
      <c r="AC903" s="103">
        <v>7</v>
      </c>
      <c r="AD903" s="103" t="s">
        <v>105</v>
      </c>
      <c r="AE903" s="103">
        <v>20</v>
      </c>
      <c r="AF903" s="103" t="b">
        <v>1</v>
      </c>
      <c r="AG903" s="103" t="s">
        <v>1351</v>
      </c>
      <c r="AH903" s="103" t="s">
        <v>29</v>
      </c>
      <c r="AI903" s="103" t="s">
        <v>28</v>
      </c>
      <c r="AJ903" s="103"/>
      <c r="AK903" s="103"/>
      <c r="AL903" s="103">
        <v>0</v>
      </c>
      <c r="AM903" s="103"/>
      <c r="AN903" s="103"/>
      <c r="AO903" s="103"/>
      <c r="AP903" s="103"/>
      <c r="AQ903" s="93" t="s">
        <v>78</v>
      </c>
    </row>
    <row r="904" spans="1:147" ht="16.5" customHeight="1" x14ac:dyDescent="0.2">
      <c r="A904" s="81">
        <f>$A$903+0</f>
        <v>63</v>
      </c>
      <c r="B904" s="81" t="s">
        <v>969</v>
      </c>
      <c r="C904" s="81" t="s">
        <v>512</v>
      </c>
      <c r="D904" s="81" t="s">
        <v>961</v>
      </c>
      <c r="E904" s="81"/>
      <c r="F904" s="81"/>
      <c r="G904" s="81" t="s">
        <v>406</v>
      </c>
      <c r="H904" s="81"/>
      <c r="I904" s="81"/>
      <c r="J904" s="81" t="b">
        <f t="shared" si="106"/>
        <v>1</v>
      </c>
      <c r="K904" s="81" t="b">
        <v>1</v>
      </c>
      <c r="L904" s="81" t="b">
        <v>0</v>
      </c>
      <c r="M904" s="81"/>
      <c r="N904" s="81" t="s">
        <v>59</v>
      </c>
      <c r="O904" s="81" t="str">
        <f>"$U$"&amp;A904</f>
        <v>$U$63</v>
      </c>
      <c r="P904" s="81" t="str">
        <f>"$U$"&amp;A913-1</f>
        <v>$U$72</v>
      </c>
      <c r="Q904" s="81"/>
      <c r="R904" s="81">
        <v>1</v>
      </c>
      <c r="S904" s="81">
        <v>-20</v>
      </c>
      <c r="T904" s="81"/>
      <c r="U904" s="81" t="b">
        <f>$I$5</f>
        <v>0</v>
      </c>
      <c r="V904" s="81" t="s">
        <v>1348</v>
      </c>
      <c r="W904" s="81" t="s">
        <v>1348</v>
      </c>
      <c r="X904" s="81"/>
      <c r="Y904" s="81"/>
      <c r="Z904" s="81"/>
      <c r="AA904" s="81"/>
      <c r="AB904" s="81"/>
      <c r="AC904" s="81"/>
      <c r="AD904" s="81"/>
      <c r="AE904" s="81"/>
      <c r="AF904" s="81"/>
      <c r="AG904" s="81"/>
      <c r="AH904" s="81"/>
      <c r="AI904" s="81"/>
      <c r="AJ904" s="81"/>
      <c r="AK904" s="81"/>
      <c r="AL904" s="81">
        <v>-10</v>
      </c>
      <c r="AM904" s="81">
        <v>5</v>
      </c>
      <c r="AN904" s="81"/>
      <c r="AO904" s="81"/>
      <c r="AP904" s="81"/>
    </row>
    <row r="905" spans="1:147" ht="16.5" customHeight="1" x14ac:dyDescent="0.2">
      <c r="A905" s="81">
        <f>$A$903+0</f>
        <v>63</v>
      </c>
      <c r="B905" s="81" t="s">
        <v>511</v>
      </c>
      <c r="C905" s="81" t="s">
        <v>512</v>
      </c>
      <c r="D905" s="81" t="s">
        <v>900</v>
      </c>
      <c r="E905" s="81"/>
      <c r="F905" s="81"/>
      <c r="G905" s="81" t="s">
        <v>406</v>
      </c>
      <c r="H905" s="81"/>
      <c r="I905" s="81"/>
      <c r="J905" s="81" t="b">
        <f t="shared" si="106"/>
        <v>1</v>
      </c>
      <c r="K905" s="81" t="b">
        <v>1</v>
      </c>
      <c r="L905" s="81" t="b">
        <v>1</v>
      </c>
      <c r="M905" s="81"/>
      <c r="N905" s="81" t="s">
        <v>59</v>
      </c>
      <c r="O905" s="81" t="str">
        <f>"$A$"&amp;A905</f>
        <v>$A$63</v>
      </c>
      <c r="P905" s="81" t="str">
        <f>"$A$"&amp;A913-1</f>
        <v>$A$72</v>
      </c>
      <c r="Q905" s="81"/>
      <c r="R905" s="81">
        <v>1</v>
      </c>
      <c r="S905" s="81">
        <v>20</v>
      </c>
      <c r="T905" s="81"/>
      <c r="U905" s="81" t="b">
        <f>$I$5</f>
        <v>0</v>
      </c>
      <c r="V905" s="81" t="s">
        <v>1350</v>
      </c>
      <c r="W905" s="81" t="s">
        <v>1350</v>
      </c>
      <c r="X905" s="81"/>
      <c r="Y905" s="81"/>
      <c r="Z905" s="81"/>
      <c r="AA905" s="81"/>
      <c r="AB905" s="81"/>
      <c r="AC905" s="81"/>
      <c r="AD905" s="81"/>
      <c r="AE905" s="81"/>
      <c r="AF905" s="81"/>
      <c r="AG905" s="81"/>
      <c r="AH905" s="81"/>
      <c r="AI905" s="81"/>
      <c r="AJ905" s="81"/>
      <c r="AK905" s="81"/>
      <c r="AL905" s="81">
        <v>10</v>
      </c>
      <c r="AM905" s="81">
        <v>5</v>
      </c>
      <c r="AN905" s="81"/>
      <c r="AO905" s="81"/>
      <c r="AP905" s="81"/>
    </row>
    <row r="906" spans="1:147" ht="16.5" customHeight="1" x14ac:dyDescent="0.2">
      <c r="A906" s="112">
        <f>$A$903+2</f>
        <v>65</v>
      </c>
      <c r="B906" s="112" t="s">
        <v>538</v>
      </c>
      <c r="C906" s="112" t="s">
        <v>90</v>
      </c>
      <c r="D906" s="112"/>
      <c r="E906" s="112"/>
      <c r="F906" s="112"/>
      <c r="G906" s="112" t="s">
        <v>406</v>
      </c>
      <c r="H906" s="112"/>
      <c r="I906" s="112"/>
      <c r="J906" s="112" t="b">
        <f t="shared" si="106"/>
        <v>1</v>
      </c>
      <c r="K906" s="112" t="b">
        <v>1</v>
      </c>
      <c r="L906" s="112"/>
      <c r="M906" s="112"/>
      <c r="N906" s="112"/>
      <c r="O906" s="112" t="str">
        <f t="shared" ref="O906:O913" si="111">"$B$"&amp;A906</f>
        <v>$B$65</v>
      </c>
      <c r="P906" s="112" t="str">
        <f>"$BK$"&amp;A912</f>
        <v>$BK$70</v>
      </c>
      <c r="Q906" s="112"/>
      <c r="R906" s="112"/>
      <c r="S906" s="112"/>
      <c r="T906" s="112"/>
      <c r="U906" s="112"/>
      <c r="V906" s="112" t="s">
        <v>1342</v>
      </c>
      <c r="W906" s="112"/>
      <c r="X906" s="112"/>
      <c r="Y906" s="112"/>
      <c r="Z906" s="112"/>
      <c r="AA906" s="112"/>
      <c r="AB906" s="112"/>
      <c r="AC906" s="112"/>
      <c r="AD906" s="112" t="s">
        <v>105</v>
      </c>
      <c r="AE906" s="112">
        <v>12</v>
      </c>
      <c r="AF906" s="112" t="b">
        <v>1</v>
      </c>
      <c r="AG906" s="112" t="s">
        <v>1355</v>
      </c>
      <c r="AH906" s="112" t="s">
        <v>29</v>
      </c>
      <c r="AI906" s="112" t="s">
        <v>28</v>
      </c>
      <c r="AJ906" s="112"/>
      <c r="AK906" s="112"/>
      <c r="AL906" s="112"/>
      <c r="AM906" s="112"/>
      <c r="AN906" s="112"/>
      <c r="AO906" s="112"/>
      <c r="AP906" s="112"/>
    </row>
    <row r="907" spans="1:147" ht="16.5" customHeight="1" thickBot="1" x14ac:dyDescent="0.25">
      <c r="A907" s="113">
        <f>$A$906+0</f>
        <v>65</v>
      </c>
      <c r="B907" s="113" t="s">
        <v>539</v>
      </c>
      <c r="C907" s="113" t="s">
        <v>92</v>
      </c>
      <c r="D907" s="113"/>
      <c r="E907" s="113"/>
      <c r="F907" s="113" t="s">
        <v>538</v>
      </c>
      <c r="G907" s="113" t="s">
        <v>406</v>
      </c>
      <c r="H907" s="113"/>
      <c r="I907" s="113"/>
      <c r="J907" s="113" t="b">
        <f t="shared" si="106"/>
        <v>1</v>
      </c>
      <c r="K907" s="113" t="b">
        <v>1</v>
      </c>
      <c r="L907" s="113"/>
      <c r="M907" s="113"/>
      <c r="N907" s="113"/>
      <c r="O907" s="113" t="str">
        <f t="shared" si="111"/>
        <v>$B$65</v>
      </c>
      <c r="P907" s="113" t="str">
        <f t="shared" ref="P907:P912" si="112">"$BK$"&amp;A907</f>
        <v>$BK$65</v>
      </c>
      <c r="Q907" s="113"/>
      <c r="R907" s="113"/>
      <c r="S907" s="113"/>
      <c r="T907" s="113">
        <v>52</v>
      </c>
      <c r="U907" s="113"/>
      <c r="V907" s="113" t="s">
        <v>1342</v>
      </c>
      <c r="W907" s="113"/>
      <c r="X907" s="113"/>
      <c r="Y907" s="113"/>
      <c r="Z907" s="113"/>
      <c r="AA907" s="113"/>
      <c r="AB907" s="113"/>
      <c r="AC907" s="113"/>
      <c r="AD907" s="113"/>
      <c r="AE907" s="113"/>
      <c r="AF907" s="113"/>
      <c r="AG907" s="113"/>
      <c r="AH907" s="113" t="s">
        <v>29</v>
      </c>
      <c r="AI907" s="113"/>
      <c r="AJ907" s="113"/>
      <c r="AK907" s="113"/>
      <c r="AL907" s="113">
        <v>1</v>
      </c>
      <c r="AM907" s="113"/>
      <c r="AN907" s="113"/>
      <c r="AO907" s="113"/>
      <c r="AP907" s="113" t="b">
        <v>1</v>
      </c>
      <c r="AQ907" s="402" t="s">
        <v>422</v>
      </c>
      <c r="AR907" s="403"/>
      <c r="AS907" s="404" t="s">
        <v>413</v>
      </c>
      <c r="AT907" s="405"/>
      <c r="AU907" s="404" t="s">
        <v>1295</v>
      </c>
      <c r="AV907" s="406"/>
      <c r="AW907" s="200">
        <v>2014</v>
      </c>
      <c r="AX907" s="200">
        <v>2014</v>
      </c>
      <c r="AY907" s="118"/>
      <c r="AZ907" s="118"/>
      <c r="BA907" s="118"/>
      <c r="BB907" s="118"/>
      <c r="BC907" s="118"/>
      <c r="BD907" s="118"/>
      <c r="BE907" s="118"/>
      <c r="BF907" s="118"/>
      <c r="BG907" s="118"/>
      <c r="BH907" s="118"/>
      <c r="BI907" s="118"/>
      <c r="BJ907" s="118"/>
      <c r="BK907" s="118"/>
      <c r="BL907" s="118"/>
      <c r="BM907" s="118"/>
      <c r="BN907" s="118"/>
      <c r="BO907" s="118"/>
      <c r="BP907" s="118"/>
      <c r="BQ907" s="118"/>
      <c r="BR907" s="118"/>
      <c r="BS907" s="118"/>
      <c r="BT907" s="118"/>
      <c r="BU907" s="118"/>
      <c r="BV907" s="118"/>
      <c r="BW907" s="118"/>
      <c r="BX907" s="118"/>
      <c r="BY907" s="118"/>
      <c r="BZ907" s="118"/>
      <c r="CA907" s="118"/>
      <c r="CB907" s="118"/>
      <c r="CC907" s="118"/>
      <c r="CD907" s="118"/>
      <c r="CE907" s="118"/>
      <c r="CF907" s="118"/>
      <c r="CG907" s="118"/>
      <c r="CH907" s="118"/>
      <c r="CI907" s="118"/>
      <c r="CJ907" s="118"/>
      <c r="CK907" s="118"/>
      <c r="CL907" s="118"/>
      <c r="CM907" s="118"/>
      <c r="CN907" s="118"/>
      <c r="CO907" s="118"/>
      <c r="CP907" s="118"/>
      <c r="CQ907" s="118"/>
      <c r="CR907" s="118"/>
      <c r="CS907" s="118"/>
    </row>
    <row r="908" spans="1:147" ht="16.5" customHeight="1" x14ac:dyDescent="0.2">
      <c r="A908" s="113">
        <f>$A$906+1</f>
        <v>66</v>
      </c>
      <c r="B908" s="113" t="s">
        <v>540</v>
      </c>
      <c r="C908" s="113" t="s">
        <v>92</v>
      </c>
      <c r="D908" s="113"/>
      <c r="E908" s="113"/>
      <c r="F908" s="113" t="s">
        <v>538</v>
      </c>
      <c r="G908" s="113" t="s">
        <v>406</v>
      </c>
      <c r="H908" s="113"/>
      <c r="I908" s="113"/>
      <c r="J908" s="113" t="b">
        <f t="shared" si="106"/>
        <v>1</v>
      </c>
      <c r="K908" s="113" t="b">
        <v>1</v>
      </c>
      <c r="L908" s="113"/>
      <c r="M908" s="113"/>
      <c r="N908" s="113"/>
      <c r="O908" s="113" t="str">
        <f t="shared" si="111"/>
        <v>$B$66</v>
      </c>
      <c r="P908" s="113" t="str">
        <f t="shared" si="112"/>
        <v>$BK$66</v>
      </c>
      <c r="Q908" s="113"/>
      <c r="R908" s="113"/>
      <c r="S908" s="113"/>
      <c r="T908" s="113"/>
      <c r="U908" s="113"/>
      <c r="V908" s="113" t="s">
        <v>1342</v>
      </c>
      <c r="W908" s="113"/>
      <c r="X908" s="113"/>
      <c r="Y908" s="113"/>
      <c r="Z908" s="113"/>
      <c r="AA908" s="113"/>
      <c r="AB908" s="113"/>
      <c r="AC908" s="113"/>
      <c r="AD908" s="113"/>
      <c r="AE908" s="113"/>
      <c r="AF908" s="113"/>
      <c r="AG908" s="113"/>
      <c r="AH908" s="113"/>
      <c r="AI908" s="113"/>
      <c r="AJ908" s="113"/>
      <c r="AK908" s="113"/>
      <c r="AL908" s="113">
        <v>1</v>
      </c>
      <c r="AM908" s="113"/>
      <c r="AN908" s="113"/>
      <c r="AO908" s="113"/>
      <c r="AP908" s="113" t="b">
        <v>1</v>
      </c>
      <c r="AQ908" s="407" t="s">
        <v>423</v>
      </c>
      <c r="AR908" s="407"/>
      <c r="AS908" s="408" t="e">
        <f ca="1">SUM(AW908:CT908)</f>
        <v>#VALUE!</v>
      </c>
      <c r="AT908" s="409"/>
      <c r="AU908" s="410"/>
      <c r="AV908" s="411"/>
      <c r="AW908" s="223" t="e">
        <f ca="1">IF(OFFSET(INDIRECT("Forside_f_FP_Main1OmkostTable_1_start",TRUE),12,COLUMNS(AW1036:INDIRECT("Businesscasen_f_BCM_subcat14_Table1_start",TRUE))-1)&gt;0,OFFSET(INDIRECT("Forside_f_FP_Main1OmkostTable_1_start",TRUE),12,COLUMNS(AW1036:INDIRECT("Businesscasen_f_BCM_subcat14_Table1_start",TRUE))-1),0)</f>
        <v>#VALUE!</v>
      </c>
      <c r="AX908" s="223" t="e">
        <f ca="1">IF(OFFSET(INDIRECT("Forside_f_FP_Main1OmkostTable_1_start",TRUE),12,COLUMNS(AX1036:INDIRECT("Businesscasen_f_BCM_subcat14_Table1_start",TRUE))-1)&gt;0,OFFSET(INDIRECT("Forside_f_FP_Main1OmkostTable_1_start",TRUE),12,COLUMNS(AX1036:INDIRECT("Businesscasen_f_BCM_subcat14_Table1_start",TRUE))-1),0)</f>
        <v>#VALUE!</v>
      </c>
      <c r="AY908" s="118"/>
      <c r="AZ908" s="118"/>
      <c r="BA908" s="118"/>
      <c r="BB908" s="118"/>
      <c r="BC908" s="118"/>
      <c r="BD908" s="118"/>
      <c r="BE908" s="118"/>
      <c r="BF908" s="118"/>
      <c r="BG908" s="118"/>
      <c r="BH908" s="118"/>
      <c r="BI908" s="118"/>
      <c r="BJ908" s="118"/>
      <c r="BK908" s="118"/>
      <c r="BL908" s="118"/>
      <c r="BM908" s="118"/>
      <c r="BN908" s="118"/>
      <c r="BO908" s="118"/>
      <c r="BP908" s="118"/>
      <c r="BQ908" s="118"/>
      <c r="BR908" s="118"/>
      <c r="BS908" s="118"/>
      <c r="BT908" s="118"/>
      <c r="BU908" s="118"/>
      <c r="BV908" s="118"/>
      <c r="BW908" s="118"/>
      <c r="BX908" s="118"/>
      <c r="BY908" s="118"/>
      <c r="BZ908" s="118"/>
      <c r="CA908" s="118"/>
      <c r="CB908" s="118"/>
      <c r="CC908" s="118"/>
      <c r="CD908" s="118"/>
      <c r="CE908" s="118"/>
      <c r="CF908" s="118"/>
      <c r="CG908" s="118"/>
      <c r="CH908" s="118"/>
      <c r="CI908" s="118"/>
      <c r="CJ908" s="118"/>
      <c r="CK908" s="118"/>
      <c r="CL908" s="118"/>
      <c r="CM908" s="118"/>
      <c r="CN908" s="118"/>
      <c r="CO908" s="118"/>
      <c r="CP908" s="118"/>
      <c r="CQ908" s="118"/>
      <c r="CR908" s="118"/>
      <c r="CS908" s="118"/>
    </row>
    <row r="909" spans="1:147" ht="16.5" customHeight="1" x14ac:dyDescent="0.2">
      <c r="A909" s="113">
        <f>$A$906+2</f>
        <v>67</v>
      </c>
      <c r="B909" s="113" t="s">
        <v>541</v>
      </c>
      <c r="C909" s="113" t="s">
        <v>92</v>
      </c>
      <c r="D909" s="113"/>
      <c r="E909" s="113"/>
      <c r="F909" s="113" t="s">
        <v>538</v>
      </c>
      <c r="G909" s="113" t="s">
        <v>406</v>
      </c>
      <c r="H909" s="113"/>
      <c r="I909" s="113"/>
      <c r="J909" s="113" t="b">
        <f t="shared" si="106"/>
        <v>1</v>
      </c>
      <c r="K909" s="113" t="b">
        <v>1</v>
      </c>
      <c r="L909" s="113"/>
      <c r="M909" s="113"/>
      <c r="N909" s="113"/>
      <c r="O909" s="113" t="str">
        <f t="shared" si="111"/>
        <v>$B$67</v>
      </c>
      <c r="P909" s="113" t="str">
        <f t="shared" si="112"/>
        <v>$BK$67</v>
      </c>
      <c r="Q909" s="113"/>
      <c r="R909" s="113"/>
      <c r="S909" s="113"/>
      <c r="T909" s="113"/>
      <c r="U909" s="113"/>
      <c r="V909" s="113" t="s">
        <v>1342</v>
      </c>
      <c r="W909" s="113"/>
      <c r="X909" s="113"/>
      <c r="Y909" s="113"/>
      <c r="Z909" s="113"/>
      <c r="AA909" s="113"/>
      <c r="AB909" s="113"/>
      <c r="AC909" s="113"/>
      <c r="AD909" s="113"/>
      <c r="AE909" s="113"/>
      <c r="AF909" s="113"/>
      <c r="AG909" s="113"/>
      <c r="AH909" s="113"/>
      <c r="AI909" s="113"/>
      <c r="AJ909" s="113"/>
      <c r="AK909" s="113"/>
      <c r="AL909" s="113">
        <v>1</v>
      </c>
      <c r="AM909" s="113"/>
      <c r="AN909" s="113"/>
      <c r="AO909" s="113"/>
      <c r="AP909" s="113" t="b">
        <v>1</v>
      </c>
      <c r="AQ909" s="425" t="s">
        <v>424</v>
      </c>
      <c r="AR909" s="425"/>
      <c r="AS909" s="426" t="e">
        <f ca="1">SUM(AW909:CT909)</f>
        <v>#VALUE!</v>
      </c>
      <c r="AT909" s="427"/>
      <c r="AU909" s="418"/>
      <c r="AV909" s="419"/>
      <c r="AW909" s="220" t="e">
        <f ca="1">IF(OR(AW910&gt;0,AW911&gt;0),SUM(AW910:AW911),"")</f>
        <v>#VALUE!</v>
      </c>
      <c r="AX909" s="220" t="e">
        <f t="shared" ref="AX909" ca="1" si="113">IF(OR(AX910&gt;0,AX911&gt;0),SUM(AX910:AX911),"")</f>
        <v>#VALUE!</v>
      </c>
      <c r="AY909" s="118"/>
      <c r="AZ909" s="118"/>
      <c r="BA909" s="118"/>
      <c r="BB909" s="118"/>
      <c r="BC909" s="118"/>
      <c r="BD909" s="118"/>
      <c r="BE909" s="118"/>
      <c r="BF909" s="118"/>
      <c r="BG909" s="118"/>
      <c r="BH909" s="118"/>
      <c r="BI909" s="118"/>
      <c r="BJ909" s="118"/>
      <c r="BK909" s="118"/>
      <c r="BL909" s="118"/>
      <c r="BM909" s="118"/>
      <c r="BN909" s="118"/>
      <c r="BO909" s="118"/>
      <c r="BP909" s="118"/>
      <c r="BQ909" s="118"/>
      <c r="BR909" s="118"/>
      <c r="BS909" s="118"/>
      <c r="BT909" s="118"/>
      <c r="BU909" s="118"/>
      <c r="BV909" s="118"/>
      <c r="BW909" s="118"/>
      <c r="BX909" s="118"/>
      <c r="BY909" s="118"/>
      <c r="BZ909" s="118"/>
      <c r="CA909" s="118"/>
      <c r="CB909" s="118"/>
      <c r="CC909" s="118"/>
      <c r="CD909" s="118"/>
      <c r="CE909" s="118"/>
      <c r="CF909" s="118"/>
      <c r="CG909" s="118"/>
      <c r="CH909" s="118"/>
      <c r="CI909" s="118"/>
      <c r="CJ909" s="118"/>
      <c r="CK909" s="118"/>
      <c r="CL909" s="118"/>
      <c r="CM909" s="118"/>
      <c r="CN909" s="118"/>
      <c r="CO909" s="118"/>
      <c r="CP909" s="118"/>
      <c r="CQ909" s="118"/>
      <c r="CR909" s="118"/>
      <c r="CS909" s="118"/>
    </row>
    <row r="910" spans="1:147" ht="16.5" customHeight="1" x14ac:dyDescent="0.2">
      <c r="A910" s="113">
        <f>$A$906+3</f>
        <v>68</v>
      </c>
      <c r="B910" s="113" t="s">
        <v>542</v>
      </c>
      <c r="C910" s="113" t="s">
        <v>92</v>
      </c>
      <c r="D910" s="113"/>
      <c r="E910" s="113"/>
      <c r="F910" s="113" t="s">
        <v>538</v>
      </c>
      <c r="G910" s="113" t="s">
        <v>406</v>
      </c>
      <c r="H910" s="113"/>
      <c r="I910" s="113"/>
      <c r="J910" s="113" t="b">
        <f t="shared" si="106"/>
        <v>1</v>
      </c>
      <c r="K910" s="113" t="b">
        <v>1</v>
      </c>
      <c r="L910" s="113"/>
      <c r="M910" s="113"/>
      <c r="N910" s="113"/>
      <c r="O910" s="113" t="str">
        <f t="shared" si="111"/>
        <v>$B$68</v>
      </c>
      <c r="P910" s="113" t="str">
        <f t="shared" si="112"/>
        <v>$BK$68</v>
      </c>
      <c r="Q910" s="113"/>
      <c r="R910" s="113"/>
      <c r="S910" s="113"/>
      <c r="T910" s="113"/>
      <c r="U910" s="113"/>
      <c r="V910" s="113" t="s">
        <v>1342</v>
      </c>
      <c r="W910" s="113"/>
      <c r="X910" s="113"/>
      <c r="Y910" s="113"/>
      <c r="Z910" s="113"/>
      <c r="AA910" s="113"/>
      <c r="AB910" s="113"/>
      <c r="AC910" s="113"/>
      <c r="AD910" s="113"/>
      <c r="AE910" s="113"/>
      <c r="AF910" s="113"/>
      <c r="AG910" s="113"/>
      <c r="AH910" s="113"/>
      <c r="AI910" s="113"/>
      <c r="AJ910" s="113"/>
      <c r="AK910" s="113"/>
      <c r="AL910" s="113">
        <v>1</v>
      </c>
      <c r="AM910" s="113"/>
      <c r="AN910" s="113"/>
      <c r="AO910" s="113"/>
      <c r="AP910" s="113" t="b">
        <v>1</v>
      </c>
      <c r="AQ910" s="415" t="s">
        <v>425</v>
      </c>
      <c r="AR910" s="415"/>
      <c r="AS910" s="428" t="e">
        <f ca="1">SUM(AW910:CT910)</f>
        <v>#VALUE!</v>
      </c>
      <c r="AT910" s="429"/>
      <c r="AU910" s="418"/>
      <c r="AV910" s="419"/>
      <c r="AW910" s="189" t="e">
        <f ca="1">IF(OFFSET(INDIRECT("Forside_f_FP_Main1OmkostTable_1_start",TRUE),7,COLUMNS(AW1038:INDIRECT("Businesscasen_f_BCM_subcat14_Table1_start",TRUE))-1)&gt;0,OFFSET(INDIRECT("Forside_f_FP_Main1OmkostTable_1_start",TRUE),7,COLUMNS(AW1038:INDIRECT("Businesscasen_f_BCM_subcat14_Table1_start",TRUE))-1),0)</f>
        <v>#VALUE!</v>
      </c>
      <c r="AX910" s="189" t="e">
        <f ca="1">IF(OFFSET(INDIRECT("Forside_f_FP_Main1OmkostTable_1_start",TRUE),7,COLUMNS(AX1038:INDIRECT("Businesscasen_f_BCM_subcat14_Table1_start",TRUE))-1)&gt;0,OFFSET(INDIRECT("Forside_f_FP_Main1OmkostTable_1_start",TRUE),7,COLUMNS(AX1038:INDIRECT("Businesscasen_f_BCM_subcat14_Table1_start",TRUE))-1),0)</f>
        <v>#VALUE!</v>
      </c>
      <c r="AY910" s="118"/>
      <c r="AZ910" s="118"/>
      <c r="BA910" s="118"/>
      <c r="BB910" s="118"/>
      <c r="BC910" s="118"/>
      <c r="BD910" s="118"/>
      <c r="BE910" s="118"/>
      <c r="BF910" s="118"/>
      <c r="BG910" s="118"/>
      <c r="BH910" s="118"/>
      <c r="BI910" s="118"/>
      <c r="BJ910" s="118"/>
      <c r="BK910" s="118"/>
      <c r="BL910" s="118"/>
      <c r="BM910" s="118"/>
      <c r="BN910" s="118"/>
      <c r="BO910" s="118"/>
      <c r="BP910" s="118"/>
      <c r="BQ910" s="118"/>
      <c r="BR910" s="118"/>
      <c r="BS910" s="118"/>
      <c r="BT910" s="118"/>
      <c r="BU910" s="118"/>
      <c r="BV910" s="118"/>
      <c r="BW910" s="118"/>
      <c r="BX910" s="118"/>
      <c r="BY910" s="118"/>
      <c r="BZ910" s="118"/>
      <c r="CA910" s="118"/>
      <c r="CB910" s="118"/>
      <c r="CC910" s="118"/>
      <c r="CD910" s="118"/>
      <c r="CE910" s="118"/>
      <c r="CF910" s="118"/>
      <c r="CG910" s="118"/>
      <c r="CH910" s="118"/>
      <c r="CI910" s="118"/>
      <c r="CJ910" s="118"/>
      <c r="CK910" s="118"/>
      <c r="CL910" s="118"/>
      <c r="CM910" s="118"/>
      <c r="CN910" s="118"/>
      <c r="CO910" s="118"/>
      <c r="CP910" s="118"/>
      <c r="CQ910" s="118"/>
      <c r="CR910" s="118"/>
      <c r="CS910" s="118"/>
    </row>
    <row r="911" spans="1:147" ht="16.5" customHeight="1" x14ac:dyDescent="0.2">
      <c r="A911" s="113">
        <f>$A$906+4</f>
        <v>69</v>
      </c>
      <c r="B911" s="113" t="s">
        <v>543</v>
      </c>
      <c r="C911" s="113" t="s">
        <v>92</v>
      </c>
      <c r="D911" s="113"/>
      <c r="E911" s="113"/>
      <c r="F911" s="113" t="s">
        <v>538</v>
      </c>
      <c r="G911" s="113" t="s">
        <v>406</v>
      </c>
      <c r="H911" s="113"/>
      <c r="I911" s="113"/>
      <c r="J911" s="113" t="b">
        <f t="shared" si="106"/>
        <v>1</v>
      </c>
      <c r="K911" s="113" t="b">
        <v>1</v>
      </c>
      <c r="L911" s="113"/>
      <c r="M911" s="113"/>
      <c r="N911" s="113"/>
      <c r="O911" s="113" t="str">
        <f t="shared" si="111"/>
        <v>$B$69</v>
      </c>
      <c r="P911" s="113" t="str">
        <f t="shared" si="112"/>
        <v>$BK$69</v>
      </c>
      <c r="Q911" s="113"/>
      <c r="R911" s="113"/>
      <c r="S911" s="113"/>
      <c r="T911" s="113"/>
      <c r="U911" s="113"/>
      <c r="V911" s="113" t="s">
        <v>1342</v>
      </c>
      <c r="W911" s="113"/>
      <c r="X911" s="113"/>
      <c r="Y911" s="113"/>
      <c r="Z911" s="113"/>
      <c r="AA911" s="113"/>
      <c r="AB911" s="113"/>
      <c r="AC911" s="113"/>
      <c r="AD911" s="113"/>
      <c r="AE911" s="113"/>
      <c r="AF911" s="113"/>
      <c r="AG911" s="113"/>
      <c r="AH911" s="113"/>
      <c r="AI911" s="113"/>
      <c r="AJ911" s="113"/>
      <c r="AK911" s="113"/>
      <c r="AL911" s="113">
        <v>1</v>
      </c>
      <c r="AM911" s="113"/>
      <c r="AN911" s="113"/>
      <c r="AO911" s="113"/>
      <c r="AP911" s="113" t="b">
        <v>1</v>
      </c>
      <c r="AQ911" s="415" t="s">
        <v>426</v>
      </c>
      <c r="AR911" s="415"/>
      <c r="AS911" s="416" t="e">
        <f ca="1">SUM(AW911:CT911)</f>
        <v>#VALUE!</v>
      </c>
      <c r="AT911" s="417"/>
      <c r="AU911" s="418"/>
      <c r="AV911" s="419"/>
      <c r="AW911" s="189" t="e">
        <f ca="1">IF(OFFSET(INDIRECT("Forside_f_FP_Main1OmkostTable_1_start",TRUE),1,COLUMNS(AW1039:INDIRECT("Businesscasen_f_BCM_subcat14_Table1_start",TRUE))-1)&gt;0,OFFSET(INDIRECT("Forside_f_FP_Main1OmkostTable_1_start",TRUE),10,COLUMNS(AW1039:INDIRECT("Businesscasen_f_BCM_subcat14_Table1_start",TRUE))-1),0)</f>
        <v>#VALUE!</v>
      </c>
      <c r="AX911" s="189" t="e">
        <f ca="1">IF(OFFSET(INDIRECT("Forside_f_FP_Main1OmkostTable_1_start",TRUE),1,COLUMNS(AX1039:INDIRECT("Businesscasen_f_BCM_subcat14_Table1_start",TRUE))-1)&gt;0,OFFSET(INDIRECT("Forside_f_FP_Main1OmkostTable_1_start",TRUE),10,COLUMNS(AX1039:INDIRECT("Businesscasen_f_BCM_subcat14_Table1_start",TRUE))-1),0)</f>
        <v>#VALUE!</v>
      </c>
      <c r="AY911" s="118"/>
      <c r="AZ911" s="118"/>
      <c r="BA911" s="118"/>
      <c r="BB911" s="118"/>
      <c r="BC911" s="118"/>
      <c r="BD911" s="118"/>
      <c r="BE911" s="118"/>
      <c r="BF911" s="118"/>
      <c r="BG911" s="118"/>
      <c r="BH911" s="118"/>
      <c r="BI911" s="118"/>
      <c r="BJ911" s="118"/>
      <c r="BK911" s="118"/>
      <c r="BL911" s="118"/>
      <c r="BM911" s="118"/>
      <c r="BN911" s="118"/>
      <c r="BO911" s="118"/>
      <c r="BP911" s="118"/>
      <c r="BQ911" s="118"/>
      <c r="BR911" s="118"/>
      <c r="BS911" s="118"/>
      <c r="BT911" s="118"/>
      <c r="BU911" s="118"/>
      <c r="BV911" s="118"/>
      <c r="BW911" s="118"/>
      <c r="BX911" s="118"/>
      <c r="BY911" s="118"/>
      <c r="BZ911" s="118"/>
      <c r="CA911" s="118"/>
      <c r="CB911" s="118"/>
      <c r="CC911" s="118"/>
      <c r="CD911" s="118"/>
      <c r="CE911" s="118"/>
      <c r="CF911" s="118"/>
      <c r="CG911" s="118"/>
      <c r="CH911" s="118"/>
      <c r="CI911" s="118"/>
      <c r="CJ911" s="118"/>
      <c r="CK911" s="118"/>
      <c r="CL911" s="118"/>
      <c r="CM911" s="118"/>
      <c r="CN911" s="118"/>
      <c r="CO911" s="118"/>
      <c r="CP911" s="118"/>
      <c r="CQ911" s="118"/>
      <c r="CR911" s="118"/>
      <c r="CS911" s="118"/>
    </row>
    <row r="912" spans="1:147" ht="16.5" customHeight="1" thickBot="1" x14ac:dyDescent="0.25">
      <c r="A912" s="113">
        <f>$A$906+5</f>
        <v>70</v>
      </c>
      <c r="B912" s="113" t="s">
        <v>544</v>
      </c>
      <c r="C912" s="113" t="s">
        <v>92</v>
      </c>
      <c r="D912" s="113"/>
      <c r="E912" s="113"/>
      <c r="F912" s="113" t="s">
        <v>538</v>
      </c>
      <c r="G912" s="113" t="s">
        <v>406</v>
      </c>
      <c r="H912" s="113"/>
      <c r="I912" s="113"/>
      <c r="J912" s="113" t="b">
        <f t="shared" si="106"/>
        <v>1</v>
      </c>
      <c r="K912" s="113" t="b">
        <v>1</v>
      </c>
      <c r="L912" s="113"/>
      <c r="M912" s="113"/>
      <c r="N912" s="113"/>
      <c r="O912" s="113" t="str">
        <f t="shared" si="111"/>
        <v>$B$70</v>
      </c>
      <c r="P912" s="113" t="str">
        <f t="shared" si="112"/>
        <v>$BK$70</v>
      </c>
      <c r="Q912" s="113"/>
      <c r="R912" s="113"/>
      <c r="S912" s="113"/>
      <c r="T912" s="113"/>
      <c r="U912" s="113"/>
      <c r="V912" s="113" t="s">
        <v>1342</v>
      </c>
      <c r="W912" s="113"/>
      <c r="X912" s="113"/>
      <c r="Y912" s="113"/>
      <c r="Z912" s="113"/>
      <c r="AA912" s="113"/>
      <c r="AB912" s="113"/>
      <c r="AC912" s="113"/>
      <c r="AD912" s="113"/>
      <c r="AE912" s="113"/>
      <c r="AF912" s="113"/>
      <c r="AG912" s="113"/>
      <c r="AH912" s="113"/>
      <c r="AI912" s="113"/>
      <c r="AJ912" s="113"/>
      <c r="AK912" s="113"/>
      <c r="AL912" s="113">
        <v>1</v>
      </c>
      <c r="AM912" s="113"/>
      <c r="AN912" s="113"/>
      <c r="AO912" s="113"/>
      <c r="AP912" s="113" t="b">
        <v>1</v>
      </c>
      <c r="AQ912" s="420" t="s">
        <v>420</v>
      </c>
      <c r="AR912" s="420"/>
      <c r="AS912" s="421" t="e">
        <f ca="1">SUM(AS908:AT909)</f>
        <v>#VALUE!</v>
      </c>
      <c r="AT912" s="422"/>
      <c r="AU912" s="423">
        <f>Forside_f_FP_Main1OmkostIY_1_start</f>
        <v>2013</v>
      </c>
      <c r="AV912" s="424"/>
      <c r="AW912" s="194" t="e">
        <f ca="1">IF(AW908&gt;0,SUM(AW908:AW909),0)</f>
        <v>#VALUE!</v>
      </c>
      <c r="AX912" s="194" t="e">
        <f t="shared" ref="AX912" ca="1" si="114">IF(AX908&gt;0,SUM(AX908:AX909),0)</f>
        <v>#VALUE!</v>
      </c>
      <c r="AY912" s="118"/>
      <c r="AZ912" s="118"/>
      <c r="BA912" s="118"/>
      <c r="BB912" s="118"/>
      <c r="BC912" s="118"/>
      <c r="BD912" s="118"/>
      <c r="BE912" s="118"/>
      <c r="BF912" s="118"/>
      <c r="BG912" s="118"/>
      <c r="BH912" s="118"/>
      <c r="BI912" s="118"/>
      <c r="BJ912" s="118"/>
      <c r="BK912" s="118"/>
      <c r="BL912" s="118"/>
      <c r="BM912" s="118"/>
      <c r="BN912" s="118"/>
      <c r="BO912" s="118"/>
      <c r="BP912" s="118"/>
      <c r="BQ912" s="118"/>
      <c r="BR912" s="118"/>
      <c r="BS912" s="118"/>
      <c r="BT912" s="118"/>
      <c r="BU912" s="118"/>
      <c r="BV912" s="118"/>
      <c r="BW912" s="118"/>
      <c r="BX912" s="118"/>
      <c r="BY912" s="118"/>
      <c r="BZ912" s="118"/>
      <c r="CA912" s="118"/>
      <c r="CB912" s="118"/>
      <c r="CC912" s="118"/>
      <c r="CD912" s="118"/>
      <c r="CE912" s="118"/>
      <c r="CF912" s="118"/>
      <c r="CG912" s="118"/>
      <c r="CH912" s="118"/>
      <c r="CI912" s="118"/>
      <c r="CJ912" s="118"/>
      <c r="CK912" s="118"/>
      <c r="CL912" s="118"/>
      <c r="CM912" s="118"/>
      <c r="CN912" s="118"/>
      <c r="CO912" s="118"/>
      <c r="CP912" s="118"/>
      <c r="CQ912" s="118"/>
      <c r="CR912" s="118"/>
      <c r="CS912" s="118"/>
    </row>
    <row r="913" spans="1:147" ht="16.5" customHeight="1" x14ac:dyDescent="0.2">
      <c r="A913" s="103">
        <f>$A$906+8</f>
        <v>73</v>
      </c>
      <c r="B913" s="103" t="s">
        <v>499</v>
      </c>
      <c r="C913" s="103" t="s">
        <v>654</v>
      </c>
      <c r="D913" s="103"/>
      <c r="E913" s="103"/>
      <c r="F913" s="103"/>
      <c r="G913" s="103" t="s">
        <v>406</v>
      </c>
      <c r="H913" s="103"/>
      <c r="I913" s="103" t="s">
        <v>966</v>
      </c>
      <c r="J913" s="103" t="b">
        <f t="shared" si="106"/>
        <v>1</v>
      </c>
      <c r="K913" s="103" t="b">
        <v>1</v>
      </c>
      <c r="L913" s="103"/>
      <c r="M913" s="103"/>
      <c r="N913" s="103" t="s">
        <v>59</v>
      </c>
      <c r="O913" s="103" t="str">
        <f t="shared" si="111"/>
        <v>$B$73</v>
      </c>
      <c r="P913" s="103" t="str">
        <f>"$S$"&amp;A925-1</f>
        <v>$S$82</v>
      </c>
      <c r="Q913" s="103"/>
      <c r="R913" s="103">
        <v>1</v>
      </c>
      <c r="S913" s="103"/>
      <c r="T913" s="103">
        <v>27</v>
      </c>
      <c r="U913" s="103" t="b">
        <v>1</v>
      </c>
      <c r="V913" s="103" t="s">
        <v>1352</v>
      </c>
      <c r="W913" s="103" t="s">
        <v>1352</v>
      </c>
      <c r="X913" s="103"/>
      <c r="Y913" s="103"/>
      <c r="Z913" s="103"/>
      <c r="AA913" s="103"/>
      <c r="AB913" s="103"/>
      <c r="AC913" s="103">
        <v>7</v>
      </c>
      <c r="AD913" s="103" t="s">
        <v>105</v>
      </c>
      <c r="AE913" s="103">
        <v>20</v>
      </c>
      <c r="AF913" s="103" t="b">
        <v>1</v>
      </c>
      <c r="AG913" s="103" t="s">
        <v>1351</v>
      </c>
      <c r="AH913" s="103" t="s">
        <v>29</v>
      </c>
      <c r="AI913" s="103" t="s">
        <v>28</v>
      </c>
      <c r="AJ913" s="103"/>
      <c r="AK913" s="103"/>
      <c r="AL913" s="103">
        <v>0</v>
      </c>
      <c r="AM913" s="103"/>
      <c r="AN913" s="103"/>
      <c r="AO913" s="103"/>
      <c r="AP913" s="103"/>
      <c r="AQ913" s="93" t="s">
        <v>966</v>
      </c>
    </row>
    <row r="914" spans="1:147" ht="16.5" customHeight="1" x14ac:dyDescent="0.2">
      <c r="A914" s="81">
        <f>$A$913+0</f>
        <v>73</v>
      </c>
      <c r="B914" s="81" t="s">
        <v>970</v>
      </c>
      <c r="C914" s="81" t="s">
        <v>512</v>
      </c>
      <c r="D914" s="81" t="s">
        <v>961</v>
      </c>
      <c r="E914" s="81"/>
      <c r="F914" s="81"/>
      <c r="G914" s="81" t="s">
        <v>406</v>
      </c>
      <c r="H914" s="81"/>
      <c r="I914" s="81"/>
      <c r="J914" s="81" t="b">
        <f t="shared" si="106"/>
        <v>1</v>
      </c>
      <c r="K914" s="81" t="b">
        <v>1</v>
      </c>
      <c r="L914" s="81" t="b">
        <v>0</v>
      </c>
      <c r="M914" s="81"/>
      <c r="N914" s="81" t="s">
        <v>59</v>
      </c>
      <c r="O914" s="81" t="str">
        <f>"$U$"&amp;A914</f>
        <v>$U$73</v>
      </c>
      <c r="P914" s="81" t="str">
        <f>"$U$"&amp;A925-1</f>
        <v>$U$82</v>
      </c>
      <c r="Q914" s="81"/>
      <c r="R914" s="81">
        <v>1</v>
      </c>
      <c r="S914" s="81">
        <v>-20</v>
      </c>
      <c r="T914" s="81"/>
      <c r="U914" s="81" t="b">
        <f>$I$5</f>
        <v>0</v>
      </c>
      <c r="V914" s="81" t="s">
        <v>1348</v>
      </c>
      <c r="W914" s="81" t="s">
        <v>1348</v>
      </c>
      <c r="X914" s="81"/>
      <c r="Y914" s="81"/>
      <c r="Z914" s="81"/>
      <c r="AA914" s="81"/>
      <c r="AB914" s="81"/>
      <c r="AC914" s="81"/>
      <c r="AD914" s="81"/>
      <c r="AE914" s="81"/>
      <c r="AF914" s="81"/>
      <c r="AG914" s="81"/>
      <c r="AH914" s="81"/>
      <c r="AI914" s="81"/>
      <c r="AJ914" s="81"/>
      <c r="AK914" s="81"/>
      <c r="AL914" s="81">
        <v>-10</v>
      </c>
      <c r="AM914" s="81">
        <v>5</v>
      </c>
      <c r="AN914" s="81"/>
      <c r="AO914" s="81"/>
      <c r="AP914" s="81"/>
    </row>
    <row r="915" spans="1:147" ht="16.5" customHeight="1" x14ac:dyDescent="0.2">
      <c r="A915" s="112">
        <f>$A$913+2</f>
        <v>75</v>
      </c>
      <c r="B915" s="112" t="s">
        <v>545</v>
      </c>
      <c r="C915" s="112" t="s">
        <v>90</v>
      </c>
      <c r="D915" s="112"/>
      <c r="E915" s="112"/>
      <c r="F915" s="112"/>
      <c r="G915" s="112" t="s">
        <v>406</v>
      </c>
      <c r="H915" s="112"/>
      <c r="I915" s="112"/>
      <c r="J915" s="112" t="b">
        <f t="shared" si="106"/>
        <v>1</v>
      </c>
      <c r="K915" s="112" t="b">
        <v>1</v>
      </c>
      <c r="L915" s="112"/>
      <c r="M915" s="112"/>
      <c r="N915" s="112"/>
      <c r="O915" s="112" t="str">
        <f>"$B$"&amp;A915</f>
        <v>$B$75</v>
      </c>
      <c r="P915" s="112" t="str">
        <f>"$BK$"&amp;A924</f>
        <v>$BK$80</v>
      </c>
      <c r="Q915" s="112"/>
      <c r="R915" s="112"/>
      <c r="S915" s="112"/>
      <c r="T915" s="112"/>
      <c r="U915" s="112"/>
      <c r="V915" s="112" t="s">
        <v>1342</v>
      </c>
      <c r="W915" s="112"/>
      <c r="X915" s="112"/>
      <c r="Y915" s="112"/>
      <c r="Z915" s="112"/>
      <c r="AA915" s="112"/>
      <c r="AB915" s="112"/>
      <c r="AC915" s="112"/>
      <c r="AD915" s="112" t="s">
        <v>105</v>
      </c>
      <c r="AE915" s="112">
        <v>12</v>
      </c>
      <c r="AF915" s="112" t="b">
        <v>1</v>
      </c>
      <c r="AG915" s="112" t="s">
        <v>1355</v>
      </c>
      <c r="AH915" s="112" t="s">
        <v>29</v>
      </c>
      <c r="AI915" s="112" t="s">
        <v>28</v>
      </c>
      <c r="AJ915" s="112"/>
      <c r="AK915" s="112"/>
      <c r="AL915" s="112"/>
      <c r="AM915" s="112"/>
      <c r="AN915" s="112"/>
      <c r="AO915" s="112"/>
      <c r="AP915" s="112"/>
    </row>
    <row r="916" spans="1:147" ht="16.5" customHeight="1" thickBot="1" x14ac:dyDescent="0.3">
      <c r="A916" s="113">
        <f>$A$915+0</f>
        <v>75</v>
      </c>
      <c r="B916" s="113" t="s">
        <v>546</v>
      </c>
      <c r="C916" s="113" t="s">
        <v>92</v>
      </c>
      <c r="D916" s="113"/>
      <c r="E916" s="113"/>
      <c r="F916" s="113" t="s">
        <v>545</v>
      </c>
      <c r="G916" s="113" t="s">
        <v>406</v>
      </c>
      <c r="H916" s="113"/>
      <c r="I916" s="113"/>
      <c r="J916" s="113" t="b">
        <f t="shared" si="106"/>
        <v>1</v>
      </c>
      <c r="K916" s="113" t="b">
        <v>1</v>
      </c>
      <c r="L916" s="113"/>
      <c r="M916" s="113"/>
      <c r="N916" s="113"/>
      <c r="O916" s="113" t="str">
        <f>"$B$"&amp;A916</f>
        <v>$B$75</v>
      </c>
      <c r="P916" s="113" t="str">
        <f>"$BK$"&amp;A916</f>
        <v>$BK$75</v>
      </c>
      <c r="Q916" s="113"/>
      <c r="R916" s="113"/>
      <c r="S916" s="113"/>
      <c r="T916" s="113">
        <v>52</v>
      </c>
      <c r="U916" s="113"/>
      <c r="V916" s="113" t="s">
        <v>1342</v>
      </c>
      <c r="W916" s="113"/>
      <c r="X916" s="113"/>
      <c r="Y916" s="113"/>
      <c r="Z916" s="113"/>
      <c r="AA916" s="113"/>
      <c r="AB916" s="113"/>
      <c r="AC916" s="113"/>
      <c r="AD916" s="113"/>
      <c r="AE916" s="113"/>
      <c r="AF916" s="113"/>
      <c r="AG916" s="113"/>
      <c r="AH916" s="113" t="s">
        <v>29</v>
      </c>
      <c r="AI916" s="113"/>
      <c r="AJ916" s="113"/>
      <c r="AK916" s="113"/>
      <c r="AL916" s="113">
        <v>1</v>
      </c>
      <c r="AM916" s="113"/>
      <c r="AN916" s="113"/>
      <c r="AO916" s="113"/>
      <c r="AP916" s="113" t="b">
        <v>1</v>
      </c>
      <c r="AQ916" s="250" t="s">
        <v>427</v>
      </c>
      <c r="AR916" s="200" t="s">
        <v>413</v>
      </c>
      <c r="AS916" s="436" t="s">
        <v>414</v>
      </c>
      <c r="AT916" s="405"/>
      <c r="AU916" s="200">
        <v>2013</v>
      </c>
      <c r="AV916" s="200">
        <v>2014</v>
      </c>
      <c r="AW916"/>
      <c r="AX916"/>
      <c r="AY916"/>
      <c r="AZ916"/>
      <c r="BA916"/>
      <c r="BB916"/>
      <c r="BC916"/>
      <c r="BD916"/>
      <c r="BE916"/>
      <c r="BF916"/>
      <c r="BG916"/>
      <c r="BH916"/>
      <c r="BI916"/>
      <c r="BJ916"/>
      <c r="BK916"/>
      <c r="BL916"/>
      <c r="BM916"/>
      <c r="BN916"/>
      <c r="BO916"/>
      <c r="BP916"/>
      <c r="BQ916"/>
      <c r="BR916"/>
      <c r="BS916"/>
      <c r="BT916"/>
      <c r="BU916"/>
      <c r="BV916"/>
      <c r="BW916"/>
      <c r="BX916"/>
      <c r="BY916"/>
      <c r="BZ916"/>
      <c r="CA916"/>
      <c r="CB916"/>
      <c r="CC916"/>
      <c r="CD916"/>
      <c r="CE916"/>
      <c r="CF916"/>
      <c r="CG916"/>
      <c r="CH916"/>
      <c r="CI916"/>
      <c r="CJ916"/>
      <c r="CK916"/>
      <c r="CL916"/>
      <c r="CM916"/>
      <c r="CN916"/>
      <c r="CO916"/>
      <c r="CP916"/>
      <c r="CQ916"/>
      <c r="CR916"/>
      <c r="CS916"/>
      <c r="CT916"/>
      <c r="CU916"/>
      <c r="CV916"/>
      <c r="CW916"/>
      <c r="CX916"/>
      <c r="CY916"/>
      <c r="CZ916"/>
      <c r="DA916"/>
      <c r="DB916"/>
      <c r="DC916"/>
      <c r="DD916"/>
      <c r="DE916"/>
      <c r="DF916"/>
      <c r="DG916"/>
      <c r="DH916"/>
      <c r="DI916"/>
      <c r="DJ916"/>
      <c r="DK916"/>
      <c r="DL916"/>
      <c r="DM916"/>
      <c r="DN916"/>
      <c r="DO916"/>
      <c r="DP916"/>
      <c r="DQ916"/>
      <c r="DR916"/>
      <c r="DS916"/>
      <c r="DT916"/>
      <c r="DU916"/>
      <c r="DV916"/>
      <c r="DW916"/>
      <c r="DX916"/>
      <c r="DY916"/>
      <c r="DZ916"/>
      <c r="EA916"/>
      <c r="EB916"/>
      <c r="EC916"/>
      <c r="ED916"/>
      <c r="EE916"/>
      <c r="EF916"/>
      <c r="EG916"/>
      <c r="EH916"/>
      <c r="EI916"/>
      <c r="EJ916"/>
      <c r="EK916"/>
      <c r="EL916"/>
      <c r="EM916"/>
      <c r="EN916"/>
      <c r="EO916"/>
      <c r="EP916"/>
      <c r="EQ916"/>
    </row>
    <row r="917" spans="1:147" ht="16.5" customHeight="1" x14ac:dyDescent="0.25">
      <c r="A917" s="113">
        <f>$A$915+1</f>
        <v>76</v>
      </c>
      <c r="B917" s="113" t="s">
        <v>1421</v>
      </c>
      <c r="C917" s="113" t="s">
        <v>92</v>
      </c>
      <c r="D917" s="113"/>
      <c r="E917" s="113"/>
      <c r="F917" s="113" t="s">
        <v>545</v>
      </c>
      <c r="G917" s="113" t="s">
        <v>406</v>
      </c>
      <c r="H917" s="113"/>
      <c r="I917" s="113"/>
      <c r="J917" s="113" t="b">
        <f t="shared" si="106"/>
        <v>1</v>
      </c>
      <c r="K917" s="113" t="b">
        <v>1</v>
      </c>
      <c r="L917" s="113"/>
      <c r="M917" s="113"/>
      <c r="N917" s="113"/>
      <c r="O917" s="113" t="str">
        <f>"$B$"&amp;A917</f>
        <v>$B$76</v>
      </c>
      <c r="P917" s="113" t="str">
        <f>"$BK$"&amp;A917</f>
        <v>$BK$76</v>
      </c>
      <c r="Q917" s="113"/>
      <c r="R917" s="113"/>
      <c r="S917" s="113"/>
      <c r="T917" s="113">
        <v>2</v>
      </c>
      <c r="U917" s="113"/>
      <c r="V917" s="113" t="s">
        <v>1342</v>
      </c>
      <c r="W917" s="113"/>
      <c r="X917" s="113"/>
      <c r="Y917" s="113"/>
      <c r="Z917" s="113"/>
      <c r="AA917" s="113"/>
      <c r="AB917" s="113"/>
      <c r="AC917" s="113"/>
      <c r="AD917" s="113"/>
      <c r="AE917" s="113"/>
      <c r="AF917" s="113"/>
      <c r="AG917" s="113"/>
      <c r="AH917" s="113" t="s">
        <v>29</v>
      </c>
      <c r="AI917" s="113"/>
      <c r="AJ917" s="113"/>
      <c r="AK917" s="113"/>
      <c r="AL917" s="113">
        <v>1</v>
      </c>
      <c r="AM917" s="113"/>
      <c r="AN917" s="113"/>
      <c r="AO917" s="113"/>
      <c r="AP917" s="113" t="b">
        <v>1</v>
      </c>
      <c r="AQ917" s="202"/>
      <c r="AR917" s="211"/>
      <c r="AS917" s="437"/>
      <c r="AT917" s="438"/>
      <c r="AU917" s="212"/>
      <c r="AV917" s="212"/>
      <c r="AW917"/>
      <c r="AX917"/>
      <c r="AY917"/>
      <c r="AZ917"/>
      <c r="BA917"/>
      <c r="BB917"/>
      <c r="BC917"/>
      <c r="BD917"/>
      <c r="BE917"/>
      <c r="BF917"/>
      <c r="BG917"/>
      <c r="BH917"/>
      <c r="BI917"/>
      <c r="BJ917"/>
      <c r="BK917"/>
      <c r="BL917"/>
      <c r="BM917"/>
      <c r="BN917"/>
      <c r="BO917"/>
      <c r="BP917"/>
      <c r="BQ917"/>
      <c r="BR917"/>
      <c r="BS917"/>
      <c r="BT917"/>
      <c r="BU917"/>
      <c r="BV917"/>
      <c r="BW917"/>
      <c r="BX917"/>
      <c r="BY917"/>
      <c r="BZ917"/>
      <c r="CA917"/>
      <c r="CB917"/>
      <c r="CC917"/>
      <c r="CD917"/>
      <c r="CE917"/>
      <c r="CF917"/>
      <c r="CG917"/>
      <c r="CH917"/>
      <c r="CI917"/>
      <c r="CJ917"/>
      <c r="CK917"/>
      <c r="CL917"/>
      <c r="CM917"/>
      <c r="CN917"/>
      <c r="CO917"/>
      <c r="CP917"/>
      <c r="CQ917"/>
      <c r="CR917"/>
      <c r="CS917"/>
      <c r="CT917"/>
      <c r="CU917"/>
      <c r="CV917"/>
      <c r="CW917"/>
      <c r="CX917"/>
      <c r="CY917"/>
      <c r="CZ917"/>
      <c r="DA917"/>
      <c r="DB917"/>
      <c r="DC917"/>
      <c r="DD917"/>
      <c r="DE917"/>
      <c r="DF917"/>
      <c r="DG917"/>
      <c r="DH917"/>
      <c r="DI917"/>
      <c r="DJ917"/>
      <c r="DK917"/>
      <c r="DL917"/>
      <c r="DM917"/>
      <c r="DN917"/>
      <c r="DO917"/>
      <c r="DP917"/>
      <c r="DQ917"/>
      <c r="DR917"/>
      <c r="DS917"/>
      <c r="DT917"/>
      <c r="DU917"/>
      <c r="DV917"/>
      <c r="DW917"/>
      <c r="DX917"/>
      <c r="DY917"/>
      <c r="DZ917"/>
      <c r="EA917"/>
      <c r="EB917"/>
      <c r="EC917"/>
      <c r="ED917"/>
      <c r="EE917"/>
      <c r="EF917"/>
      <c r="EG917"/>
      <c r="EH917"/>
      <c r="EI917"/>
      <c r="EJ917"/>
      <c r="EK917"/>
      <c r="EL917"/>
      <c r="EM917"/>
      <c r="EN917"/>
      <c r="EO917"/>
      <c r="EP917"/>
      <c r="EQ917"/>
    </row>
    <row r="918" spans="1:147" ht="16.5" customHeight="1" x14ac:dyDescent="0.25">
      <c r="A918" s="113">
        <f>$A$915+2</f>
        <v>77</v>
      </c>
      <c r="B918" s="113" t="s">
        <v>1422</v>
      </c>
      <c r="C918" s="113" t="s">
        <v>92</v>
      </c>
      <c r="D918" s="113"/>
      <c r="E918" s="113"/>
      <c r="F918" s="113" t="s">
        <v>545</v>
      </c>
      <c r="G918" s="113" t="s">
        <v>406</v>
      </c>
      <c r="H918" s="113"/>
      <c r="I918" s="113"/>
      <c r="J918" s="113" t="b">
        <f t="shared" si="106"/>
        <v>1</v>
      </c>
      <c r="K918" s="113" t="b">
        <v>1</v>
      </c>
      <c r="L918" s="113"/>
      <c r="M918" s="113"/>
      <c r="N918" s="113"/>
      <c r="O918" s="113" t="str">
        <f>"$B$"&amp;A918</f>
        <v>$B$77</v>
      </c>
      <c r="P918" s="113" t="str">
        <f>"$BK$"&amp;A918</f>
        <v>$BK$77</v>
      </c>
      <c r="Q918" s="113"/>
      <c r="R918" s="113"/>
      <c r="S918" s="113"/>
      <c r="T918" s="113">
        <v>2</v>
      </c>
      <c r="U918" s="113"/>
      <c r="V918" s="113" t="s">
        <v>1342</v>
      </c>
      <c r="W918" s="113"/>
      <c r="X918" s="113"/>
      <c r="Y918" s="113"/>
      <c r="Z918" s="113"/>
      <c r="AA918" s="113"/>
      <c r="AB918" s="113"/>
      <c r="AC918" s="113"/>
      <c r="AD918" s="113"/>
      <c r="AE918" s="113"/>
      <c r="AF918" s="113"/>
      <c r="AG918" s="113"/>
      <c r="AH918" s="113" t="s">
        <v>29</v>
      </c>
      <c r="AI918" s="113"/>
      <c r="AJ918" s="113"/>
      <c r="AK918" s="113"/>
      <c r="AL918" s="113">
        <v>1</v>
      </c>
      <c r="AM918" s="113"/>
      <c r="AN918" s="113"/>
      <c r="AO918" s="113"/>
      <c r="AP918" s="113" t="b">
        <v>1</v>
      </c>
      <c r="AQ918" s="213"/>
      <c r="AR918" s="214"/>
      <c r="AS918" s="439"/>
      <c r="AT918" s="440"/>
      <c r="AU918" s="215"/>
      <c r="AV918" s="215"/>
      <c r="AW918"/>
      <c r="AX918"/>
      <c r="AY918"/>
      <c r="AZ918"/>
      <c r="BA918"/>
      <c r="BB918"/>
      <c r="BC918"/>
      <c r="BD918"/>
      <c r="BE918"/>
      <c r="BF918"/>
      <c r="BG918"/>
      <c r="BH918"/>
      <c r="BI918"/>
      <c r="BJ918"/>
      <c r="BK918"/>
      <c r="BL918"/>
      <c r="BM918"/>
      <c r="BN918"/>
      <c r="BO918"/>
      <c r="BP918"/>
      <c r="BQ918"/>
      <c r="BR918"/>
      <c r="BS918"/>
      <c r="BT918"/>
      <c r="BU918"/>
      <c r="BV918"/>
      <c r="BW918"/>
      <c r="BX918"/>
      <c r="BY918"/>
      <c r="BZ918"/>
      <c r="CA918"/>
      <c r="CB918"/>
      <c r="CC918"/>
      <c r="CD918"/>
      <c r="CE918"/>
      <c r="CF918"/>
      <c r="CG918"/>
      <c r="CH918"/>
      <c r="CI918"/>
      <c r="CJ918"/>
      <c r="CK918"/>
      <c r="CL918"/>
      <c r="CM918"/>
      <c r="CN918"/>
      <c r="CO918"/>
      <c r="CP918"/>
      <c r="CQ918"/>
      <c r="CR918"/>
      <c r="CS918"/>
      <c r="CT918"/>
      <c r="CU918"/>
      <c r="CV918"/>
      <c r="CW918"/>
      <c r="CX918"/>
      <c r="CY918"/>
      <c r="CZ918"/>
      <c r="DA918"/>
      <c r="DB918"/>
      <c r="DC918"/>
      <c r="DD918"/>
      <c r="DE918"/>
      <c r="DF918"/>
      <c r="DG918"/>
      <c r="DH918"/>
      <c r="DI918"/>
      <c r="DJ918"/>
      <c r="DK918"/>
      <c r="DL918"/>
      <c r="DM918"/>
      <c r="DN918"/>
      <c r="DO918"/>
      <c r="DP918"/>
      <c r="DQ918"/>
      <c r="DR918"/>
      <c r="DS918"/>
      <c r="DT918"/>
      <c r="DU918"/>
      <c r="DV918"/>
      <c r="DW918"/>
      <c r="DX918"/>
      <c r="DY918"/>
      <c r="DZ918"/>
      <c r="EA918"/>
      <c r="EB918"/>
      <c r="EC918"/>
      <c r="ED918"/>
      <c r="EE918"/>
      <c r="EF918"/>
      <c r="EG918"/>
      <c r="EH918"/>
      <c r="EI918"/>
      <c r="EJ918"/>
      <c r="EK918"/>
      <c r="EL918"/>
      <c r="EM918"/>
      <c r="EN918"/>
      <c r="EO918"/>
      <c r="EP918"/>
      <c r="EQ918"/>
    </row>
    <row r="919" spans="1:147" ht="16.5" customHeight="1" x14ac:dyDescent="0.25">
      <c r="A919" s="107">
        <f>$A$915+3</f>
        <v>78</v>
      </c>
      <c r="B919" s="107" t="s">
        <v>683</v>
      </c>
      <c r="C919" s="107" t="s">
        <v>663</v>
      </c>
      <c r="D919" s="107"/>
      <c r="E919" s="107"/>
      <c r="F919" s="107" t="s">
        <v>545</v>
      </c>
      <c r="G919" s="107" t="s">
        <v>406</v>
      </c>
      <c r="H919" s="107">
        <v>2</v>
      </c>
      <c r="I919" s="107">
        <v>1</v>
      </c>
      <c r="J919" s="107" t="b">
        <f t="shared" si="106"/>
        <v>1</v>
      </c>
      <c r="K919" s="107"/>
      <c r="L919" s="107"/>
      <c r="M919" s="107"/>
      <c r="N919" s="107"/>
      <c r="O919" s="107">
        <f>A919</f>
        <v>78</v>
      </c>
      <c r="P919" s="107">
        <f>O919</f>
        <v>78</v>
      </c>
      <c r="Q919" s="107"/>
      <c r="R919" s="107"/>
      <c r="S919" s="107"/>
      <c r="T919" s="107"/>
      <c r="U919" s="107"/>
      <c r="V919" s="107"/>
      <c r="W919" s="107"/>
      <c r="X919" s="107"/>
      <c r="Y919" s="107"/>
      <c r="Z919" s="107"/>
      <c r="AA919" s="107"/>
      <c r="AB919" s="107"/>
      <c r="AC919" s="107"/>
      <c r="AD919" s="107"/>
      <c r="AE919" s="107"/>
      <c r="AF919" s="107"/>
      <c r="AG919" s="107"/>
      <c r="AH919" s="107"/>
      <c r="AI919" s="107"/>
      <c r="AJ919" s="107"/>
      <c r="AK919" s="107"/>
      <c r="AL919" s="107"/>
      <c r="AM919" s="107"/>
      <c r="AN919" s="107"/>
      <c r="AO919" s="107"/>
      <c r="AP919" s="107"/>
      <c r="AQ919" s="216"/>
      <c r="AR919" s="216"/>
      <c r="AS919" s="271"/>
      <c r="AT919" s="271"/>
      <c r="AU919" s="216"/>
      <c r="AV919" s="216"/>
      <c r="AW919"/>
      <c r="AX919"/>
      <c r="AY919"/>
      <c r="AZ919"/>
      <c r="BA919"/>
      <c r="BB919"/>
      <c r="BC919"/>
      <c r="BD919"/>
      <c r="BE919"/>
      <c r="BF919"/>
      <c r="BG919"/>
      <c r="BH919"/>
      <c r="BI919"/>
      <c r="BJ919"/>
      <c r="BK919"/>
      <c r="BL919"/>
      <c r="BM919"/>
      <c r="BN919"/>
      <c r="BO919"/>
      <c r="BP919"/>
      <c r="BQ919"/>
      <c r="BR919"/>
      <c r="BS919"/>
      <c r="BT919"/>
      <c r="BU919"/>
      <c r="BV919"/>
      <c r="BW919"/>
      <c r="BX919"/>
      <c r="BY919"/>
      <c r="BZ919"/>
      <c r="CA919"/>
      <c r="CB919"/>
      <c r="CC919"/>
      <c r="CD919"/>
      <c r="CE919"/>
      <c r="CF919"/>
      <c r="CG919"/>
      <c r="CH919"/>
      <c r="CI919"/>
      <c r="CJ919"/>
      <c r="CK919"/>
      <c r="CL919"/>
      <c r="CM919"/>
      <c r="CN919"/>
      <c r="CO919"/>
      <c r="CP919"/>
      <c r="CQ919"/>
      <c r="CR919"/>
      <c r="CS919"/>
      <c r="CT919"/>
      <c r="CU919"/>
      <c r="CV919"/>
      <c r="CW919"/>
      <c r="CX919"/>
      <c r="CY919"/>
      <c r="CZ919"/>
      <c r="DA919"/>
      <c r="DB919"/>
      <c r="DC919"/>
      <c r="DD919"/>
      <c r="DE919"/>
      <c r="DF919"/>
      <c r="DG919"/>
      <c r="DH919"/>
      <c r="DI919"/>
      <c r="DJ919"/>
      <c r="DK919"/>
      <c r="DL919"/>
      <c r="DM919"/>
      <c r="DN919"/>
      <c r="DO919"/>
      <c r="DP919"/>
      <c r="DQ919"/>
      <c r="DR919"/>
      <c r="DS919"/>
      <c r="DT919"/>
      <c r="DU919"/>
      <c r="DV919"/>
      <c r="DW919"/>
      <c r="DX919"/>
      <c r="DY919"/>
      <c r="DZ919"/>
      <c r="EA919"/>
      <c r="EB919"/>
      <c r="EC919"/>
      <c r="ED919"/>
      <c r="EE919"/>
      <c r="EF919"/>
      <c r="EG919"/>
      <c r="EH919"/>
      <c r="EI919"/>
      <c r="EJ919"/>
      <c r="EK919"/>
      <c r="EL919"/>
      <c r="EM919"/>
      <c r="EN919"/>
      <c r="EO919"/>
      <c r="EP919"/>
      <c r="EQ919"/>
    </row>
    <row r="920" spans="1:147" ht="16.5" customHeight="1" x14ac:dyDescent="0.25">
      <c r="A920" s="108">
        <f>$A$919+0</f>
        <v>78</v>
      </c>
      <c r="B920" s="113" t="s">
        <v>1094</v>
      </c>
      <c r="C920" s="113" t="s">
        <v>92</v>
      </c>
      <c r="D920" s="113"/>
      <c r="E920" s="113" t="s">
        <v>683</v>
      </c>
      <c r="F920" s="113" t="s">
        <v>545</v>
      </c>
      <c r="G920" s="113" t="s">
        <v>406</v>
      </c>
      <c r="H920" s="113"/>
      <c r="I920" s="113"/>
      <c r="J920" s="113"/>
      <c r="K920" s="113" t="b">
        <v>1</v>
      </c>
      <c r="L920" s="113"/>
      <c r="M920" s="113"/>
      <c r="N920" s="113"/>
      <c r="O920" s="113" t="str">
        <f>"$B$"&amp;A920</f>
        <v>$B$78</v>
      </c>
      <c r="P920" s="113" t="str">
        <f>"$BK$"&amp;A920</f>
        <v>$BK$78</v>
      </c>
      <c r="Q920" s="113"/>
      <c r="R920" s="113"/>
      <c r="S920" s="113"/>
      <c r="T920" s="113"/>
      <c r="U920" s="113" t="b">
        <v>1</v>
      </c>
      <c r="V920" s="113" t="s">
        <v>1342</v>
      </c>
      <c r="W920" s="113" t="s">
        <v>1342</v>
      </c>
      <c r="X920" s="113"/>
      <c r="Y920" s="113"/>
      <c r="Z920" s="113"/>
      <c r="AA920" s="113"/>
      <c r="AB920" s="113"/>
      <c r="AC920" s="113">
        <v>5</v>
      </c>
      <c r="AD920" s="113" t="s">
        <v>105</v>
      </c>
      <c r="AE920" s="113">
        <v>14</v>
      </c>
      <c r="AF920" s="113"/>
      <c r="AG920" s="113" t="s">
        <v>1360</v>
      </c>
      <c r="AH920" s="113" t="s">
        <v>29</v>
      </c>
      <c r="AI920" s="113" t="s">
        <v>28</v>
      </c>
      <c r="AJ920" s="113"/>
      <c r="AK920" s="113" t="s">
        <v>1342</v>
      </c>
      <c r="AL920" s="113">
        <v>5</v>
      </c>
      <c r="AM920" s="113"/>
      <c r="AN920" s="113"/>
      <c r="AO920" s="113"/>
      <c r="AP920" s="113" t="b">
        <v>1</v>
      </c>
      <c r="AQ920" s="217" t="e">
        <f ca="1">OFFSET(INDIRECT("MasterSheet_f_FP_Gevinstejer_"&amp;ROWS(AQ920:INDIRECT("Businesscasen_f_BCM_subcat5_Table1_start",TRUE))-3&amp;"_VS",TRUE),0,35)</f>
        <v>#VALUE!</v>
      </c>
      <c r="AR920" s="191">
        <f t="shared" ref="AR920:AR921" ca="1" si="115">SUM(AU920:CZ920)</f>
        <v>0</v>
      </c>
      <c r="AS920" s="441" t="e">
        <f ca="1">AR920/OFFSET(Businesscasen_f_BCM_subcat5_Table1_start,ROW(Businesscasen_f_BCM_subcat5_Table1_end)-ROW(Businesscasen_f_BCM_subcat5_Table1_start),1)</f>
        <v>#DIV/0!</v>
      </c>
      <c r="AT920" s="442"/>
      <c r="AU920" s="189">
        <f ca="1">(SUMIFS(IF(MasterSheet_f_FP_CfgGroup2R2_VS,'Drift - fremtidig uden projektC'!$P:$P,'Drift - fremtidig uden projektC'!$O:$O),'Drift - fremtidig uden projektC'!$D:$D,OFFSET(Businesscasen_f_BCM_subcat5_Table1_start,ROW()-ROW(Businesscasen_f_BCM_subcat5_Table1_start),0),'Drift - fremtidig uden projektC'!$E:$E,OFFSET(Businesscasen_f_BCM_subcat5_Table1_start,0,COLUMN()-COLUMN(Businesscasen_f_BCM_subcat5_Table1_start)))-SUMIFS(IF(MasterSheet_f_FP_CfgGroup2R2_VS,'Drift - med projektC'!$P:$P,'Drift - med projektC'!$O:$O),'Drift - med projektC'!$D:$D,OFFSET(Businesscasen_f_BCM_subcat5_Table1_start,ROW()-ROW(Businesscasen_f_BCM_subcat5_Table1_start),0),'Drift - med projektC'!$E:$E,OFFSET(Businesscasen_f_BCM_subcat5_Table1_start,0,COLUMN()-COLUMN(Businesscasen_f_BCM_subcat5_Table1_start))))/1000</f>
        <v>0</v>
      </c>
      <c r="AV920" s="189">
        <f ca="1">(SUMIFS(IF(MasterSheet_f_FP_CfgGroup2R2_VS,'Drift - fremtidig uden projektC'!$P:$P,'Drift - fremtidig uden projektC'!$O:$O),'Drift - fremtidig uden projektC'!$D:$D,OFFSET(Businesscasen_f_BCM_subcat5_Table1_start,ROW()-ROW(Businesscasen_f_BCM_subcat5_Table1_start),0),'Drift - fremtidig uden projektC'!$E:$E,OFFSET(Businesscasen_f_BCM_subcat5_Table1_start,0,COLUMN()-COLUMN(Businesscasen_f_BCM_subcat5_Table1_start)))-SUMIFS(IF(MasterSheet_f_FP_CfgGroup2R2_VS,'Drift - med projektC'!$P:$P,'Drift - med projektC'!$O:$O),'Drift - med projektC'!$D:$D,OFFSET(Businesscasen_f_BCM_subcat5_Table1_start,ROW()-ROW(Businesscasen_f_BCM_subcat5_Table1_start),0),'Drift - med projektC'!$E:$E,OFFSET(Businesscasen_f_BCM_subcat5_Table1_start,0,COLUMN()-COLUMN(Businesscasen_f_BCM_subcat5_Table1_start))))/1000</f>
        <v>0</v>
      </c>
      <c r="AW920"/>
      <c r="AX920"/>
      <c r="AY920"/>
      <c r="AZ920"/>
      <c r="BA920"/>
      <c r="BB920"/>
      <c r="BC920"/>
      <c r="BD920"/>
      <c r="BE920"/>
      <c r="BF920"/>
      <c r="BG920"/>
      <c r="BH920"/>
      <c r="BI920"/>
      <c r="BJ920"/>
      <c r="BK920"/>
      <c r="BL920"/>
      <c r="BM920"/>
      <c r="BN920"/>
      <c r="BO920"/>
      <c r="BP920"/>
      <c r="BQ920"/>
      <c r="BR920"/>
      <c r="BS920"/>
      <c r="BT920"/>
      <c r="BU920"/>
      <c r="BV920"/>
      <c r="BW920"/>
      <c r="BX920"/>
      <c r="BY920"/>
      <c r="BZ920"/>
      <c r="CA920"/>
      <c r="CB920"/>
      <c r="CC920"/>
      <c r="CD920"/>
      <c r="CE920"/>
      <c r="CF920"/>
      <c r="CG920"/>
      <c r="CH920"/>
      <c r="CI920"/>
      <c r="CJ920"/>
      <c r="CK920"/>
      <c r="CL920"/>
      <c r="CM920"/>
      <c r="CN920"/>
      <c r="CO920"/>
      <c r="CP920"/>
      <c r="CQ920"/>
      <c r="CR920"/>
      <c r="CS920"/>
      <c r="CT920"/>
      <c r="CU920"/>
      <c r="CV920"/>
      <c r="CW920"/>
      <c r="CX920"/>
      <c r="CY920"/>
      <c r="CZ920"/>
      <c r="DA920"/>
      <c r="DB920"/>
      <c r="DC920"/>
      <c r="DD920"/>
      <c r="DE920"/>
      <c r="DF920"/>
      <c r="DG920"/>
      <c r="DH920"/>
      <c r="DI920"/>
      <c r="DJ920"/>
      <c r="DK920"/>
      <c r="DL920"/>
      <c r="DM920"/>
      <c r="DN920"/>
      <c r="DO920"/>
      <c r="DP920"/>
      <c r="DQ920"/>
      <c r="DR920"/>
      <c r="DS920"/>
      <c r="DT920"/>
      <c r="DU920"/>
      <c r="DV920"/>
      <c r="DW920"/>
      <c r="DX920"/>
      <c r="DY920"/>
      <c r="DZ920"/>
      <c r="EA920"/>
      <c r="EB920"/>
      <c r="EC920"/>
      <c r="ED920"/>
      <c r="EE920"/>
      <c r="EF920"/>
      <c r="EG920"/>
      <c r="EH920"/>
      <c r="EI920"/>
      <c r="EJ920"/>
      <c r="EK920"/>
      <c r="EL920"/>
      <c r="EM920"/>
      <c r="EN920"/>
      <c r="EO920"/>
      <c r="EP920"/>
      <c r="EQ920"/>
    </row>
    <row r="921" spans="1:147" ht="16.5" customHeight="1" x14ac:dyDescent="0.25">
      <c r="A921" s="113">
        <f>$A$919+0</f>
        <v>78</v>
      </c>
      <c r="B921" s="113" t="s">
        <v>1123</v>
      </c>
      <c r="C921" s="113" t="s">
        <v>92</v>
      </c>
      <c r="D921" s="113"/>
      <c r="E921" s="113" t="s">
        <v>683</v>
      </c>
      <c r="F921" s="113" t="s">
        <v>545</v>
      </c>
      <c r="G921" s="113" t="s">
        <v>406</v>
      </c>
      <c r="H921" s="113">
        <v>1</v>
      </c>
      <c r="I921" s="113"/>
      <c r="J921" s="113" t="b">
        <f>$H$5</f>
        <v>1</v>
      </c>
      <c r="K921" s="113" t="b">
        <v>1</v>
      </c>
      <c r="L921" s="113"/>
      <c r="M921" s="113"/>
      <c r="N921" s="113"/>
      <c r="O921" s="113" t="str">
        <f>"$B$"&amp;A921</f>
        <v>$B$78</v>
      </c>
      <c r="P921" s="113" t="str">
        <f>"$BK$"&amp;A921</f>
        <v>$BK$78</v>
      </c>
      <c r="Q921" s="113"/>
      <c r="R921" s="113"/>
      <c r="S921" s="113"/>
      <c r="T921" s="113"/>
      <c r="U921" s="113" t="b">
        <v>1</v>
      </c>
      <c r="V921" s="113" t="s">
        <v>1342</v>
      </c>
      <c r="W921" s="113" t="s">
        <v>1342</v>
      </c>
      <c r="X921" s="113"/>
      <c r="Y921" s="113"/>
      <c r="Z921" s="113"/>
      <c r="AA921" s="113"/>
      <c r="AB921" s="113"/>
      <c r="AC921" s="113">
        <v>5</v>
      </c>
      <c r="AD921" s="113" t="s">
        <v>105</v>
      </c>
      <c r="AE921" s="113">
        <v>14</v>
      </c>
      <c r="AF921" s="113"/>
      <c r="AG921" s="113" t="s">
        <v>1360</v>
      </c>
      <c r="AH921" s="113" t="s">
        <v>29</v>
      </c>
      <c r="AI921" s="113" t="s">
        <v>28</v>
      </c>
      <c r="AJ921" s="113"/>
      <c r="AK921" s="113" t="s">
        <v>1342</v>
      </c>
      <c r="AL921" s="113">
        <v>5</v>
      </c>
      <c r="AM921" s="113"/>
      <c r="AN921" s="113"/>
      <c r="AO921" s="113"/>
      <c r="AP921" s="113" t="b">
        <v>1</v>
      </c>
      <c r="AQ921" s="217" t="e">
        <f ca="1">OFFSET(INDIRECT("MasterSheet_f_FP_Gevinstejer_"&amp;ROWS(AQ921:INDIRECT("Businesscasen_f_BCM_subcat5_Table1_start",TRUE))-3&amp;"_VS",TRUE),0,35)</f>
        <v>#VALUE!</v>
      </c>
      <c r="AR921" s="191">
        <f t="shared" ca="1" si="115"/>
        <v>0</v>
      </c>
      <c r="AS921" s="441" t="e">
        <f ca="1">AR921/OFFSET(Businesscasen_f_BCM_subcat5_Table1_start,ROW(Businesscasen_f_BCM_subcat5_Table1_end)-ROW(Businesscasen_f_BCM_subcat5_Table1_start),1)</f>
        <v>#DIV/0!</v>
      </c>
      <c r="AT921" s="442"/>
      <c r="AU921" s="189">
        <f ca="1">(SUMIFS(IF(MasterSheet_f_FP_CfgGroup2R2_VS,'Drift - fremtidig uden projektC'!$P:$P,'Drift - fremtidig uden projektC'!$O:$O),'Drift - fremtidig uden projektC'!$D:$D,OFFSET(Businesscasen_f_BCM_subcat5_Table1_start,ROW()-ROW(Businesscasen_f_BCM_subcat5_Table1_start),0),'Drift - fremtidig uden projektC'!$E:$E,OFFSET(Businesscasen_f_BCM_subcat5_Table1_start,0,COLUMN()-COLUMN(Businesscasen_f_BCM_subcat5_Table1_start)))-SUMIFS(IF(MasterSheet_f_FP_CfgGroup2R2_VS,'Drift - med projektC'!$P:$P,'Drift - med projektC'!$O:$O),'Drift - med projektC'!$D:$D,OFFSET(Businesscasen_f_BCM_subcat5_Table1_start,ROW()-ROW(Businesscasen_f_BCM_subcat5_Table1_start),0),'Drift - med projektC'!$E:$E,OFFSET(Businesscasen_f_BCM_subcat5_Table1_start,0,COLUMN()-COLUMN(Businesscasen_f_BCM_subcat5_Table1_start))))/1000</f>
        <v>0</v>
      </c>
      <c r="AV921" s="189">
        <f ca="1">(SUMIFS(IF(MasterSheet_f_FP_CfgGroup2R2_VS,'Drift - fremtidig uden projektC'!$P:$P,'Drift - fremtidig uden projektC'!$O:$O),'Drift - fremtidig uden projektC'!$D:$D,OFFSET(Businesscasen_f_BCM_subcat5_Table1_start,ROW()-ROW(Businesscasen_f_BCM_subcat5_Table1_start),0),'Drift - fremtidig uden projektC'!$E:$E,OFFSET(Businesscasen_f_BCM_subcat5_Table1_start,0,COLUMN()-COLUMN(Businesscasen_f_BCM_subcat5_Table1_start)))-SUMIFS(IF(MasterSheet_f_FP_CfgGroup2R2_VS,'Drift - med projektC'!$P:$P,'Drift - med projektC'!$O:$O),'Drift - med projektC'!$D:$D,OFFSET(Businesscasen_f_BCM_subcat5_Table1_start,ROW()-ROW(Businesscasen_f_BCM_subcat5_Table1_start),0),'Drift - med projektC'!$E:$E,OFFSET(Businesscasen_f_BCM_subcat5_Table1_start,0,COLUMN()-COLUMN(Businesscasen_f_BCM_subcat5_Table1_start))))/1000</f>
        <v>0</v>
      </c>
      <c r="AW921"/>
      <c r="AX921"/>
      <c r="AY921"/>
      <c r="AZ921"/>
      <c r="BA921"/>
      <c r="BB921"/>
      <c r="BC921"/>
      <c r="BD921"/>
      <c r="BE921"/>
      <c r="BF921"/>
      <c r="BG921"/>
      <c r="BH921"/>
      <c r="BI921"/>
      <c r="BJ921"/>
      <c r="BK921"/>
      <c r="BL921"/>
      <c r="BM921"/>
      <c r="BN921"/>
      <c r="BO921"/>
      <c r="BP921"/>
      <c r="BQ921"/>
      <c r="BR921"/>
      <c r="BS921"/>
      <c r="BT921"/>
      <c r="BU921"/>
      <c r="BV921"/>
      <c r="BW921"/>
      <c r="BX921"/>
      <c r="BY921"/>
      <c r="BZ921"/>
      <c r="CA921"/>
      <c r="CB921"/>
      <c r="CC921"/>
      <c r="CD921"/>
      <c r="CE921"/>
      <c r="CF921"/>
      <c r="CG921"/>
      <c r="CH921"/>
      <c r="CI921"/>
      <c r="CJ921"/>
      <c r="CK921"/>
      <c r="CL921"/>
      <c r="CM921"/>
      <c r="CN921"/>
      <c r="CO921"/>
      <c r="CP921"/>
      <c r="CQ921"/>
      <c r="CR921"/>
      <c r="CS921"/>
      <c r="CT921"/>
      <c r="CU921"/>
      <c r="CV921"/>
      <c r="CW921"/>
      <c r="CX921"/>
      <c r="CY921"/>
      <c r="CZ921"/>
      <c r="DA921"/>
      <c r="DB921"/>
      <c r="DC921"/>
      <c r="DD921"/>
      <c r="DE921"/>
      <c r="DF921"/>
      <c r="DG921"/>
      <c r="DH921"/>
      <c r="DI921"/>
      <c r="DJ921"/>
      <c r="DK921"/>
      <c r="DL921"/>
      <c r="DM921"/>
      <c r="DN921"/>
      <c r="DO921"/>
      <c r="DP921"/>
      <c r="DQ921"/>
      <c r="DR921"/>
      <c r="DS921"/>
      <c r="DT921"/>
      <c r="DU921"/>
      <c r="DV921"/>
      <c r="DW921"/>
      <c r="DX921"/>
      <c r="DY921"/>
      <c r="DZ921"/>
      <c r="EA921"/>
      <c r="EB921"/>
      <c r="EC921"/>
      <c r="ED921"/>
      <c r="EE921"/>
      <c r="EF921"/>
      <c r="EG921"/>
      <c r="EH921"/>
      <c r="EI921"/>
      <c r="EJ921"/>
      <c r="EK921"/>
      <c r="EL921"/>
      <c r="EM921"/>
      <c r="EN921"/>
      <c r="EO921"/>
      <c r="EP921"/>
      <c r="EQ921"/>
    </row>
    <row r="922" spans="1:147" ht="16.5" customHeight="1" x14ac:dyDescent="0.25">
      <c r="A922" s="107">
        <f>$O$919+(P919-O919+1)*(H919-1)-1</f>
        <v>78</v>
      </c>
      <c r="B922" s="107" t="s">
        <v>683</v>
      </c>
      <c r="C922" s="107" t="s">
        <v>663</v>
      </c>
      <c r="D922" s="107" t="s">
        <v>1096</v>
      </c>
      <c r="E922" s="107"/>
      <c r="F922" s="107" t="s">
        <v>545</v>
      </c>
      <c r="G922" s="107" t="s">
        <v>406</v>
      </c>
      <c r="H922" s="107"/>
      <c r="I922" s="107"/>
      <c r="J922" s="107" t="b">
        <f t="shared" ref="J922:J932" si="116">$H$5</f>
        <v>1</v>
      </c>
      <c r="K922" s="107"/>
      <c r="L922" s="107"/>
      <c r="M922" s="107"/>
      <c r="N922" s="107"/>
      <c r="O922" s="107"/>
      <c r="P922" s="107"/>
      <c r="Q922" s="107"/>
      <c r="R922" s="107"/>
      <c r="S922" s="107"/>
      <c r="T922" s="107"/>
      <c r="U922" s="107"/>
      <c r="V922" s="107"/>
      <c r="W922" s="107"/>
      <c r="X922" s="107"/>
      <c r="Y922" s="107"/>
      <c r="Z922" s="107"/>
      <c r="AA922" s="107"/>
      <c r="AB922" s="107"/>
      <c r="AC922" s="107"/>
      <c r="AD922" s="107"/>
      <c r="AE922" s="107"/>
      <c r="AF922" s="107"/>
      <c r="AG922" s="107"/>
      <c r="AH922" s="107"/>
      <c r="AI922" s="107"/>
      <c r="AJ922" s="107"/>
      <c r="AK922" s="107"/>
      <c r="AL922" s="107"/>
      <c r="AM922" s="107"/>
      <c r="AN922" s="107"/>
      <c r="AO922" s="107"/>
      <c r="AP922" s="107"/>
      <c r="AQ922" s="216"/>
      <c r="AR922" s="199"/>
      <c r="AS922" s="443"/>
      <c r="AT922" s="443"/>
      <c r="AU922" s="218"/>
      <c r="AV922" s="218"/>
      <c r="AW922"/>
      <c r="AX922"/>
      <c r="AY922"/>
      <c r="AZ922"/>
      <c r="BA922"/>
      <c r="BB922"/>
      <c r="BC922"/>
      <c r="BD922"/>
      <c r="BE922"/>
      <c r="BF922"/>
      <c r="BG922"/>
      <c r="BH922"/>
      <c r="BI922"/>
      <c r="BJ922"/>
      <c r="BK922"/>
      <c r="BL922"/>
      <c r="BM922"/>
      <c r="BN922"/>
      <c r="BO922"/>
      <c r="BP922"/>
      <c r="BQ922"/>
      <c r="BR922"/>
      <c r="BS922"/>
      <c r="BT922"/>
      <c r="BU922"/>
      <c r="BV922"/>
      <c r="BW922"/>
      <c r="BX922"/>
      <c r="BY922"/>
      <c r="BZ922"/>
      <c r="CA922"/>
      <c r="CB922"/>
      <c r="CC922"/>
      <c r="CD922"/>
      <c r="CE922"/>
      <c r="CF922"/>
      <c r="CG922"/>
      <c r="CH922"/>
      <c r="CI922"/>
      <c r="CJ922"/>
      <c r="CK922"/>
      <c r="CL922"/>
      <c r="CM922"/>
      <c r="CN922"/>
      <c r="CO922"/>
      <c r="CP922"/>
      <c r="CQ922"/>
      <c r="CR922"/>
      <c r="CS922"/>
      <c r="CT922"/>
      <c r="CU922"/>
      <c r="CV922"/>
      <c r="CW922"/>
      <c r="CX922"/>
      <c r="CY922"/>
      <c r="CZ922"/>
      <c r="DA922"/>
      <c r="DB922"/>
      <c r="DC922"/>
      <c r="DD922"/>
      <c r="DE922"/>
      <c r="DF922"/>
      <c r="DG922"/>
      <c r="DH922"/>
      <c r="DI922"/>
      <c r="DJ922"/>
      <c r="DK922"/>
      <c r="DL922"/>
      <c r="DM922"/>
      <c r="DN922"/>
      <c r="DO922"/>
      <c r="DP922"/>
      <c r="DQ922"/>
      <c r="DR922"/>
      <c r="DS922"/>
      <c r="DT922"/>
      <c r="DU922"/>
      <c r="DV922"/>
      <c r="DW922"/>
      <c r="DX922"/>
      <c r="DY922"/>
      <c r="DZ922"/>
      <c r="EA922"/>
      <c r="EB922"/>
      <c r="EC922"/>
      <c r="ED922"/>
      <c r="EE922"/>
      <c r="EF922"/>
      <c r="EG922"/>
      <c r="EH922"/>
      <c r="EI922"/>
      <c r="EJ922"/>
      <c r="EK922"/>
      <c r="EL922"/>
      <c r="EM922"/>
      <c r="EN922"/>
      <c r="EO922"/>
      <c r="EP922"/>
      <c r="EQ922"/>
    </row>
    <row r="923" spans="1:147" ht="16.5" customHeight="1" x14ac:dyDescent="0.25">
      <c r="A923" s="113">
        <f>$A$922+1</f>
        <v>79</v>
      </c>
      <c r="B923" s="113" t="s">
        <v>1437</v>
      </c>
      <c r="C923" s="113" t="s">
        <v>92</v>
      </c>
      <c r="D923" s="113"/>
      <c r="E923" s="113"/>
      <c r="F923" s="113" t="s">
        <v>545</v>
      </c>
      <c r="G923" s="113" t="s">
        <v>406</v>
      </c>
      <c r="H923" s="113"/>
      <c r="I923" s="113"/>
      <c r="J923" s="113" t="b">
        <f t="shared" si="116"/>
        <v>1</v>
      </c>
      <c r="K923" s="113" t="b">
        <v>1</v>
      </c>
      <c r="L923" s="113"/>
      <c r="M923" s="113"/>
      <c r="N923" s="113"/>
      <c r="O923" s="113" t="str">
        <f>"$B$"&amp;A923</f>
        <v>$B$79</v>
      </c>
      <c r="P923" s="113" t="str">
        <f>"$BK$"&amp;A923</f>
        <v>$BK$79</v>
      </c>
      <c r="Q923" s="113"/>
      <c r="R923" s="113"/>
      <c r="S923" s="113"/>
      <c r="T923" s="113"/>
      <c r="U923" s="113"/>
      <c r="V923" s="113" t="s">
        <v>1342</v>
      </c>
      <c r="W923" s="113"/>
      <c r="X923" s="113"/>
      <c r="Y923" s="113"/>
      <c r="Z923" s="113"/>
      <c r="AA923" s="113"/>
      <c r="AB923" s="113"/>
      <c r="AC923" s="113"/>
      <c r="AD923" s="113"/>
      <c r="AE923" s="113"/>
      <c r="AF923" s="113"/>
      <c r="AG923" s="113"/>
      <c r="AH923" s="113"/>
      <c r="AI923" s="113"/>
      <c r="AJ923" s="113"/>
      <c r="AK923" s="113"/>
      <c r="AL923" s="113">
        <v>1</v>
      </c>
      <c r="AM923" s="113"/>
      <c r="AN923" s="113"/>
      <c r="AO923" s="113"/>
      <c r="AP923" s="113" t="b">
        <v>1</v>
      </c>
      <c r="AQ923" s="219"/>
      <c r="AR923" s="220"/>
      <c r="AS923" s="444"/>
      <c r="AT923" s="445"/>
      <c r="AU923" s="221"/>
      <c r="AV923" s="221"/>
      <c r="AW923"/>
      <c r="AX923"/>
      <c r="AY923"/>
      <c r="AZ923"/>
      <c r="BA923"/>
      <c r="BB923"/>
      <c r="BC923"/>
      <c r="BD923"/>
      <c r="BE923"/>
      <c r="BF923"/>
      <c r="BG923"/>
      <c r="BH923"/>
      <c r="BI923"/>
      <c r="BJ923"/>
      <c r="BK923"/>
      <c r="BL923"/>
      <c r="BM923"/>
      <c r="BN923"/>
      <c r="BO923"/>
      <c r="BP923"/>
      <c r="BQ923"/>
      <c r="BR923"/>
      <c r="BS923"/>
      <c r="BT923"/>
      <c r="BU923"/>
      <c r="BV923"/>
      <c r="BW923"/>
      <c r="BX923"/>
      <c r="BY923"/>
      <c r="BZ923"/>
      <c r="CA923"/>
      <c r="CB923"/>
      <c r="CC923"/>
      <c r="CD923"/>
      <c r="CE923"/>
      <c r="CF923"/>
      <c r="CG923"/>
      <c r="CH923"/>
      <c r="CI923"/>
      <c r="CJ923"/>
      <c r="CK923"/>
      <c r="CL923"/>
      <c r="CM923"/>
      <c r="CN923"/>
      <c r="CO923"/>
      <c r="CP923"/>
      <c r="CQ923"/>
      <c r="CR923"/>
      <c r="CS923"/>
      <c r="CT923"/>
      <c r="CU923"/>
      <c r="CV923"/>
      <c r="CW923"/>
      <c r="CX923"/>
      <c r="CY923"/>
      <c r="CZ923"/>
      <c r="DA923"/>
      <c r="DB923"/>
      <c r="DC923"/>
      <c r="DD923"/>
      <c r="DE923"/>
      <c r="DF923"/>
      <c r="DG923"/>
      <c r="DH923"/>
      <c r="DI923"/>
      <c r="DJ923"/>
      <c r="DK923"/>
      <c r="DL923"/>
      <c r="DM923"/>
      <c r="DN923"/>
      <c r="DO923"/>
      <c r="DP923"/>
      <c r="DQ923"/>
      <c r="DR923"/>
      <c r="DS923"/>
      <c r="DT923"/>
      <c r="DU923"/>
      <c r="DV923"/>
      <c r="DW923"/>
      <c r="DX923"/>
      <c r="DY923"/>
      <c r="DZ923"/>
      <c r="EA923"/>
      <c r="EB923"/>
      <c r="EC923"/>
      <c r="ED923"/>
      <c r="EE923"/>
      <c r="EF923"/>
      <c r="EG923"/>
      <c r="EH923"/>
      <c r="EI923"/>
      <c r="EJ923"/>
      <c r="EK923"/>
      <c r="EL923"/>
      <c r="EM923"/>
      <c r="EN923"/>
      <c r="EO923"/>
      <c r="EP923"/>
      <c r="EQ923"/>
    </row>
    <row r="924" spans="1:147" ht="16.5" customHeight="1" thickBot="1" x14ac:dyDescent="0.3">
      <c r="A924" s="113">
        <f>$A$922+2</f>
        <v>80</v>
      </c>
      <c r="B924" s="113" t="s">
        <v>547</v>
      </c>
      <c r="C924" s="113" t="s">
        <v>92</v>
      </c>
      <c r="D924" s="113"/>
      <c r="E924" s="113"/>
      <c r="F924" s="113" t="s">
        <v>545</v>
      </c>
      <c r="G924" s="113" t="s">
        <v>406</v>
      </c>
      <c r="H924" s="113"/>
      <c r="I924" s="113"/>
      <c r="J924" s="113" t="b">
        <f t="shared" si="116"/>
        <v>1</v>
      </c>
      <c r="K924" s="113" t="b">
        <v>1</v>
      </c>
      <c r="L924" s="113"/>
      <c r="M924" s="113"/>
      <c r="N924" s="113"/>
      <c r="O924" s="113" t="str">
        <f>"$B$"&amp;A924</f>
        <v>$B$80</v>
      </c>
      <c r="P924" s="113" t="str">
        <f>"$BK$"&amp;A924</f>
        <v>$BK$80</v>
      </c>
      <c r="Q924" s="113"/>
      <c r="R924" s="113"/>
      <c r="S924" s="113"/>
      <c r="T924" s="113"/>
      <c r="U924" s="113"/>
      <c r="V924" s="113" t="s">
        <v>1342</v>
      </c>
      <c r="W924" s="113"/>
      <c r="X924" s="113"/>
      <c r="Y924" s="113"/>
      <c r="Z924" s="113"/>
      <c r="AA924" s="113"/>
      <c r="AB924" s="113"/>
      <c r="AC924" s="113"/>
      <c r="AD924" s="113"/>
      <c r="AE924" s="113"/>
      <c r="AF924" s="113"/>
      <c r="AG924" s="113"/>
      <c r="AH924" s="113"/>
      <c r="AI924" s="113"/>
      <c r="AJ924" s="113"/>
      <c r="AK924" s="113"/>
      <c r="AL924" s="113">
        <v>1</v>
      </c>
      <c r="AM924" s="113"/>
      <c r="AN924" s="113"/>
      <c r="AO924" s="113"/>
      <c r="AP924" s="113" t="b">
        <v>1</v>
      </c>
      <c r="AQ924" s="222" t="s">
        <v>413</v>
      </c>
      <c r="AR924" s="194">
        <f ca="1">SUM(AR920:AR923)</f>
        <v>0</v>
      </c>
      <c r="AS924" s="430" t="e">
        <f ca="1">SUM(AS920:AT923)</f>
        <v>#DIV/0!</v>
      </c>
      <c r="AT924" s="431"/>
      <c r="AU924" s="194">
        <f t="shared" ref="AU924" ca="1" si="117">SUM(AU920:AU923)</f>
        <v>0</v>
      </c>
      <c r="AV924" s="194">
        <f t="shared" ref="AV924" ca="1" si="118">SUM(AV920:AV923)</f>
        <v>0</v>
      </c>
      <c r="AW924"/>
      <c r="AX924"/>
      <c r="AY924"/>
      <c r="AZ924"/>
      <c r="BA924"/>
      <c r="BB924"/>
      <c r="BC924"/>
      <c r="BD924"/>
      <c r="BE924"/>
      <c r="BF924"/>
      <c r="BG924"/>
      <c r="BH924"/>
      <c r="BI924"/>
      <c r="BJ924"/>
      <c r="BK924"/>
      <c r="BL924"/>
      <c r="BM924"/>
      <c r="BN924"/>
      <c r="BO924"/>
      <c r="BP924"/>
      <c r="BQ924"/>
      <c r="BR924"/>
      <c r="BS924"/>
      <c r="BT924"/>
      <c r="BU924"/>
      <c r="BV924"/>
      <c r="BW924"/>
      <c r="BX924"/>
      <c r="BY924"/>
      <c r="BZ924"/>
      <c r="CA924"/>
      <c r="CB924"/>
      <c r="CC924"/>
      <c r="CD924"/>
      <c r="CE924"/>
      <c r="CF924"/>
      <c r="CG924"/>
      <c r="CH924"/>
      <c r="CI924"/>
      <c r="CJ924"/>
      <c r="CK924"/>
      <c r="CL924"/>
      <c r="CM924"/>
      <c r="CN924"/>
      <c r="CO924"/>
      <c r="CP924"/>
      <c r="CQ924"/>
      <c r="CR924"/>
      <c r="CS924"/>
      <c r="CT924"/>
      <c r="CU924"/>
      <c r="CV924"/>
      <c r="CW924"/>
      <c r="CX924"/>
      <c r="CY924"/>
      <c r="CZ924"/>
      <c r="DA924"/>
      <c r="DB924"/>
      <c r="DC924"/>
      <c r="DD924"/>
      <c r="DE924"/>
      <c r="DF924"/>
      <c r="DG924"/>
      <c r="DH924"/>
      <c r="DI924"/>
      <c r="DJ924"/>
      <c r="DK924"/>
      <c r="DL924"/>
      <c r="DM924"/>
      <c r="DN924"/>
      <c r="DO924"/>
      <c r="DP924"/>
      <c r="DQ924"/>
      <c r="DR924"/>
      <c r="DS924"/>
      <c r="DT924"/>
      <c r="DU924"/>
      <c r="DV924"/>
      <c r="DW924"/>
      <c r="DX924"/>
      <c r="DY924"/>
      <c r="DZ924"/>
      <c r="EA924"/>
      <c r="EB924"/>
      <c r="EC924"/>
      <c r="ED924"/>
      <c r="EE924"/>
      <c r="EF924"/>
      <c r="EG924"/>
      <c r="EH924"/>
      <c r="EI924"/>
      <c r="EJ924"/>
      <c r="EK924"/>
      <c r="EL924"/>
      <c r="EM924"/>
      <c r="EN924"/>
      <c r="EO924"/>
      <c r="EP924"/>
      <c r="EQ924"/>
    </row>
    <row r="925" spans="1:147" ht="16.5" customHeight="1" x14ac:dyDescent="0.2">
      <c r="A925" s="103">
        <f>$A$922+5</f>
        <v>83</v>
      </c>
      <c r="B925" s="103" t="s">
        <v>548</v>
      </c>
      <c r="C925" s="103" t="s">
        <v>654</v>
      </c>
      <c r="D925" s="103"/>
      <c r="E925" s="103"/>
      <c r="F925" s="103"/>
      <c r="G925" s="103" t="s">
        <v>406</v>
      </c>
      <c r="H925" s="103"/>
      <c r="I925" s="103" t="s">
        <v>428</v>
      </c>
      <c r="J925" s="103" t="b">
        <f t="shared" si="116"/>
        <v>1</v>
      </c>
      <c r="K925" s="103" t="b">
        <v>1</v>
      </c>
      <c r="L925" s="103"/>
      <c r="M925" s="103"/>
      <c r="N925" s="103" t="s">
        <v>59</v>
      </c>
      <c r="O925" s="103" t="str">
        <f>"$B$"&amp;A925</f>
        <v>$B$83</v>
      </c>
      <c r="P925" s="103" t="str">
        <f>"$S$"&amp;A938-1</f>
        <v>$S$93</v>
      </c>
      <c r="Q925" s="103"/>
      <c r="R925" s="103">
        <v>1</v>
      </c>
      <c r="S925" s="103"/>
      <c r="T925" s="103">
        <v>27</v>
      </c>
      <c r="U925" s="103" t="b">
        <v>1</v>
      </c>
      <c r="V925" s="103" t="s">
        <v>1352</v>
      </c>
      <c r="W925" s="103" t="s">
        <v>1352</v>
      </c>
      <c r="X925" s="103"/>
      <c r="Y925" s="103"/>
      <c r="Z925" s="103"/>
      <c r="AA925" s="103"/>
      <c r="AB925" s="103"/>
      <c r="AC925" s="103">
        <v>7</v>
      </c>
      <c r="AD925" s="103" t="s">
        <v>105</v>
      </c>
      <c r="AE925" s="103">
        <v>20</v>
      </c>
      <c r="AF925" s="103" t="b">
        <v>1</v>
      </c>
      <c r="AG925" s="103" t="s">
        <v>1351</v>
      </c>
      <c r="AH925" s="103" t="s">
        <v>29</v>
      </c>
      <c r="AI925" s="103" t="s">
        <v>28</v>
      </c>
      <c r="AJ925" s="103"/>
      <c r="AK925" s="103"/>
      <c r="AL925" s="103">
        <v>0</v>
      </c>
      <c r="AM925" s="103"/>
      <c r="AN925" s="103"/>
      <c r="AO925" s="103"/>
      <c r="AP925" s="103"/>
      <c r="AQ925" s="93" t="s">
        <v>428</v>
      </c>
    </row>
    <row r="926" spans="1:147" ht="16.5" customHeight="1" x14ac:dyDescent="0.2">
      <c r="A926" s="81">
        <f>$A$925+0</f>
        <v>83</v>
      </c>
      <c r="B926" s="81" t="s">
        <v>971</v>
      </c>
      <c r="C926" s="81" t="s">
        <v>512</v>
      </c>
      <c r="D926" s="81" t="s">
        <v>961</v>
      </c>
      <c r="E926" s="81"/>
      <c r="F926" s="81"/>
      <c r="G926" s="81" t="s">
        <v>406</v>
      </c>
      <c r="H926" s="81"/>
      <c r="I926" s="81"/>
      <c r="J926" s="81" t="b">
        <f t="shared" si="116"/>
        <v>1</v>
      </c>
      <c r="K926" s="81" t="b">
        <v>1</v>
      </c>
      <c r="L926" s="81" t="b">
        <v>0</v>
      </c>
      <c r="M926" s="81"/>
      <c r="N926" s="81" t="s">
        <v>59</v>
      </c>
      <c r="O926" s="81" t="str">
        <f>"$U$"&amp;A926</f>
        <v>$U$83</v>
      </c>
      <c r="P926" s="81" t="str">
        <f>"$U$"&amp;A949-1</f>
        <v>$U$106</v>
      </c>
      <c r="Q926" s="81"/>
      <c r="R926" s="81">
        <v>1</v>
      </c>
      <c r="S926" s="81">
        <v>-20</v>
      </c>
      <c r="T926" s="81"/>
      <c r="U926" s="81" t="b">
        <f>$I$5</f>
        <v>0</v>
      </c>
      <c r="V926" s="81" t="s">
        <v>1348</v>
      </c>
      <c r="W926" s="81" t="s">
        <v>1348</v>
      </c>
      <c r="X926" s="81"/>
      <c r="Y926" s="81"/>
      <c r="Z926" s="81"/>
      <c r="AA926" s="81"/>
      <c r="AB926" s="81"/>
      <c r="AC926" s="81"/>
      <c r="AD926" s="81"/>
      <c r="AE926" s="81"/>
      <c r="AF926" s="81"/>
      <c r="AG926" s="81"/>
      <c r="AH926" s="81"/>
      <c r="AI926" s="81"/>
      <c r="AJ926" s="81"/>
      <c r="AK926" s="81"/>
      <c r="AL926" s="81">
        <v>-10</v>
      </c>
      <c r="AM926" s="81">
        <v>5</v>
      </c>
      <c r="AN926" s="81"/>
      <c r="AO926" s="81"/>
      <c r="AP926" s="81"/>
    </row>
    <row r="927" spans="1:147" ht="16.5" customHeight="1" x14ac:dyDescent="0.2">
      <c r="A927" s="112">
        <f>$A$925+2</f>
        <v>85</v>
      </c>
      <c r="B927" s="112" t="s">
        <v>549</v>
      </c>
      <c r="C927" s="112" t="s">
        <v>90</v>
      </c>
      <c r="D927" s="112"/>
      <c r="E927" s="112"/>
      <c r="F927" s="112"/>
      <c r="G927" s="112" t="s">
        <v>406</v>
      </c>
      <c r="H927" s="112"/>
      <c r="I927" s="112"/>
      <c r="J927" s="112" t="b">
        <f t="shared" si="116"/>
        <v>1</v>
      </c>
      <c r="K927" s="112" t="b">
        <v>1</v>
      </c>
      <c r="L927" s="112"/>
      <c r="M927" s="112"/>
      <c r="N927" s="112"/>
      <c r="O927" s="112" t="str">
        <f>"$B$"&amp;A927</f>
        <v>$B$85</v>
      </c>
      <c r="P927" s="112" t="str">
        <f>"$H$"&amp;A927</f>
        <v>$H$85</v>
      </c>
      <c r="Q927" s="112"/>
      <c r="R927" s="112"/>
      <c r="S927" s="112"/>
      <c r="T927" s="112"/>
      <c r="U927" s="112"/>
      <c r="V927" s="112" t="s">
        <v>1342</v>
      </c>
      <c r="W927" s="112"/>
      <c r="X927" s="112"/>
      <c r="Y927" s="112"/>
      <c r="Z927" s="112"/>
      <c r="AA927" s="112"/>
      <c r="AB927" s="112"/>
      <c r="AC927" s="112"/>
      <c r="AD927" s="112" t="s">
        <v>105</v>
      </c>
      <c r="AE927" s="112">
        <v>12</v>
      </c>
      <c r="AF927" s="112" t="b">
        <v>1</v>
      </c>
      <c r="AG927" s="112" t="s">
        <v>1355</v>
      </c>
      <c r="AH927" s="112" t="s">
        <v>29</v>
      </c>
      <c r="AI927" s="112" t="s">
        <v>28</v>
      </c>
      <c r="AJ927" s="112"/>
      <c r="AK927" s="112"/>
      <c r="AL927" s="112"/>
      <c r="AM927" s="112"/>
      <c r="AN927" s="112"/>
      <c r="AO927" s="112"/>
      <c r="AP927" s="112"/>
    </row>
    <row r="928" spans="1:147" ht="16.5" customHeight="1" x14ac:dyDescent="0.2">
      <c r="A928" s="113">
        <f>$A$927+0</f>
        <v>85</v>
      </c>
      <c r="B928" s="113" t="s">
        <v>550</v>
      </c>
      <c r="C928" s="113" t="s">
        <v>92</v>
      </c>
      <c r="D928" s="113"/>
      <c r="E928" s="113"/>
      <c r="F928" s="113" t="s">
        <v>549</v>
      </c>
      <c r="G928" s="113" t="s">
        <v>406</v>
      </c>
      <c r="H928" s="113"/>
      <c r="I928" s="113"/>
      <c r="J928" s="113" t="b">
        <f t="shared" si="116"/>
        <v>1</v>
      </c>
      <c r="K928" s="113" t="b">
        <v>1</v>
      </c>
      <c r="L928" s="113"/>
      <c r="M928" s="113"/>
      <c r="N928" s="113"/>
      <c r="O928" s="113" t="str">
        <f>"$B$"&amp;A928</f>
        <v>$B$85</v>
      </c>
      <c r="P928" s="113" t="str">
        <f>"$H$"&amp;A928</f>
        <v>$H$85</v>
      </c>
      <c r="Q928" s="113"/>
      <c r="R928" s="113"/>
      <c r="S928" s="113"/>
      <c r="T928" s="113">
        <v>52</v>
      </c>
      <c r="U928" s="113"/>
      <c r="V928" s="113" t="s">
        <v>1342</v>
      </c>
      <c r="W928" s="113"/>
      <c r="X928" s="113"/>
      <c r="Y928" s="113"/>
      <c r="Z928" s="113"/>
      <c r="AA928" s="113"/>
      <c r="AB928" s="113"/>
      <c r="AC928" s="113"/>
      <c r="AD928" s="113"/>
      <c r="AE928" s="113"/>
      <c r="AF928" s="113"/>
      <c r="AG928" s="113"/>
      <c r="AH928" s="113"/>
      <c r="AI928" s="113"/>
      <c r="AJ928" s="113"/>
      <c r="AK928" s="113"/>
      <c r="AL928" s="113">
        <v>1</v>
      </c>
      <c r="AM928" s="113"/>
      <c r="AN928" s="113"/>
      <c r="AO928" s="113"/>
      <c r="AP928" s="113" t="b">
        <v>1</v>
      </c>
      <c r="AQ928" s="359" t="s">
        <v>430</v>
      </c>
      <c r="AR928" s="359"/>
      <c r="AS928" s="359"/>
      <c r="AT928" s="359"/>
      <c r="AU928" s="359"/>
      <c r="AV928" s="359"/>
    </row>
    <row r="929" spans="1:51" ht="16.5" customHeight="1" thickBot="1" x14ac:dyDescent="0.25">
      <c r="A929" s="113">
        <f>$A$927+1</f>
        <v>86</v>
      </c>
      <c r="B929" s="113" t="s">
        <v>551</v>
      </c>
      <c r="C929" s="113" t="s">
        <v>92</v>
      </c>
      <c r="D929" s="113"/>
      <c r="E929" s="113"/>
      <c r="F929" s="113" t="s">
        <v>549</v>
      </c>
      <c r="G929" s="113" t="s">
        <v>406</v>
      </c>
      <c r="H929" s="113"/>
      <c r="I929" s="113"/>
      <c r="J929" s="113" t="b">
        <f t="shared" si="116"/>
        <v>1</v>
      </c>
      <c r="K929" s="113" t="b">
        <v>1</v>
      </c>
      <c r="L929" s="113"/>
      <c r="M929" s="113"/>
      <c r="N929" s="113"/>
      <c r="O929" s="113" t="str">
        <f>"$B$"&amp;A929</f>
        <v>$B$86</v>
      </c>
      <c r="P929" s="113" t="str">
        <f>"$H$"&amp;A929</f>
        <v>$H$86</v>
      </c>
      <c r="Q929" s="113"/>
      <c r="R929" s="113"/>
      <c r="S929" s="113"/>
      <c r="T929" s="113">
        <v>52</v>
      </c>
      <c r="U929" s="113"/>
      <c r="V929" s="113" t="s">
        <v>1342</v>
      </c>
      <c r="W929" s="113"/>
      <c r="X929" s="113"/>
      <c r="Y929" s="113"/>
      <c r="Z929" s="113"/>
      <c r="AA929" s="113"/>
      <c r="AB929" s="113"/>
      <c r="AC929" s="113"/>
      <c r="AD929" s="113"/>
      <c r="AE929" s="113"/>
      <c r="AF929" s="113"/>
      <c r="AG929" s="113"/>
      <c r="AH929" s="113"/>
      <c r="AI929" s="113"/>
      <c r="AJ929" s="113"/>
      <c r="AK929" s="113"/>
      <c r="AL929" s="113">
        <v>1</v>
      </c>
      <c r="AM929" s="113"/>
      <c r="AN929" s="113"/>
      <c r="AO929" s="113"/>
      <c r="AP929" s="113" t="b">
        <v>1</v>
      </c>
      <c r="AQ929" s="145" t="s">
        <v>431</v>
      </c>
      <c r="AR929" s="151" t="s">
        <v>370</v>
      </c>
      <c r="AS929" s="432" t="s">
        <v>631</v>
      </c>
      <c r="AT929" s="433"/>
      <c r="AU929" s="434" t="s">
        <v>432</v>
      </c>
      <c r="AV929" s="435"/>
      <c r="AW929" s="254" t="s">
        <v>1490</v>
      </c>
    </row>
    <row r="930" spans="1:51" ht="16.5" customHeight="1" x14ac:dyDescent="0.2">
      <c r="A930" s="113">
        <f>$A$927+2</f>
        <v>87</v>
      </c>
      <c r="B930" s="113" t="s">
        <v>1434</v>
      </c>
      <c r="C930" s="113" t="s">
        <v>92</v>
      </c>
      <c r="D930" s="113"/>
      <c r="E930" s="113"/>
      <c r="F930" s="113" t="s">
        <v>549</v>
      </c>
      <c r="G930" s="113" t="s">
        <v>406</v>
      </c>
      <c r="H930" s="113"/>
      <c r="I930" s="113"/>
      <c r="J930" s="113" t="b">
        <f t="shared" si="116"/>
        <v>1</v>
      </c>
      <c r="K930" s="113" t="b">
        <v>1</v>
      </c>
      <c r="L930" s="113"/>
      <c r="M930" s="113"/>
      <c r="N930" s="113"/>
      <c r="O930" s="113" t="str">
        <f>"$B$"&amp;A930</f>
        <v>$B$87</v>
      </c>
      <c r="P930" s="113" t="str">
        <f>"$H$"&amp;A930</f>
        <v>$H$87</v>
      </c>
      <c r="Q930" s="113"/>
      <c r="R930" s="113"/>
      <c r="S930" s="113"/>
      <c r="T930" s="113">
        <v>2</v>
      </c>
      <c r="U930" s="113"/>
      <c r="V930" s="113" t="s">
        <v>1342</v>
      </c>
      <c r="W930" s="113"/>
      <c r="X930" s="113"/>
      <c r="Y930" s="113"/>
      <c r="Z930" s="113"/>
      <c r="AA930" s="113"/>
      <c r="AB930" s="113"/>
      <c r="AC930" s="113"/>
      <c r="AD930" s="113"/>
      <c r="AE930" s="113"/>
      <c r="AF930" s="113"/>
      <c r="AG930" s="113"/>
      <c r="AH930" s="113"/>
      <c r="AI930" s="113"/>
      <c r="AJ930" s="113"/>
      <c r="AK930" s="113"/>
      <c r="AL930" s="113">
        <v>1</v>
      </c>
      <c r="AM930" s="113"/>
      <c r="AN930" s="113"/>
      <c r="AO930" s="113"/>
      <c r="AP930" s="113" t="b">
        <v>1</v>
      </c>
      <c r="AQ930" s="137"/>
      <c r="AR930" s="152"/>
      <c r="AS930" s="453"/>
      <c r="AT930" s="454"/>
      <c r="AU930" s="455"/>
      <c r="AV930" s="456"/>
      <c r="AW930" s="259"/>
    </row>
    <row r="931" spans="1:51" ht="16.5" customHeight="1" x14ac:dyDescent="0.2">
      <c r="A931" s="113">
        <f>$A$927+3</f>
        <v>88</v>
      </c>
      <c r="B931" s="113" t="s">
        <v>1436</v>
      </c>
      <c r="C931" s="113" t="s">
        <v>92</v>
      </c>
      <c r="D931" s="113"/>
      <c r="E931" s="113"/>
      <c r="F931" s="113" t="s">
        <v>549</v>
      </c>
      <c r="G931" s="113" t="s">
        <v>406</v>
      </c>
      <c r="H931" s="113"/>
      <c r="I931" s="113"/>
      <c r="J931" s="113" t="b">
        <f t="shared" si="116"/>
        <v>1</v>
      </c>
      <c r="K931" s="113" t="b">
        <v>1</v>
      </c>
      <c r="L931" s="113"/>
      <c r="M931" s="113"/>
      <c r="N931" s="113"/>
      <c r="O931" s="113" t="str">
        <f>"$B$"&amp;A931</f>
        <v>$B$88</v>
      </c>
      <c r="P931" s="113" t="str">
        <f>"$H$"&amp;A931</f>
        <v>$H$88</v>
      </c>
      <c r="Q931" s="113"/>
      <c r="R931" s="113"/>
      <c r="S931" s="113"/>
      <c r="T931" s="113">
        <v>2</v>
      </c>
      <c r="U931" s="113"/>
      <c r="V931" s="113" t="s">
        <v>1342</v>
      </c>
      <c r="W931" s="113"/>
      <c r="X931" s="113"/>
      <c r="Y931" s="113"/>
      <c r="Z931" s="113"/>
      <c r="AA931" s="113"/>
      <c r="AB931" s="113"/>
      <c r="AC931" s="113"/>
      <c r="AD931" s="113"/>
      <c r="AE931" s="113"/>
      <c r="AF931" s="113"/>
      <c r="AG931" s="113"/>
      <c r="AH931" s="113"/>
      <c r="AI931" s="113"/>
      <c r="AJ931" s="113"/>
      <c r="AK931" s="113"/>
      <c r="AL931" s="113">
        <v>1</v>
      </c>
      <c r="AM931" s="113"/>
      <c r="AN931" s="113"/>
      <c r="AO931" s="113"/>
      <c r="AP931" s="113" t="b">
        <v>1</v>
      </c>
      <c r="AQ931" s="137"/>
      <c r="AR931" s="152"/>
      <c r="AS931" s="453"/>
      <c r="AT931" s="454"/>
      <c r="AU931" s="455"/>
      <c r="AV931" s="456"/>
      <c r="AW931" s="259"/>
    </row>
    <row r="932" spans="1:51" ht="16.5" customHeight="1" x14ac:dyDescent="0.2">
      <c r="A932" s="107">
        <f>$A$927+4</f>
        <v>89</v>
      </c>
      <c r="B932" s="107" t="s">
        <v>1444</v>
      </c>
      <c r="C932" s="107" t="s">
        <v>663</v>
      </c>
      <c r="D932" s="107"/>
      <c r="E932" s="107"/>
      <c r="F932" s="107" t="s">
        <v>549</v>
      </c>
      <c r="G932" s="107" t="s">
        <v>406</v>
      </c>
      <c r="H932" s="107">
        <v>2</v>
      </c>
      <c r="I932" s="107">
        <v>1</v>
      </c>
      <c r="J932" s="107" t="b">
        <f t="shared" si="116"/>
        <v>1</v>
      </c>
      <c r="K932" s="107"/>
      <c r="L932" s="107"/>
      <c r="M932" s="107"/>
      <c r="N932" s="107"/>
      <c r="O932" s="107">
        <f>A932</f>
        <v>89</v>
      </c>
      <c r="P932" s="107">
        <f>O932</f>
        <v>89</v>
      </c>
      <c r="Q932" s="107"/>
      <c r="R932" s="107"/>
      <c r="S932" s="107"/>
      <c r="T932" s="107"/>
      <c r="U932" s="107"/>
      <c r="V932" s="107"/>
      <c r="W932" s="107"/>
      <c r="X932" s="107"/>
      <c r="Y932" s="107"/>
      <c r="Z932" s="107"/>
      <c r="AA932" s="107"/>
      <c r="AB932" s="107"/>
      <c r="AC932" s="107"/>
      <c r="AD932" s="107"/>
      <c r="AE932" s="107"/>
      <c r="AF932" s="107"/>
      <c r="AG932" s="107"/>
      <c r="AH932" s="107"/>
      <c r="AI932" s="107"/>
      <c r="AJ932" s="107"/>
      <c r="AK932" s="107"/>
      <c r="AL932" s="107"/>
      <c r="AM932" s="107"/>
      <c r="AN932" s="107"/>
      <c r="AO932" s="107"/>
      <c r="AP932" s="107"/>
      <c r="AQ932" s="149"/>
      <c r="AR932" s="149"/>
      <c r="AS932" s="149"/>
      <c r="AT932" s="149"/>
      <c r="AU932" s="149"/>
      <c r="AV932" s="149"/>
      <c r="AW932" s="259"/>
    </row>
    <row r="933" spans="1:51" ht="16.5" customHeight="1" x14ac:dyDescent="0.2">
      <c r="A933" s="108">
        <f>$A$932+0</f>
        <v>89</v>
      </c>
      <c r="B933" s="113" t="s">
        <v>1487</v>
      </c>
      <c r="C933" s="113" t="s">
        <v>92</v>
      </c>
      <c r="D933" s="113"/>
      <c r="E933" s="113" t="s">
        <v>683</v>
      </c>
      <c r="F933" s="113" t="s">
        <v>549</v>
      </c>
      <c r="G933" s="113" t="s">
        <v>406</v>
      </c>
      <c r="H933" s="113"/>
      <c r="I933" s="113"/>
      <c r="J933" s="113"/>
      <c r="K933" s="113" t="b">
        <v>1</v>
      </c>
      <c r="L933" s="113"/>
      <c r="M933" s="113"/>
      <c r="N933" s="113"/>
      <c r="O933" s="113" t="str">
        <f>"$B$"&amp;A933</f>
        <v>$B$89</v>
      </c>
      <c r="P933" s="113" t="str">
        <f>"$H$"&amp;A933</f>
        <v>$H$89</v>
      </c>
      <c r="Q933" s="113"/>
      <c r="R933" s="113"/>
      <c r="S933" s="113"/>
      <c r="T933" s="113"/>
      <c r="U933" s="113" t="b">
        <v>1</v>
      </c>
      <c r="V933" s="113" t="s">
        <v>1342</v>
      </c>
      <c r="W933" s="113" t="s">
        <v>1342</v>
      </c>
      <c r="X933" s="113"/>
      <c r="Y933" s="113"/>
      <c r="Z933" s="113"/>
      <c r="AA933" s="113"/>
      <c r="AB933" s="113"/>
      <c r="AC933" s="113">
        <v>5</v>
      </c>
      <c r="AD933" s="113" t="s">
        <v>105</v>
      </c>
      <c r="AE933" s="113">
        <v>14</v>
      </c>
      <c r="AF933" s="113"/>
      <c r="AG933" s="113" t="s">
        <v>1360</v>
      </c>
      <c r="AH933" s="113" t="s">
        <v>29</v>
      </c>
      <c r="AI933" s="113" t="s">
        <v>28</v>
      </c>
      <c r="AJ933" s="113"/>
      <c r="AK933" s="113" t="s">
        <v>1342</v>
      </c>
      <c r="AL933" s="113">
        <v>5</v>
      </c>
      <c r="AM933" s="113"/>
      <c r="AN933" s="113"/>
      <c r="AO933" s="113"/>
      <c r="AP933" s="113" t="b">
        <v>1</v>
      </c>
      <c r="AQ933" s="205" t="e">
        <f>INDEX(MasterSheet_Repeater_IOKVar,AW933)</f>
        <v>#REF!</v>
      </c>
      <c r="AR933" s="224">
        <f ca="1">OFFSET(Forside_f_FP_Main1IOKVarTable_start,AW933,4)</f>
        <v>0</v>
      </c>
      <c r="AS933" s="446">
        <f ca="1">OFFSET(Forside_f_FP_Main1IOKVarTable_start,AW933,6)</f>
        <v>0</v>
      </c>
      <c r="AT933" s="447"/>
      <c r="AU933" s="448">
        <f ca="1">(SUMIFS(IF(MasterSheet_f_FP_CfgGroup2R2_VS,'Drift - fremtidig uden projektD'!$P:$P,'Drift - fremtidig uden projektD'!$O:$O),'Drift - fremtidig uden projektD'!$C:$C,OFFSET(Businesscasen_f_BCM_subcat6a_Table1_start,ROW()-ROW(Businesscasen_f_BCM_subcat6a_Table1_start),0))-SUMIFS(IF(MasterSheet_f_FP_CfgGroup2R2_VS,'Drift - med projektD'!$P:$P,'Drift - med projektD'!$O:$O),'Drift - med projektD'!$C:$C,OFFSET(Businesscasen_f_BCM_subcat6a_Table1_start,ROW()-ROW(Businesscasen_f_BCM_subcat6a_Table1_start),0)))/1000</f>
        <v>0</v>
      </c>
      <c r="AV933" s="449"/>
      <c r="AW933" s="254">
        <f>ROW()-ROW(Businesscasen_f_BCM_subcat6a_Table1_start)-3</f>
        <v>845</v>
      </c>
    </row>
    <row r="934" spans="1:51" ht="16.5" customHeight="1" x14ac:dyDescent="0.2">
      <c r="A934" s="113">
        <f>$A$932+0</f>
        <v>89</v>
      </c>
      <c r="B934" s="113" t="s">
        <v>1488</v>
      </c>
      <c r="C934" s="113" t="s">
        <v>92</v>
      </c>
      <c r="D934" s="113"/>
      <c r="E934" s="113" t="s">
        <v>683</v>
      </c>
      <c r="F934" s="113" t="s">
        <v>549</v>
      </c>
      <c r="G934" s="113" t="s">
        <v>406</v>
      </c>
      <c r="H934" s="113">
        <v>1</v>
      </c>
      <c r="I934" s="113"/>
      <c r="J934" s="113" t="b">
        <f>$H$5</f>
        <v>1</v>
      </c>
      <c r="K934" s="113" t="b">
        <v>1</v>
      </c>
      <c r="L934" s="113"/>
      <c r="M934" s="113"/>
      <c r="N934" s="113"/>
      <c r="O934" s="113" t="str">
        <f>"$B$"&amp;A934</f>
        <v>$B$89</v>
      </c>
      <c r="P934" s="113" t="str">
        <f>"$H$"&amp;A934</f>
        <v>$H$89</v>
      </c>
      <c r="Q934" s="113"/>
      <c r="R934" s="113"/>
      <c r="S934" s="113"/>
      <c r="T934" s="113"/>
      <c r="U934" s="113" t="b">
        <v>1</v>
      </c>
      <c r="V934" s="113" t="s">
        <v>1342</v>
      </c>
      <c r="W934" s="113" t="s">
        <v>1342</v>
      </c>
      <c r="X934" s="113"/>
      <c r="Y934" s="113"/>
      <c r="Z934" s="113"/>
      <c r="AA934" s="113"/>
      <c r="AB934" s="113"/>
      <c r="AC934" s="113">
        <v>5</v>
      </c>
      <c r="AD934" s="113" t="s">
        <v>105</v>
      </c>
      <c r="AE934" s="113">
        <v>14</v>
      </c>
      <c r="AF934" s="113"/>
      <c r="AG934" s="113" t="s">
        <v>1360</v>
      </c>
      <c r="AH934" s="113" t="s">
        <v>29</v>
      </c>
      <c r="AI934" s="113" t="s">
        <v>28</v>
      </c>
      <c r="AJ934" s="113"/>
      <c r="AK934" s="113" t="s">
        <v>1342</v>
      </c>
      <c r="AL934" s="113">
        <v>5</v>
      </c>
      <c r="AM934" s="113"/>
      <c r="AN934" s="113"/>
      <c r="AO934" s="113"/>
      <c r="AP934" s="113" t="b">
        <v>1</v>
      </c>
      <c r="AQ934" s="205" t="e">
        <f>INDEX(MasterSheet_Repeater_IOKVar,AW934)</f>
        <v>#REF!</v>
      </c>
      <c r="AR934" s="224">
        <f ca="1">OFFSET(Forside_f_FP_Main1IOKVarTable_start,AW934,4)</f>
        <v>0</v>
      </c>
      <c r="AS934" s="446">
        <f ca="1">OFFSET(Forside_f_FP_Main1IOKVarTable_start,AW934,6)</f>
        <v>0</v>
      </c>
      <c r="AT934" s="447"/>
      <c r="AU934" s="448">
        <f ca="1">(SUMIFS(IF(MasterSheet_f_FP_CfgGroup2R2_VS,'Drift - fremtidig uden projektD'!$P:$P,'Drift - fremtidig uden projektD'!$O:$O),'Drift - fremtidig uden projektD'!$C:$C,OFFSET(Businesscasen_f_BCM_subcat6a_Table1_start,ROW()-ROW(Businesscasen_f_BCM_subcat6a_Table1_start),0))-SUMIFS(IF(MasterSheet_f_FP_CfgGroup2R2_VS,'Drift - med projektD'!$P:$P,'Drift - med projektD'!$O:$O),'Drift - med projektD'!$C:$C,OFFSET(Businesscasen_f_BCM_subcat6a_Table1_start,ROW()-ROW(Businesscasen_f_BCM_subcat6a_Table1_start),0)))/1000</f>
        <v>0</v>
      </c>
      <c r="AV934" s="449"/>
      <c r="AW934" s="254">
        <f>ROW()-ROW(Businesscasen_f_BCM_subcat6a_Table1_start)-3</f>
        <v>846</v>
      </c>
    </row>
    <row r="935" spans="1:51" ht="16.5" customHeight="1" x14ac:dyDescent="0.2">
      <c r="A935" s="107">
        <f>$O$932+(P932-O932+1)*(H932-1)-1</f>
        <v>89</v>
      </c>
      <c r="B935" s="107" t="s">
        <v>1444</v>
      </c>
      <c r="C935" s="107" t="s">
        <v>663</v>
      </c>
      <c r="D935" s="107" t="s">
        <v>1489</v>
      </c>
      <c r="E935" s="107"/>
      <c r="F935" s="107" t="s">
        <v>549</v>
      </c>
      <c r="G935" s="107" t="s">
        <v>406</v>
      </c>
      <c r="H935" s="107"/>
      <c r="I935" s="107"/>
      <c r="J935" s="107" t="b">
        <f t="shared" ref="J935:J957" si="119">$H$5</f>
        <v>1</v>
      </c>
      <c r="K935" s="107"/>
      <c r="L935" s="107"/>
      <c r="M935" s="107"/>
      <c r="N935" s="107"/>
      <c r="O935" s="107"/>
      <c r="P935" s="107"/>
      <c r="Q935" s="107"/>
      <c r="R935" s="107"/>
      <c r="S935" s="107"/>
      <c r="T935" s="107"/>
      <c r="U935" s="107"/>
      <c r="V935" s="107"/>
      <c r="W935" s="107"/>
      <c r="X935" s="107"/>
      <c r="Y935" s="107"/>
      <c r="Z935" s="107"/>
      <c r="AA935" s="107"/>
      <c r="AB935" s="107"/>
      <c r="AC935" s="107"/>
      <c r="AD935" s="107"/>
      <c r="AE935" s="107"/>
      <c r="AF935" s="107"/>
      <c r="AG935" s="107"/>
      <c r="AH935" s="107"/>
      <c r="AI935" s="107"/>
      <c r="AJ935" s="107"/>
      <c r="AK935" s="107"/>
      <c r="AL935" s="107"/>
      <c r="AM935" s="107"/>
      <c r="AN935" s="107"/>
      <c r="AO935" s="107"/>
      <c r="AP935" s="107"/>
      <c r="AQ935" s="150"/>
      <c r="AR935" s="199"/>
      <c r="AS935" s="199"/>
      <c r="AT935" s="199"/>
      <c r="AU935" s="199"/>
      <c r="AV935" s="199"/>
      <c r="AW935" s="259"/>
    </row>
    <row r="936" spans="1:51" ht="16.5" customHeight="1" x14ac:dyDescent="0.2">
      <c r="A936" s="113">
        <f>$A$935+1</f>
        <v>90</v>
      </c>
      <c r="B936" s="113" t="s">
        <v>1435</v>
      </c>
      <c r="C936" s="113" t="s">
        <v>92</v>
      </c>
      <c r="D936" s="113"/>
      <c r="E936" s="113"/>
      <c r="F936" s="113" t="s">
        <v>549</v>
      </c>
      <c r="G936" s="113" t="s">
        <v>406</v>
      </c>
      <c r="H936" s="113"/>
      <c r="I936" s="113"/>
      <c r="J936" s="113" t="b">
        <f t="shared" si="119"/>
        <v>1</v>
      </c>
      <c r="K936" s="113" t="b">
        <v>1</v>
      </c>
      <c r="L936" s="113"/>
      <c r="M936" s="113"/>
      <c r="N936" s="113"/>
      <c r="O936" s="113" t="str">
        <f>"$B$"&amp;A936</f>
        <v>$B$90</v>
      </c>
      <c r="P936" s="113" t="str">
        <f>"$H$"&amp;A936</f>
        <v>$H$90</v>
      </c>
      <c r="Q936" s="113"/>
      <c r="R936" s="113"/>
      <c r="S936" s="113"/>
      <c r="T936" s="113"/>
      <c r="U936" s="113"/>
      <c r="V936" s="113" t="s">
        <v>1342</v>
      </c>
      <c r="W936" s="113"/>
      <c r="X936" s="113"/>
      <c r="Y936" s="113"/>
      <c r="Z936" s="113"/>
      <c r="AA936" s="113"/>
      <c r="AB936" s="113"/>
      <c r="AC936" s="113"/>
      <c r="AD936" s="113"/>
      <c r="AE936" s="113"/>
      <c r="AF936" s="113"/>
      <c r="AG936" s="113"/>
      <c r="AH936" s="113"/>
      <c r="AI936" s="113"/>
      <c r="AJ936" s="113"/>
      <c r="AK936" s="113"/>
      <c r="AL936" s="113">
        <v>1</v>
      </c>
      <c r="AM936" s="113"/>
      <c r="AN936" s="113"/>
      <c r="AO936" s="113"/>
      <c r="AP936" s="113" t="b">
        <v>1</v>
      </c>
      <c r="AQ936" s="225"/>
      <c r="AR936" s="226"/>
      <c r="AS936" s="450"/>
      <c r="AT936" s="451"/>
      <c r="AU936" s="450"/>
      <c r="AV936" s="452"/>
    </row>
    <row r="937" spans="1:51" ht="16.5" customHeight="1" thickBot="1" x14ac:dyDescent="0.25">
      <c r="A937" s="113">
        <f>$A$935+2</f>
        <v>91</v>
      </c>
      <c r="B937" s="113" t="s">
        <v>1100</v>
      </c>
      <c r="C937" s="113" t="s">
        <v>92</v>
      </c>
      <c r="D937" s="113"/>
      <c r="E937" s="113"/>
      <c r="F937" s="113" t="s">
        <v>549</v>
      </c>
      <c r="G937" s="113" t="s">
        <v>406</v>
      </c>
      <c r="H937" s="113"/>
      <c r="I937" s="113"/>
      <c r="J937" s="113" t="b">
        <f t="shared" si="119"/>
        <v>1</v>
      </c>
      <c r="K937" s="113" t="b">
        <v>1</v>
      </c>
      <c r="L937" s="113"/>
      <c r="M937" s="113"/>
      <c r="N937" s="113"/>
      <c r="O937" s="113" t="str">
        <f t="shared" ref="O937:O949" si="120">"$B$"&amp;A937</f>
        <v>$B$91</v>
      </c>
      <c r="P937" s="113" t="str">
        <f>"$H$"&amp;A937</f>
        <v>$H$91</v>
      </c>
      <c r="Q937" s="113"/>
      <c r="R937" s="113"/>
      <c r="S937" s="113"/>
      <c r="T937" s="113"/>
      <c r="U937" s="113" t="b">
        <v>1</v>
      </c>
      <c r="V937" s="113" t="s">
        <v>1342</v>
      </c>
      <c r="W937" s="113" t="s">
        <v>1342</v>
      </c>
      <c r="X937" s="113"/>
      <c r="Y937" s="113"/>
      <c r="Z937" s="113"/>
      <c r="AA937" s="113"/>
      <c r="AB937" s="113"/>
      <c r="AC937" s="113">
        <v>5</v>
      </c>
      <c r="AD937" s="113" t="s">
        <v>105</v>
      </c>
      <c r="AE937" s="113">
        <v>14</v>
      </c>
      <c r="AF937" s="113"/>
      <c r="AG937" s="113" t="s">
        <v>1360</v>
      </c>
      <c r="AH937" s="113" t="s">
        <v>29</v>
      </c>
      <c r="AI937" s="113" t="s">
        <v>28</v>
      </c>
      <c r="AJ937" s="113"/>
      <c r="AK937" s="113" t="s">
        <v>1342</v>
      </c>
      <c r="AL937" s="113">
        <v>5</v>
      </c>
      <c r="AM937" s="113"/>
      <c r="AN937" s="113"/>
      <c r="AO937" s="113"/>
      <c r="AP937" s="113" t="b">
        <v>1</v>
      </c>
      <c r="AQ937" s="227" t="s">
        <v>413</v>
      </c>
      <c r="AR937" s="194"/>
      <c r="AS937" s="461"/>
      <c r="AT937" s="462"/>
      <c r="AU937" s="461">
        <f ca="1">SUM(AU933:AV936)</f>
        <v>0</v>
      </c>
      <c r="AV937" s="463"/>
      <c r="AW937" s="124"/>
      <c r="AX937" s="124"/>
      <c r="AY937" s="124"/>
    </row>
    <row r="938" spans="1:51" ht="16.5" customHeight="1" x14ac:dyDescent="0.2">
      <c r="A938" s="103">
        <f>$A$935+5</f>
        <v>94</v>
      </c>
      <c r="B938" s="103" t="s">
        <v>552</v>
      </c>
      <c r="C938" s="103" t="s">
        <v>654</v>
      </c>
      <c r="D938" s="103"/>
      <c r="E938" s="103"/>
      <c r="F938" s="103"/>
      <c r="G938" s="103" t="s">
        <v>406</v>
      </c>
      <c r="H938" s="103"/>
      <c r="I938" s="103" t="s">
        <v>429</v>
      </c>
      <c r="J938" s="103" t="b">
        <f t="shared" si="119"/>
        <v>1</v>
      </c>
      <c r="K938" s="103" t="b">
        <v>1</v>
      </c>
      <c r="L938" s="103"/>
      <c r="M938" s="103"/>
      <c r="N938" s="103" t="s">
        <v>59</v>
      </c>
      <c r="O938" s="103" t="str">
        <f t="shared" si="120"/>
        <v>$B$94</v>
      </c>
      <c r="P938" s="103" t="str">
        <f>"$S$"&amp;A949-1</f>
        <v>$S$106</v>
      </c>
      <c r="Q938" s="103"/>
      <c r="R938" s="103">
        <v>1</v>
      </c>
      <c r="S938" s="103"/>
      <c r="T938" s="103">
        <v>27</v>
      </c>
      <c r="U938" s="103" t="b">
        <v>1</v>
      </c>
      <c r="V938" s="103" t="s">
        <v>1352</v>
      </c>
      <c r="W938" s="103" t="s">
        <v>1352</v>
      </c>
      <c r="X938" s="103"/>
      <c r="Y938" s="103"/>
      <c r="Z938" s="103"/>
      <c r="AA938" s="103"/>
      <c r="AB938" s="103"/>
      <c r="AC938" s="103">
        <v>7</v>
      </c>
      <c r="AD938" s="103" t="s">
        <v>105</v>
      </c>
      <c r="AE938" s="103">
        <v>20</v>
      </c>
      <c r="AF938" s="103" t="b">
        <v>1</v>
      </c>
      <c r="AG938" s="103" t="s">
        <v>1351</v>
      </c>
      <c r="AH938" s="103" t="s">
        <v>29</v>
      </c>
      <c r="AI938" s="103" t="s">
        <v>28</v>
      </c>
      <c r="AJ938" s="103"/>
      <c r="AK938" s="103"/>
      <c r="AL938" s="103">
        <v>0</v>
      </c>
      <c r="AM938" s="103"/>
      <c r="AN938" s="103"/>
      <c r="AO938" s="103"/>
      <c r="AP938" s="103"/>
      <c r="AQ938" s="93" t="s">
        <v>429</v>
      </c>
    </row>
    <row r="939" spans="1:51" ht="16.5" customHeight="1" x14ac:dyDescent="0.2">
      <c r="A939" s="112">
        <f>$A$938+2</f>
        <v>96</v>
      </c>
      <c r="B939" s="112" t="s">
        <v>553</v>
      </c>
      <c r="C939" s="112" t="s">
        <v>90</v>
      </c>
      <c r="D939" s="112"/>
      <c r="E939" s="112"/>
      <c r="F939" s="112"/>
      <c r="G939" s="112" t="s">
        <v>406</v>
      </c>
      <c r="H939" s="112"/>
      <c r="I939" s="112"/>
      <c r="J939" s="112" t="b">
        <f t="shared" si="119"/>
        <v>1</v>
      </c>
      <c r="K939" s="112" t="b">
        <v>1</v>
      </c>
      <c r="L939" s="112"/>
      <c r="M939" s="112"/>
      <c r="N939" s="112"/>
      <c r="O939" s="112" t="str">
        <f t="shared" si="120"/>
        <v>$B$96</v>
      </c>
      <c r="P939" s="112" t="str">
        <f>"$G$"&amp;A948</f>
        <v>$G$104</v>
      </c>
      <c r="Q939" s="112"/>
      <c r="R939" s="112"/>
      <c r="S939" s="112"/>
      <c r="T939" s="112"/>
      <c r="U939" s="112"/>
      <c r="V939" s="112" t="s">
        <v>1342</v>
      </c>
      <c r="W939" s="112"/>
      <c r="X939" s="112"/>
      <c r="Y939" s="112"/>
      <c r="Z939" s="112"/>
      <c r="AA939" s="112"/>
      <c r="AB939" s="112"/>
      <c r="AC939" s="112"/>
      <c r="AD939" s="112" t="s">
        <v>105</v>
      </c>
      <c r="AE939" s="112">
        <v>12</v>
      </c>
      <c r="AF939" s="112" t="b">
        <v>1</v>
      </c>
      <c r="AG939" s="112" t="s">
        <v>1355</v>
      </c>
      <c r="AH939" s="112" t="s">
        <v>29</v>
      </c>
      <c r="AI939" s="112" t="s">
        <v>28</v>
      </c>
      <c r="AJ939" s="112"/>
      <c r="AK939" s="112"/>
      <c r="AL939" s="112"/>
      <c r="AM939" s="112"/>
      <c r="AN939" s="112"/>
      <c r="AO939" s="112"/>
      <c r="AP939" s="112"/>
    </row>
    <row r="940" spans="1:51" ht="16.5" customHeight="1" x14ac:dyDescent="0.2">
      <c r="A940" s="113">
        <f>$A$939+0</f>
        <v>96</v>
      </c>
      <c r="B940" s="113" t="s">
        <v>554</v>
      </c>
      <c r="C940" s="113" t="s">
        <v>92</v>
      </c>
      <c r="D940" s="113"/>
      <c r="E940" s="113"/>
      <c r="F940" s="113"/>
      <c r="G940" s="113" t="s">
        <v>406</v>
      </c>
      <c r="H940" s="113"/>
      <c r="I940" s="113"/>
      <c r="J940" s="113" t="b">
        <f t="shared" si="119"/>
        <v>1</v>
      </c>
      <c r="K940" s="113" t="b">
        <v>1</v>
      </c>
      <c r="L940" s="113"/>
      <c r="M940" s="113"/>
      <c r="N940" s="113"/>
      <c r="O940" s="113" t="str">
        <f t="shared" si="120"/>
        <v>$B$96</v>
      </c>
      <c r="P940" s="113" t="str">
        <f>"$G$"&amp;A940</f>
        <v>$G$96</v>
      </c>
      <c r="Q940" s="113"/>
      <c r="R940" s="113"/>
      <c r="S940" s="113"/>
      <c r="T940" s="113">
        <v>52</v>
      </c>
      <c r="U940" s="113"/>
      <c r="V940" s="113" t="s">
        <v>1342</v>
      </c>
      <c r="W940" s="113"/>
      <c r="X940" s="113"/>
      <c r="Y940" s="113"/>
      <c r="Z940" s="113"/>
      <c r="AA940" s="113"/>
      <c r="AB940" s="113"/>
      <c r="AC940" s="113"/>
      <c r="AD940" s="113"/>
      <c r="AE940" s="113"/>
      <c r="AF940" s="113"/>
      <c r="AG940" s="113"/>
      <c r="AH940" s="113"/>
      <c r="AI940" s="113"/>
      <c r="AJ940" s="113"/>
      <c r="AK940" s="113"/>
      <c r="AL940" s="113">
        <v>1</v>
      </c>
      <c r="AM940" s="113"/>
      <c r="AN940" s="113"/>
      <c r="AO940" s="113"/>
      <c r="AP940" s="113" t="b">
        <v>1</v>
      </c>
      <c r="AQ940" s="359" t="s">
        <v>1291</v>
      </c>
      <c r="AR940" s="359"/>
      <c r="AS940" s="359"/>
      <c r="AT940" s="359"/>
      <c r="AU940" s="359"/>
      <c r="AV940" s="359"/>
    </row>
    <row r="941" spans="1:51" ht="16.5" customHeight="1" thickBot="1" x14ac:dyDescent="0.25">
      <c r="A941" s="113">
        <f>$A$939+1</f>
        <v>97</v>
      </c>
      <c r="B941" s="113" t="s">
        <v>555</v>
      </c>
      <c r="C941" s="113" t="s">
        <v>92</v>
      </c>
      <c r="D941" s="113"/>
      <c r="E941" s="113"/>
      <c r="F941" s="113"/>
      <c r="G941" s="113" t="s">
        <v>406</v>
      </c>
      <c r="H941" s="113"/>
      <c r="I941" s="113"/>
      <c r="J941" s="113" t="b">
        <f t="shared" si="119"/>
        <v>1</v>
      </c>
      <c r="K941" s="113" t="b">
        <v>1</v>
      </c>
      <c r="L941" s="113"/>
      <c r="M941" s="113"/>
      <c r="N941" s="113"/>
      <c r="O941" s="113" t="str">
        <f t="shared" si="120"/>
        <v>$B$97</v>
      </c>
      <c r="P941" s="113" t="str">
        <f>"$G$"&amp;A941</f>
        <v>$G$97</v>
      </c>
      <c r="Q941" s="113"/>
      <c r="R941" s="113"/>
      <c r="S941" s="113"/>
      <c r="T941" s="113">
        <v>52</v>
      </c>
      <c r="U941" s="113"/>
      <c r="V941" s="113" t="s">
        <v>1342</v>
      </c>
      <c r="W941" s="113"/>
      <c r="X941" s="113"/>
      <c r="Y941" s="113"/>
      <c r="Z941" s="113"/>
      <c r="AA941" s="113"/>
      <c r="AB941" s="113"/>
      <c r="AC941" s="113"/>
      <c r="AD941" s="113"/>
      <c r="AE941" s="113"/>
      <c r="AF941" s="113"/>
      <c r="AG941" s="113"/>
      <c r="AH941" s="113"/>
      <c r="AI941" s="113"/>
      <c r="AJ941" s="113"/>
      <c r="AK941" s="113"/>
      <c r="AL941" s="113">
        <v>1</v>
      </c>
      <c r="AM941" s="113"/>
      <c r="AN941" s="113"/>
      <c r="AO941" s="113"/>
      <c r="AP941" s="113" t="b">
        <v>1</v>
      </c>
      <c r="AQ941" s="153" t="s">
        <v>433</v>
      </c>
      <c r="AR941" s="182" t="s">
        <v>1570</v>
      </c>
      <c r="AS941" s="464" t="s">
        <v>1571</v>
      </c>
      <c r="AT941" s="465"/>
      <c r="AU941" s="466" t="s">
        <v>1572</v>
      </c>
      <c r="AV941" s="467"/>
    </row>
    <row r="942" spans="1:51" ht="16.5" customHeight="1" x14ac:dyDescent="0.2">
      <c r="A942" s="113">
        <f>$A$939+2</f>
        <v>98</v>
      </c>
      <c r="B942" s="113" t="s">
        <v>1284</v>
      </c>
      <c r="C942" s="113" t="s">
        <v>92</v>
      </c>
      <c r="D942" s="113"/>
      <c r="E942" s="113"/>
      <c r="F942" s="113"/>
      <c r="G942" s="113" t="s">
        <v>406</v>
      </c>
      <c r="H942" s="113"/>
      <c r="I942" s="113"/>
      <c r="J942" s="113" t="b">
        <f t="shared" si="119"/>
        <v>1</v>
      </c>
      <c r="K942" s="113" t="b">
        <v>1</v>
      </c>
      <c r="L942" s="113"/>
      <c r="M942" s="113"/>
      <c r="N942" s="113"/>
      <c r="O942" s="113" t="str">
        <f t="shared" si="120"/>
        <v>$B$98</v>
      </c>
      <c r="P942" s="113" t="str">
        <f>"$K$"&amp;A942</f>
        <v>$K$98</v>
      </c>
      <c r="Q942" s="113"/>
      <c r="R942" s="113"/>
      <c r="S942" s="113"/>
      <c r="T942" s="113"/>
      <c r="U942" s="113" t="b">
        <v>1</v>
      </c>
      <c r="V942" s="113" t="s">
        <v>1342</v>
      </c>
      <c r="W942" s="113" t="s">
        <v>1342</v>
      </c>
      <c r="X942" s="113"/>
      <c r="Y942" s="113"/>
      <c r="Z942" s="113"/>
      <c r="AA942" s="113"/>
      <c r="AB942" s="113"/>
      <c r="AC942" s="113">
        <v>5</v>
      </c>
      <c r="AD942" s="113" t="s">
        <v>105</v>
      </c>
      <c r="AE942" s="113">
        <v>14</v>
      </c>
      <c r="AF942" s="113"/>
      <c r="AG942" s="113" t="s">
        <v>1360</v>
      </c>
      <c r="AH942" s="113" t="s">
        <v>29</v>
      </c>
      <c r="AI942" s="113" t="s">
        <v>28</v>
      </c>
      <c r="AJ942" s="113"/>
      <c r="AK942" s="113" t="s">
        <v>1342</v>
      </c>
      <c r="AL942" s="113">
        <v>5</v>
      </c>
      <c r="AM942" s="113"/>
      <c r="AN942" s="113"/>
      <c r="AO942" s="113"/>
      <c r="AP942" s="113" t="b">
        <v>1</v>
      </c>
      <c r="AQ942" s="144" t="s">
        <v>1193</v>
      </c>
      <c r="AR942" s="228">
        <f ca="1">(SUMIF(IF(MasterSheet_f_FP_CfgGroup1R3_VS,ProgramudgifterC!$H:$H,ProjektudgifterC!$H:$H),OFFSET(Businesscasen_f_BCM_subcat6b_Table1_start,ROW()-ROW(Businesscasen_f_BCM_subcat6b_Table1_start),0),IF(MasterSheet_f_FP_CfgGroup1R3_VS,IF(MasterSheet_f_FP_CfgGroup2R2_VS,ProgramudgifterC!$U:$U,ProgramudgifterC!$S:$S),IF(MasterSheet_f_FP_CfgGroup2R2_VS,ProjektudgifterC!$U:$U,ProjektudgifterC!$S:$S)))+SUMIF(IF(MasterSheet_f_FP_CfgGroup1R3_VS,ProgramudgifterC!$H:$H,ProjektudgifterC!$H:$H),OFFSET(Businesscasen_f_BCM_subcat6b_Table1_start,ROW()-ROW(Businesscasen_f_BCM_subcat6b_Table1_start),0),IF(MasterSheet_f_FP_CfgGroup1R3_VS,IF(MasterSheet_f_FP_CfgGroup2R2_VS,ProgramudgifterC!$V:$V,ProgramudgifterC!$T:$T),IF(MasterSheet_f_FP_CfgGroup2R2_VS,ProjektudgifterC!$V:$V,ProjektudgifterC!$T:$T))))/1000</f>
        <v>0</v>
      </c>
      <c r="AS942" s="468">
        <f ca="1">SUMIF(IF(MasterSheet_f_FP_CfgGroup1R3_VS,ProgramudgifterC!$H:$H,'Drift - fremtidig uden projektC'!$H:$H),OFFSET(Businesscasen_f_BCM_subcat6b_Table1_start,ROW()-ROW(Businesscasen_f_BCM_subcat6b_Table1_start),0),IF(MasterSheet_f_FP_CfgGroup1R3_VS,IF(MasterSheet_f_FP_CfgGroup2R2_VS,ProgramudgifterC!$U:$U,ProgramudgifterC!$S:$S),IF(MasterSheet_f_FP_CfgGroup2R2_VS,'Drift - fremtidig uden projektC'!$U:$U,'Drift - fremtidig uden projektC'!$S:$S)))+SUMIF(IF(MasterSheet_f_FP_CfgGroup1R3_VS,ProgramudgifterC!$H:$H,'Drift - fremtidig uden projektC'!$H:$H),OFFSET(Businesscasen_f_BCM_subcat6b_Table1_start,ROW()-ROW(Businesscasen_f_BCM_subcat6b_Table1_start),0),IF(MasterSheet_f_FP_CfgGroup1R3_VS,IF(MasterSheet_f_FP_CfgGroup2R2_VS,ProgramudgifterC!$V:$V,ProgramudgifterC!$T:$T),IF(MasterSheet_f_FP_CfgGroup2R2_VS,'Drift - fremtidig uden projektC'!$V:$V,'Drift - fremtidig uden projektC'!$T:$T)))/1000</f>
        <v>0</v>
      </c>
      <c r="AT942" s="469"/>
      <c r="AU942" s="470">
        <f ca="1">(SUMIF(IF(MasterSheet_f_FP_CfgGroup1R3_VS,ProgramudgifterC!$H:$H,'Drift - med projektC'!$H:$H),OFFSET(Businesscasen_f_BCM_subcat6b_Table1_start,ROW()-ROW(Businesscasen_f_BCM_subcat6b_Table1_start),0),IF(MasterSheet_f_FP_CfgGroup1R3_VS,IF(MasterSheet_f_FP_CfgGroup2R2_VS,ProgramudgifterC!$U:$U,ProgramudgifterC!$S:$S),IF(MasterSheet_f_FP_CfgGroup2R2_VS,'Drift - med projektC'!$U:$U,'Drift - med projektC'!$S:$S)))+SUMIF(IF(MasterSheet_f_FP_CfgGroup1R3_VS,ProgramudgifterC!$H:$H,'Drift - med projektC'!$H:$H),OFFSET(Businesscasen_f_BCM_subcat6b_Table1_start,ROW()-ROW(Businesscasen_f_BCM_subcat6b_Table1_start),0),IF(MasterSheet_f_FP_CfgGroup1R3_VS,IF(MasterSheet_f_FP_CfgGroup2R2_VS,ProgramudgifterC!$V:$V,ProgramudgifterC!$T:$T),IF(MasterSheet_f_FP_CfgGroup2R2_VS,'Drift - med projektC'!$V:$V,'Drift - med projektC'!$T:$T))))/1000</f>
        <v>0</v>
      </c>
      <c r="AV942" s="471"/>
      <c r="AW942" s="124"/>
      <c r="AX942" s="124"/>
      <c r="AY942" s="124"/>
    </row>
    <row r="943" spans="1:51" ht="16.5" customHeight="1" x14ac:dyDescent="0.2">
      <c r="A943" s="113">
        <f>$A$939+3</f>
        <v>99</v>
      </c>
      <c r="B943" s="113" t="s">
        <v>1285</v>
      </c>
      <c r="C943" s="113" t="s">
        <v>92</v>
      </c>
      <c r="D943" s="113"/>
      <c r="E943" s="113"/>
      <c r="F943" s="113"/>
      <c r="G943" s="113" t="s">
        <v>406</v>
      </c>
      <c r="H943" s="113"/>
      <c r="I943" s="113"/>
      <c r="J943" s="113" t="b">
        <f t="shared" si="119"/>
        <v>1</v>
      </c>
      <c r="K943" s="113" t="b">
        <v>1</v>
      </c>
      <c r="L943" s="113"/>
      <c r="M943" s="113"/>
      <c r="N943" s="113"/>
      <c r="O943" s="113" t="str">
        <f t="shared" si="120"/>
        <v>$B$99</v>
      </c>
      <c r="P943" s="113" t="str">
        <f>"$K$"&amp;A943</f>
        <v>$K$99</v>
      </c>
      <c r="Q943" s="113"/>
      <c r="R943" s="113"/>
      <c r="S943" s="113"/>
      <c r="T943" s="113"/>
      <c r="U943" s="113" t="b">
        <v>1</v>
      </c>
      <c r="V943" s="113" t="s">
        <v>1342</v>
      </c>
      <c r="W943" s="113" t="s">
        <v>1342</v>
      </c>
      <c r="X943" s="113"/>
      <c r="Y943" s="113"/>
      <c r="Z943" s="113"/>
      <c r="AA943" s="113"/>
      <c r="AB943" s="113"/>
      <c r="AC943" s="113">
        <v>5</v>
      </c>
      <c r="AD943" s="113" t="s">
        <v>105</v>
      </c>
      <c r="AE943" s="113">
        <v>14</v>
      </c>
      <c r="AF943" s="113"/>
      <c r="AG943" s="113" t="s">
        <v>1360</v>
      </c>
      <c r="AH943" s="113" t="s">
        <v>29</v>
      </c>
      <c r="AI943" s="113" t="s">
        <v>28</v>
      </c>
      <c r="AJ943" s="113"/>
      <c r="AK943" s="113" t="s">
        <v>1342</v>
      </c>
      <c r="AL943" s="113">
        <v>5</v>
      </c>
      <c r="AM943" s="113"/>
      <c r="AN943" s="113"/>
      <c r="AO943" s="113"/>
      <c r="AP943" s="113" t="b">
        <v>1</v>
      </c>
      <c r="AQ943" s="137" t="s">
        <v>1194</v>
      </c>
      <c r="AR943" s="229">
        <f ca="1">(SUMIF(IF(MasterSheet_f_FP_CfgGroup1R3_VS,ProgramudgifterC!$H:$H,ProjektudgifterC!$H:$H),OFFSET(Businesscasen_f_BCM_subcat6b_Table1_start,ROW()-ROW(Businesscasen_f_BCM_subcat6b_Table1_start),0),IF(MasterSheet_f_FP_CfgGroup1R3_VS,IF(MasterSheet_f_FP_CfgGroup2R2_VS,ProgramudgifterC!$U:$U,ProgramudgifterC!$S:$S),IF(MasterSheet_f_FP_CfgGroup2R2_VS,ProjektudgifterC!$U:$U,ProjektudgifterC!$S:$S)))+SUMIF(IF(MasterSheet_f_FP_CfgGroup1R3_VS,ProgramudgifterC!$H:$H,ProjektudgifterC!$H:$H),OFFSET(Businesscasen_f_BCM_subcat6b_Table1_start,ROW()-ROW(Businesscasen_f_BCM_subcat6b_Table1_start),0),IF(MasterSheet_f_FP_CfgGroup1R3_VS,IF(MasterSheet_f_FP_CfgGroup2R2_VS,ProgramudgifterC!$V:$V,ProgramudgifterC!$T:$T),IF(MasterSheet_f_FP_CfgGroup2R2_VS,ProjektudgifterC!$V:$V,ProjektudgifterC!$T:$T))))/1000</f>
        <v>0</v>
      </c>
      <c r="AS943" s="457">
        <f ca="1">SUMIF(IF(MasterSheet_f_FP_CfgGroup1R3_VS,ProgramudgifterC!$H:$H,'Drift - fremtidig uden projektC'!$H:$H),OFFSET(Businesscasen_f_BCM_subcat6b_Table1_start,ROW()-ROW(Businesscasen_f_BCM_subcat6b_Table1_start),0),IF(MasterSheet_f_FP_CfgGroup1R3_VS,IF(MasterSheet_f_FP_CfgGroup2R2_VS,ProgramudgifterC!$U:$U,ProgramudgifterC!$S:$S),IF(MasterSheet_f_FP_CfgGroup2R2_VS,'Drift - fremtidig uden projektC'!$U:$U,'Drift - fremtidig uden projektC'!$S:$S)))+SUMIF(IF(MasterSheet_f_FP_CfgGroup1R3_VS,ProgramudgifterC!$H:$H,'Drift - fremtidig uden projektC'!$H:$H),OFFSET(Businesscasen_f_BCM_subcat6b_Table1_start,ROW()-ROW(Businesscasen_f_BCM_subcat6b_Table1_start),0),IF(MasterSheet_f_FP_CfgGroup1R3_VS,IF(MasterSheet_f_FP_CfgGroup2R2_VS,ProgramudgifterC!$V:$V,ProgramudgifterC!$T:$T),IF(MasterSheet_f_FP_CfgGroup2R2_VS,'Drift - fremtidig uden projektC'!$V:$V,'Drift - fremtidig uden projektC'!$T:$T)))/1000</f>
        <v>0</v>
      </c>
      <c r="AT943" s="458"/>
      <c r="AU943" s="459">
        <f ca="1">(SUMIF(IF(MasterSheet_f_FP_CfgGroup1R3_VS,ProgramudgifterC!$H:$H,'Drift - med projektC'!$H:$H),OFFSET(Businesscasen_f_BCM_subcat6b_Table1_start,ROW()-ROW(Businesscasen_f_BCM_subcat6b_Table1_start),0),IF(MasterSheet_f_FP_CfgGroup1R3_VS,IF(MasterSheet_f_FP_CfgGroup2R2_VS,ProgramudgifterC!$U:$U,ProgramudgifterC!$S:$S),IF(MasterSheet_f_FP_CfgGroup2R2_VS,'Drift - med projektC'!$U:$U,'Drift - med projektC'!$S:$S)))+SUMIF(IF(MasterSheet_f_FP_CfgGroup1R3_VS,ProgramudgifterC!$H:$H,'Drift - med projektC'!$H:$H),OFFSET(Businesscasen_f_BCM_subcat6b_Table1_start,ROW()-ROW(Businesscasen_f_BCM_subcat6b_Table1_start),0),IF(MasterSheet_f_FP_CfgGroup1R3_VS,IF(MasterSheet_f_FP_CfgGroup2R2_VS,ProgramudgifterC!$V:$V,ProgramudgifterC!$T:$T),IF(MasterSheet_f_FP_CfgGroup2R2_VS,'Drift - med projektC'!$V:$V,'Drift - med projektC'!$T:$T))))/1000</f>
        <v>0</v>
      </c>
      <c r="AV943" s="460"/>
      <c r="AW943" s="124"/>
      <c r="AX943" s="124"/>
      <c r="AY943" s="124"/>
    </row>
    <row r="944" spans="1:51" ht="16.5" customHeight="1" x14ac:dyDescent="0.2">
      <c r="A944" s="113">
        <f>$A$939+4</f>
        <v>100</v>
      </c>
      <c r="B944" s="113" t="s">
        <v>1286</v>
      </c>
      <c r="C944" s="113" t="s">
        <v>92</v>
      </c>
      <c r="D944" s="113"/>
      <c r="E944" s="113"/>
      <c r="F944" s="113"/>
      <c r="G944" s="113" t="s">
        <v>406</v>
      </c>
      <c r="H944" s="113"/>
      <c r="I944" s="113"/>
      <c r="J944" s="113" t="b">
        <f t="shared" si="119"/>
        <v>1</v>
      </c>
      <c r="K944" s="113" t="b">
        <v>1</v>
      </c>
      <c r="L944" s="113"/>
      <c r="M944" s="113"/>
      <c r="N944" s="113"/>
      <c r="O944" s="113" t="str">
        <f t="shared" si="120"/>
        <v>$B$100</v>
      </c>
      <c r="P944" s="113" t="str">
        <f>"$K$"&amp;A944</f>
        <v>$K$100</v>
      </c>
      <c r="Q944" s="113"/>
      <c r="R944" s="113"/>
      <c r="S944" s="113"/>
      <c r="T944" s="113"/>
      <c r="U944" s="113" t="b">
        <v>1</v>
      </c>
      <c r="V944" s="113" t="s">
        <v>1342</v>
      </c>
      <c r="W944" s="113" t="s">
        <v>1342</v>
      </c>
      <c r="X944" s="113"/>
      <c r="Y944" s="113"/>
      <c r="Z944" s="113"/>
      <c r="AA944" s="113"/>
      <c r="AB944" s="113"/>
      <c r="AC944" s="113">
        <v>5</v>
      </c>
      <c r="AD944" s="113" t="s">
        <v>105</v>
      </c>
      <c r="AE944" s="113">
        <v>14</v>
      </c>
      <c r="AF944" s="113"/>
      <c r="AG944" s="113" t="s">
        <v>1360</v>
      </c>
      <c r="AH944" s="113" t="s">
        <v>29</v>
      </c>
      <c r="AI944" s="113" t="s">
        <v>28</v>
      </c>
      <c r="AJ944" s="113"/>
      <c r="AK944" s="113" t="s">
        <v>1342</v>
      </c>
      <c r="AL944" s="113">
        <v>5</v>
      </c>
      <c r="AM944" s="113"/>
      <c r="AN944" s="113"/>
      <c r="AO944" s="113"/>
      <c r="AP944" s="113" t="b">
        <v>1</v>
      </c>
      <c r="AQ944" s="137" t="s">
        <v>1195</v>
      </c>
      <c r="AR944" s="229">
        <f ca="1">(SUMIF(IF(MasterSheet_f_FP_CfgGroup1R3_VS,ProgramudgifterC!$H:$H,ProjektudgifterC!$H:$H),OFFSET(Businesscasen_f_BCM_subcat6b_Table1_start,ROW()-ROW(Businesscasen_f_BCM_subcat6b_Table1_start),0),IF(MasterSheet_f_FP_CfgGroup1R3_VS,IF(MasterSheet_f_FP_CfgGroup2R2_VS,ProgramudgifterC!$U:$U,ProgramudgifterC!$S:$S),IF(MasterSheet_f_FP_CfgGroup2R2_VS,ProjektudgifterC!$U:$U,ProjektudgifterC!$S:$S)))+SUMIF(IF(MasterSheet_f_FP_CfgGroup1R3_VS,ProgramudgifterC!$H:$H,ProjektudgifterC!$H:$H),OFFSET(Businesscasen_f_BCM_subcat6b_Table1_start,ROW()-ROW(Businesscasen_f_BCM_subcat6b_Table1_start),0),IF(MasterSheet_f_FP_CfgGroup1R3_VS,IF(MasterSheet_f_FP_CfgGroup2R2_VS,ProgramudgifterC!$V:$V,ProgramudgifterC!$T:$T),IF(MasterSheet_f_FP_CfgGroup2R2_VS,ProjektudgifterC!$V:$V,ProjektudgifterC!$T:$T))))/1000</f>
        <v>0</v>
      </c>
      <c r="AS944" s="457">
        <f ca="1">SUMIF(IF(MasterSheet_f_FP_CfgGroup1R3_VS,ProgramudgifterC!$H:$H,'Drift - fremtidig uden projektC'!$H:$H),OFFSET(Businesscasen_f_BCM_subcat6b_Table1_start,ROW()-ROW(Businesscasen_f_BCM_subcat6b_Table1_start),0),IF(MasterSheet_f_FP_CfgGroup1R3_VS,IF(MasterSheet_f_FP_CfgGroup2R2_VS,ProgramudgifterC!$U:$U,ProgramudgifterC!$S:$S),IF(MasterSheet_f_FP_CfgGroup2R2_VS,'Drift - fremtidig uden projektC'!$U:$U,'Drift - fremtidig uden projektC'!$S:$S)))+SUMIF(IF(MasterSheet_f_FP_CfgGroup1R3_VS,ProgramudgifterC!$H:$H,'Drift - fremtidig uden projektC'!$H:$H),OFFSET(Businesscasen_f_BCM_subcat6b_Table1_start,ROW()-ROW(Businesscasen_f_BCM_subcat6b_Table1_start),0),IF(MasterSheet_f_FP_CfgGroup1R3_VS,IF(MasterSheet_f_FP_CfgGroup2R2_VS,ProgramudgifterC!$V:$V,ProgramudgifterC!$T:$T),IF(MasterSheet_f_FP_CfgGroup2R2_VS,'Drift - fremtidig uden projektC'!$V:$V,'Drift - fremtidig uden projektC'!$T:$T)))/1000</f>
        <v>0</v>
      </c>
      <c r="AT944" s="458"/>
      <c r="AU944" s="459">
        <f ca="1">(SUMIF(IF(MasterSheet_f_FP_CfgGroup1R3_VS,ProgramudgifterC!$H:$H,'Drift - med projektC'!$H:$H),OFFSET(Businesscasen_f_BCM_subcat6b_Table1_start,ROW()-ROW(Businesscasen_f_BCM_subcat6b_Table1_start),0),IF(MasterSheet_f_FP_CfgGroup1R3_VS,IF(MasterSheet_f_FP_CfgGroup2R2_VS,ProgramudgifterC!$U:$U,ProgramudgifterC!$S:$S),IF(MasterSheet_f_FP_CfgGroup2R2_VS,'Drift - med projektC'!$U:$U,'Drift - med projektC'!$S:$S)))+SUMIF(IF(MasterSheet_f_FP_CfgGroup1R3_VS,ProgramudgifterC!$H:$H,'Drift - med projektC'!$H:$H),OFFSET(Businesscasen_f_BCM_subcat6b_Table1_start,ROW()-ROW(Businesscasen_f_BCM_subcat6b_Table1_start),0),IF(MasterSheet_f_FP_CfgGroup1R3_VS,IF(MasterSheet_f_FP_CfgGroup2R2_VS,ProgramudgifterC!$V:$V,ProgramudgifterC!$T:$T),IF(MasterSheet_f_FP_CfgGroup2R2_VS,'Drift - med projektC'!$V:$V,'Drift - med projektC'!$T:$T))))/1000</f>
        <v>0</v>
      </c>
      <c r="AV944" s="460"/>
      <c r="AW944" s="124"/>
      <c r="AX944" s="124"/>
      <c r="AY944" s="124"/>
    </row>
    <row r="945" spans="1:147" ht="16.5" customHeight="1" x14ac:dyDescent="0.2">
      <c r="A945" s="113">
        <f>$A$939+5</f>
        <v>101</v>
      </c>
      <c r="B945" s="113" t="s">
        <v>1287</v>
      </c>
      <c r="C945" s="113" t="s">
        <v>92</v>
      </c>
      <c r="D945" s="113"/>
      <c r="E945" s="113"/>
      <c r="F945" s="113"/>
      <c r="G945" s="113" t="s">
        <v>406</v>
      </c>
      <c r="H945" s="113"/>
      <c r="I945" s="113"/>
      <c r="J945" s="113" t="b">
        <f t="shared" si="119"/>
        <v>1</v>
      </c>
      <c r="K945" s="113" t="b">
        <v>1</v>
      </c>
      <c r="L945" s="113"/>
      <c r="M945" s="113"/>
      <c r="N945" s="113"/>
      <c r="O945" s="113" t="str">
        <f t="shared" si="120"/>
        <v>$B$101</v>
      </c>
      <c r="P945" s="113" t="str">
        <f>"$K$"&amp;A945</f>
        <v>$K$101</v>
      </c>
      <c r="Q945" s="113"/>
      <c r="R945" s="113"/>
      <c r="S945" s="113"/>
      <c r="T945" s="113"/>
      <c r="U945" s="113" t="b">
        <v>1</v>
      </c>
      <c r="V945" s="113" t="s">
        <v>1342</v>
      </c>
      <c r="W945" s="113" t="s">
        <v>1342</v>
      </c>
      <c r="X945" s="113"/>
      <c r="Y945" s="113"/>
      <c r="Z945" s="113"/>
      <c r="AA945" s="113"/>
      <c r="AB945" s="113"/>
      <c r="AC945" s="113">
        <v>5</v>
      </c>
      <c r="AD945" s="113" t="s">
        <v>105</v>
      </c>
      <c r="AE945" s="113">
        <v>14</v>
      </c>
      <c r="AF945" s="113"/>
      <c r="AG945" s="113" t="s">
        <v>1360</v>
      </c>
      <c r="AH945" s="113" t="s">
        <v>29</v>
      </c>
      <c r="AI945" s="113" t="s">
        <v>28</v>
      </c>
      <c r="AJ945" s="113"/>
      <c r="AK945" s="113" t="s">
        <v>1342</v>
      </c>
      <c r="AL945" s="113">
        <v>5</v>
      </c>
      <c r="AM945" s="113"/>
      <c r="AN945" s="113"/>
      <c r="AO945" s="113"/>
      <c r="AP945" s="113" t="b">
        <v>1</v>
      </c>
      <c r="AQ945" s="137" t="s">
        <v>1196</v>
      </c>
      <c r="AR945" s="229">
        <f ca="1">(SUMIF(IF(MasterSheet_f_FP_CfgGroup1R3_VS,ProgramudgifterC!$H:$H,ProjektudgifterC!$H:$H),OFFSET(Businesscasen_f_BCM_subcat6b_Table1_start,ROW()-ROW(Businesscasen_f_BCM_subcat6b_Table1_start),0),IF(MasterSheet_f_FP_CfgGroup1R3_VS,IF(MasterSheet_f_FP_CfgGroup2R2_VS,ProgramudgifterC!$U:$U,ProgramudgifterC!$S:$S),IF(MasterSheet_f_FP_CfgGroup2R2_VS,ProjektudgifterC!$U:$U,ProjektudgifterC!$S:$S)))+SUMIF(IF(MasterSheet_f_FP_CfgGroup1R3_VS,ProgramudgifterC!$H:$H,ProjektudgifterC!$H:$H),OFFSET(Businesscasen_f_BCM_subcat6b_Table1_start,ROW()-ROW(Businesscasen_f_BCM_subcat6b_Table1_start),0),IF(MasterSheet_f_FP_CfgGroup1R3_VS,IF(MasterSheet_f_FP_CfgGroup2R2_VS,ProgramudgifterC!$V:$V,ProgramudgifterC!$T:$T),IF(MasterSheet_f_FP_CfgGroup2R2_VS,ProjektudgifterC!$V:$V,ProjektudgifterC!$T:$T))))/1000</f>
        <v>0</v>
      </c>
      <c r="AS945" s="457">
        <f ca="1">SUMIF(IF(MasterSheet_f_FP_CfgGroup1R3_VS,ProgramudgifterC!$H:$H,'Drift - fremtidig uden projektC'!$H:$H),OFFSET(Businesscasen_f_BCM_subcat6b_Table1_start,ROW()-ROW(Businesscasen_f_BCM_subcat6b_Table1_start),0),IF(MasterSheet_f_FP_CfgGroup1R3_VS,IF(MasterSheet_f_FP_CfgGroup2R2_VS,ProgramudgifterC!$U:$U,ProgramudgifterC!$S:$S),IF(MasterSheet_f_FP_CfgGroup2R2_VS,'Drift - fremtidig uden projektC'!$U:$U,'Drift - fremtidig uden projektC'!$S:$S)))+SUMIF(IF(MasterSheet_f_FP_CfgGroup1R3_VS,ProgramudgifterC!$H:$H,'Drift - fremtidig uden projektC'!$H:$H),OFFSET(Businesscasen_f_BCM_subcat6b_Table1_start,ROW()-ROW(Businesscasen_f_BCM_subcat6b_Table1_start),0),IF(MasterSheet_f_FP_CfgGroup1R3_VS,IF(MasterSheet_f_FP_CfgGroup2R2_VS,ProgramudgifterC!$V:$V,ProgramudgifterC!$T:$T),IF(MasterSheet_f_FP_CfgGroup2R2_VS,'Drift - fremtidig uden projektC'!$V:$V,'Drift - fremtidig uden projektC'!$T:$T)))/1000</f>
        <v>0</v>
      </c>
      <c r="AT945" s="458"/>
      <c r="AU945" s="459">
        <f ca="1">(SUMIF(IF(MasterSheet_f_FP_CfgGroup1R3_VS,ProgramudgifterC!$H:$H,'Drift - med projektC'!$H:$H),OFFSET(Businesscasen_f_BCM_subcat6b_Table1_start,ROW()-ROW(Businesscasen_f_BCM_subcat6b_Table1_start),0),IF(MasterSheet_f_FP_CfgGroup1R3_VS,IF(MasterSheet_f_FP_CfgGroup2R2_VS,ProgramudgifterC!$U:$U,ProgramudgifterC!$S:$S),IF(MasterSheet_f_FP_CfgGroup2R2_VS,'Drift - med projektC'!$U:$U,'Drift - med projektC'!$S:$S)))+SUMIF(IF(MasterSheet_f_FP_CfgGroup1R3_VS,ProgramudgifterC!$H:$H,'Drift - med projektC'!$H:$H),OFFSET(Businesscasen_f_BCM_subcat6b_Table1_start,ROW()-ROW(Businesscasen_f_BCM_subcat6b_Table1_start),0),IF(MasterSheet_f_FP_CfgGroup1R3_VS,IF(MasterSheet_f_FP_CfgGroup2R2_VS,ProgramudgifterC!$V:$V,ProgramudgifterC!$T:$T),IF(MasterSheet_f_FP_CfgGroup2R2_VS,'Drift - med projektC'!$V:$V,'Drift - med projektC'!$T:$T))))/1000</f>
        <v>0</v>
      </c>
      <c r="AV945" s="460"/>
      <c r="AW945" s="124"/>
      <c r="AX945" s="124"/>
      <c r="AY945" s="124"/>
    </row>
    <row r="946" spans="1:147" ht="16.5" customHeight="1" x14ac:dyDescent="0.2">
      <c r="A946" s="113">
        <f>$A$939+6</f>
        <v>102</v>
      </c>
      <c r="B946" s="113" t="s">
        <v>1288</v>
      </c>
      <c r="C946" s="113" t="s">
        <v>92</v>
      </c>
      <c r="D946" s="113"/>
      <c r="E946" s="113"/>
      <c r="F946" s="113"/>
      <c r="G946" s="113" t="s">
        <v>406</v>
      </c>
      <c r="H946" s="113"/>
      <c r="I946" s="113"/>
      <c r="J946" s="113" t="b">
        <f t="shared" si="119"/>
        <v>1</v>
      </c>
      <c r="K946" s="113" t="b">
        <v>1</v>
      </c>
      <c r="L946" s="113"/>
      <c r="M946" s="113"/>
      <c r="N946" s="113"/>
      <c r="O946" s="113" t="str">
        <f t="shared" si="120"/>
        <v>$B$102</v>
      </c>
      <c r="P946" s="113" t="str">
        <f>"$K$"&amp;A946</f>
        <v>$K$102</v>
      </c>
      <c r="Q946" s="113"/>
      <c r="R946" s="113"/>
      <c r="S946" s="113"/>
      <c r="T946" s="113"/>
      <c r="U946" s="113" t="b">
        <v>1</v>
      </c>
      <c r="V946" s="113" t="s">
        <v>1342</v>
      </c>
      <c r="W946" s="113" t="s">
        <v>1342</v>
      </c>
      <c r="X946" s="113"/>
      <c r="Y946" s="113"/>
      <c r="Z946" s="113"/>
      <c r="AA946" s="113"/>
      <c r="AB946" s="113"/>
      <c r="AC946" s="113">
        <v>5</v>
      </c>
      <c r="AD946" s="113" t="s">
        <v>105</v>
      </c>
      <c r="AE946" s="113">
        <v>14</v>
      </c>
      <c r="AF946" s="113"/>
      <c r="AG946" s="113" t="s">
        <v>1360</v>
      </c>
      <c r="AH946" s="113" t="s">
        <v>29</v>
      </c>
      <c r="AI946" s="113" t="s">
        <v>28</v>
      </c>
      <c r="AJ946" s="113"/>
      <c r="AK946" s="113" t="s">
        <v>1342</v>
      </c>
      <c r="AL946" s="113">
        <v>5</v>
      </c>
      <c r="AM946" s="113"/>
      <c r="AN946" s="113"/>
      <c r="AO946" s="113"/>
      <c r="AP946" s="113" t="b">
        <v>1</v>
      </c>
      <c r="AQ946" s="137" t="s">
        <v>1197</v>
      </c>
      <c r="AR946" s="229">
        <f ca="1">(SUMIF(IF(MasterSheet_f_FP_CfgGroup1R3_VS,ProgramudgifterC!$H:$H,ProjektudgifterC!$H:$H),OFFSET(Businesscasen_f_BCM_subcat6b_Table1_start,ROW()-ROW(Businesscasen_f_BCM_subcat6b_Table1_start),0),IF(MasterSheet_f_FP_CfgGroup1R3_VS,IF(MasterSheet_f_FP_CfgGroup2R2_VS,ProgramudgifterC!$U:$U,ProgramudgifterC!$S:$S),IF(MasterSheet_f_FP_CfgGroup2R2_VS,ProjektudgifterC!$U:$U,ProjektudgifterC!$S:$S)))+SUMIF(IF(MasterSheet_f_FP_CfgGroup1R3_VS,ProgramudgifterC!$H:$H,ProjektudgifterC!$H:$H),OFFSET(Businesscasen_f_BCM_subcat6b_Table1_start,ROW()-ROW(Businesscasen_f_BCM_subcat6b_Table1_start),0),IF(MasterSheet_f_FP_CfgGroup1R3_VS,IF(MasterSheet_f_FP_CfgGroup2R2_VS,ProgramudgifterC!$V:$V,ProgramudgifterC!$T:$T),IF(MasterSheet_f_FP_CfgGroup2R2_VS,ProjektudgifterC!$V:$V,ProjektudgifterC!$T:$T))))/1000</f>
        <v>0</v>
      </c>
      <c r="AS946" s="457">
        <f ca="1">SUMIF(IF(MasterSheet_f_FP_CfgGroup1R3_VS,ProgramudgifterC!$H:$H,'Drift - fremtidig uden projektC'!$H:$H),OFFSET(Businesscasen_f_BCM_subcat6b_Table1_start,ROW()-ROW(Businesscasen_f_BCM_subcat6b_Table1_start),0),IF(MasterSheet_f_FP_CfgGroup1R3_VS,IF(MasterSheet_f_FP_CfgGroup2R2_VS,ProgramudgifterC!$U:$U,ProgramudgifterC!$S:$S),IF(MasterSheet_f_FP_CfgGroup2R2_VS,'Drift - fremtidig uden projektC'!$U:$U,'Drift - fremtidig uden projektC'!$S:$S)))+SUMIF(IF(MasterSheet_f_FP_CfgGroup1R3_VS,ProgramudgifterC!$H:$H,'Drift - fremtidig uden projektC'!$H:$H),OFFSET(Businesscasen_f_BCM_subcat6b_Table1_start,ROW()-ROW(Businesscasen_f_BCM_subcat6b_Table1_start),0),IF(MasterSheet_f_FP_CfgGroup1R3_VS,IF(MasterSheet_f_FP_CfgGroup2R2_VS,ProgramudgifterC!$V:$V,ProgramudgifterC!$T:$T),IF(MasterSheet_f_FP_CfgGroup2R2_VS,'Drift - fremtidig uden projektC'!$V:$V,'Drift - fremtidig uden projektC'!$T:$T)))/1000</f>
        <v>0</v>
      </c>
      <c r="AT946" s="458"/>
      <c r="AU946" s="459">
        <f ca="1">(SUMIF(IF(MasterSheet_f_FP_CfgGroup1R3_VS,ProgramudgifterC!$H:$H,'Drift - med projektC'!$H:$H),OFFSET(Businesscasen_f_BCM_subcat6b_Table1_start,ROW()-ROW(Businesscasen_f_BCM_subcat6b_Table1_start),0),IF(MasterSheet_f_FP_CfgGroup1R3_VS,IF(MasterSheet_f_FP_CfgGroup2R2_VS,ProgramudgifterC!$U:$U,ProgramudgifterC!$S:$S),IF(MasterSheet_f_FP_CfgGroup2R2_VS,'Drift - med projektC'!$U:$U,'Drift - med projektC'!$S:$S)))+SUMIF(IF(MasterSheet_f_FP_CfgGroup1R3_VS,ProgramudgifterC!$H:$H,'Drift - med projektC'!$H:$H),OFFSET(Businesscasen_f_BCM_subcat6b_Table1_start,ROW()-ROW(Businesscasen_f_BCM_subcat6b_Table1_start),0),IF(MasterSheet_f_FP_CfgGroup1R3_VS,IF(MasterSheet_f_FP_CfgGroup2R2_VS,ProgramudgifterC!$V:$V,ProgramudgifterC!$T:$T),IF(MasterSheet_f_FP_CfgGroup2R2_VS,'Drift - med projektC'!$V:$V,'Drift - med projektC'!$T:$T))))/1000</f>
        <v>0</v>
      </c>
      <c r="AV946" s="460"/>
      <c r="AW946" s="124"/>
      <c r="AX946" s="124"/>
      <c r="AY946" s="124"/>
    </row>
    <row r="947" spans="1:147" ht="16.5" customHeight="1" x14ac:dyDescent="0.2">
      <c r="A947" s="113">
        <f>$A$939+7</f>
        <v>103</v>
      </c>
      <c r="B947" s="113" t="s">
        <v>1289</v>
      </c>
      <c r="C947" s="113" t="s">
        <v>92</v>
      </c>
      <c r="D947" s="113"/>
      <c r="E947" s="113"/>
      <c r="F947" s="113"/>
      <c r="G947" s="113" t="s">
        <v>406</v>
      </c>
      <c r="H947" s="113"/>
      <c r="I947" s="113"/>
      <c r="J947" s="113" t="b">
        <f t="shared" si="119"/>
        <v>1</v>
      </c>
      <c r="K947" s="113" t="b">
        <v>1</v>
      </c>
      <c r="L947" s="113"/>
      <c r="M947" s="113"/>
      <c r="N947" s="113"/>
      <c r="O947" s="113" t="str">
        <f t="shared" si="120"/>
        <v>$B$103</v>
      </c>
      <c r="P947" s="113" t="str">
        <f>"$G$"&amp;A947</f>
        <v>$G$103</v>
      </c>
      <c r="Q947" s="113"/>
      <c r="R947" s="113"/>
      <c r="S947" s="113"/>
      <c r="T947" s="113"/>
      <c r="U947" s="113"/>
      <c r="V947" s="113" t="s">
        <v>1342</v>
      </c>
      <c r="W947" s="113"/>
      <c r="X947" s="113"/>
      <c r="Y947" s="113"/>
      <c r="Z947" s="113"/>
      <c r="AA947" s="113"/>
      <c r="AB947" s="113"/>
      <c r="AC947" s="113"/>
      <c r="AD947" s="113"/>
      <c r="AE947" s="113"/>
      <c r="AF947" s="113"/>
      <c r="AG947" s="113"/>
      <c r="AH947" s="113"/>
      <c r="AI947" s="113"/>
      <c r="AJ947" s="113"/>
      <c r="AK947" s="113"/>
      <c r="AL947" s="113">
        <v>1</v>
      </c>
      <c r="AM947" s="113"/>
      <c r="AN947" s="113"/>
      <c r="AO947" s="113"/>
      <c r="AP947" s="113" t="b">
        <v>1</v>
      </c>
      <c r="AQ947" s="137" t="s">
        <v>434</v>
      </c>
      <c r="AR947" s="230">
        <f>SUMIF(IF(MasterSheet_f_FP_CfgGroup1R3_VS,ProgramudgifterC!$F:$F,ProjektudgifterC!$F:$F),"",IF(MasterSheet_f_FP_CfgGroup1R3_VS,IF(MasterSheet_f_FP_CfgGroup2R2_VS,ProgramudgifterC!$U:$U,ProgramudgifterC!$S:$S),IF(MasterSheet_f_FP_CfgGroup2R2_VS,ProjektudgifterC!$U:$U,ProjektudgifterC!$S:$S)))/1000</f>
        <v>0</v>
      </c>
      <c r="AS947" s="478">
        <f>SUMIF('Drift - fremtidig uden projektC'!$F:$F,"",IF(MasterSheet_f_FP_CfgGroup2R2_VS,'Drift - fremtidig uden projektC'!$U:$U,'Drift - fremtidig uden projektC'!$S:$S))/1000</f>
        <v>0</v>
      </c>
      <c r="AT947" s="479"/>
      <c r="AU947" s="459">
        <f>SUMIF('Drift - med projektC'!$F:$F,"",IF(MasterSheet_f_FP_CfgGroup2R2_VS,'Drift - med projektC'!$U:$U,'Drift - med projektC'!$S:$S))/1000</f>
        <v>0</v>
      </c>
      <c r="AV947" s="460"/>
    </row>
    <row r="948" spans="1:147" ht="16.5" customHeight="1" thickBot="1" x14ac:dyDescent="0.25">
      <c r="A948" s="113">
        <f>$A$939+8</f>
        <v>104</v>
      </c>
      <c r="B948" s="113" t="s">
        <v>1290</v>
      </c>
      <c r="C948" s="113" t="s">
        <v>92</v>
      </c>
      <c r="D948" s="113"/>
      <c r="E948" s="113"/>
      <c r="F948" s="113"/>
      <c r="G948" s="113" t="s">
        <v>406</v>
      </c>
      <c r="H948" s="113"/>
      <c r="I948" s="113"/>
      <c r="J948" s="113" t="b">
        <f t="shared" si="119"/>
        <v>1</v>
      </c>
      <c r="K948" s="113" t="b">
        <v>1</v>
      </c>
      <c r="L948" s="113"/>
      <c r="M948" s="113"/>
      <c r="N948" s="113"/>
      <c r="O948" s="113" t="str">
        <f t="shared" si="120"/>
        <v>$B$104</v>
      </c>
      <c r="P948" s="113" t="str">
        <f>"$G$"&amp;A948</f>
        <v>$G$104</v>
      </c>
      <c r="Q948" s="113"/>
      <c r="R948" s="113"/>
      <c r="S948" s="113"/>
      <c r="T948" s="113"/>
      <c r="U948" s="113"/>
      <c r="V948" s="113" t="s">
        <v>1342</v>
      </c>
      <c r="W948" s="113"/>
      <c r="X948" s="113"/>
      <c r="Y948" s="113"/>
      <c r="Z948" s="113"/>
      <c r="AA948" s="113"/>
      <c r="AB948" s="113"/>
      <c r="AC948" s="113"/>
      <c r="AD948" s="113"/>
      <c r="AE948" s="113"/>
      <c r="AF948" s="113"/>
      <c r="AG948" s="113"/>
      <c r="AH948" s="113"/>
      <c r="AI948" s="113"/>
      <c r="AJ948" s="113"/>
      <c r="AK948" s="113"/>
      <c r="AL948" s="113">
        <v>1</v>
      </c>
      <c r="AM948" s="113"/>
      <c r="AN948" s="113"/>
      <c r="AO948" s="113"/>
      <c r="AP948" s="113" t="b">
        <v>1</v>
      </c>
      <c r="AQ948" s="145" t="s">
        <v>435</v>
      </c>
      <c r="AR948" s="231">
        <f ca="1">SUM(AR942:AR947)</f>
        <v>0</v>
      </c>
      <c r="AS948" s="472">
        <f ca="1">SUM(AS942:AT947)</f>
        <v>0</v>
      </c>
      <c r="AT948" s="473"/>
      <c r="AU948" s="472">
        <f t="shared" ref="AU948" ca="1" si="121">SUM(AR948:AT948)</f>
        <v>0</v>
      </c>
      <c r="AV948" s="474"/>
    </row>
    <row r="949" spans="1:147" ht="16.5" customHeight="1" x14ac:dyDescent="0.2">
      <c r="A949" s="103">
        <f>$A$939+11</f>
        <v>107</v>
      </c>
      <c r="B949" s="103" t="s">
        <v>500</v>
      </c>
      <c r="C949" s="103" t="s">
        <v>654</v>
      </c>
      <c r="D949" s="103"/>
      <c r="E949" s="103"/>
      <c r="F949" s="103"/>
      <c r="G949" s="103" t="s">
        <v>406</v>
      </c>
      <c r="H949" s="103"/>
      <c r="I949" s="103" t="s">
        <v>436</v>
      </c>
      <c r="J949" s="103" t="b">
        <f t="shared" si="119"/>
        <v>1</v>
      </c>
      <c r="K949" s="103" t="b">
        <v>1</v>
      </c>
      <c r="L949" s="103"/>
      <c r="M949" s="103"/>
      <c r="N949" s="103" t="s">
        <v>59</v>
      </c>
      <c r="O949" s="103" t="str">
        <f t="shared" si="120"/>
        <v>$B$107</v>
      </c>
      <c r="P949" s="103" t="str">
        <f>"$S$"&amp;A957-1</f>
        <v>$S$130</v>
      </c>
      <c r="Q949" s="103"/>
      <c r="R949" s="103">
        <v>1</v>
      </c>
      <c r="S949" s="103"/>
      <c r="T949" s="103">
        <v>27</v>
      </c>
      <c r="U949" s="103" t="b">
        <v>1</v>
      </c>
      <c r="V949" s="103" t="s">
        <v>1352</v>
      </c>
      <c r="W949" s="103" t="s">
        <v>1352</v>
      </c>
      <c r="X949" s="103"/>
      <c r="Y949" s="103"/>
      <c r="Z949" s="103"/>
      <c r="AA949" s="103"/>
      <c r="AB949" s="103"/>
      <c r="AC949" s="103">
        <v>7</v>
      </c>
      <c r="AD949" s="103" t="s">
        <v>105</v>
      </c>
      <c r="AE949" s="103">
        <v>20</v>
      </c>
      <c r="AF949" s="103" t="b">
        <v>1</v>
      </c>
      <c r="AG949" s="103" t="s">
        <v>1351</v>
      </c>
      <c r="AH949" s="103" t="s">
        <v>29</v>
      </c>
      <c r="AI949" s="103" t="s">
        <v>28</v>
      </c>
      <c r="AJ949" s="103"/>
      <c r="AK949" s="103"/>
      <c r="AL949" s="103">
        <v>0</v>
      </c>
      <c r="AM949" s="103"/>
      <c r="AN949" s="103"/>
      <c r="AO949" s="103"/>
      <c r="AP949" s="103"/>
      <c r="AQ949" s="149" t="s">
        <v>436</v>
      </c>
      <c r="AR949" s="149"/>
      <c r="AS949" s="149"/>
      <c r="AT949" s="149"/>
      <c r="AU949" s="149"/>
      <c r="AV949" s="149"/>
    </row>
    <row r="950" spans="1:147" ht="16.5" customHeight="1" x14ac:dyDescent="0.2">
      <c r="A950" s="81">
        <f>$A$949+0</f>
        <v>107</v>
      </c>
      <c r="B950" s="81" t="s">
        <v>536</v>
      </c>
      <c r="C950" s="81" t="s">
        <v>512</v>
      </c>
      <c r="D950" s="81" t="s">
        <v>903</v>
      </c>
      <c r="E950" s="81"/>
      <c r="F950" s="81"/>
      <c r="G950" s="81" t="s">
        <v>406</v>
      </c>
      <c r="H950" s="81"/>
      <c r="I950" s="81"/>
      <c r="J950" s="81" t="b">
        <f t="shared" si="119"/>
        <v>1</v>
      </c>
      <c r="K950" s="81" t="b">
        <v>1</v>
      </c>
      <c r="L950" s="81" t="b">
        <v>1</v>
      </c>
      <c r="M950" s="81"/>
      <c r="N950" s="81" t="s">
        <v>59</v>
      </c>
      <c r="O950" s="81" t="str">
        <f>"$A$"&amp;A950</f>
        <v>$A$107</v>
      </c>
      <c r="P950" s="81" t="str">
        <f>"$A$"&amp;A957-1</f>
        <v>$A$130</v>
      </c>
      <c r="Q950" s="81"/>
      <c r="R950" s="81">
        <v>1</v>
      </c>
      <c r="S950" s="81">
        <v>20</v>
      </c>
      <c r="T950" s="81"/>
      <c r="U950" s="81" t="b">
        <f>$I$5</f>
        <v>0</v>
      </c>
      <c r="V950" s="81" t="s">
        <v>1354</v>
      </c>
      <c r="W950" s="81" t="s">
        <v>1354</v>
      </c>
      <c r="X950" s="81"/>
      <c r="Y950" s="81"/>
      <c r="Z950" s="81"/>
      <c r="AA950" s="81"/>
      <c r="AB950" s="81"/>
      <c r="AC950" s="81"/>
      <c r="AD950" s="81"/>
      <c r="AE950" s="81"/>
      <c r="AF950" s="81"/>
      <c r="AG950" s="81"/>
      <c r="AH950" s="81"/>
      <c r="AI950" s="81"/>
      <c r="AJ950" s="81"/>
      <c r="AK950" s="81"/>
      <c r="AL950" s="81">
        <v>10</v>
      </c>
      <c r="AM950" s="81">
        <v>5</v>
      </c>
      <c r="AN950" s="81"/>
      <c r="AO950" s="81"/>
      <c r="AP950" s="81"/>
    </row>
    <row r="951" spans="1:147" ht="16.5" customHeight="1" x14ac:dyDescent="0.2">
      <c r="A951" s="112">
        <f>$A$949+2</f>
        <v>109</v>
      </c>
      <c r="B951" s="112" t="s">
        <v>558</v>
      </c>
      <c r="C951" s="112" t="s">
        <v>90</v>
      </c>
      <c r="D951" s="112"/>
      <c r="E951" s="112"/>
      <c r="F951" s="112"/>
      <c r="G951" s="112" t="s">
        <v>406</v>
      </c>
      <c r="H951" s="112"/>
      <c r="I951" s="112"/>
      <c r="J951" s="112" t="b">
        <f t="shared" si="119"/>
        <v>1</v>
      </c>
      <c r="K951" s="112" t="b">
        <v>1</v>
      </c>
      <c r="L951" s="112"/>
      <c r="M951" s="112"/>
      <c r="N951" s="112"/>
      <c r="O951" s="112" t="str">
        <f>"$B$"&amp;A951</f>
        <v>$B$109</v>
      </c>
      <c r="P951" s="112" t="str">
        <f>"$E$"&amp;A951+1</f>
        <v>$E$110</v>
      </c>
      <c r="Q951" s="112"/>
      <c r="R951" s="112"/>
      <c r="S951" s="112"/>
      <c r="T951" s="112"/>
      <c r="U951" s="112"/>
      <c r="V951" s="112" t="s">
        <v>1342</v>
      </c>
      <c r="W951" s="112"/>
      <c r="X951" s="112"/>
      <c r="Y951" s="112"/>
      <c r="Z951" s="112"/>
      <c r="AA951" s="112"/>
      <c r="AB951" s="112"/>
      <c r="AC951" s="112"/>
      <c r="AD951" s="112" t="s">
        <v>105</v>
      </c>
      <c r="AE951" s="112">
        <v>12</v>
      </c>
      <c r="AF951" s="112" t="b">
        <v>1</v>
      </c>
      <c r="AG951" s="112" t="s">
        <v>1355</v>
      </c>
      <c r="AH951" s="112" t="s">
        <v>29</v>
      </c>
      <c r="AI951" s="112" t="s">
        <v>28</v>
      </c>
      <c r="AJ951" s="112"/>
      <c r="AK951" s="112"/>
      <c r="AL951" s="112"/>
      <c r="AM951" s="112"/>
      <c r="AN951" s="112"/>
      <c r="AO951" s="112"/>
      <c r="AP951" s="112"/>
    </row>
    <row r="952" spans="1:147" ht="16.5" customHeight="1" x14ac:dyDescent="0.2">
      <c r="A952" s="113">
        <f>$A$951+0</f>
        <v>109</v>
      </c>
      <c r="B952" s="113" t="s">
        <v>559</v>
      </c>
      <c r="C952" s="113" t="s">
        <v>92</v>
      </c>
      <c r="D952" s="113"/>
      <c r="E952" s="113"/>
      <c r="F952" s="113"/>
      <c r="G952" s="113" t="s">
        <v>406</v>
      </c>
      <c r="H952" s="113"/>
      <c r="I952" s="113"/>
      <c r="J952" s="113" t="b">
        <f t="shared" si="119"/>
        <v>1</v>
      </c>
      <c r="K952" s="113" t="b">
        <v>1</v>
      </c>
      <c r="L952" s="113"/>
      <c r="M952" s="113"/>
      <c r="N952" s="113"/>
      <c r="O952" s="113" t="str">
        <f>"$B$"&amp;A952</f>
        <v>$B$109</v>
      </c>
      <c r="P952" s="113" t="str">
        <f>"$E$"&amp;A952</f>
        <v>$E$109</v>
      </c>
      <c r="Q952" s="113"/>
      <c r="R952" s="113"/>
      <c r="S952" s="113"/>
      <c r="T952" s="113">
        <v>52</v>
      </c>
      <c r="U952" s="113"/>
      <c r="V952" s="113" t="s">
        <v>1342</v>
      </c>
      <c r="W952" s="113"/>
      <c r="X952" s="113"/>
      <c r="Y952" s="113"/>
      <c r="Z952" s="113"/>
      <c r="AA952" s="113"/>
      <c r="AB952" s="113"/>
      <c r="AC952" s="113"/>
      <c r="AD952" s="113"/>
      <c r="AE952" s="113"/>
      <c r="AF952" s="113"/>
      <c r="AG952" s="113"/>
      <c r="AH952" s="113"/>
      <c r="AI952" s="113"/>
      <c r="AJ952" s="113"/>
      <c r="AK952" s="113"/>
      <c r="AL952" s="113">
        <v>1</v>
      </c>
      <c r="AM952" s="113"/>
      <c r="AN952" s="113"/>
      <c r="AO952" s="113"/>
      <c r="AP952" s="113" t="b">
        <v>1</v>
      </c>
      <c r="AQ952" s="372" t="s">
        <v>437</v>
      </c>
      <c r="AR952" s="372"/>
      <c r="AS952" s="372"/>
      <c r="AT952" s="372"/>
      <c r="AU952" s="372"/>
      <c r="AV952" s="372"/>
      <c r="AW952" s="372"/>
      <c r="AX952" s="372"/>
    </row>
    <row r="953" spans="1:147" ht="16.5" customHeight="1" x14ac:dyDescent="0.2">
      <c r="A953" s="109">
        <f>$A$951+2</f>
        <v>111</v>
      </c>
      <c r="B953" s="109" t="s">
        <v>1599</v>
      </c>
      <c r="C953" s="109" t="s">
        <v>96</v>
      </c>
      <c r="D953" s="109"/>
      <c r="E953" s="109"/>
      <c r="F953" s="109"/>
      <c r="G953" s="109" t="s">
        <v>406</v>
      </c>
      <c r="H953" s="109"/>
      <c r="I953" s="109"/>
      <c r="J953" s="109" t="b">
        <f t="shared" si="119"/>
        <v>1</v>
      </c>
      <c r="K953" s="109" t="b">
        <v>1</v>
      </c>
      <c r="L953" s="109"/>
      <c r="M953" s="109"/>
      <c r="N953" s="109" t="s">
        <v>59</v>
      </c>
      <c r="O953" s="109" t="str">
        <f>"$B$"&amp;A953</f>
        <v>$B$111</v>
      </c>
      <c r="P953" s="109" t="str">
        <f>"$E$"&amp;A953+17</f>
        <v>$E$128</v>
      </c>
      <c r="Q953" s="109"/>
      <c r="R953" s="109"/>
      <c r="S953" s="109"/>
      <c r="T953" s="109"/>
      <c r="U953" s="109"/>
      <c r="V953" s="109"/>
      <c r="W953" s="109"/>
      <c r="X953" s="109"/>
      <c r="Y953" s="109"/>
      <c r="Z953" s="109"/>
      <c r="AA953" s="109"/>
      <c r="AB953" s="109"/>
      <c r="AC953" s="109">
        <v>5</v>
      </c>
      <c r="AD953" s="109"/>
      <c r="AE953" s="109">
        <v>12</v>
      </c>
      <c r="AF953" s="109" t="b">
        <v>0</v>
      </c>
      <c r="AG953" s="109" t="s">
        <v>1355</v>
      </c>
      <c r="AH953" s="109" t="s">
        <v>29</v>
      </c>
      <c r="AI953" s="109" t="s">
        <v>28</v>
      </c>
      <c r="AJ953" s="109"/>
      <c r="AK953" s="109"/>
      <c r="AL953" s="109"/>
      <c r="AM953" s="109"/>
      <c r="AN953" s="109"/>
      <c r="AO953" s="109"/>
      <c r="AP953" s="109"/>
      <c r="AQ953" s="93" t="str">
        <f ca="1">":RiskResultsGraph("&amp;TEXT(ADDRESS(ROW(OFFSET(Businesscasen_f_BCM_Table4_start,2,2)),COLUMN(OFFSET(Businesscasen_f_BCM_Table4_start,2,2)),1,1),"")&amp;",B"&amp;A953&amp;":E"&amp;A957-4&amp;",0,FALSE)"</f>
        <v>:RiskResultsGraph($D$23,B111:E127,0,FALSE)</v>
      </c>
    </row>
    <row r="954" spans="1:147" ht="16.5" customHeight="1" x14ac:dyDescent="0.2">
      <c r="A954" s="112">
        <f>$A$951+0</f>
        <v>109</v>
      </c>
      <c r="B954" s="112" t="s">
        <v>575</v>
      </c>
      <c r="C954" s="112" t="s">
        <v>90</v>
      </c>
      <c r="D954" s="112"/>
      <c r="E954" s="112"/>
      <c r="F954" s="112"/>
      <c r="G954" s="112" t="s">
        <v>406</v>
      </c>
      <c r="H954" s="112"/>
      <c r="I954" s="112"/>
      <c r="J954" s="112" t="b">
        <f t="shared" si="119"/>
        <v>1</v>
      </c>
      <c r="K954" s="112" t="b">
        <v>1</v>
      </c>
      <c r="L954" s="112"/>
      <c r="M954" s="112"/>
      <c r="N954" s="112"/>
      <c r="O954" s="112" t="str">
        <f>"$J$"&amp;A954</f>
        <v>$J$109</v>
      </c>
      <c r="P954" s="112" t="str">
        <f>"$S$"&amp;A954+1</f>
        <v>$S$110</v>
      </c>
      <c r="Q954" s="112"/>
      <c r="R954" s="112"/>
      <c r="S954" s="112"/>
      <c r="T954" s="112"/>
      <c r="U954" s="112"/>
      <c r="V954" s="112" t="s">
        <v>1342</v>
      </c>
      <c r="W954" s="112"/>
      <c r="X954" s="112"/>
      <c r="Y954" s="112"/>
      <c r="Z954" s="112"/>
      <c r="AA954" s="112"/>
      <c r="AB954" s="112"/>
      <c r="AC954" s="112"/>
      <c r="AD954" s="112" t="s">
        <v>105</v>
      </c>
      <c r="AE954" s="112">
        <v>12</v>
      </c>
      <c r="AF954" s="112" t="b">
        <v>1</v>
      </c>
      <c r="AG954" s="112" t="s">
        <v>1355</v>
      </c>
      <c r="AH954" s="112" t="s">
        <v>29</v>
      </c>
      <c r="AI954" s="112" t="s">
        <v>28</v>
      </c>
      <c r="AJ954" s="112"/>
      <c r="AK954" s="112"/>
      <c r="AL954" s="112"/>
      <c r="AM954" s="112"/>
      <c r="AN954" s="112"/>
      <c r="AO954" s="112"/>
      <c r="AP954" s="112"/>
    </row>
    <row r="955" spans="1:147" ht="16.5" customHeight="1" x14ac:dyDescent="0.2">
      <c r="A955" s="113">
        <f>$A$954+0</f>
        <v>109</v>
      </c>
      <c r="B955" s="113" t="s">
        <v>560</v>
      </c>
      <c r="C955" s="113" t="s">
        <v>92</v>
      </c>
      <c r="D955" s="113"/>
      <c r="E955" s="113"/>
      <c r="F955" s="113"/>
      <c r="G955" s="113" t="s">
        <v>406</v>
      </c>
      <c r="H955" s="113"/>
      <c r="I955" s="113"/>
      <c r="J955" s="113" t="b">
        <f t="shared" si="119"/>
        <v>1</v>
      </c>
      <c r="K955" s="113" t="b">
        <v>1</v>
      </c>
      <c r="L955" s="113"/>
      <c r="M955" s="113"/>
      <c r="N955" s="113"/>
      <c r="O955" s="113" t="str">
        <f>"$J$"&amp;A955</f>
        <v>$J$109</v>
      </c>
      <c r="P955" s="113" t="str">
        <f>"$S$"&amp;A955</f>
        <v>$S$109</v>
      </c>
      <c r="Q955" s="113"/>
      <c r="R955" s="113"/>
      <c r="S955" s="113"/>
      <c r="T955" s="113">
        <v>52</v>
      </c>
      <c r="U955" s="113"/>
      <c r="V955" s="113" t="s">
        <v>1342</v>
      </c>
      <c r="W955" s="113"/>
      <c r="X955" s="113"/>
      <c r="Y955" s="113"/>
      <c r="Z955" s="113"/>
      <c r="AA955" s="113"/>
      <c r="AB955" s="113"/>
      <c r="AC955" s="113"/>
      <c r="AD955" s="113"/>
      <c r="AE955" s="113"/>
      <c r="AF955" s="113"/>
      <c r="AG955" s="113"/>
      <c r="AH955" s="113"/>
      <c r="AI955" s="113"/>
      <c r="AJ955" s="113"/>
      <c r="AK955" s="113"/>
      <c r="AL955" s="113">
        <v>1</v>
      </c>
      <c r="AM955" s="113"/>
      <c r="AN955" s="113"/>
      <c r="AO955" s="113"/>
      <c r="AP955" s="113" t="b">
        <v>1</v>
      </c>
      <c r="AQ955" s="372" t="s">
        <v>438</v>
      </c>
      <c r="AR955" s="372"/>
      <c r="AS955" s="372"/>
      <c r="AT955" s="372"/>
      <c r="AU955" s="372"/>
      <c r="AV955" s="372"/>
      <c r="AW955" s="372"/>
      <c r="AX955" s="372"/>
      <c r="AY955" s="372"/>
      <c r="AZ955" s="372"/>
      <c r="BA955" s="372"/>
      <c r="BB955" s="372"/>
    </row>
    <row r="956" spans="1:147" ht="16.5" customHeight="1" x14ac:dyDescent="0.2">
      <c r="A956" s="109">
        <f>$A$954+2</f>
        <v>111</v>
      </c>
      <c r="B956" s="109" t="s">
        <v>1600</v>
      </c>
      <c r="C956" s="109" t="s">
        <v>96</v>
      </c>
      <c r="D956" s="109"/>
      <c r="E956" s="109"/>
      <c r="F956" s="109"/>
      <c r="G956" s="109" t="s">
        <v>406</v>
      </c>
      <c r="H956" s="109"/>
      <c r="I956" s="109"/>
      <c r="J956" s="109" t="b">
        <f t="shared" si="119"/>
        <v>1</v>
      </c>
      <c r="K956" s="109" t="b">
        <v>1</v>
      </c>
      <c r="L956" s="109"/>
      <c r="M956" s="109"/>
      <c r="N956" s="109" t="s">
        <v>59</v>
      </c>
      <c r="O956" s="109" t="str">
        <f>"$J$"&amp;A956</f>
        <v>$J$111</v>
      </c>
      <c r="P956" s="109" t="str">
        <f>"$S$"&amp;A956+17</f>
        <v>$S$128</v>
      </c>
      <c r="Q956" s="109"/>
      <c r="R956" s="109"/>
      <c r="S956" s="109"/>
      <c r="T956" s="109"/>
      <c r="U956" s="109"/>
      <c r="V956" s="109"/>
      <c r="W956" s="109"/>
      <c r="X956" s="109"/>
      <c r="Y956" s="109"/>
      <c r="Z956" s="109"/>
      <c r="AA956" s="109"/>
      <c r="AB956" s="109"/>
      <c r="AC956" s="109">
        <v>5</v>
      </c>
      <c r="AD956" s="109"/>
      <c r="AE956" s="109">
        <v>12</v>
      </c>
      <c r="AF956" s="109" t="b">
        <v>0</v>
      </c>
      <c r="AG956" s="109" t="s">
        <v>1355</v>
      </c>
      <c r="AH956" s="109" t="s">
        <v>29</v>
      </c>
      <c r="AI956" s="109" t="s">
        <v>28</v>
      </c>
      <c r="AJ956" s="109"/>
      <c r="AK956" s="109"/>
      <c r="AL956" s="109"/>
      <c r="AM956" s="109"/>
      <c r="AN956" s="109"/>
      <c r="AO956" s="109"/>
      <c r="AP956" s="109"/>
      <c r="AQ956" s="93" t="str">
        <f ca="1">":RiskResultsGraph("&amp;TEXT(ADDRESS(ROW(OFFSET(Businesscasen_f_BCM_Table4_start,1,2)),COLUMN(OFFSET(Businesscasen_f_BCM_Table4_start,1,2)),1,1),"")&amp;",J"&amp;A956&amp;":S"&amp;A960-4&amp;",0,FALSE)"</f>
        <v>:RiskResultsGraph($D$22,J111:S129,0,FALSE)</v>
      </c>
    </row>
    <row r="957" spans="1:147" ht="16.5" customHeight="1" x14ac:dyDescent="0.2">
      <c r="A957" s="103">
        <f>$A$954+22</f>
        <v>131</v>
      </c>
      <c r="B957" s="103" t="s">
        <v>501</v>
      </c>
      <c r="C957" s="103" t="s">
        <v>654</v>
      </c>
      <c r="D957" s="103"/>
      <c r="E957" s="103"/>
      <c r="F957" s="103"/>
      <c r="G957" s="103" t="s">
        <v>406</v>
      </c>
      <c r="H957" s="103"/>
      <c r="I957" s="103" t="s">
        <v>967</v>
      </c>
      <c r="J957" s="103" t="b">
        <f t="shared" si="119"/>
        <v>1</v>
      </c>
      <c r="K957" s="103" t="b">
        <v>1</v>
      </c>
      <c r="L957" s="103"/>
      <c r="M957" s="103"/>
      <c r="N957" s="103" t="s">
        <v>59</v>
      </c>
      <c r="O957" s="103" t="str">
        <f>"$B$"&amp;A957</f>
        <v>$B$131</v>
      </c>
      <c r="P957" s="103" t="str">
        <f>"$S$"&amp;A975-1</f>
        <v>$S$144</v>
      </c>
      <c r="Q957" s="103"/>
      <c r="R957" s="103">
        <v>1</v>
      </c>
      <c r="S957" s="103"/>
      <c r="T957" s="103">
        <v>27</v>
      </c>
      <c r="U957" s="103" t="b">
        <v>1</v>
      </c>
      <c r="V957" s="103" t="s">
        <v>1352</v>
      </c>
      <c r="W957" s="103" t="s">
        <v>1352</v>
      </c>
      <c r="X957" s="103"/>
      <c r="Y957" s="103"/>
      <c r="Z957" s="103"/>
      <c r="AA957" s="103"/>
      <c r="AB957" s="103"/>
      <c r="AC957" s="103">
        <v>7</v>
      </c>
      <c r="AD957" s="103" t="s">
        <v>105</v>
      </c>
      <c r="AE957" s="103">
        <v>20</v>
      </c>
      <c r="AF957" s="103" t="b">
        <v>1</v>
      </c>
      <c r="AG957" s="103" t="s">
        <v>1351</v>
      </c>
      <c r="AH957" s="103" t="s">
        <v>29</v>
      </c>
      <c r="AI957" s="103" t="s">
        <v>28</v>
      </c>
      <c r="AJ957" s="103"/>
      <c r="AK957" s="103"/>
      <c r="AL957" s="103">
        <v>0</v>
      </c>
      <c r="AM957" s="103"/>
      <c r="AN957" s="103"/>
      <c r="AO957" s="103"/>
      <c r="AP957" s="103"/>
      <c r="AQ957" s="93" t="s">
        <v>967</v>
      </c>
    </row>
    <row r="958" spans="1:147" ht="16.5" customHeight="1" x14ac:dyDescent="0.2">
      <c r="A958" s="108">
        <f>$A$957+0</f>
        <v>131</v>
      </c>
      <c r="B958" s="81" t="s">
        <v>974</v>
      </c>
      <c r="C958" s="81" t="s">
        <v>512</v>
      </c>
      <c r="D958" s="81" t="s">
        <v>902</v>
      </c>
      <c r="E958" s="81"/>
      <c r="F958" s="81"/>
      <c r="G958" s="81" t="s">
        <v>406</v>
      </c>
      <c r="H958" s="81"/>
      <c r="I958" s="81"/>
      <c r="J958" s="81"/>
      <c r="K958" s="81" t="b">
        <v>1</v>
      </c>
      <c r="L958" s="81" t="b">
        <v>1</v>
      </c>
      <c r="M958" s="81"/>
      <c r="N958" s="81" t="s">
        <v>59</v>
      </c>
      <c r="O958" s="81" t="str">
        <f>"$A$"&amp;A958</f>
        <v>$A$131</v>
      </c>
      <c r="P958" s="81" t="str">
        <f>"$A$"&amp;A975-1</f>
        <v>$A$144</v>
      </c>
      <c r="Q958" s="81"/>
      <c r="R958" s="81">
        <v>1</v>
      </c>
      <c r="S958" s="81">
        <v>20</v>
      </c>
      <c r="T958" s="81"/>
      <c r="U958" s="81" t="b">
        <f>$I$5</f>
        <v>0</v>
      </c>
      <c r="V958" s="81" t="s">
        <v>1349</v>
      </c>
      <c r="W958" s="81" t="s">
        <v>1349</v>
      </c>
      <c r="X958" s="81"/>
      <c r="Y958" s="81"/>
      <c r="Z958" s="81"/>
      <c r="AA958" s="81"/>
      <c r="AB958" s="81"/>
      <c r="AC958" s="81"/>
      <c r="AD958" s="81"/>
      <c r="AE958" s="81"/>
      <c r="AF958" s="81"/>
      <c r="AG958" s="81"/>
      <c r="AH958" s="81"/>
      <c r="AI958" s="81"/>
      <c r="AJ958" s="81"/>
      <c r="AK958" s="81"/>
      <c r="AL958" s="81">
        <v>10</v>
      </c>
      <c r="AM958" s="81">
        <v>5</v>
      </c>
      <c r="AN958" s="81"/>
      <c r="AO958" s="81"/>
      <c r="AP958" s="81"/>
    </row>
    <row r="959" spans="1:147" ht="16.5" customHeight="1" x14ac:dyDescent="0.2">
      <c r="A959" s="112">
        <f>$A$957+2</f>
        <v>133</v>
      </c>
      <c r="B959" s="112" t="s">
        <v>561</v>
      </c>
      <c r="C959" s="112" t="s">
        <v>90</v>
      </c>
      <c r="D959" s="112"/>
      <c r="E959" s="112"/>
      <c r="F959" s="112"/>
      <c r="G959" s="112" t="s">
        <v>406</v>
      </c>
      <c r="H959" s="112"/>
      <c r="I959" s="112"/>
      <c r="J959" s="112" t="b">
        <f>$H$5</f>
        <v>1</v>
      </c>
      <c r="K959" s="112" t="b">
        <v>1</v>
      </c>
      <c r="L959" s="112"/>
      <c r="M959" s="112"/>
      <c r="N959" s="112"/>
      <c r="O959" s="112" t="str">
        <f>"$B$"&amp;A959</f>
        <v>$B$133</v>
      </c>
      <c r="P959" s="112" t="str">
        <f>"$BK$"&amp;A972</f>
        <v>$BK$142</v>
      </c>
      <c r="Q959" s="112"/>
      <c r="R959" s="112"/>
      <c r="S959" s="112"/>
      <c r="T959" s="112"/>
      <c r="U959" s="112"/>
      <c r="V959" s="112" t="s">
        <v>1342</v>
      </c>
      <c r="W959" s="112"/>
      <c r="X959" s="112"/>
      <c r="Y959" s="112"/>
      <c r="Z959" s="112"/>
      <c r="AA959" s="112"/>
      <c r="AB959" s="112"/>
      <c r="AC959" s="112"/>
      <c r="AD959" s="112" t="s">
        <v>105</v>
      </c>
      <c r="AE959" s="112">
        <v>12</v>
      </c>
      <c r="AF959" s="112" t="b">
        <v>1</v>
      </c>
      <c r="AG959" s="112" t="s">
        <v>1355</v>
      </c>
      <c r="AH959" s="112" t="s">
        <v>29</v>
      </c>
      <c r="AI959" s="112" t="s">
        <v>28</v>
      </c>
      <c r="AJ959" s="112"/>
      <c r="AK959" s="112"/>
      <c r="AL959" s="112"/>
      <c r="AM959" s="112"/>
      <c r="AN959" s="112"/>
      <c r="AO959" s="112"/>
      <c r="AP959" s="112"/>
    </row>
    <row r="960" spans="1:147" ht="16.5" customHeight="1" thickBot="1" x14ac:dyDescent="0.3">
      <c r="A960" s="113">
        <f>$A$959+0</f>
        <v>133</v>
      </c>
      <c r="B960" s="113" t="s">
        <v>562</v>
      </c>
      <c r="C960" s="113" t="s">
        <v>92</v>
      </c>
      <c r="D960" s="113"/>
      <c r="E960" s="113"/>
      <c r="F960" s="113" t="s">
        <v>561</v>
      </c>
      <c r="G960" s="113" t="s">
        <v>406</v>
      </c>
      <c r="H960" s="113"/>
      <c r="I960" s="113"/>
      <c r="J960" s="113" t="b">
        <f>$H$5</f>
        <v>1</v>
      </c>
      <c r="K960" s="113" t="b">
        <v>1</v>
      </c>
      <c r="L960" s="113"/>
      <c r="M960" s="113"/>
      <c r="N960" s="113"/>
      <c r="O960" s="113" t="str">
        <f>"$B$"&amp;A960</f>
        <v>$B$133</v>
      </c>
      <c r="P960" s="113" t="str">
        <f>"$BK$"&amp;A960</f>
        <v>$BK$133</v>
      </c>
      <c r="Q960" s="113"/>
      <c r="R960" s="113"/>
      <c r="S960" s="113"/>
      <c r="T960" s="113">
        <v>52</v>
      </c>
      <c r="U960" s="113"/>
      <c r="V960" s="113" t="s">
        <v>1342</v>
      </c>
      <c r="W960" s="113"/>
      <c r="X960" s="113"/>
      <c r="Y960" s="113"/>
      <c r="Z960" s="113"/>
      <c r="AA960" s="113"/>
      <c r="AB960" s="113"/>
      <c r="AC960" s="113"/>
      <c r="AD960" s="113"/>
      <c r="AE960" s="113"/>
      <c r="AF960" s="113"/>
      <c r="AG960" s="113"/>
      <c r="AH960" s="113"/>
      <c r="AI960" s="113"/>
      <c r="AJ960" s="113"/>
      <c r="AK960" s="113"/>
      <c r="AL960" s="113">
        <v>1</v>
      </c>
      <c r="AM960" s="113"/>
      <c r="AN960" s="113"/>
      <c r="AO960" s="113"/>
      <c r="AP960" s="113" t="b">
        <v>1</v>
      </c>
      <c r="AQ960" s="245" t="s">
        <v>973</v>
      </c>
      <c r="AR960" s="154" t="s">
        <v>413</v>
      </c>
      <c r="AS960" s="475" t="s">
        <v>414</v>
      </c>
      <c r="AT960" s="475"/>
      <c r="AU960" s="155">
        <v>2013</v>
      </c>
      <c r="AV960" s="155">
        <v>2014</v>
      </c>
      <c r="AW960"/>
      <c r="AX960"/>
      <c r="AY960"/>
      <c r="AZ960"/>
      <c r="BA960"/>
      <c r="BB960"/>
      <c r="BC960"/>
      <c r="BD960"/>
      <c r="BE960"/>
      <c r="BF960"/>
      <c r="BG960"/>
      <c r="BH960"/>
      <c r="BI960"/>
      <c r="BJ960"/>
      <c r="BK960"/>
      <c r="BL960"/>
      <c r="BM960"/>
      <c r="BN960"/>
      <c r="BO960"/>
      <c r="BP960"/>
      <c r="BQ960"/>
      <c r="BR960"/>
      <c r="BS960"/>
      <c r="BT960"/>
      <c r="BU960"/>
      <c r="BV960"/>
      <c r="BW960"/>
      <c r="BX960"/>
      <c r="BY960"/>
      <c r="BZ960"/>
      <c r="CA960"/>
      <c r="CB960"/>
      <c r="CC960"/>
      <c r="CD960"/>
      <c r="CE960"/>
      <c r="CF960"/>
      <c r="CG960"/>
      <c r="CH960"/>
      <c r="CI960"/>
      <c r="CJ960"/>
      <c r="CK960"/>
      <c r="CL960"/>
      <c r="CM960"/>
      <c r="CN960"/>
      <c r="CO960"/>
      <c r="CP960"/>
      <c r="CQ960"/>
      <c r="CR960"/>
      <c r="CS960"/>
      <c r="CT960"/>
      <c r="CU960"/>
      <c r="CV960"/>
      <c r="CW960"/>
      <c r="CX960"/>
      <c r="CY960"/>
      <c r="CZ960"/>
      <c r="DA960"/>
      <c r="DB960"/>
      <c r="DC960"/>
      <c r="DD960"/>
      <c r="DE960"/>
      <c r="DF960"/>
      <c r="DG960"/>
      <c r="DH960"/>
      <c r="DI960"/>
      <c r="DJ960"/>
      <c r="DK960"/>
      <c r="DL960"/>
      <c r="DM960"/>
      <c r="DN960"/>
      <c r="DO960"/>
      <c r="DP960"/>
      <c r="DQ960"/>
      <c r="DR960"/>
      <c r="DS960"/>
      <c r="DT960"/>
      <c r="DU960"/>
      <c r="DV960"/>
      <c r="DW960"/>
      <c r="DX960"/>
      <c r="DY960"/>
      <c r="DZ960"/>
      <c r="EA960"/>
      <c r="EB960"/>
      <c r="EC960"/>
      <c r="ED960"/>
      <c r="EE960"/>
      <c r="EF960"/>
      <c r="EG960"/>
      <c r="EH960"/>
      <c r="EI960"/>
      <c r="EJ960"/>
      <c r="EK960"/>
      <c r="EL960"/>
      <c r="EM960"/>
      <c r="EN960"/>
      <c r="EO960"/>
      <c r="EP960"/>
      <c r="EQ960"/>
    </row>
    <row r="961" spans="1:147" ht="16.5" customHeight="1" x14ac:dyDescent="0.25">
      <c r="A961" s="113">
        <f>$A$959+1</f>
        <v>134</v>
      </c>
      <c r="B961" s="113" t="s">
        <v>1423</v>
      </c>
      <c r="C961" s="113" t="s">
        <v>92</v>
      </c>
      <c r="D961" s="113"/>
      <c r="E961" s="113"/>
      <c r="F961" s="113" t="s">
        <v>561</v>
      </c>
      <c r="G961" s="113" t="s">
        <v>406</v>
      </c>
      <c r="H961" s="113"/>
      <c r="I961" s="113"/>
      <c r="J961" s="113" t="b">
        <f>$H$5</f>
        <v>1</v>
      </c>
      <c r="K961" s="113" t="b">
        <v>1</v>
      </c>
      <c r="L961" s="113"/>
      <c r="M961" s="113"/>
      <c r="N961" s="113"/>
      <c r="O961" s="113" t="str">
        <f>"$B$"&amp;A961</f>
        <v>$B$134</v>
      </c>
      <c r="P961" s="113" t="str">
        <f>"$BK$"&amp;A961</f>
        <v>$BK$134</v>
      </c>
      <c r="Q961" s="113"/>
      <c r="R961" s="113"/>
      <c r="S961" s="113"/>
      <c r="T961" s="113">
        <v>2</v>
      </c>
      <c r="U961" s="113"/>
      <c r="V961" s="113" t="s">
        <v>1342</v>
      </c>
      <c r="W961" s="113"/>
      <c r="X961" s="113"/>
      <c r="Y961" s="113"/>
      <c r="Z961" s="113"/>
      <c r="AA961" s="113"/>
      <c r="AB961" s="113"/>
      <c r="AC961" s="113"/>
      <c r="AD961" s="113"/>
      <c r="AE961" s="113"/>
      <c r="AF961" s="113"/>
      <c r="AG961" s="113"/>
      <c r="AH961" s="113"/>
      <c r="AI961" s="113"/>
      <c r="AJ961" s="113"/>
      <c r="AK961" s="113"/>
      <c r="AL961" s="113">
        <v>1</v>
      </c>
      <c r="AM961" s="113"/>
      <c r="AN961" s="113"/>
      <c r="AO961" s="113"/>
      <c r="AP961" s="113" t="b">
        <v>1</v>
      </c>
      <c r="AQ961" s="144"/>
      <c r="AR961" s="156"/>
      <c r="AS961" s="476"/>
      <c r="AT961" s="477"/>
      <c r="AU961" s="157"/>
      <c r="AV961" s="157"/>
      <c r="AW961"/>
      <c r="AX961"/>
      <c r="AY961"/>
      <c r="AZ961"/>
      <c r="BA961"/>
      <c r="BB961"/>
      <c r="BC961"/>
      <c r="BD961"/>
      <c r="BE961"/>
      <c r="BF961"/>
      <c r="BG961"/>
      <c r="BH961"/>
      <c r="BI961"/>
      <c r="BJ961"/>
      <c r="BK961"/>
      <c r="BL961"/>
      <c r="BM961"/>
      <c r="BN961"/>
      <c r="BO961"/>
      <c r="BP961"/>
      <c r="BQ961"/>
      <c r="BR961"/>
      <c r="BS961"/>
      <c r="BT961"/>
      <c r="BU961"/>
      <c r="BV961"/>
      <c r="BW961"/>
      <c r="BX961"/>
      <c r="BY961"/>
      <c r="BZ961"/>
      <c r="CA961"/>
      <c r="CB961"/>
      <c r="CC961"/>
      <c r="CD961"/>
      <c r="CE961"/>
      <c r="CF961"/>
      <c r="CG961"/>
      <c r="CH961"/>
      <c r="CI961"/>
      <c r="CJ961"/>
      <c r="CK961"/>
      <c r="CL961"/>
      <c r="CM961"/>
      <c r="CN961"/>
      <c r="CO961"/>
      <c r="CP961"/>
      <c r="CQ961"/>
      <c r="CR961"/>
      <c r="CS961"/>
      <c r="CT961"/>
      <c r="CU961"/>
      <c r="CV961"/>
      <c r="CW961"/>
      <c r="CX961"/>
      <c r="CY961"/>
      <c r="CZ961"/>
      <c r="DA961"/>
      <c r="DB961"/>
      <c r="DC961"/>
      <c r="DD961"/>
      <c r="DE961"/>
      <c r="DF961"/>
      <c r="DG961"/>
      <c r="DH961"/>
      <c r="DI961"/>
      <c r="DJ961"/>
      <c r="DK961"/>
      <c r="DL961"/>
      <c r="DM961"/>
      <c r="DN961"/>
      <c r="DO961"/>
      <c r="DP961"/>
      <c r="DQ961"/>
      <c r="DR961"/>
      <c r="DS961"/>
      <c r="DT961"/>
      <c r="DU961"/>
      <c r="DV961"/>
      <c r="DW961"/>
      <c r="DX961"/>
      <c r="DY961"/>
      <c r="DZ961"/>
      <c r="EA961"/>
      <c r="EB961"/>
      <c r="EC961"/>
      <c r="ED961"/>
      <c r="EE961"/>
      <c r="EF961"/>
      <c r="EG961"/>
      <c r="EH961"/>
      <c r="EI961"/>
      <c r="EJ961"/>
      <c r="EK961"/>
      <c r="EL961"/>
      <c r="EM961"/>
      <c r="EN961"/>
      <c r="EO961"/>
      <c r="EP961"/>
      <c r="EQ961"/>
    </row>
    <row r="962" spans="1:147" ht="16.5" customHeight="1" x14ac:dyDescent="0.25">
      <c r="A962" s="113">
        <f>$A$959+2</f>
        <v>135</v>
      </c>
      <c r="B962" s="113" t="s">
        <v>1424</v>
      </c>
      <c r="C962" s="113" t="s">
        <v>92</v>
      </c>
      <c r="D962" s="113"/>
      <c r="E962" s="113"/>
      <c r="F962" s="113" t="s">
        <v>561</v>
      </c>
      <c r="G962" s="113" t="s">
        <v>406</v>
      </c>
      <c r="H962" s="113"/>
      <c r="I962" s="113"/>
      <c r="J962" s="113" t="b">
        <f>$H$5</f>
        <v>1</v>
      </c>
      <c r="K962" s="113" t="b">
        <v>1</v>
      </c>
      <c r="L962" s="113"/>
      <c r="M962" s="113"/>
      <c r="N962" s="113"/>
      <c r="O962" s="113" t="str">
        <f>"$B$"&amp;A962</f>
        <v>$B$135</v>
      </c>
      <c r="P962" s="113" t="str">
        <f>"$BK$"&amp;A962</f>
        <v>$BK$135</v>
      </c>
      <c r="Q962" s="113"/>
      <c r="R962" s="113"/>
      <c r="S962" s="113"/>
      <c r="T962" s="113">
        <v>2</v>
      </c>
      <c r="U962" s="113"/>
      <c r="V962" s="113" t="s">
        <v>1342</v>
      </c>
      <c r="W962" s="113"/>
      <c r="X962" s="113"/>
      <c r="Y962" s="113"/>
      <c r="Z962" s="113"/>
      <c r="AA962" s="113"/>
      <c r="AB962" s="113"/>
      <c r="AC962" s="113"/>
      <c r="AD962" s="113"/>
      <c r="AE962" s="113"/>
      <c r="AF962" s="113"/>
      <c r="AG962" s="113"/>
      <c r="AH962" s="113"/>
      <c r="AI962" s="113"/>
      <c r="AJ962" s="113"/>
      <c r="AK962" s="113"/>
      <c r="AL962" s="113">
        <v>1</v>
      </c>
      <c r="AM962" s="113"/>
      <c r="AN962" s="113"/>
      <c r="AO962" s="113"/>
      <c r="AP962" s="113" t="b">
        <v>1</v>
      </c>
      <c r="AQ962" s="137"/>
      <c r="AR962" s="136"/>
      <c r="AS962" s="489"/>
      <c r="AT962" s="492"/>
      <c r="AU962" s="158"/>
      <c r="AV962" s="158"/>
      <c r="AW962"/>
      <c r="AX962"/>
      <c r="AY962"/>
      <c r="AZ962"/>
      <c r="BA962"/>
      <c r="BB962"/>
      <c r="BC962"/>
      <c r="BD962"/>
      <c r="BE962"/>
      <c r="BF962"/>
      <c r="BG962"/>
      <c r="BH962"/>
      <c r="BI962"/>
      <c r="BJ962"/>
      <c r="BK962"/>
      <c r="BL962"/>
      <c r="BM962"/>
      <c r="BN962"/>
      <c r="BO962"/>
      <c r="BP962"/>
      <c r="BQ962"/>
      <c r="BR962"/>
      <c r="BS962"/>
      <c r="BT962"/>
      <c r="BU962"/>
      <c r="BV962"/>
      <c r="BW962"/>
      <c r="BX962"/>
      <c r="BY962"/>
      <c r="BZ962"/>
      <c r="CA962"/>
      <c r="CB962"/>
      <c r="CC962"/>
      <c r="CD962"/>
      <c r="CE962"/>
      <c r="CF962"/>
      <c r="CG962"/>
      <c r="CH962"/>
      <c r="CI962"/>
      <c r="CJ962"/>
      <c r="CK962"/>
      <c r="CL962"/>
      <c r="CM962"/>
      <c r="CN962"/>
      <c r="CO962"/>
      <c r="CP962"/>
      <c r="CQ962"/>
      <c r="CR962"/>
      <c r="CS962"/>
      <c r="CT962"/>
      <c r="CU962"/>
      <c r="CV962"/>
      <c r="CW962"/>
      <c r="CX962"/>
      <c r="CY962"/>
      <c r="CZ962"/>
      <c r="DA962"/>
      <c r="DB962"/>
      <c r="DC962"/>
      <c r="DD962"/>
      <c r="DE962"/>
      <c r="DF962"/>
      <c r="DG962"/>
      <c r="DH962"/>
      <c r="DI962"/>
      <c r="DJ962"/>
      <c r="DK962"/>
      <c r="DL962"/>
      <c r="DM962"/>
      <c r="DN962"/>
      <c r="DO962"/>
      <c r="DP962"/>
      <c r="DQ962"/>
      <c r="DR962"/>
      <c r="DS962"/>
      <c r="DT962"/>
      <c r="DU962"/>
      <c r="DV962"/>
      <c r="DW962"/>
      <c r="DX962"/>
      <c r="DY962"/>
      <c r="DZ962"/>
      <c r="EA962"/>
      <c r="EB962"/>
      <c r="EC962"/>
      <c r="ED962"/>
      <c r="EE962"/>
      <c r="EF962"/>
      <c r="EG962"/>
      <c r="EH962"/>
      <c r="EI962"/>
      <c r="EJ962"/>
      <c r="EK962"/>
      <c r="EL962"/>
      <c r="EM962"/>
      <c r="EN962"/>
      <c r="EO962"/>
      <c r="EP962"/>
      <c r="EQ962"/>
    </row>
    <row r="963" spans="1:147" ht="16.5" customHeight="1" x14ac:dyDescent="0.25">
      <c r="A963" s="107">
        <f>$A$959+3</f>
        <v>136</v>
      </c>
      <c r="B963" s="107" t="s">
        <v>692</v>
      </c>
      <c r="C963" s="107" t="s">
        <v>663</v>
      </c>
      <c r="D963" s="107"/>
      <c r="E963" s="107"/>
      <c r="F963" s="107" t="s">
        <v>561</v>
      </c>
      <c r="G963" s="107" t="s">
        <v>406</v>
      </c>
      <c r="H963" s="107">
        <v>2</v>
      </c>
      <c r="I963" s="107">
        <v>1</v>
      </c>
      <c r="J963" s="107" t="b">
        <f>$H$5</f>
        <v>1</v>
      </c>
      <c r="K963" s="107"/>
      <c r="L963" s="107"/>
      <c r="M963" s="107"/>
      <c r="N963" s="107"/>
      <c r="O963" s="107">
        <f>A963</f>
        <v>136</v>
      </c>
      <c r="P963" s="107">
        <f>O963</f>
        <v>136</v>
      </c>
      <c r="Q963" s="107"/>
      <c r="R963" s="107"/>
      <c r="S963" s="107"/>
      <c r="T963" s="107"/>
      <c r="U963" s="107"/>
      <c r="V963" s="107"/>
      <c r="W963" s="107"/>
      <c r="X963" s="107"/>
      <c r="Y963" s="107"/>
      <c r="Z963" s="107"/>
      <c r="AA963" s="107"/>
      <c r="AB963" s="107"/>
      <c r="AC963" s="107"/>
      <c r="AD963" s="107"/>
      <c r="AE963" s="107"/>
      <c r="AF963" s="107"/>
      <c r="AG963" s="107"/>
      <c r="AH963" s="107"/>
      <c r="AI963" s="107"/>
      <c r="AJ963" s="107"/>
      <c r="AK963" s="107"/>
      <c r="AL963" s="107"/>
      <c r="AM963" s="107"/>
      <c r="AN963" s="107"/>
      <c r="AO963" s="107"/>
      <c r="AP963" s="107"/>
      <c r="AQ963" s="149"/>
      <c r="AR963" s="149"/>
      <c r="AS963" s="277"/>
      <c r="AT963" s="277"/>
      <c r="AU963" s="149"/>
      <c r="AV963" s="149"/>
      <c r="AW963"/>
      <c r="AX963"/>
      <c r="AY963"/>
      <c r="AZ963"/>
      <c r="BA963"/>
      <c r="BB963"/>
      <c r="BC963"/>
      <c r="BD963"/>
      <c r="BE963"/>
      <c r="BF963"/>
      <c r="BG963"/>
      <c r="BH963"/>
      <c r="BI963"/>
      <c r="BJ963"/>
      <c r="BK963"/>
      <c r="BL963"/>
      <c r="BM963"/>
      <c r="BN963"/>
      <c r="BO963"/>
      <c r="BP963"/>
      <c r="BQ963"/>
      <c r="BR963"/>
      <c r="BS963"/>
      <c r="BT963"/>
      <c r="BU963"/>
      <c r="BV963"/>
      <c r="BW963"/>
      <c r="BX963"/>
      <c r="BY963"/>
      <c r="BZ963"/>
      <c r="CA963"/>
      <c r="CB963"/>
      <c r="CC963"/>
      <c r="CD963"/>
      <c r="CE963"/>
      <c r="CF963"/>
      <c r="CG963"/>
      <c r="CH963"/>
      <c r="CI963"/>
      <c r="CJ963"/>
      <c r="CK963"/>
      <c r="CL963"/>
      <c r="CM963"/>
      <c r="CN963"/>
      <c r="CO963"/>
      <c r="CP963"/>
      <c r="CQ963"/>
      <c r="CR963"/>
      <c r="CS963"/>
      <c r="CT963"/>
      <c r="CU963"/>
      <c r="CV963"/>
      <c r="CW963"/>
      <c r="CX963"/>
      <c r="CY963"/>
      <c r="CZ963"/>
      <c r="DA963"/>
      <c r="DB963"/>
      <c r="DC963"/>
      <c r="DD963"/>
      <c r="DE963"/>
      <c r="DF963"/>
      <c r="DG963"/>
      <c r="DH963"/>
      <c r="DI963"/>
      <c r="DJ963"/>
      <c r="DK963"/>
      <c r="DL963"/>
      <c r="DM963"/>
      <c r="DN963"/>
      <c r="DO963"/>
      <c r="DP963"/>
      <c r="DQ963"/>
      <c r="DR963"/>
      <c r="DS963"/>
      <c r="DT963"/>
      <c r="DU963"/>
      <c r="DV963"/>
      <c r="DW963"/>
      <c r="DX963"/>
      <c r="DY963"/>
      <c r="DZ963"/>
      <c r="EA963"/>
      <c r="EB963"/>
      <c r="EC963"/>
      <c r="ED963"/>
      <c r="EE963"/>
      <c r="EF963"/>
      <c r="EG963"/>
      <c r="EH963"/>
      <c r="EI963"/>
      <c r="EJ963"/>
      <c r="EK963"/>
      <c r="EL963"/>
      <c r="EM963"/>
      <c r="EN963"/>
      <c r="EO963"/>
      <c r="EP963"/>
      <c r="EQ963"/>
    </row>
    <row r="964" spans="1:147" ht="16.5" customHeight="1" x14ac:dyDescent="0.25">
      <c r="A964" s="108">
        <f>$A$963+0</f>
        <v>136</v>
      </c>
      <c r="B964" s="113" t="s">
        <v>1107</v>
      </c>
      <c r="C964" s="113" t="s">
        <v>92</v>
      </c>
      <c r="D964" s="113"/>
      <c r="E964" s="113" t="s">
        <v>692</v>
      </c>
      <c r="F964" s="113" t="s">
        <v>561</v>
      </c>
      <c r="G964" s="113" t="s">
        <v>406</v>
      </c>
      <c r="H964" s="113"/>
      <c r="I964" s="113"/>
      <c r="J964" s="113"/>
      <c r="K964" s="113" t="b">
        <v>1</v>
      </c>
      <c r="L964" s="113"/>
      <c r="M964" s="113"/>
      <c r="N964" s="113"/>
      <c r="O964" s="113" t="str">
        <f>"$B$"&amp;A964</f>
        <v>$B$136</v>
      </c>
      <c r="P964" s="113" t="str">
        <f>"$BK$"&amp;A964</f>
        <v>$BK$136</v>
      </c>
      <c r="Q964" s="113"/>
      <c r="R964" s="113"/>
      <c r="S964" s="113"/>
      <c r="T964" s="113"/>
      <c r="U964" s="113" t="b">
        <v>1</v>
      </c>
      <c r="V964" s="113" t="s">
        <v>1342</v>
      </c>
      <c r="W964" s="113" t="s">
        <v>1342</v>
      </c>
      <c r="X964" s="113"/>
      <c r="Y964" s="113"/>
      <c r="Z964" s="113"/>
      <c r="AA964" s="113"/>
      <c r="AB964" s="113"/>
      <c r="AC964" s="113">
        <v>5</v>
      </c>
      <c r="AD964" s="113" t="s">
        <v>105</v>
      </c>
      <c r="AE964" s="113"/>
      <c r="AF964" s="113"/>
      <c r="AG964" s="113" t="s">
        <v>1360</v>
      </c>
      <c r="AH964" s="113" t="s">
        <v>29</v>
      </c>
      <c r="AI964" s="113" t="s">
        <v>28</v>
      </c>
      <c r="AJ964" s="113"/>
      <c r="AK964" s="113" t="s">
        <v>1342</v>
      </c>
      <c r="AL964" s="113">
        <v>5</v>
      </c>
      <c r="AM964" s="113"/>
      <c r="AN964" s="113"/>
      <c r="AO964" s="113"/>
      <c r="AP964" s="113" t="b">
        <v>1</v>
      </c>
      <c r="AQ964" s="205" t="e">
        <f ca="1">OFFSET(INDIRECT("MasterSheet_f_FP_Udgifts_"&amp;ROWS(AQ964:INDIRECT("Businesscasen_f_BCM_subcat8_Table1_start",TRUE))-3&amp;"_VS",TRUE),0,35)</f>
        <v>#VALUE!</v>
      </c>
      <c r="AR964" s="191">
        <f t="shared" ref="AR964:AR965" ca="1" si="122">SUM(AU964:CZ964)</f>
        <v>0</v>
      </c>
      <c r="AS964" s="489"/>
      <c r="AT964" s="493"/>
      <c r="AU964" s="189">
        <f ca="1">SUMIFS(IF(MasterSheet_f_FP_CfgGroup1R3_VS,ProgramudgifterC!$N:$N,ProjektudgifterC!$N:$N),IF(MasterSheet_f_FP_CfgGroup1R3_VS,ProgramudgifterC!$D:$D,ProjektudgifterC!$D:$D),OFFSET(Businesscasen_f_BCM_subcat8_Table1_start,ROW()-ROW(Businesscasen_f_BCM_subcat8_Table1_start),0),IF(MasterSheet_f_FP_CfgGroup1R3_VS,ProgramudgifterC!$E:$E,ProjektudgifterC!$E:$E),OFFSET(Businesscasen_f_BCM_subcat8_Table1_start,0,COLUMN()-COLUMN(Businesscasen_f_BCM_subcat8_Table1_start)))/1000</f>
        <v>0</v>
      </c>
      <c r="AV964" s="189">
        <f ca="1">SUMIFS(IF(MasterSheet_f_FP_CfgGroup1R3_VS,ProgramudgifterC!$N:$N,ProjektudgifterC!$N:$N),IF(MasterSheet_f_FP_CfgGroup1R3_VS,ProgramudgifterC!$D:$D,ProjektudgifterC!$D:$D),OFFSET(Businesscasen_f_BCM_subcat8_Table1_start,ROW()-ROW(Businesscasen_f_BCM_subcat8_Table1_start),0),IF(MasterSheet_f_FP_CfgGroup1R3_VS,ProgramudgifterC!$E:$E,ProjektudgifterC!$E:$E),OFFSET(Businesscasen_f_BCM_subcat8_Table1_start,0,COLUMN()-COLUMN(Businesscasen_f_BCM_subcat8_Table1_start)))/1000</f>
        <v>0</v>
      </c>
      <c r="AW964"/>
      <c r="AX964"/>
      <c r="AY964"/>
      <c r="AZ964"/>
      <c r="BA964"/>
      <c r="BB964"/>
      <c r="BC964"/>
      <c r="BD964"/>
      <c r="BE964"/>
      <c r="BF964"/>
      <c r="BG964"/>
      <c r="BH964"/>
      <c r="BI964"/>
      <c r="BJ964"/>
      <c r="BK964"/>
      <c r="BL964"/>
      <c r="BM964"/>
      <c r="BN964"/>
      <c r="BO964"/>
      <c r="BP964"/>
      <c r="BQ964"/>
      <c r="BR964"/>
      <c r="BS964"/>
      <c r="BT964"/>
      <c r="BU964"/>
      <c r="BV964"/>
      <c r="BW964"/>
      <c r="BX964"/>
      <c r="BY964"/>
      <c r="BZ964"/>
      <c r="CA964"/>
      <c r="CB964"/>
      <c r="CC964"/>
      <c r="CD964"/>
      <c r="CE964"/>
      <c r="CF964"/>
      <c r="CG964"/>
      <c r="CH964"/>
      <c r="CI964"/>
      <c r="CJ964"/>
      <c r="CK964"/>
      <c r="CL964"/>
      <c r="CM964"/>
      <c r="CN964"/>
      <c r="CO964"/>
      <c r="CP964"/>
      <c r="CQ964"/>
      <c r="CR964"/>
      <c r="CS964"/>
      <c r="CT964"/>
      <c r="CU964"/>
      <c r="CV964"/>
      <c r="CW964"/>
      <c r="CX964"/>
      <c r="CY964"/>
      <c r="CZ964"/>
      <c r="DA964"/>
      <c r="DB964"/>
      <c r="DC964"/>
      <c r="DD964"/>
      <c r="DE964"/>
      <c r="DF964"/>
      <c r="DG964"/>
      <c r="DH964"/>
      <c r="DI964"/>
      <c r="DJ964"/>
      <c r="DK964"/>
      <c r="DL964"/>
      <c r="DM964"/>
      <c r="DN964"/>
      <c r="DO964"/>
      <c r="DP964"/>
      <c r="DQ964"/>
      <c r="DR964"/>
      <c r="DS964"/>
      <c r="DT964"/>
      <c r="DU964"/>
      <c r="DV964"/>
      <c r="DW964"/>
      <c r="DX964"/>
      <c r="DY964"/>
      <c r="DZ964"/>
      <c r="EA964"/>
      <c r="EB964"/>
      <c r="EC964"/>
      <c r="ED964"/>
      <c r="EE964"/>
      <c r="EF964"/>
      <c r="EG964"/>
      <c r="EH964"/>
      <c r="EI964"/>
      <c r="EJ964"/>
      <c r="EK964"/>
      <c r="EL964"/>
      <c r="EM964"/>
      <c r="EN964"/>
      <c r="EO964"/>
      <c r="EP964"/>
      <c r="EQ964"/>
    </row>
    <row r="965" spans="1:147" ht="16.5" customHeight="1" x14ac:dyDescent="0.25">
      <c r="A965" s="113">
        <f>$A$963+0</f>
        <v>136</v>
      </c>
      <c r="B965" s="113" t="s">
        <v>1125</v>
      </c>
      <c r="C965" s="113" t="s">
        <v>92</v>
      </c>
      <c r="D965" s="113"/>
      <c r="E965" s="113" t="s">
        <v>692</v>
      </c>
      <c r="F965" s="113" t="s">
        <v>561</v>
      </c>
      <c r="G965" s="113" t="s">
        <v>406</v>
      </c>
      <c r="H965" s="113">
        <v>1</v>
      </c>
      <c r="I965" s="113"/>
      <c r="J965" s="113" t="b">
        <f t="shared" ref="J965:J975" si="123">$H$5</f>
        <v>1</v>
      </c>
      <c r="K965" s="113" t="b">
        <v>1</v>
      </c>
      <c r="L965" s="113"/>
      <c r="M965" s="113"/>
      <c r="N965" s="113"/>
      <c r="O965" s="113" t="str">
        <f>"$B$"&amp;A965</f>
        <v>$B$136</v>
      </c>
      <c r="P965" s="113" t="str">
        <f>"$BK$"&amp;A965</f>
        <v>$BK$136</v>
      </c>
      <c r="Q965" s="113"/>
      <c r="R965" s="113"/>
      <c r="S965" s="113"/>
      <c r="T965" s="113"/>
      <c r="U965" s="113" t="b">
        <v>1</v>
      </c>
      <c r="V965" s="113" t="s">
        <v>1342</v>
      </c>
      <c r="W965" s="113" t="s">
        <v>1342</v>
      </c>
      <c r="X965" s="113"/>
      <c r="Y965" s="113"/>
      <c r="Z965" s="113"/>
      <c r="AA965" s="113"/>
      <c r="AB965" s="113"/>
      <c r="AC965" s="113">
        <v>5</v>
      </c>
      <c r="AD965" s="113" t="s">
        <v>105</v>
      </c>
      <c r="AE965" s="113"/>
      <c r="AF965" s="113"/>
      <c r="AG965" s="113" t="s">
        <v>1360</v>
      </c>
      <c r="AH965" s="113" t="s">
        <v>29</v>
      </c>
      <c r="AI965" s="113" t="s">
        <v>28</v>
      </c>
      <c r="AJ965" s="113"/>
      <c r="AK965" s="113" t="s">
        <v>1342</v>
      </c>
      <c r="AL965" s="113">
        <v>5</v>
      </c>
      <c r="AM965" s="113"/>
      <c r="AN965" s="113"/>
      <c r="AO965" s="113"/>
      <c r="AP965" s="113" t="b">
        <v>1</v>
      </c>
      <c r="AQ965" s="205" t="e">
        <f ca="1">OFFSET(INDIRECT("MasterSheet_f_FP_Udgifts_"&amp;ROWS(AQ965:INDIRECT("Businesscasen_f_BCM_subcat8_Table1_start",TRUE))-3&amp;"_VS",TRUE),0,35)</f>
        <v>#VALUE!</v>
      </c>
      <c r="AR965" s="191">
        <f t="shared" ca="1" si="122"/>
        <v>0</v>
      </c>
      <c r="AS965" s="489"/>
      <c r="AT965" s="493"/>
      <c r="AU965" s="189">
        <f ca="1">SUMIFS(IF(MasterSheet_f_FP_CfgGroup1R3_VS,ProgramudgifterC!$N:$N,ProjektudgifterC!$N:$N),IF(MasterSheet_f_FP_CfgGroup1R3_VS,ProgramudgifterC!$D:$D,ProjektudgifterC!$D:$D),OFFSET(Businesscasen_f_BCM_subcat8_Table1_start,ROW()-ROW(Businesscasen_f_BCM_subcat8_Table1_start),0),IF(MasterSheet_f_FP_CfgGroup1R3_VS,ProgramudgifterC!$E:$E,ProjektudgifterC!$E:$E),OFFSET(Businesscasen_f_BCM_subcat8_Table1_start,0,COLUMN()-COLUMN(Businesscasen_f_BCM_subcat8_Table1_start)))/1000</f>
        <v>0</v>
      </c>
      <c r="AV965" s="189">
        <f ca="1">SUMIFS(IF(MasterSheet_f_FP_CfgGroup1R3_VS,ProgramudgifterC!$N:$N,ProjektudgifterC!$N:$N),IF(MasterSheet_f_FP_CfgGroup1R3_VS,ProgramudgifterC!$D:$D,ProjektudgifterC!$D:$D),OFFSET(Businesscasen_f_BCM_subcat8_Table1_start,ROW()-ROW(Businesscasen_f_BCM_subcat8_Table1_start),0),IF(MasterSheet_f_FP_CfgGroup1R3_VS,ProgramudgifterC!$E:$E,ProjektudgifterC!$E:$E),OFFSET(Businesscasen_f_BCM_subcat8_Table1_start,0,COLUMN()-COLUMN(Businesscasen_f_BCM_subcat8_Table1_start)))/1000</f>
        <v>0</v>
      </c>
      <c r="AW965"/>
      <c r="AX965"/>
      <c r="AY965"/>
      <c r="AZ965"/>
      <c r="BA965"/>
      <c r="BB965"/>
      <c r="BC965"/>
      <c r="BD965"/>
      <c r="BE965"/>
      <c r="BF965"/>
      <c r="BG965"/>
      <c r="BH965"/>
      <c r="BI965"/>
      <c r="BJ965"/>
      <c r="BK965"/>
      <c r="BL965"/>
      <c r="BM965"/>
      <c r="BN965"/>
      <c r="BO965"/>
      <c r="BP965"/>
      <c r="BQ965"/>
      <c r="BR965"/>
      <c r="BS965"/>
      <c r="BT965"/>
      <c r="BU965"/>
      <c r="BV965"/>
      <c r="BW965"/>
      <c r="BX965"/>
      <c r="BY965"/>
      <c r="BZ965"/>
      <c r="CA965"/>
      <c r="CB965"/>
      <c r="CC965"/>
      <c r="CD965"/>
      <c r="CE965"/>
      <c r="CF965"/>
      <c r="CG965"/>
      <c r="CH965"/>
      <c r="CI965"/>
      <c r="CJ965"/>
      <c r="CK965"/>
      <c r="CL965"/>
      <c r="CM965"/>
      <c r="CN965"/>
      <c r="CO965"/>
      <c r="CP965"/>
      <c r="CQ965"/>
      <c r="CR965"/>
      <c r="CS965"/>
      <c r="CT965"/>
      <c r="CU965"/>
      <c r="CV965"/>
      <c r="CW965"/>
      <c r="CX965"/>
      <c r="CY965"/>
      <c r="CZ965"/>
      <c r="DA965"/>
      <c r="DB965"/>
      <c r="DC965"/>
      <c r="DD965"/>
      <c r="DE965"/>
      <c r="DF965"/>
      <c r="DG965"/>
      <c r="DH965"/>
      <c r="DI965"/>
      <c r="DJ965"/>
      <c r="DK965"/>
      <c r="DL965"/>
      <c r="DM965"/>
      <c r="DN965"/>
      <c r="DO965"/>
      <c r="DP965"/>
      <c r="DQ965"/>
      <c r="DR965"/>
      <c r="DS965"/>
      <c r="DT965"/>
      <c r="DU965"/>
      <c r="DV965"/>
      <c r="DW965"/>
      <c r="DX965"/>
      <c r="DY965"/>
      <c r="DZ965"/>
      <c r="EA965"/>
      <c r="EB965"/>
      <c r="EC965"/>
      <c r="ED965"/>
      <c r="EE965"/>
      <c r="EF965"/>
      <c r="EG965"/>
      <c r="EH965"/>
      <c r="EI965"/>
      <c r="EJ965"/>
      <c r="EK965"/>
      <c r="EL965"/>
      <c r="EM965"/>
      <c r="EN965"/>
      <c r="EO965"/>
      <c r="EP965"/>
      <c r="EQ965"/>
    </row>
    <row r="966" spans="1:147" ht="16.5" customHeight="1" x14ac:dyDescent="0.25">
      <c r="A966" s="107">
        <f>$O$963+(P963-O963+1)*(H963-1)-1</f>
        <v>136</v>
      </c>
      <c r="B966" s="107" t="s">
        <v>692</v>
      </c>
      <c r="C966" s="107" t="s">
        <v>663</v>
      </c>
      <c r="D966" s="107" t="s">
        <v>1096</v>
      </c>
      <c r="E966" s="107"/>
      <c r="F966" s="107" t="s">
        <v>561</v>
      </c>
      <c r="G966" s="107" t="s">
        <v>406</v>
      </c>
      <c r="H966" s="107"/>
      <c r="I966" s="107"/>
      <c r="J966" s="107" t="b">
        <f t="shared" si="123"/>
        <v>1</v>
      </c>
      <c r="K966" s="107"/>
      <c r="L966" s="107"/>
      <c r="M966" s="107"/>
      <c r="N966" s="107"/>
      <c r="O966" s="107"/>
      <c r="P966" s="107"/>
      <c r="Q966" s="107"/>
      <c r="R966" s="107"/>
      <c r="S966" s="107"/>
      <c r="T966" s="107"/>
      <c r="U966" s="107"/>
      <c r="V966" s="107"/>
      <c r="W966" s="107"/>
      <c r="X966" s="107"/>
      <c r="Y966" s="107"/>
      <c r="Z966" s="107"/>
      <c r="AA966" s="107"/>
      <c r="AB966" s="107"/>
      <c r="AC966" s="107"/>
      <c r="AD966" s="107"/>
      <c r="AE966" s="107"/>
      <c r="AF966" s="107"/>
      <c r="AG966" s="107"/>
      <c r="AH966" s="107"/>
      <c r="AI966" s="107"/>
      <c r="AJ966" s="107"/>
      <c r="AK966" s="107"/>
      <c r="AL966" s="107"/>
      <c r="AM966" s="107"/>
      <c r="AN966" s="107"/>
      <c r="AO966" s="107"/>
      <c r="AP966" s="107"/>
      <c r="AQ966" s="150"/>
      <c r="AR966" s="199"/>
      <c r="AS966" s="277"/>
      <c r="AT966" s="277"/>
      <c r="AU966" s="199"/>
      <c r="AV966" s="199"/>
      <c r="AW966"/>
      <c r="AX966"/>
      <c r="AY966"/>
      <c r="AZ966"/>
      <c r="BA966"/>
      <c r="BB966"/>
      <c r="BC966"/>
      <c r="BD966"/>
      <c r="BE966"/>
      <c r="BF966"/>
      <c r="BG966"/>
      <c r="BH966"/>
      <c r="BI966"/>
      <c r="BJ966"/>
      <c r="BK966"/>
      <c r="BL966"/>
      <c r="BM966"/>
      <c r="BN966"/>
      <c r="BO966"/>
      <c r="BP966"/>
      <c r="BQ966"/>
      <c r="BR966"/>
      <c r="BS966"/>
      <c r="BT966"/>
      <c r="BU966"/>
      <c r="BV966"/>
      <c r="BW966"/>
      <c r="BX966"/>
      <c r="BY966"/>
      <c r="BZ966"/>
      <c r="CA966"/>
      <c r="CB966"/>
      <c r="CC966"/>
      <c r="CD966"/>
      <c r="CE966"/>
      <c r="CF966"/>
      <c r="CG966"/>
      <c r="CH966"/>
      <c r="CI966"/>
      <c r="CJ966"/>
      <c r="CK966"/>
      <c r="CL966"/>
      <c r="CM966"/>
      <c r="CN966"/>
      <c r="CO966"/>
      <c r="CP966"/>
      <c r="CQ966"/>
      <c r="CR966"/>
      <c r="CS966"/>
      <c r="CT966"/>
      <c r="CU966"/>
      <c r="CV966"/>
      <c r="CW966"/>
      <c r="CX966"/>
      <c r="CY966"/>
      <c r="CZ966"/>
      <c r="DA966"/>
      <c r="DB966"/>
      <c r="DC966"/>
      <c r="DD966"/>
      <c r="DE966"/>
      <c r="DF966"/>
      <c r="DG966"/>
      <c r="DH966"/>
      <c r="DI966"/>
      <c r="DJ966"/>
      <c r="DK966"/>
      <c r="DL966"/>
      <c r="DM966"/>
      <c r="DN966"/>
      <c r="DO966"/>
      <c r="DP966"/>
      <c r="DQ966"/>
      <c r="DR966"/>
      <c r="DS966"/>
      <c r="DT966"/>
      <c r="DU966"/>
      <c r="DV966"/>
      <c r="DW966"/>
      <c r="DX966"/>
      <c r="DY966"/>
      <c r="DZ966"/>
      <c r="EA966"/>
      <c r="EB966"/>
      <c r="EC966"/>
      <c r="ED966"/>
      <c r="EE966"/>
      <c r="EF966"/>
      <c r="EG966"/>
      <c r="EH966"/>
      <c r="EI966"/>
      <c r="EJ966"/>
      <c r="EK966"/>
      <c r="EL966"/>
      <c r="EM966"/>
      <c r="EN966"/>
      <c r="EO966"/>
      <c r="EP966"/>
      <c r="EQ966"/>
    </row>
    <row r="967" spans="1:147" ht="16.5" customHeight="1" x14ac:dyDescent="0.25">
      <c r="A967" s="113">
        <f>$A$966+1</f>
        <v>137</v>
      </c>
      <c r="B967" s="113" t="s">
        <v>1101</v>
      </c>
      <c r="C967" s="113" t="s">
        <v>92</v>
      </c>
      <c r="D967" s="113"/>
      <c r="E967" s="113"/>
      <c r="F967" s="113" t="s">
        <v>561</v>
      </c>
      <c r="G967" s="113" t="s">
        <v>406</v>
      </c>
      <c r="H967" s="113"/>
      <c r="I967" s="113"/>
      <c r="J967" s="113" t="b">
        <f t="shared" si="123"/>
        <v>1</v>
      </c>
      <c r="K967" s="113" t="b">
        <v>1</v>
      </c>
      <c r="L967" s="113"/>
      <c r="M967" s="113"/>
      <c r="N967" s="113"/>
      <c r="O967" s="113" t="str">
        <f t="shared" ref="O967:O972" si="124">"$B$"&amp;A967</f>
        <v>$B$137</v>
      </c>
      <c r="P967" s="113" t="str">
        <f t="shared" ref="P967:P972" si="125">"$BK$"&amp;A967</f>
        <v>$BK$137</v>
      </c>
      <c r="Q967" s="113"/>
      <c r="R967" s="113"/>
      <c r="S967" s="113"/>
      <c r="T967" s="113"/>
      <c r="U967" s="113"/>
      <c r="V967" s="113" t="s">
        <v>1342</v>
      </c>
      <c r="W967" s="113"/>
      <c r="X967" s="113"/>
      <c r="Y967" s="113"/>
      <c r="Z967" s="113"/>
      <c r="AA967" s="113"/>
      <c r="AB967" s="113"/>
      <c r="AC967" s="113"/>
      <c r="AD967" s="113"/>
      <c r="AE967" s="113"/>
      <c r="AF967" s="113"/>
      <c r="AG967" s="113"/>
      <c r="AH967" s="113"/>
      <c r="AI967" s="113"/>
      <c r="AJ967" s="113"/>
      <c r="AK967" s="113"/>
      <c r="AL967" s="113">
        <v>1</v>
      </c>
      <c r="AM967" s="113"/>
      <c r="AN967" s="113"/>
      <c r="AO967" s="113"/>
      <c r="AP967" s="113" t="b">
        <v>1</v>
      </c>
      <c r="AQ967" s="133" t="s">
        <v>411</v>
      </c>
      <c r="AR967" s="191">
        <f ca="1">SUM(Businesscasen_rng_RiskPool)</f>
        <v>0</v>
      </c>
      <c r="AS967" s="494" t="s">
        <v>415</v>
      </c>
      <c r="AT967" s="495"/>
      <c r="AU967" s="189"/>
      <c r="AV967" s="189"/>
      <c r="AW967"/>
      <c r="AX967"/>
      <c r="AY967"/>
      <c r="AZ967"/>
      <c r="BA967"/>
      <c r="BB967"/>
      <c r="BC967"/>
      <c r="BD967"/>
      <c r="BE967"/>
      <c r="BF967"/>
      <c r="BG967"/>
      <c r="BH967"/>
      <c r="BI967"/>
      <c r="BJ967"/>
      <c r="BK967"/>
      <c r="BL967"/>
      <c r="BM967"/>
      <c r="BN967"/>
      <c r="BO967"/>
      <c r="BP967"/>
      <c r="BQ967"/>
      <c r="BR967"/>
      <c r="BS967"/>
      <c r="BT967"/>
      <c r="BU967"/>
      <c r="BV967"/>
      <c r="BW967"/>
      <c r="BX967"/>
      <c r="BY967"/>
      <c r="BZ967"/>
      <c r="CA967"/>
      <c r="CB967"/>
      <c r="CC967"/>
      <c r="CD967"/>
      <c r="CE967"/>
      <c r="CF967"/>
      <c r="CG967"/>
      <c r="CH967"/>
      <c r="CI967"/>
      <c r="CJ967"/>
      <c r="CK967"/>
      <c r="CL967"/>
      <c r="CM967"/>
      <c r="CN967"/>
      <c r="CO967"/>
      <c r="CP967"/>
      <c r="CQ967"/>
      <c r="CR967"/>
      <c r="CS967"/>
      <c r="CT967"/>
      <c r="CU967"/>
      <c r="CV967"/>
      <c r="CW967"/>
      <c r="CX967"/>
      <c r="CY967"/>
      <c r="CZ967"/>
      <c r="DA967"/>
      <c r="DB967"/>
      <c r="DC967"/>
      <c r="DD967"/>
      <c r="DE967"/>
      <c r="DF967"/>
      <c r="DG967"/>
      <c r="DH967"/>
      <c r="DI967"/>
      <c r="DJ967"/>
      <c r="DK967"/>
      <c r="DL967"/>
      <c r="DM967"/>
      <c r="DN967"/>
      <c r="DO967"/>
      <c r="DP967"/>
      <c r="DQ967"/>
      <c r="DR967"/>
      <c r="DS967"/>
      <c r="DT967"/>
      <c r="DU967"/>
      <c r="DV967"/>
      <c r="DW967"/>
      <c r="DX967"/>
      <c r="DY967"/>
      <c r="DZ967"/>
      <c r="EA967"/>
      <c r="EB967"/>
      <c r="EC967"/>
      <c r="ED967"/>
      <c r="EE967"/>
      <c r="EF967"/>
      <c r="EG967"/>
      <c r="EH967"/>
      <c r="EI967"/>
      <c r="EJ967"/>
      <c r="EK967"/>
      <c r="EL967"/>
      <c r="EM967"/>
      <c r="EN967"/>
      <c r="EO967"/>
      <c r="EP967"/>
      <c r="EQ967"/>
    </row>
    <row r="968" spans="1:147" ht="16.5" customHeight="1" x14ac:dyDescent="0.25">
      <c r="A968" s="113">
        <f>$A$966+2</f>
        <v>138</v>
      </c>
      <c r="B968" s="113" t="s">
        <v>1102</v>
      </c>
      <c r="C968" s="113" t="s">
        <v>92</v>
      </c>
      <c r="D968" s="113"/>
      <c r="E968" s="113"/>
      <c r="F968" s="113" t="s">
        <v>561</v>
      </c>
      <c r="G968" s="113" t="s">
        <v>406</v>
      </c>
      <c r="H968" s="113"/>
      <c r="I968" s="113"/>
      <c r="J968" s="113" t="b">
        <f t="shared" si="123"/>
        <v>1</v>
      </c>
      <c r="K968" s="113" t="b">
        <v>1</v>
      </c>
      <c r="L968" s="113"/>
      <c r="M968" s="113"/>
      <c r="N968" s="113"/>
      <c r="O968" s="113" t="str">
        <f t="shared" si="124"/>
        <v>$B$138</v>
      </c>
      <c r="P968" s="113" t="str">
        <f t="shared" si="125"/>
        <v>$BK$138</v>
      </c>
      <c r="Q968" s="113"/>
      <c r="R968" s="113"/>
      <c r="S968" s="113"/>
      <c r="T968" s="113"/>
      <c r="U968" s="113"/>
      <c r="V968" s="113" t="s">
        <v>1342</v>
      </c>
      <c r="W968" s="113"/>
      <c r="X968" s="113"/>
      <c r="Y968" s="113"/>
      <c r="Z968" s="113"/>
      <c r="AA968" s="113"/>
      <c r="AB968" s="113"/>
      <c r="AC968" s="113"/>
      <c r="AD968" s="113"/>
      <c r="AE968" s="113"/>
      <c r="AF968" s="113"/>
      <c r="AG968" s="113"/>
      <c r="AH968" s="113"/>
      <c r="AI968" s="113"/>
      <c r="AJ968" s="113"/>
      <c r="AK968" s="113"/>
      <c r="AL968" s="113">
        <v>1</v>
      </c>
      <c r="AM968" s="113"/>
      <c r="AN968" s="113"/>
      <c r="AO968" s="113"/>
      <c r="AP968" s="113" t="b">
        <v>1</v>
      </c>
      <c r="AQ968" s="133" t="s">
        <v>417</v>
      </c>
      <c r="AR968" s="191">
        <f ca="1">SUM(Businesscasen_rng_HighRiskPool)</f>
        <v>0</v>
      </c>
      <c r="AS968" s="496" t="s">
        <v>415</v>
      </c>
      <c r="AT968" s="497"/>
      <c r="AU968" s="189"/>
      <c r="AV968" s="189"/>
      <c r="AW968"/>
      <c r="AX968"/>
      <c r="AY968"/>
      <c r="AZ968"/>
      <c r="BA968"/>
      <c r="BB968"/>
      <c r="BC968"/>
      <c r="BD968"/>
      <c r="BE968"/>
      <c r="BF968"/>
      <c r="BG968"/>
      <c r="BH968"/>
      <c r="BI968"/>
      <c r="BJ968"/>
      <c r="BK968"/>
      <c r="BL968"/>
      <c r="BM968"/>
      <c r="BN968"/>
      <c r="BO968"/>
      <c r="BP968"/>
      <c r="BQ968"/>
      <c r="BR968"/>
      <c r="BS968"/>
      <c r="BT968"/>
      <c r="BU968"/>
      <c r="BV968"/>
      <c r="BW968"/>
      <c r="BX968"/>
      <c r="BY968"/>
      <c r="BZ968"/>
      <c r="CA968"/>
      <c r="CB968"/>
      <c r="CC968"/>
      <c r="CD968"/>
      <c r="CE968"/>
      <c r="CF968"/>
      <c r="CG968"/>
      <c r="CH968"/>
      <c r="CI968"/>
      <c r="CJ968"/>
      <c r="CK968"/>
      <c r="CL968"/>
      <c r="CM968"/>
      <c r="CN968"/>
      <c r="CO968"/>
      <c r="CP968"/>
      <c r="CQ968"/>
      <c r="CR968"/>
      <c r="CS968"/>
      <c r="CT968"/>
      <c r="CU968"/>
      <c r="CV968"/>
      <c r="CW968"/>
      <c r="CX968"/>
      <c r="CY968"/>
      <c r="CZ968"/>
      <c r="DA968"/>
      <c r="DB968"/>
      <c r="DC968"/>
      <c r="DD968"/>
      <c r="DE968"/>
      <c r="DF968"/>
      <c r="DG968"/>
      <c r="DH968"/>
      <c r="DI968"/>
      <c r="DJ968"/>
      <c r="DK968"/>
      <c r="DL968"/>
      <c r="DM968"/>
      <c r="DN968"/>
      <c r="DO968"/>
      <c r="DP968"/>
      <c r="DQ968"/>
      <c r="DR968"/>
      <c r="DS968"/>
      <c r="DT968"/>
      <c r="DU968"/>
      <c r="DV968"/>
      <c r="DW968"/>
      <c r="DX968"/>
      <c r="DY968"/>
      <c r="DZ968"/>
      <c r="EA968"/>
      <c r="EB968"/>
      <c r="EC968"/>
      <c r="ED968"/>
      <c r="EE968"/>
      <c r="EF968"/>
      <c r="EG968"/>
      <c r="EH968"/>
      <c r="EI968"/>
      <c r="EJ968"/>
      <c r="EK968"/>
      <c r="EL968"/>
      <c r="EM968"/>
      <c r="EN968"/>
      <c r="EO968"/>
      <c r="EP968"/>
      <c r="EQ968"/>
    </row>
    <row r="969" spans="1:147" ht="16.5" customHeight="1" thickBot="1" x14ac:dyDescent="0.3">
      <c r="A969" s="113">
        <f>$A$966+3</f>
        <v>139</v>
      </c>
      <c r="B969" s="113" t="s">
        <v>1103</v>
      </c>
      <c r="C969" s="113" t="s">
        <v>92</v>
      </c>
      <c r="D969" s="113"/>
      <c r="E969" s="113"/>
      <c r="F969" s="113" t="s">
        <v>561</v>
      </c>
      <c r="G969" s="113" t="s">
        <v>406</v>
      </c>
      <c r="H969" s="113"/>
      <c r="I969" s="113"/>
      <c r="J969" s="113" t="b">
        <f t="shared" si="123"/>
        <v>1</v>
      </c>
      <c r="K969" s="113" t="b">
        <v>1</v>
      </c>
      <c r="L969" s="113"/>
      <c r="M969" s="113"/>
      <c r="N969" s="113"/>
      <c r="O969" s="113" t="str">
        <f t="shared" si="124"/>
        <v>$B$139</v>
      </c>
      <c r="P969" s="113" t="str">
        <f t="shared" si="125"/>
        <v>$BK$139</v>
      </c>
      <c r="Q969" s="113"/>
      <c r="R969" s="113"/>
      <c r="S969" s="113"/>
      <c r="T969" s="113"/>
      <c r="U969" s="113"/>
      <c r="V969" s="113" t="s">
        <v>1342</v>
      </c>
      <c r="W969" s="113"/>
      <c r="X969" s="113"/>
      <c r="Y969" s="113"/>
      <c r="Z969" s="113"/>
      <c r="AA969" s="113"/>
      <c r="AB969" s="113"/>
      <c r="AC969" s="113"/>
      <c r="AD969" s="113"/>
      <c r="AE969" s="113"/>
      <c r="AF969" s="113"/>
      <c r="AG969" s="113"/>
      <c r="AH969" s="113"/>
      <c r="AI969" s="113"/>
      <c r="AJ969" s="113"/>
      <c r="AK969" s="113"/>
      <c r="AL969" s="113">
        <v>1</v>
      </c>
      <c r="AM969" s="113"/>
      <c r="AN969" s="113"/>
      <c r="AO969" s="113"/>
      <c r="AP969" s="113" t="b">
        <v>1</v>
      </c>
      <c r="AQ969" s="227" t="s">
        <v>418</v>
      </c>
      <c r="AR969" s="194">
        <f ca="1">SUM(AR964:AR968)</f>
        <v>0</v>
      </c>
      <c r="AS969" s="498">
        <f t="shared" ref="AS969" si="126">SUM(AS964:AT968)</f>
        <v>0</v>
      </c>
      <c r="AT969" s="499"/>
      <c r="AU969" s="194">
        <f ca="1">SUM(AU964:AU968)</f>
        <v>0</v>
      </c>
      <c r="AV969" s="194">
        <f t="shared" ref="AV969" ca="1" si="127">SUM(AV964:AV968)</f>
        <v>0</v>
      </c>
      <c r="AW969"/>
      <c r="AX969"/>
      <c r="AY969"/>
      <c r="AZ969"/>
      <c r="BA969"/>
      <c r="BB969"/>
      <c r="BC969"/>
      <c r="BD969"/>
      <c r="BE969"/>
      <c r="BF969"/>
      <c r="BG969"/>
      <c r="BH969"/>
      <c r="BI969"/>
      <c r="BJ969"/>
      <c r="BK969"/>
      <c r="BL969"/>
      <c r="BM969"/>
      <c r="BN969"/>
      <c r="BO969"/>
      <c r="BP969"/>
      <c r="BQ969"/>
      <c r="BR969"/>
      <c r="BS969"/>
      <c r="BT969"/>
      <c r="BU969"/>
      <c r="BV969"/>
      <c r="BW969"/>
      <c r="BX969"/>
      <c r="BY969"/>
      <c r="BZ969"/>
      <c r="CA969"/>
      <c r="CB969"/>
      <c r="CC969"/>
      <c r="CD969"/>
      <c r="CE969"/>
      <c r="CF969"/>
      <c r="CG969"/>
      <c r="CH969"/>
      <c r="CI969"/>
      <c r="CJ969"/>
      <c r="CK969"/>
      <c r="CL969"/>
      <c r="CM969"/>
      <c r="CN969"/>
      <c r="CO969"/>
      <c r="CP969"/>
      <c r="CQ969"/>
      <c r="CR969"/>
      <c r="CS969"/>
      <c r="CT969"/>
      <c r="CU969"/>
      <c r="CV969"/>
      <c r="CW969"/>
      <c r="CX969"/>
      <c r="CY969"/>
      <c r="CZ969"/>
      <c r="DA969"/>
      <c r="DB969"/>
      <c r="DC969"/>
      <c r="DD969"/>
      <c r="DE969"/>
      <c r="DF969"/>
      <c r="DG969"/>
      <c r="DH969"/>
      <c r="DI969"/>
      <c r="DJ969"/>
      <c r="DK969"/>
      <c r="DL969"/>
      <c r="DM969"/>
      <c r="DN969"/>
      <c r="DO969"/>
      <c r="DP969"/>
      <c r="DQ969"/>
      <c r="DR969"/>
      <c r="DS969"/>
      <c r="DT969"/>
      <c r="DU969"/>
      <c r="DV969"/>
      <c r="DW969"/>
      <c r="DX969"/>
      <c r="DY969"/>
      <c r="DZ969"/>
      <c r="EA969"/>
      <c r="EB969"/>
      <c r="EC969"/>
      <c r="ED969"/>
      <c r="EE969"/>
      <c r="EF969"/>
      <c r="EG969"/>
      <c r="EH969"/>
      <c r="EI969"/>
      <c r="EJ969"/>
      <c r="EK969"/>
      <c r="EL969"/>
      <c r="EM969"/>
      <c r="EN969"/>
      <c r="EO969"/>
      <c r="EP969"/>
      <c r="EQ969"/>
    </row>
    <row r="970" spans="1:147" ht="16.5" customHeight="1" x14ac:dyDescent="0.25">
      <c r="A970" s="113">
        <f>$A$966+4</f>
        <v>140</v>
      </c>
      <c r="B970" s="113" t="s">
        <v>1104</v>
      </c>
      <c r="C970" s="113" t="s">
        <v>92</v>
      </c>
      <c r="D970" s="113"/>
      <c r="E970" s="113"/>
      <c r="F970" s="113" t="s">
        <v>561</v>
      </c>
      <c r="G970" s="113" t="s">
        <v>406</v>
      </c>
      <c r="H970" s="113"/>
      <c r="I970" s="113"/>
      <c r="J970" s="113" t="b">
        <f t="shared" si="123"/>
        <v>1</v>
      </c>
      <c r="K970" s="113" t="b">
        <v>1</v>
      </c>
      <c r="L970" s="113"/>
      <c r="M970" s="113"/>
      <c r="N970" s="113"/>
      <c r="O970" s="113" t="str">
        <f t="shared" si="124"/>
        <v>$B$140</v>
      </c>
      <c r="P970" s="113" t="str">
        <f t="shared" si="125"/>
        <v>$BK$140</v>
      </c>
      <c r="Q970" s="113"/>
      <c r="R970" s="113"/>
      <c r="S970" s="113"/>
      <c r="T970" s="113"/>
      <c r="U970" s="113"/>
      <c r="V970" s="113" t="s">
        <v>1342</v>
      </c>
      <c r="W970" s="113"/>
      <c r="X970" s="113"/>
      <c r="Y970" s="113"/>
      <c r="Z970" s="113"/>
      <c r="AA970" s="113"/>
      <c r="AB970" s="113"/>
      <c r="AC970" s="113"/>
      <c r="AD970" s="113"/>
      <c r="AE970" s="113"/>
      <c r="AF970" s="113"/>
      <c r="AG970" s="113"/>
      <c r="AH970" s="113"/>
      <c r="AI970" s="113"/>
      <c r="AJ970" s="113"/>
      <c r="AK970" s="113"/>
      <c r="AL970" s="113">
        <v>1</v>
      </c>
      <c r="AM970" s="113"/>
      <c r="AN970" s="113"/>
      <c r="AO970" s="113"/>
      <c r="AP970" s="113" t="b">
        <v>1</v>
      </c>
      <c r="AQ970" s="284"/>
      <c r="AR970" s="285"/>
      <c r="AS970" s="285"/>
      <c r="AT970" s="285"/>
      <c r="AU970" s="285"/>
      <c r="AV970" s="285"/>
      <c r="AW970"/>
      <c r="AX970"/>
      <c r="AY970"/>
      <c r="AZ970"/>
      <c r="BA970"/>
      <c r="BB970"/>
      <c r="BC970"/>
      <c r="BD970"/>
      <c r="BE970"/>
      <c r="BF970"/>
      <c r="BG970"/>
      <c r="BH970"/>
      <c r="BI970"/>
      <c r="BJ970"/>
      <c r="BK970"/>
      <c r="BL970"/>
      <c r="BM970"/>
      <c r="BN970"/>
      <c r="BO970"/>
      <c r="BP970"/>
      <c r="BQ970"/>
      <c r="BR970"/>
      <c r="BS970"/>
      <c r="BT970"/>
      <c r="BU970"/>
      <c r="BV970"/>
      <c r="BW970"/>
      <c r="BX970"/>
      <c r="BY970"/>
      <c r="BZ970"/>
      <c r="CA970"/>
      <c r="CB970"/>
      <c r="CC970"/>
      <c r="CD970"/>
      <c r="CE970"/>
      <c r="CF970"/>
      <c r="CG970"/>
      <c r="CH970"/>
      <c r="CI970"/>
      <c r="CJ970"/>
      <c r="CK970"/>
      <c r="CL970"/>
      <c r="CM970"/>
      <c r="CN970"/>
      <c r="CO970"/>
      <c r="CP970"/>
      <c r="CQ970"/>
      <c r="CR970"/>
      <c r="CS970"/>
      <c r="CT970"/>
      <c r="CU970"/>
      <c r="CV970"/>
      <c r="CW970"/>
      <c r="CX970"/>
      <c r="CY970"/>
      <c r="CZ970"/>
      <c r="DA970"/>
      <c r="DB970"/>
      <c r="DC970"/>
      <c r="DD970"/>
      <c r="DE970"/>
      <c r="DF970"/>
      <c r="DG970"/>
      <c r="DH970"/>
      <c r="DI970"/>
      <c r="DJ970"/>
      <c r="DK970"/>
      <c r="DL970"/>
      <c r="DM970"/>
      <c r="DN970"/>
      <c r="DO970"/>
      <c r="DP970"/>
      <c r="DQ970"/>
      <c r="DR970"/>
      <c r="DS970"/>
      <c r="DT970"/>
      <c r="DU970"/>
      <c r="DV970"/>
      <c r="DW970"/>
      <c r="DX970"/>
      <c r="DY970"/>
      <c r="DZ970"/>
      <c r="EA970"/>
      <c r="EB970"/>
      <c r="EC970"/>
      <c r="ED970"/>
      <c r="EE970"/>
      <c r="EF970"/>
      <c r="EG970"/>
      <c r="EH970"/>
      <c r="EI970"/>
      <c r="EJ970"/>
      <c r="EK970"/>
      <c r="EL970"/>
      <c r="EM970"/>
      <c r="EN970"/>
      <c r="EO970"/>
      <c r="EP970"/>
      <c r="EQ970"/>
    </row>
    <row r="971" spans="1:147" ht="16.5" customHeight="1" x14ac:dyDescent="0.25">
      <c r="A971" s="113">
        <f>$A$966+5</f>
        <v>141</v>
      </c>
      <c r="B971" s="113" t="s">
        <v>1105</v>
      </c>
      <c r="C971" s="113" t="s">
        <v>92</v>
      </c>
      <c r="D971" s="113"/>
      <c r="E971" s="113"/>
      <c r="F971" s="113" t="s">
        <v>561</v>
      </c>
      <c r="G971" s="113" t="s">
        <v>406</v>
      </c>
      <c r="H971" s="113"/>
      <c r="I971" s="113"/>
      <c r="J971" s="113" t="b">
        <f t="shared" si="123"/>
        <v>1</v>
      </c>
      <c r="K971" s="113" t="b">
        <v>1</v>
      </c>
      <c r="L971" s="113"/>
      <c r="M971" s="113"/>
      <c r="N971" s="113"/>
      <c r="O971" s="113" t="str">
        <f t="shared" si="124"/>
        <v>$B$141</v>
      </c>
      <c r="P971" s="113" t="str">
        <f t="shared" si="125"/>
        <v>$BK$141</v>
      </c>
      <c r="Q971" s="113"/>
      <c r="R971" s="113"/>
      <c r="S971" s="113"/>
      <c r="T971" s="113"/>
      <c r="U971" s="113"/>
      <c r="V971" s="113" t="s">
        <v>1342</v>
      </c>
      <c r="W971" s="113"/>
      <c r="X971" s="113"/>
      <c r="Y971" s="113"/>
      <c r="Z971" s="113"/>
      <c r="AA971" s="113"/>
      <c r="AB971" s="113"/>
      <c r="AC971" s="113"/>
      <c r="AD971" s="113"/>
      <c r="AE971" s="113"/>
      <c r="AF971" s="113"/>
      <c r="AG971" s="113"/>
      <c r="AH971" s="113"/>
      <c r="AI971" s="113"/>
      <c r="AJ971" s="113"/>
      <c r="AK971" s="113"/>
      <c r="AL971" s="113">
        <v>1</v>
      </c>
      <c r="AM971" s="113"/>
      <c r="AN971" s="113"/>
      <c r="AO971" s="113"/>
      <c r="AP971" s="113" t="b">
        <v>1</v>
      </c>
      <c r="AQ971" s="134" t="s">
        <v>419</v>
      </c>
      <c r="AR971" s="197">
        <f ca="1">SUM(AU971:CY971)</f>
        <v>0</v>
      </c>
      <c r="AS971" s="480" t="str">
        <f t="shared" ref="AS971" ca="1" si="128">IF(ISERROR(AR971/$C$743),"-",AR971/$C$743)</f>
        <v>-</v>
      </c>
      <c r="AT971" s="481"/>
      <c r="AU971" s="197">
        <f ca="1">IFERROR(OFFSET(Businesscasen_f_BCM_subcat14_Table1_start,MATCH("Renteomkostninger (FF4)",OFFSET(Businesscasen_f_BCM_subcat14_Table1_start,0,0,ROWS(Businesscasen_f_BCM_subcat14_Table1_start:Businesscasen_f_BCM_subcat14_Table1_end),1),0)-1,5+MATCH(OFFSET(Businesscasen_f_BCM_subcat8_Table1_start,0,COLUMN()-COLUMN(Businesscasen_f_BCM_subcat8_Table1_start)),OFFSET(Businesscasen_f_BCM_subcat14_Table1_start,0,6,1,50),0)),0)/1000</f>
        <v>0</v>
      </c>
      <c r="AV971" s="197">
        <f ca="1">IFERROR(OFFSET(Businesscasen_f_BCM_subcat14_Table1_start,MATCH("Renteomkostninger (FF4)",OFFSET(Businesscasen_f_BCM_subcat14_Table1_start,0,0,ROWS(Businesscasen_f_BCM_subcat14_Table1_start:Businesscasen_f_BCM_subcat14_Table1_end),1),0)-1,5+MATCH(OFFSET(Businesscasen_f_BCM_subcat8_Table1_start,0,COLUMN()-COLUMN(Businesscasen_f_BCM_subcat8_Table1_start)),OFFSET(Businesscasen_f_BCM_subcat14_Table1_start,0,6,1,50),0)),0)/1000</f>
        <v>0</v>
      </c>
      <c r="AW971"/>
      <c r="AX971"/>
      <c r="AY971"/>
      <c r="AZ971"/>
      <c r="BA971"/>
      <c r="BB971"/>
      <c r="BC971"/>
      <c r="BD971"/>
      <c r="BE971"/>
      <c r="BF971"/>
      <c r="BG971"/>
      <c r="BH971"/>
      <c r="BI971"/>
      <c r="BJ971"/>
      <c r="BK971"/>
      <c r="BL971"/>
      <c r="BM971"/>
      <c r="BN971"/>
      <c r="BO971"/>
      <c r="BP971"/>
      <c r="BQ971"/>
      <c r="BR971"/>
      <c r="BS971"/>
      <c r="BT971"/>
      <c r="BU971"/>
      <c r="BV971"/>
      <c r="BW971"/>
      <c r="BX971"/>
      <c r="BY971"/>
      <c r="BZ971"/>
      <c r="CA971"/>
      <c r="CB971"/>
      <c r="CC971"/>
      <c r="CD971"/>
      <c r="CE971"/>
      <c r="CF971"/>
      <c r="CG971"/>
      <c r="CH971"/>
      <c r="CI971"/>
      <c r="CJ971"/>
      <c r="CK971"/>
      <c r="CL971"/>
      <c r="CM971"/>
      <c r="CN971"/>
      <c r="CO971"/>
      <c r="CP971"/>
      <c r="CQ971"/>
      <c r="CR971"/>
      <c r="CS971"/>
      <c r="CT971"/>
      <c r="CU971"/>
      <c r="CV971"/>
      <c r="CW971"/>
      <c r="CX971"/>
      <c r="CY971"/>
      <c r="CZ971"/>
      <c r="DA971"/>
      <c r="DB971"/>
      <c r="DC971"/>
      <c r="DD971"/>
      <c r="DE971"/>
      <c r="DF971"/>
      <c r="DG971"/>
      <c r="DH971"/>
      <c r="DI971"/>
      <c r="DJ971"/>
      <c r="DK971"/>
      <c r="DL971"/>
      <c r="DM971"/>
      <c r="DN971"/>
      <c r="DO971"/>
      <c r="DP971"/>
      <c r="DQ971"/>
      <c r="DR971"/>
      <c r="DS971"/>
      <c r="DT971"/>
      <c r="DU971"/>
      <c r="DV971"/>
      <c r="DW971"/>
      <c r="DX971"/>
      <c r="DY971"/>
      <c r="DZ971"/>
      <c r="EA971"/>
      <c r="EB971"/>
      <c r="EC971"/>
      <c r="ED971"/>
      <c r="EE971"/>
      <c r="EF971"/>
      <c r="EG971"/>
      <c r="EH971"/>
      <c r="EI971"/>
      <c r="EJ971"/>
      <c r="EK971"/>
      <c r="EL971"/>
      <c r="EM971"/>
      <c r="EN971"/>
      <c r="EO971"/>
      <c r="EP971"/>
      <c r="EQ971"/>
    </row>
    <row r="972" spans="1:147" ht="16.5" customHeight="1" x14ac:dyDescent="0.25">
      <c r="A972" s="113">
        <f>$A$966+6</f>
        <v>142</v>
      </c>
      <c r="B972" s="113" t="s">
        <v>1106</v>
      </c>
      <c r="C972" s="113" t="s">
        <v>92</v>
      </c>
      <c r="D972" s="113"/>
      <c r="E972" s="113"/>
      <c r="F972" s="113" t="s">
        <v>561</v>
      </c>
      <c r="G972" s="113" t="s">
        <v>406</v>
      </c>
      <c r="H972" s="113"/>
      <c r="I972" s="113"/>
      <c r="J972" s="113" t="b">
        <f t="shared" si="123"/>
        <v>1</v>
      </c>
      <c r="K972" s="113" t="b">
        <v>1</v>
      </c>
      <c r="L972" s="113"/>
      <c r="M972" s="113"/>
      <c r="N972" s="113"/>
      <c r="O972" s="113" t="str">
        <f t="shared" si="124"/>
        <v>$B$142</v>
      </c>
      <c r="P972" s="113" t="str">
        <f t="shared" si="125"/>
        <v>$BK$142</v>
      </c>
      <c r="Q972" s="113"/>
      <c r="R972" s="113"/>
      <c r="S972" s="113"/>
      <c r="T972" s="113"/>
      <c r="U972" s="113"/>
      <c r="V972" s="113" t="s">
        <v>1342</v>
      </c>
      <c r="W972" s="113"/>
      <c r="X972" s="113"/>
      <c r="Y972" s="113"/>
      <c r="Z972" s="113"/>
      <c r="AA972" s="113"/>
      <c r="AB972" s="113"/>
      <c r="AC972" s="113"/>
      <c r="AD972" s="113"/>
      <c r="AE972" s="113"/>
      <c r="AF972" s="113"/>
      <c r="AG972" s="113"/>
      <c r="AH972" s="113"/>
      <c r="AI972" s="113"/>
      <c r="AJ972" s="113"/>
      <c r="AK972" s="113"/>
      <c r="AL972" s="113">
        <v>1</v>
      </c>
      <c r="AM972" s="113"/>
      <c r="AN972" s="113"/>
      <c r="AO972" s="113"/>
      <c r="AP972" s="113" t="b">
        <v>1</v>
      </c>
      <c r="AQ972" s="135" t="s">
        <v>420</v>
      </c>
      <c r="AR972" s="198">
        <f ca="1">AR971+AR969</f>
        <v>0</v>
      </c>
      <c r="AS972" s="482" t="s">
        <v>416</v>
      </c>
      <c r="AT972" s="483"/>
      <c r="AU972" s="198">
        <f ca="1">IFERROR(OFFSET(Businesscasen_f_BCM_subcat14_Table1_start,MATCH("Renteomkostninger (FF4)",OFFSET(Businesscasen_f_BCM_subcat14_Table1_start,0,0,ROWS(Businesscasen_f_BCM_subcat14_Table1_start:Businesscasen_f_BCM_subcat14_Table1_end),1),0)-1,5+MATCH(OFFSET(Businesscasen_f_BCM_subcat8_Table1_start,0,COLUMN()-COLUMN(Businesscasen_f_BCM_subcat8_Table1_start)),OFFSET(Businesscasen_f_BCM_subcat14_Table1_start,0,6,1,50),0)),0)/1000</f>
        <v>0</v>
      </c>
      <c r="AV972" s="198">
        <f ca="1">IFERROR(OFFSET(Businesscasen_f_BCM_subcat14_Table1_start,MATCH("Renteomkostninger (FF4)",OFFSET(Businesscasen_f_BCM_subcat14_Table1_start,0,0,ROWS(Businesscasen_f_BCM_subcat14_Table1_start:Businesscasen_f_BCM_subcat14_Table1_end),1),0)-1,5+MATCH(OFFSET(Businesscasen_f_BCM_subcat8_Table1_start,0,COLUMN()-COLUMN(Businesscasen_f_BCM_subcat8_Table1_start)),OFFSET(Businesscasen_f_BCM_subcat14_Table1_start,0,6,1,50),0)),0)/1000</f>
        <v>0</v>
      </c>
      <c r="AW972"/>
      <c r="AX972"/>
      <c r="AY972"/>
      <c r="AZ972"/>
      <c r="BA972"/>
      <c r="BB972"/>
      <c r="BC972"/>
      <c r="BD972"/>
      <c r="BE972"/>
      <c r="BF972"/>
      <c r="BG972"/>
      <c r="BH972"/>
      <c r="BI972"/>
      <c r="BJ972"/>
      <c r="BK972"/>
      <c r="BL972"/>
      <c r="BM972"/>
      <c r="BN972"/>
      <c r="BO972"/>
      <c r="BP972"/>
      <c r="BQ972"/>
      <c r="BR972"/>
      <c r="BS972"/>
      <c r="BT972"/>
      <c r="BU972"/>
      <c r="BV972"/>
      <c r="BW972"/>
      <c r="BX972"/>
      <c r="BY972"/>
      <c r="BZ972"/>
      <c r="CA972"/>
      <c r="CB972"/>
      <c r="CC972"/>
      <c r="CD972"/>
      <c r="CE972"/>
      <c r="CF972"/>
      <c r="CG972"/>
      <c r="CH972"/>
      <c r="CI972"/>
      <c r="CJ972"/>
      <c r="CK972"/>
      <c r="CL972"/>
      <c r="CM972"/>
      <c r="CN972"/>
      <c r="CO972"/>
      <c r="CP972"/>
      <c r="CQ972"/>
      <c r="CR972"/>
      <c r="CS972"/>
      <c r="CT972"/>
      <c r="CU972"/>
      <c r="CV972"/>
      <c r="CW972"/>
      <c r="CX972"/>
      <c r="CY972"/>
      <c r="CZ972"/>
      <c r="DA972"/>
      <c r="DB972"/>
      <c r="DC972"/>
      <c r="DD972"/>
      <c r="DE972"/>
      <c r="DF972"/>
      <c r="DG972"/>
      <c r="DH972"/>
      <c r="DI972"/>
      <c r="DJ972"/>
      <c r="DK972"/>
      <c r="DL972"/>
      <c r="DM972"/>
      <c r="DN972"/>
      <c r="DO972"/>
      <c r="DP972"/>
      <c r="DQ972"/>
      <c r="DR972"/>
      <c r="DS972"/>
      <c r="DT972"/>
      <c r="DU972"/>
      <c r="DV972"/>
      <c r="DW972"/>
      <c r="DX972"/>
      <c r="DY972"/>
      <c r="DZ972"/>
      <c r="EA972"/>
      <c r="EB972"/>
      <c r="EC972"/>
      <c r="ED972"/>
      <c r="EE972"/>
      <c r="EF972"/>
      <c r="EG972"/>
      <c r="EH972"/>
      <c r="EI972"/>
      <c r="EJ972"/>
      <c r="EK972"/>
      <c r="EL972"/>
      <c r="EM972"/>
      <c r="EN972"/>
      <c r="EO972"/>
      <c r="EP972"/>
      <c r="EQ972"/>
    </row>
    <row r="973" spans="1:147" ht="16.5" customHeight="1" x14ac:dyDescent="0.2">
      <c r="A973" s="81">
        <f>$A$966+2</f>
        <v>138</v>
      </c>
      <c r="B973" s="81" t="s">
        <v>975</v>
      </c>
      <c r="C973" s="81" t="s">
        <v>512</v>
      </c>
      <c r="D973" s="81" t="s">
        <v>903</v>
      </c>
      <c r="E973" s="81"/>
      <c r="F973" s="81"/>
      <c r="G973" s="81" t="s">
        <v>406</v>
      </c>
      <c r="H973" s="81"/>
      <c r="I973" s="81"/>
      <c r="J973" s="81" t="b">
        <f t="shared" si="123"/>
        <v>1</v>
      </c>
      <c r="K973" s="81" t="b">
        <v>1</v>
      </c>
      <c r="L973" s="81" t="b">
        <v>1</v>
      </c>
      <c r="M973" s="81"/>
      <c r="N973" s="81" t="s">
        <v>59</v>
      </c>
      <c r="O973" s="81" t="str">
        <f>"$A$"&amp;A968</f>
        <v>$A$138</v>
      </c>
      <c r="P973" s="81" t="str">
        <f>"$A$"&amp;A968</f>
        <v>$A$138</v>
      </c>
      <c r="Q973" s="81"/>
      <c r="R973" s="81">
        <v>1</v>
      </c>
      <c r="S973" s="81">
        <v>20</v>
      </c>
      <c r="T973" s="81"/>
      <c r="U973" s="81" t="b">
        <f>$I$5</f>
        <v>0</v>
      </c>
      <c r="V973" s="81" t="s">
        <v>1354</v>
      </c>
      <c r="W973" s="81" t="s">
        <v>1354</v>
      </c>
      <c r="X973" s="81"/>
      <c r="Y973" s="81"/>
      <c r="Z973" s="81"/>
      <c r="AA973" s="81"/>
      <c r="AB973" s="81"/>
      <c r="AC973" s="81"/>
      <c r="AD973" s="81"/>
      <c r="AE973" s="81"/>
      <c r="AF973" s="81"/>
      <c r="AG973" s="81"/>
      <c r="AH973" s="81"/>
      <c r="AI973" s="81"/>
      <c r="AJ973" s="81"/>
      <c r="AK973" s="81"/>
      <c r="AL973" s="81">
        <v>10</v>
      </c>
      <c r="AM973" s="81">
        <v>5</v>
      </c>
      <c r="AN973" s="81"/>
      <c r="AO973" s="81"/>
      <c r="AP973" s="81"/>
    </row>
    <row r="974" spans="1:147" ht="16.5" customHeight="1" x14ac:dyDescent="0.2">
      <c r="A974" s="81">
        <f>$A$966+4</f>
        <v>140</v>
      </c>
      <c r="B974" s="81" t="s">
        <v>976</v>
      </c>
      <c r="C974" s="81" t="s">
        <v>512</v>
      </c>
      <c r="D974" s="81" t="s">
        <v>900</v>
      </c>
      <c r="E974" s="81"/>
      <c r="F974" s="81"/>
      <c r="G974" s="81" t="s">
        <v>406</v>
      </c>
      <c r="H974" s="81"/>
      <c r="I974" s="81"/>
      <c r="J974" s="81" t="b">
        <f t="shared" si="123"/>
        <v>1</v>
      </c>
      <c r="K974" s="81" t="b">
        <v>1</v>
      </c>
      <c r="L974" s="81" t="b">
        <v>1</v>
      </c>
      <c r="M974" s="81"/>
      <c r="N974" s="81" t="s">
        <v>59</v>
      </c>
      <c r="O974" s="81" t="str">
        <f>"$A$"&amp;A974</f>
        <v>$A$140</v>
      </c>
      <c r="P974" s="81" t="str">
        <f>"$A$"&amp;A972</f>
        <v>$A$142</v>
      </c>
      <c r="Q974" s="81"/>
      <c r="R974" s="81">
        <v>1</v>
      </c>
      <c r="S974" s="81">
        <v>20</v>
      </c>
      <c r="T974" s="81"/>
      <c r="U974" s="81" t="b">
        <f>$I$5</f>
        <v>0</v>
      </c>
      <c r="V974" s="81" t="s">
        <v>1350</v>
      </c>
      <c r="W974" s="81" t="s">
        <v>1350</v>
      </c>
      <c r="X974" s="81"/>
      <c r="Y974" s="81"/>
      <c r="Z974" s="81"/>
      <c r="AA974" s="81"/>
      <c r="AB974" s="81"/>
      <c r="AC974" s="81"/>
      <c r="AD974" s="81"/>
      <c r="AE974" s="81"/>
      <c r="AF974" s="81"/>
      <c r="AG974" s="81"/>
      <c r="AH974" s="81"/>
      <c r="AI974" s="81"/>
      <c r="AJ974" s="81"/>
      <c r="AK974" s="81"/>
      <c r="AL974" s="81">
        <v>10</v>
      </c>
      <c r="AM974" s="81">
        <v>5</v>
      </c>
      <c r="AN974" s="81"/>
      <c r="AO974" s="81"/>
      <c r="AP974" s="81"/>
    </row>
    <row r="975" spans="1:147" ht="16.5" customHeight="1" x14ac:dyDescent="0.2">
      <c r="A975" s="103">
        <f>$A$966+9</f>
        <v>145</v>
      </c>
      <c r="B975" s="103" t="s">
        <v>502</v>
      </c>
      <c r="C975" s="103" t="s">
        <v>654</v>
      </c>
      <c r="D975" s="103"/>
      <c r="E975" s="103"/>
      <c r="F975" s="103"/>
      <c r="G975" s="103" t="s">
        <v>406</v>
      </c>
      <c r="H975" s="103"/>
      <c r="I975" s="103" t="s">
        <v>439</v>
      </c>
      <c r="J975" s="103" t="b">
        <f t="shared" si="123"/>
        <v>1</v>
      </c>
      <c r="K975" s="103" t="b">
        <v>1</v>
      </c>
      <c r="L975" s="103"/>
      <c r="M975" s="103"/>
      <c r="N975" s="103" t="s">
        <v>59</v>
      </c>
      <c r="O975" s="103" t="str">
        <f>"$B$"&amp;A975</f>
        <v>$B$145</v>
      </c>
      <c r="P975" s="103" t="str">
        <f>"$S$"&amp;A983-1</f>
        <v>$S$153</v>
      </c>
      <c r="Q975" s="103"/>
      <c r="R975" s="103">
        <v>1</v>
      </c>
      <c r="S975" s="103"/>
      <c r="T975" s="103">
        <v>27</v>
      </c>
      <c r="U975" s="103" t="b">
        <v>1</v>
      </c>
      <c r="V975" s="103" t="s">
        <v>1352</v>
      </c>
      <c r="W975" s="103" t="s">
        <v>1352</v>
      </c>
      <c r="X975" s="103"/>
      <c r="Y975" s="103"/>
      <c r="Z975" s="103"/>
      <c r="AA975" s="103"/>
      <c r="AB975" s="103"/>
      <c r="AC975" s="103">
        <v>7</v>
      </c>
      <c r="AD975" s="103" t="s">
        <v>105</v>
      </c>
      <c r="AE975" s="103">
        <v>20</v>
      </c>
      <c r="AF975" s="103" t="b">
        <v>1</v>
      </c>
      <c r="AG975" s="103" t="s">
        <v>1351</v>
      </c>
      <c r="AH975" s="103" t="s">
        <v>29</v>
      </c>
      <c r="AI975" s="103" t="s">
        <v>28</v>
      </c>
      <c r="AJ975" s="103"/>
      <c r="AK975" s="103"/>
      <c r="AL975" s="103">
        <v>0</v>
      </c>
      <c r="AM975" s="103"/>
      <c r="AN975" s="103"/>
      <c r="AO975" s="103"/>
      <c r="AP975" s="103"/>
      <c r="AQ975" s="93" t="s">
        <v>439</v>
      </c>
    </row>
    <row r="976" spans="1:147" ht="16.5" customHeight="1" x14ac:dyDescent="0.2">
      <c r="A976" s="81">
        <f>$A$975+0</f>
        <v>145</v>
      </c>
      <c r="B976" s="81" t="s">
        <v>514</v>
      </c>
      <c r="C976" s="81" t="s">
        <v>512</v>
      </c>
      <c r="D976" s="81" t="s">
        <v>961</v>
      </c>
      <c r="E976" s="81"/>
      <c r="F976" s="81"/>
      <c r="G976" s="81" t="s">
        <v>406</v>
      </c>
      <c r="H976" s="81"/>
      <c r="I976" s="81"/>
      <c r="J976" s="81" t="b">
        <v>1</v>
      </c>
      <c r="K976" s="81" t="b">
        <v>1</v>
      </c>
      <c r="L976" s="81" t="b">
        <v>0</v>
      </c>
      <c r="M976" s="81"/>
      <c r="N976" s="81" t="s">
        <v>59</v>
      </c>
      <c r="O976" s="81" t="str">
        <f>"$A$"&amp;A976</f>
        <v>$A$145</v>
      </c>
      <c r="P976" s="81" t="str">
        <f>"$A$"&amp;A983-1</f>
        <v>$A$153</v>
      </c>
      <c r="Q976" s="81"/>
      <c r="R976" s="81">
        <v>1</v>
      </c>
      <c r="S976" s="81">
        <v>20</v>
      </c>
      <c r="T976" s="81"/>
      <c r="U976" s="81" t="b">
        <f>$I$5</f>
        <v>0</v>
      </c>
      <c r="V976" s="81" t="s">
        <v>1353</v>
      </c>
      <c r="W976" s="81" t="s">
        <v>1353</v>
      </c>
      <c r="X976" s="81"/>
      <c r="Y976" s="81"/>
      <c r="Z976" s="81"/>
      <c r="AA976" s="81"/>
      <c r="AB976" s="81"/>
      <c r="AC976" s="81"/>
      <c r="AD976" s="81"/>
      <c r="AE976" s="81"/>
      <c r="AF976" s="81"/>
      <c r="AG976" s="81"/>
      <c r="AH976" s="81"/>
      <c r="AI976" s="81"/>
      <c r="AJ976" s="81"/>
      <c r="AK976" s="81"/>
      <c r="AL976" s="81">
        <v>10</v>
      </c>
      <c r="AM976" s="81">
        <v>5</v>
      </c>
      <c r="AN976" s="81"/>
      <c r="AO976" s="81"/>
      <c r="AP976" s="81"/>
    </row>
    <row r="977" spans="1:147" ht="16.5" customHeight="1" x14ac:dyDescent="0.2">
      <c r="A977" s="112">
        <f>$A$975+2</f>
        <v>147</v>
      </c>
      <c r="B977" s="112" t="s">
        <v>563</v>
      </c>
      <c r="C977" s="112" t="s">
        <v>90</v>
      </c>
      <c r="D977" s="112"/>
      <c r="E977" s="112"/>
      <c r="F977" s="112"/>
      <c r="G977" s="112" t="s">
        <v>406</v>
      </c>
      <c r="H977" s="112"/>
      <c r="I977" s="112"/>
      <c r="J977" s="112" t="b">
        <f t="shared" ref="J977:J999" si="129">$H$5</f>
        <v>1</v>
      </c>
      <c r="K977" s="112" t="b">
        <v>1</v>
      </c>
      <c r="L977" s="112"/>
      <c r="M977" s="112"/>
      <c r="N977" s="112"/>
      <c r="O977" s="112" t="str">
        <f t="shared" ref="O977:O983" si="130">"$B$"&amp;A977</f>
        <v>$B$147</v>
      </c>
      <c r="P977" s="112" t="str">
        <f>"$BK$"&amp;A982</f>
        <v>$BK$151</v>
      </c>
      <c r="Q977" s="112"/>
      <c r="R977" s="112"/>
      <c r="S977" s="112"/>
      <c r="T977" s="112"/>
      <c r="U977" s="112"/>
      <c r="V977" s="112" t="s">
        <v>1342</v>
      </c>
      <c r="W977" s="112"/>
      <c r="X977" s="112"/>
      <c r="Y977" s="112"/>
      <c r="Z977" s="112"/>
      <c r="AA977" s="112"/>
      <c r="AB977" s="112"/>
      <c r="AC977" s="112"/>
      <c r="AD977" s="112" t="s">
        <v>105</v>
      </c>
      <c r="AE977" s="112">
        <v>12</v>
      </c>
      <c r="AF977" s="112" t="b">
        <v>1</v>
      </c>
      <c r="AG977" s="112" t="s">
        <v>1355</v>
      </c>
      <c r="AH977" s="112" t="s">
        <v>29</v>
      </c>
      <c r="AI977" s="112" t="s">
        <v>28</v>
      </c>
      <c r="AJ977" s="112"/>
      <c r="AK977" s="112"/>
      <c r="AL977" s="112"/>
      <c r="AM977" s="112"/>
      <c r="AN977" s="112"/>
      <c r="AO977" s="112"/>
      <c r="AP977" s="112"/>
    </row>
    <row r="978" spans="1:147" ht="16.5" customHeight="1" thickBot="1" x14ac:dyDescent="0.3">
      <c r="A978" s="113">
        <f>$A$977+0</f>
        <v>147</v>
      </c>
      <c r="B978" s="113" t="s">
        <v>564</v>
      </c>
      <c r="C978" s="113" t="s">
        <v>92</v>
      </c>
      <c r="D978" s="113"/>
      <c r="E978" s="113"/>
      <c r="F978" s="113" t="s">
        <v>563</v>
      </c>
      <c r="G978" s="113" t="s">
        <v>406</v>
      </c>
      <c r="H978" s="113"/>
      <c r="I978" s="113"/>
      <c r="J978" s="113" t="b">
        <f t="shared" si="129"/>
        <v>1</v>
      </c>
      <c r="K978" s="113" t="b">
        <v>1</v>
      </c>
      <c r="L978" s="113"/>
      <c r="M978" s="113"/>
      <c r="N978" s="113"/>
      <c r="O978" s="113" t="str">
        <f t="shared" si="130"/>
        <v>$B$147</v>
      </c>
      <c r="P978" s="113" t="str">
        <f>"$BK$"&amp;A978</f>
        <v>$BK$147</v>
      </c>
      <c r="Q978" s="113"/>
      <c r="R978" s="113"/>
      <c r="S978" s="113"/>
      <c r="T978" s="113">
        <v>52</v>
      </c>
      <c r="U978" s="113"/>
      <c r="V978" s="113" t="s">
        <v>1342</v>
      </c>
      <c r="W978" s="113"/>
      <c r="X978" s="113"/>
      <c r="Y978" s="113"/>
      <c r="Z978" s="113"/>
      <c r="AA978" s="113"/>
      <c r="AB978" s="113"/>
      <c r="AC978" s="113"/>
      <c r="AD978" s="113"/>
      <c r="AE978" s="113"/>
      <c r="AF978" s="113"/>
      <c r="AG978" s="113"/>
      <c r="AH978" s="113" t="s">
        <v>29</v>
      </c>
      <c r="AI978" s="113"/>
      <c r="AJ978" s="113"/>
      <c r="AK978" s="113"/>
      <c r="AL978" s="113">
        <v>1</v>
      </c>
      <c r="AM978" s="113"/>
      <c r="AN978" s="113"/>
      <c r="AO978" s="113"/>
      <c r="AP978" s="113" t="b">
        <v>1</v>
      </c>
      <c r="AQ978" s="251" t="str">
        <f>"Tabel 1.14 "&amp;IF(MasterSheet_f_FP_CfgGroup1R3_VS,"Program","Projekt") &amp;"udgifter fordelt på interne og eksterne ressourcer"</f>
        <v>Tabel 1.14 Projektudgifter fordelt på interne og eksterne ressourcer</v>
      </c>
      <c r="AR978" s="181" t="s">
        <v>413</v>
      </c>
      <c r="AS978" s="484" t="s">
        <v>414</v>
      </c>
      <c r="AT978" s="485"/>
      <c r="AU978" s="283">
        <v>2013</v>
      </c>
      <c r="AV978" s="181">
        <v>2014</v>
      </c>
      <c r="AW978"/>
      <c r="AX978"/>
      <c r="AY978"/>
      <c r="AZ978"/>
      <c r="BA978"/>
      <c r="BB978"/>
      <c r="BC978"/>
      <c r="BD978"/>
      <c r="BE978"/>
      <c r="BF978"/>
      <c r="BG978"/>
      <c r="BH978"/>
      <c r="BI978"/>
      <c r="BJ978"/>
      <c r="BK978"/>
      <c r="BL978"/>
      <c r="BM978"/>
      <c r="BN978"/>
      <c r="BO978"/>
      <c r="BP978"/>
      <c r="BQ978"/>
      <c r="BR978"/>
      <c r="BS978"/>
      <c r="BT978"/>
      <c r="BU978"/>
      <c r="BV978"/>
      <c r="BW978"/>
      <c r="BX978"/>
      <c r="BY978"/>
      <c r="BZ978"/>
      <c r="CA978"/>
      <c r="CB978"/>
      <c r="CC978"/>
      <c r="CD978"/>
      <c r="CE978"/>
      <c r="CF978"/>
      <c r="CG978"/>
      <c r="CH978"/>
      <c r="CI978"/>
      <c r="CJ978"/>
      <c r="CK978"/>
      <c r="CL978"/>
      <c r="CM978"/>
      <c r="CN978"/>
      <c r="CO978"/>
      <c r="CP978"/>
      <c r="CQ978"/>
      <c r="CR978"/>
      <c r="CS978"/>
      <c r="CT978"/>
      <c r="CU978"/>
      <c r="CV978"/>
      <c r="CW978"/>
      <c r="CX978"/>
      <c r="CY978"/>
      <c r="CZ978"/>
      <c r="DA978"/>
      <c r="DB978"/>
      <c r="DC978"/>
      <c r="DD978"/>
      <c r="DE978"/>
      <c r="DF978"/>
      <c r="DG978"/>
      <c r="DH978"/>
      <c r="DI978"/>
      <c r="DJ978"/>
      <c r="DK978"/>
      <c r="DL978"/>
      <c r="DM978"/>
      <c r="DN978"/>
      <c r="DO978"/>
      <c r="DP978"/>
      <c r="DQ978"/>
      <c r="DR978"/>
      <c r="DS978"/>
      <c r="DT978"/>
      <c r="DU978"/>
      <c r="DV978"/>
      <c r="DW978"/>
      <c r="DX978"/>
      <c r="DY978"/>
      <c r="DZ978"/>
      <c r="EA978"/>
      <c r="EB978"/>
      <c r="EC978"/>
      <c r="ED978"/>
      <c r="EE978"/>
      <c r="EF978"/>
      <c r="EG978"/>
      <c r="EH978"/>
      <c r="EI978"/>
      <c r="EJ978"/>
      <c r="EK978"/>
      <c r="EL978"/>
      <c r="EM978"/>
      <c r="EN978"/>
      <c r="EO978"/>
      <c r="EP978"/>
      <c r="EQ978"/>
    </row>
    <row r="979" spans="1:147" ht="16.5" customHeight="1" x14ac:dyDescent="0.25">
      <c r="A979" s="113">
        <f>$A$977+1</f>
        <v>148</v>
      </c>
      <c r="B979" s="113" t="s">
        <v>978</v>
      </c>
      <c r="C979" s="113" t="s">
        <v>92</v>
      </c>
      <c r="D979" s="113"/>
      <c r="E979" s="113"/>
      <c r="F979" s="113" t="s">
        <v>563</v>
      </c>
      <c r="G979" s="113" t="s">
        <v>406</v>
      </c>
      <c r="H979" s="113"/>
      <c r="I979" s="113"/>
      <c r="J979" s="113" t="b">
        <f t="shared" si="129"/>
        <v>1</v>
      </c>
      <c r="K979" s="113" t="b">
        <v>1</v>
      </c>
      <c r="L979" s="113"/>
      <c r="M979" s="113"/>
      <c r="N979" s="113"/>
      <c r="O979" s="113" t="str">
        <f t="shared" si="130"/>
        <v>$B$148</v>
      </c>
      <c r="P979" s="113" t="str">
        <f>"$BK$"&amp;A979</f>
        <v>$BK$148</v>
      </c>
      <c r="Q979" s="113"/>
      <c r="R979" s="113"/>
      <c r="S979" s="113"/>
      <c r="T979" s="113"/>
      <c r="U979" s="113"/>
      <c r="V979" s="113" t="s">
        <v>1342</v>
      </c>
      <c r="W979" s="113"/>
      <c r="X979" s="113"/>
      <c r="Y979" s="113"/>
      <c r="Z979" s="113"/>
      <c r="AA979" s="113"/>
      <c r="AB979" s="113"/>
      <c r="AC979" s="113"/>
      <c r="AD979" s="113"/>
      <c r="AE979" s="113"/>
      <c r="AF979" s="113"/>
      <c r="AG979" s="113"/>
      <c r="AH979" s="113"/>
      <c r="AI979" s="113"/>
      <c r="AJ979" s="113"/>
      <c r="AK979" s="113"/>
      <c r="AL979" s="113">
        <v>1</v>
      </c>
      <c r="AM979" s="113"/>
      <c r="AN979" s="113"/>
      <c r="AO979" s="113"/>
      <c r="AP979" s="113" t="b">
        <v>1</v>
      </c>
      <c r="AQ979" s="286" t="s">
        <v>440</v>
      </c>
      <c r="AR979" s="287">
        <f t="shared" ref="AR979:AR981" ca="1" si="131">SUM(AU979:CZ979)</f>
        <v>0</v>
      </c>
      <c r="AS979" s="486" t="str">
        <f ca="1">IF(ISERROR(AR979/AR982),"-",AR979/AR982)</f>
        <v>-</v>
      </c>
      <c r="AT979" s="487"/>
      <c r="AU979" s="288">
        <f ca="1">(SUMIFS(IF(MasterSheet_f_FP_CfgGroup1R3_VS,ProgramudgifterC!$N:$N,ProjektudgifterC!$N:$N),IF(MasterSheet_f_FP_CfgGroup1R3_VS,ProgramudgifterC!$C:$C,ProjektudgifterC!$C:$C),"Personaleomkostninger",IF(MasterSheet_f_FP_CfgGroup1R3_VS,ProgramudgifterC!$E:$E,ProjektudgifterC!$E:$E),OFFSET(Businesscasen_f_BCM_subcat10_Table1_start,0,COLUMN()-COLUMN(Businesscasen_f_BCM_subcat10_Table1_start)))+SUMIFS(IF(MasterSheet_f_FP_CfgGroup1R3_VS,ProgramudgifterC!$N:$N,ProjektudgifterC!$N:$N),IF(MasterSheet_f_FP_CfgGroup1R3_VS,ProgramudgifterC!$C:$C,ProjektudgifterC!$C:$C),"Personaleomkostninger, der kan aktiveres",IF(MasterSheet_f_FP_CfgGroup1R3_VS,ProgramudgifterC!$E:$E,ProjektudgifterC!$E:$E),OFFSET(Businesscasen_f_BCM_subcat10_Table1_start,0,COLUMN()-COLUMN(Businesscasen_f_BCM_subcat10_Table1_start))))/1000</f>
        <v>0</v>
      </c>
      <c r="AV979" s="260">
        <f ca="1">(SUMIFS(IF(MasterSheet_f_FP_CfgGroup1R3_VS,ProgramudgifterC!$N:$N,ProjektudgifterC!$N:$N),IF(MasterSheet_f_FP_CfgGroup1R3_VS,ProgramudgifterC!$C:$C,ProjektudgifterC!$C:$C),"Personaleomkostninger",IF(MasterSheet_f_FP_CfgGroup1R3_VS,ProgramudgifterC!$E:$E,ProjektudgifterC!$E:$E),OFFSET(Businesscasen_f_BCM_subcat10_Table1_start,0,COLUMN()-COLUMN(Businesscasen_f_BCM_subcat10_Table1_start)))+SUMIFS(IF(MasterSheet_f_FP_CfgGroup1R3_VS,ProgramudgifterC!$N:$N,ProjektudgifterC!$N:$N),IF(MasterSheet_f_FP_CfgGroup1R3_VS,ProgramudgifterC!$C:$C,ProjektudgifterC!$C:$C),"Personaleomkostninger, der kan aktiveres",IF(MasterSheet_f_FP_CfgGroup1R3_VS,ProgramudgifterC!$E:$E,ProjektudgifterC!$E:$E),OFFSET(Businesscasen_f_BCM_subcat10_Table1_start,0,COLUMN()-COLUMN(Businesscasen_f_BCM_subcat10_Table1_start))))/1000</f>
        <v>0</v>
      </c>
      <c r="AW979"/>
      <c r="AX979"/>
      <c r="AY979"/>
      <c r="AZ979"/>
      <c r="BA979"/>
      <c r="BB979"/>
      <c r="BC979"/>
      <c r="BD979"/>
      <c r="BE979"/>
      <c r="BF979"/>
      <c r="BG979"/>
      <c r="BH979"/>
      <c r="BI979"/>
      <c r="BJ979"/>
      <c r="BK979"/>
      <c r="BL979"/>
      <c r="BM979"/>
      <c r="BN979"/>
      <c r="BO979"/>
      <c r="BP979"/>
      <c r="BQ979"/>
      <c r="BR979"/>
      <c r="BS979"/>
      <c r="BT979"/>
      <c r="BU979"/>
      <c r="BV979"/>
      <c r="BW979"/>
      <c r="BX979"/>
      <c r="BY979"/>
      <c r="BZ979"/>
      <c r="CA979"/>
      <c r="CB979"/>
      <c r="CC979"/>
      <c r="CD979"/>
      <c r="CE979"/>
      <c r="CF979"/>
      <c r="CG979"/>
      <c r="CH979"/>
      <c r="CI979"/>
      <c r="CJ979"/>
      <c r="CK979"/>
      <c r="CL979"/>
      <c r="CM979"/>
      <c r="CN979"/>
      <c r="CO979"/>
      <c r="CP979"/>
      <c r="CQ979"/>
      <c r="CR979"/>
      <c r="CS979"/>
      <c r="CT979"/>
      <c r="CU979"/>
      <c r="CV979"/>
      <c r="CW979"/>
      <c r="CX979"/>
      <c r="CY979"/>
      <c r="CZ979"/>
      <c r="DA979"/>
      <c r="DB979"/>
      <c r="DC979"/>
      <c r="DD979"/>
      <c r="DE979"/>
      <c r="DF979"/>
      <c r="DG979"/>
      <c r="DH979"/>
      <c r="DI979"/>
      <c r="DJ979"/>
      <c r="DK979"/>
      <c r="DL979"/>
      <c r="DM979"/>
      <c r="DN979"/>
      <c r="DO979"/>
      <c r="DP979"/>
      <c r="DQ979"/>
      <c r="DR979"/>
      <c r="DS979"/>
      <c r="DT979"/>
      <c r="DU979"/>
      <c r="DV979"/>
      <c r="DW979"/>
      <c r="DX979"/>
      <c r="DY979"/>
      <c r="DZ979"/>
      <c r="EA979"/>
      <c r="EB979"/>
      <c r="EC979"/>
      <c r="ED979"/>
      <c r="EE979"/>
      <c r="EF979"/>
      <c r="EG979"/>
      <c r="EH979"/>
      <c r="EI979"/>
      <c r="EJ979"/>
      <c r="EK979"/>
      <c r="EL979"/>
      <c r="EM979"/>
      <c r="EN979"/>
      <c r="EO979"/>
      <c r="EP979"/>
      <c r="EQ979"/>
    </row>
    <row r="980" spans="1:147" ht="16.5" customHeight="1" x14ac:dyDescent="0.25">
      <c r="A980" s="113">
        <f>$A$977+2</f>
        <v>149</v>
      </c>
      <c r="B980" s="113" t="s">
        <v>979</v>
      </c>
      <c r="C980" s="113" t="s">
        <v>92</v>
      </c>
      <c r="D980" s="113"/>
      <c r="E980" s="113"/>
      <c r="F980" s="113" t="s">
        <v>563</v>
      </c>
      <c r="G980" s="113" t="s">
        <v>406</v>
      </c>
      <c r="H980" s="113"/>
      <c r="I980" s="113"/>
      <c r="J980" s="113" t="b">
        <f t="shared" si="129"/>
        <v>1</v>
      </c>
      <c r="K980" s="113" t="b">
        <v>1</v>
      </c>
      <c r="L980" s="113"/>
      <c r="M980" s="113"/>
      <c r="N980" s="113"/>
      <c r="O980" s="113" t="str">
        <f t="shared" si="130"/>
        <v>$B$149</v>
      </c>
      <c r="P980" s="113" t="str">
        <f>"$BK$"&amp;A980</f>
        <v>$BK$149</v>
      </c>
      <c r="Q980" s="113"/>
      <c r="R980" s="113"/>
      <c r="S980" s="113"/>
      <c r="T980" s="113"/>
      <c r="U980" s="113"/>
      <c r="V980" s="113" t="s">
        <v>1342</v>
      </c>
      <c r="W980" s="113"/>
      <c r="X980" s="113"/>
      <c r="Y980" s="113"/>
      <c r="Z980" s="113"/>
      <c r="AA980" s="113"/>
      <c r="AB980" s="113"/>
      <c r="AC980" s="113"/>
      <c r="AD980" s="113"/>
      <c r="AE980" s="113"/>
      <c r="AF980" s="113"/>
      <c r="AG980" s="113"/>
      <c r="AH980" s="113"/>
      <c r="AI980" s="113"/>
      <c r="AJ980" s="113"/>
      <c r="AK980" s="113"/>
      <c r="AL980" s="113">
        <v>1</v>
      </c>
      <c r="AM980" s="113"/>
      <c r="AN980" s="113"/>
      <c r="AO980" s="113"/>
      <c r="AP980" s="113" t="b">
        <v>1</v>
      </c>
      <c r="AQ980" s="289" t="s">
        <v>441</v>
      </c>
      <c r="AR980" s="290">
        <f t="shared" ca="1" si="131"/>
        <v>0</v>
      </c>
      <c r="AS980" s="488" t="str">
        <f t="shared" ref="AS980:AS981" ca="1" si="132">IF(ISERROR(AR980/AR983),"-",AR980/AR983)</f>
        <v>-</v>
      </c>
      <c r="AT980" s="489"/>
      <c r="AU980" s="291">
        <f ca="1">(IF(MasterSheet_f_FP_CfgGroup1R3_VS,SUMIFS(ProgramudgifterC!$N:$N,ProgramudgifterC!$C:$C,"Køb af IT-tjenesteydelser",ProgramudgifterC!$E:$E,OFFSET(Businesscasen_f_BCM_subcat10_Table1_start,0,COLUMN()-COLUMN(Businesscasen_f_BCM_subcat10_Table1_start)))+SUMIFS(ProgramudgifterC!$N:$N,ProgramudgifterC!$C:$C,"Køb af tjenesteydelser i øvrigt",ProgramudgifterC!$E:$E,OFFSET(Businesscasen_f_BCM_subcat10_Table1_start,0,COLUMN()-COLUMN(Businesscasen_f_BCM_subcat10_Table1_start))),SUMIFS(ProjektudgifterC!$N:$N,ProjektudgifterC!$C:$C,"Køb af IT-tjenesteydelser",ProjektudgifterC!$E:$E,OFFSET(Businesscasen_f_BCM_subcat10_Table1_start,0,COLUMN()-COLUMN(Businesscasen_f_BCM_subcat10_Table1_start)))+SUMIFS(ProjektudgifterC!$N:$N,ProjektudgifterC!$C:$C,"Køb af tjenesteydelser i øvrigt",ProjektudgifterC!$E:$E,OFFSET(Businesscasen_f_BCM_subcat10_Table1_start,0,COLUMN()-COLUMN(Businesscasen_f_BCM_subcat10_Table1_start)))))/1000</f>
        <v>0</v>
      </c>
      <c r="AV980" s="292">
        <f ca="1">(IF(MasterSheet_f_FP_CfgGroup1R3_VS,SUMIFS(ProgramudgifterC!$N:$N,ProgramudgifterC!$C:$C,"Køb af IT-tjenesteydelser",ProgramudgifterC!$E:$E,OFFSET(Businesscasen_f_BCM_subcat10_Table1_start,0,COLUMN()-COLUMN(Businesscasen_f_BCM_subcat10_Table1_start)))+SUMIFS(ProgramudgifterC!$N:$N,ProgramudgifterC!$C:$C,"Køb af tjenesteydelser i øvrigt",ProgramudgifterC!$E:$E,OFFSET(Businesscasen_f_BCM_subcat10_Table1_start,0,COLUMN()-COLUMN(Businesscasen_f_BCM_subcat10_Table1_start))),SUMIFS(ProjektudgifterC!$N:$N,ProjektudgifterC!$C:$C,"Køb af IT-tjenesteydelser",ProjektudgifterC!$E:$E,OFFSET(Businesscasen_f_BCM_subcat10_Table1_start,0,COLUMN()-COLUMN(Businesscasen_f_BCM_subcat10_Table1_start)))+SUMIFS(ProjektudgifterC!$N:$N,ProjektudgifterC!$C:$C,"Køb af tjenesteydelser i øvrigt",ProjektudgifterC!$E:$E,OFFSET(Businesscasen_f_BCM_subcat10_Table1_start,0,COLUMN()-COLUMN(Businesscasen_f_BCM_subcat10_Table1_start)))))/1000</f>
        <v>0</v>
      </c>
      <c r="AW980"/>
      <c r="AX980"/>
      <c r="AY980"/>
      <c r="AZ980"/>
      <c r="BA980"/>
      <c r="BB980"/>
      <c r="BC980"/>
      <c r="BD980"/>
      <c r="BE980"/>
      <c r="BF980"/>
      <c r="BG980"/>
      <c r="BH980"/>
      <c r="BI980"/>
      <c r="BJ980"/>
      <c r="BK980"/>
      <c r="BL980"/>
      <c r="BM980"/>
      <c r="BN980"/>
      <c r="BO980"/>
      <c r="BP980"/>
      <c r="BQ980"/>
      <c r="BR980"/>
      <c r="BS980"/>
      <c r="BT980"/>
      <c r="BU980"/>
      <c r="BV980"/>
      <c r="BW980"/>
      <c r="BX980"/>
      <c r="BY980"/>
      <c r="BZ980"/>
      <c r="CA980"/>
      <c r="CB980"/>
      <c r="CC980"/>
      <c r="CD980"/>
      <c r="CE980"/>
      <c r="CF980"/>
      <c r="CG980"/>
      <c r="CH980"/>
      <c r="CI980"/>
      <c r="CJ980"/>
      <c r="CK980"/>
      <c r="CL980"/>
      <c r="CM980"/>
      <c r="CN980"/>
      <c r="CO980"/>
      <c r="CP980"/>
      <c r="CQ980"/>
      <c r="CR980"/>
      <c r="CS980"/>
      <c r="CT980"/>
      <c r="CU980"/>
      <c r="CV980"/>
      <c r="CW980"/>
      <c r="CX980"/>
      <c r="CY980"/>
      <c r="CZ980"/>
      <c r="DA980"/>
      <c r="DB980"/>
      <c r="DC980"/>
      <c r="DD980"/>
      <c r="DE980"/>
      <c r="DF980"/>
      <c r="DG980"/>
      <c r="DH980"/>
      <c r="DI980"/>
      <c r="DJ980"/>
      <c r="DK980"/>
      <c r="DL980"/>
      <c r="DM980"/>
      <c r="DN980"/>
      <c r="DO980"/>
      <c r="DP980"/>
      <c r="DQ980"/>
      <c r="DR980"/>
      <c r="DS980"/>
      <c r="DT980"/>
      <c r="DU980"/>
      <c r="DV980"/>
      <c r="DW980"/>
      <c r="DX980"/>
      <c r="DY980"/>
      <c r="DZ980"/>
      <c r="EA980"/>
      <c r="EB980"/>
      <c r="EC980"/>
      <c r="ED980"/>
      <c r="EE980"/>
      <c r="EF980"/>
      <c r="EG980"/>
      <c r="EH980"/>
      <c r="EI980"/>
      <c r="EJ980"/>
      <c r="EK980"/>
      <c r="EL980"/>
      <c r="EM980"/>
      <c r="EN980"/>
      <c r="EO980"/>
      <c r="EP980"/>
      <c r="EQ980"/>
    </row>
    <row r="981" spans="1:147" ht="16.5" customHeight="1" x14ac:dyDescent="0.25">
      <c r="A981" s="113">
        <f>$A$977+3</f>
        <v>150</v>
      </c>
      <c r="B981" s="113" t="s">
        <v>980</v>
      </c>
      <c r="C981" s="113" t="s">
        <v>92</v>
      </c>
      <c r="D981" s="113"/>
      <c r="E981" s="113"/>
      <c r="F981" s="113" t="s">
        <v>563</v>
      </c>
      <c r="G981" s="113" t="s">
        <v>406</v>
      </c>
      <c r="H981" s="113"/>
      <c r="I981" s="113"/>
      <c r="J981" s="113" t="b">
        <f t="shared" si="129"/>
        <v>1</v>
      </c>
      <c r="K981" s="113" t="b">
        <v>1</v>
      </c>
      <c r="L981" s="113"/>
      <c r="M981" s="113"/>
      <c r="N981" s="113"/>
      <c r="O981" s="113" t="str">
        <f t="shared" si="130"/>
        <v>$B$150</v>
      </c>
      <c r="P981" s="113" t="str">
        <f>"$BK$"&amp;A981</f>
        <v>$BK$150</v>
      </c>
      <c r="Q981" s="113"/>
      <c r="R981" s="113"/>
      <c r="S981" s="113"/>
      <c r="T981" s="113"/>
      <c r="U981" s="113"/>
      <c r="V981" s="113" t="s">
        <v>1342</v>
      </c>
      <c r="W981" s="113"/>
      <c r="X981" s="113"/>
      <c r="Y981" s="113"/>
      <c r="Z981" s="113"/>
      <c r="AA981" s="113"/>
      <c r="AB981" s="113"/>
      <c r="AC981" s="113"/>
      <c r="AD981" s="113"/>
      <c r="AE981" s="113"/>
      <c r="AF981" s="113"/>
      <c r="AG981" s="113"/>
      <c r="AH981" s="113"/>
      <c r="AI981" s="113"/>
      <c r="AJ981" s="113"/>
      <c r="AK981" s="113"/>
      <c r="AL981" s="113">
        <v>1</v>
      </c>
      <c r="AM981" s="113"/>
      <c r="AN981" s="113"/>
      <c r="AO981" s="113"/>
      <c r="AP981" s="113" t="b">
        <v>1</v>
      </c>
      <c r="AQ981" s="289" t="s">
        <v>977</v>
      </c>
      <c r="AR981" s="290">
        <f t="shared" ca="1" si="131"/>
        <v>0</v>
      </c>
      <c r="AS981" s="490" t="str">
        <f t="shared" ca="1" si="132"/>
        <v>-</v>
      </c>
      <c r="AT981" s="491"/>
      <c r="AU981" s="291">
        <f ca="1">(IF(MasterSheet_f_FP_CfgGroup1R3_VS,SUMIFS(ProgramudgifterC!$N:$N,ProgramudgifterC!$E:$E,OFFSET(Businesscasen_f_BCM_subcat10_Table1_start,0,COLUMN()-COLUMN(Businesscasen_f_BCM_subcat10_Table1_start))),SUMIFS(ProjektudgifterC!$N:$N,ProjektudgifterC!$E:$E,OFFSET(Businesscasen_f_BCM_subcat10_Table1_start,0,COLUMN()-COLUMN(Businesscasen_f_BCM_subcat10_Table1_start))))-IF(MasterSheet_f_FP_CfgGroup1R3_VS,SUMIFS(ProgramudgifterC!$N:$N,ProgramudgifterC!$C:$C,"Indtægter",ProgramudgifterC!$E:$E,OFFSET(Businesscasen_f_BCM_subcat10_Table1_start,0,COLUMN()-COLUMN(Businesscasen_f_BCM_subcat10_Table1_start))),SUMIFS(ProjektudgifterC!$N:$N,ProjektudgifterC!$C:$C,"Indtægter",ProjektudgifterC!$E:$E,OFFSET(Businesscasen_f_BCM_subcat10_Table1_start,0,COLUMN()-COLUMN(Businesscasen_f_BCM_subcat10_Table1_start))))-SUM(AU979:AU980))/1000</f>
        <v>0</v>
      </c>
      <c r="AV981" s="292">
        <f ca="1">(IF(MasterSheet_f_FP_CfgGroup1R3_VS,SUMIFS(ProgramudgifterC!$N:$N,ProgramudgifterC!$E:$E,OFFSET(Businesscasen_f_BCM_subcat10_Table1_start,0,COLUMN()-COLUMN(Businesscasen_f_BCM_subcat10_Table1_start))),SUMIFS(ProjektudgifterC!$N:$N,ProjektudgifterC!$E:$E,OFFSET(Businesscasen_f_BCM_subcat10_Table1_start,0,COLUMN()-COLUMN(Businesscasen_f_BCM_subcat10_Table1_start))))-IF(MasterSheet_f_FP_CfgGroup1R3_VS,SUMIFS(ProgramudgifterC!$N:$N,ProgramudgifterC!$C:$C,"Indtægter",ProgramudgifterC!$E:$E,OFFSET(Businesscasen_f_BCM_subcat10_Table1_start,0,COLUMN()-COLUMN(Businesscasen_f_BCM_subcat10_Table1_start))),SUMIFS(ProjektudgifterC!$N:$N,ProjektudgifterC!$C:$C,"Indtægter",ProjektudgifterC!$E:$E,OFFSET(Businesscasen_f_BCM_subcat10_Table1_start,0,COLUMN()-COLUMN(Businesscasen_f_BCM_subcat10_Table1_start))))-SUM(AV979:AV980))/1000</f>
        <v>0</v>
      </c>
      <c r="AW981"/>
      <c r="AX981"/>
      <c r="AY981"/>
      <c r="AZ981"/>
      <c r="BA981"/>
      <c r="BB981"/>
      <c r="BC981"/>
      <c r="BD981"/>
      <c r="BE981"/>
      <c r="BF981"/>
      <c r="BG981"/>
      <c r="BH981"/>
      <c r="BI981"/>
      <c r="BJ981"/>
      <c r="BK981"/>
      <c r="BL981"/>
      <c r="BM981"/>
      <c r="BN981"/>
      <c r="BO981"/>
      <c r="BP981"/>
      <c r="BQ981"/>
      <c r="BR981"/>
      <c r="BS981"/>
      <c r="BT981"/>
      <c r="BU981"/>
      <c r="BV981"/>
      <c r="BW981"/>
      <c r="BX981"/>
      <c r="BY981"/>
      <c r="BZ981"/>
      <c r="CA981"/>
      <c r="CB981"/>
      <c r="CC981"/>
      <c r="CD981"/>
      <c r="CE981"/>
      <c r="CF981"/>
      <c r="CG981"/>
      <c r="CH981"/>
      <c r="CI981"/>
      <c r="CJ981"/>
      <c r="CK981"/>
      <c r="CL981"/>
      <c r="CM981"/>
      <c r="CN981"/>
      <c r="CO981"/>
      <c r="CP981"/>
      <c r="CQ981"/>
      <c r="CR981"/>
      <c r="CS981"/>
      <c r="CT981"/>
      <c r="CU981"/>
      <c r="CV981"/>
      <c r="CW981"/>
      <c r="CX981"/>
      <c r="CY981"/>
      <c r="CZ981"/>
      <c r="DA981"/>
      <c r="DB981"/>
      <c r="DC981"/>
      <c r="DD981"/>
      <c r="DE981"/>
      <c r="DF981"/>
      <c r="DG981"/>
      <c r="DH981"/>
      <c r="DI981"/>
      <c r="DJ981"/>
      <c r="DK981"/>
      <c r="DL981"/>
      <c r="DM981"/>
      <c r="DN981"/>
      <c r="DO981"/>
      <c r="DP981"/>
      <c r="DQ981"/>
      <c r="DR981"/>
      <c r="DS981"/>
      <c r="DT981"/>
      <c r="DU981"/>
      <c r="DV981"/>
      <c r="DW981"/>
      <c r="DX981"/>
      <c r="DY981"/>
      <c r="DZ981"/>
      <c r="EA981"/>
      <c r="EB981"/>
      <c r="EC981"/>
      <c r="ED981"/>
      <c r="EE981"/>
      <c r="EF981"/>
      <c r="EG981"/>
      <c r="EH981"/>
      <c r="EI981"/>
      <c r="EJ981"/>
      <c r="EK981"/>
      <c r="EL981"/>
      <c r="EM981"/>
      <c r="EN981"/>
      <c r="EO981"/>
      <c r="EP981"/>
      <c r="EQ981"/>
    </row>
    <row r="982" spans="1:147" ht="16.5" customHeight="1" thickBot="1" x14ac:dyDescent="0.3">
      <c r="A982" s="113">
        <f>$A$977+4</f>
        <v>151</v>
      </c>
      <c r="B982" s="113" t="s">
        <v>981</v>
      </c>
      <c r="C982" s="113" t="s">
        <v>92</v>
      </c>
      <c r="D982" s="113"/>
      <c r="E982" s="113"/>
      <c r="F982" s="113" t="s">
        <v>563</v>
      </c>
      <c r="G982" s="113" t="s">
        <v>406</v>
      </c>
      <c r="H982" s="113"/>
      <c r="I982" s="113"/>
      <c r="J982" s="113" t="b">
        <f t="shared" si="129"/>
        <v>1</v>
      </c>
      <c r="K982" s="113" t="b">
        <v>1</v>
      </c>
      <c r="L982" s="113"/>
      <c r="M982" s="113"/>
      <c r="N982" s="113"/>
      <c r="O982" s="113" t="str">
        <f t="shared" si="130"/>
        <v>$B$151</v>
      </c>
      <c r="P982" s="113" t="str">
        <f>"$BK$"&amp;A982</f>
        <v>$BK$151</v>
      </c>
      <c r="Q982" s="113"/>
      <c r="R982" s="113"/>
      <c r="S982" s="113"/>
      <c r="T982" s="113"/>
      <c r="U982" s="113"/>
      <c r="V982" s="113" t="s">
        <v>1342</v>
      </c>
      <c r="W982" s="113"/>
      <c r="X982" s="113"/>
      <c r="Y982" s="113"/>
      <c r="Z982" s="113"/>
      <c r="AA982" s="113"/>
      <c r="AB982" s="113"/>
      <c r="AC982" s="113"/>
      <c r="AD982" s="113"/>
      <c r="AE982" s="113"/>
      <c r="AF982" s="113"/>
      <c r="AG982" s="113"/>
      <c r="AH982" s="113"/>
      <c r="AI982" s="113"/>
      <c r="AJ982" s="113"/>
      <c r="AK982" s="113"/>
      <c r="AL982" s="113">
        <v>1</v>
      </c>
      <c r="AM982" s="113"/>
      <c r="AN982" s="113"/>
      <c r="AO982" s="113"/>
      <c r="AP982" s="113" t="b">
        <v>1</v>
      </c>
      <c r="AQ982" s="293" t="s">
        <v>413</v>
      </c>
      <c r="AR982" s="294">
        <f ca="1">SUM(AR979:AR981)</f>
        <v>0</v>
      </c>
      <c r="AS982" s="512">
        <f ca="1">SUM(AS979:AT981)</f>
        <v>0</v>
      </c>
      <c r="AT982" s="513">
        <f t="shared" ref="AT982" si="133">SUM(AT979:AT981)</f>
        <v>0</v>
      </c>
      <c r="AU982" s="294">
        <f t="shared" ref="AU982" ca="1" si="134">SUM(AU979:AU981)</f>
        <v>0</v>
      </c>
      <c r="AV982" s="295">
        <f t="shared" ref="AV982" ca="1" si="135">SUM(AV979:AV981)</f>
        <v>0</v>
      </c>
      <c r="AW982"/>
      <c r="AX982"/>
      <c r="AY982"/>
      <c r="AZ982"/>
      <c r="BA982"/>
      <c r="BB982"/>
      <c r="BC982"/>
      <c r="BD982"/>
      <c r="BE982"/>
      <c r="BF982"/>
      <c r="BG982"/>
      <c r="BH982"/>
      <c r="BI982"/>
      <c r="BJ982"/>
      <c r="BK982"/>
      <c r="BL982"/>
      <c r="BM982"/>
      <c r="BN982"/>
      <c r="BO982"/>
      <c r="BP982"/>
      <c r="BQ982"/>
      <c r="BR982"/>
      <c r="BS982"/>
      <c r="BT982"/>
      <c r="BU982"/>
      <c r="BV982"/>
      <c r="BW982"/>
      <c r="BX982"/>
      <c r="BY982"/>
      <c r="BZ982"/>
      <c r="CA982"/>
      <c r="CB982"/>
      <c r="CC982"/>
      <c r="CD982"/>
      <c r="CE982"/>
      <c r="CF982"/>
      <c r="CG982"/>
      <c r="CH982"/>
      <c r="CI982"/>
      <c r="CJ982"/>
      <c r="CK982"/>
      <c r="CL982"/>
      <c r="CM982"/>
      <c r="CN982"/>
      <c r="CO982"/>
      <c r="CP982"/>
      <c r="CQ982"/>
      <c r="CR982"/>
      <c r="CS982"/>
      <c r="CT982"/>
      <c r="CU982"/>
      <c r="CV982"/>
      <c r="CW982"/>
      <c r="CX982"/>
      <c r="CY982"/>
      <c r="CZ982"/>
      <c r="DA982"/>
      <c r="DB982"/>
      <c r="DC982"/>
      <c r="DD982"/>
      <c r="DE982"/>
      <c r="DF982"/>
      <c r="DG982"/>
      <c r="DH982"/>
      <c r="DI982"/>
      <c r="DJ982"/>
      <c r="DK982"/>
      <c r="DL982"/>
      <c r="DM982"/>
      <c r="DN982"/>
      <c r="DO982"/>
      <c r="DP982"/>
      <c r="DQ982"/>
      <c r="DR982"/>
      <c r="DS982"/>
      <c r="DT982"/>
      <c r="DU982"/>
      <c r="DV982"/>
      <c r="DW982"/>
      <c r="DX982"/>
      <c r="DY982"/>
      <c r="DZ982"/>
      <c r="EA982"/>
      <c r="EB982"/>
      <c r="EC982"/>
      <c r="ED982"/>
      <c r="EE982"/>
      <c r="EF982"/>
      <c r="EG982"/>
      <c r="EH982"/>
      <c r="EI982"/>
      <c r="EJ982"/>
      <c r="EK982"/>
      <c r="EL982"/>
      <c r="EM982"/>
      <c r="EN982"/>
      <c r="EO982"/>
      <c r="EP982"/>
      <c r="EQ982"/>
    </row>
    <row r="983" spans="1:147" ht="16.5" customHeight="1" x14ac:dyDescent="0.2">
      <c r="A983" s="103">
        <f>$A$977+7</f>
        <v>154</v>
      </c>
      <c r="B983" s="103" t="s">
        <v>503</v>
      </c>
      <c r="C983" s="103" t="s">
        <v>654</v>
      </c>
      <c r="D983" s="103"/>
      <c r="E983" s="103"/>
      <c r="F983" s="103"/>
      <c r="G983" s="103" t="s">
        <v>406</v>
      </c>
      <c r="H983" s="103"/>
      <c r="I983" s="103" t="s">
        <v>79</v>
      </c>
      <c r="J983" s="103" t="b">
        <f t="shared" si="129"/>
        <v>1</v>
      </c>
      <c r="K983" s="103" t="b">
        <v>1</v>
      </c>
      <c r="L983" s="103"/>
      <c r="M983" s="103"/>
      <c r="N983" s="103" t="s">
        <v>59</v>
      </c>
      <c r="O983" s="103" t="str">
        <f t="shared" si="130"/>
        <v>$B$154</v>
      </c>
      <c r="P983" s="103" t="str">
        <f>"$S$"&amp;A994-1</f>
        <v>$S$168</v>
      </c>
      <c r="Q983" s="103"/>
      <c r="R983" s="103">
        <v>1</v>
      </c>
      <c r="S983" s="103"/>
      <c r="T983" s="103">
        <v>27</v>
      </c>
      <c r="U983" s="103" t="b">
        <v>1</v>
      </c>
      <c r="V983" s="103" t="s">
        <v>1352</v>
      </c>
      <c r="W983" s="103" t="s">
        <v>1352</v>
      </c>
      <c r="X983" s="103"/>
      <c r="Y983" s="103"/>
      <c r="Z983" s="103"/>
      <c r="AA983" s="103"/>
      <c r="AB983" s="103"/>
      <c r="AC983" s="103">
        <v>7</v>
      </c>
      <c r="AD983" s="103" t="s">
        <v>105</v>
      </c>
      <c r="AE983" s="103">
        <v>20</v>
      </c>
      <c r="AF983" s="103" t="b">
        <v>1</v>
      </c>
      <c r="AG983" s="103" t="s">
        <v>1351</v>
      </c>
      <c r="AH983" s="103" t="s">
        <v>29</v>
      </c>
      <c r="AI983" s="103" t="s">
        <v>28</v>
      </c>
      <c r="AJ983" s="103"/>
      <c r="AK983" s="103"/>
      <c r="AL983" s="103">
        <v>0</v>
      </c>
      <c r="AM983" s="103"/>
      <c r="AN983" s="103"/>
      <c r="AO983" s="103"/>
      <c r="AP983" s="103"/>
      <c r="AQ983" s="149" t="s">
        <v>79</v>
      </c>
      <c r="AR983" s="149"/>
      <c r="AS983" s="149"/>
      <c r="AT983" s="149"/>
      <c r="AU983" s="149"/>
      <c r="AV983" s="149"/>
      <c r="AW983" s="149"/>
      <c r="AX983" s="149"/>
      <c r="AY983" s="149"/>
      <c r="AZ983" s="149"/>
      <c r="BA983" s="149"/>
      <c r="BB983" s="149"/>
    </row>
    <row r="984" spans="1:147" ht="16.5" customHeight="1" x14ac:dyDescent="0.2">
      <c r="A984" s="112">
        <f>$A$983+2</f>
        <v>156</v>
      </c>
      <c r="B984" s="112" t="s">
        <v>565</v>
      </c>
      <c r="C984" s="112" t="s">
        <v>90</v>
      </c>
      <c r="D984" s="112"/>
      <c r="E984" s="112"/>
      <c r="F984" s="112"/>
      <c r="G984" s="112" t="s">
        <v>406</v>
      </c>
      <c r="H984" s="112"/>
      <c r="I984" s="112"/>
      <c r="J984" s="112" t="b">
        <f t="shared" si="129"/>
        <v>1</v>
      </c>
      <c r="K984" s="112" t="b">
        <v>1</v>
      </c>
      <c r="L984" s="112"/>
      <c r="M984" s="112"/>
      <c r="N984" s="112"/>
      <c r="O984" s="112" t="str">
        <f t="shared" ref="O984:O992" si="136">"$H$"&amp;A984</f>
        <v>$H$156</v>
      </c>
      <c r="P984" s="112" t="str">
        <f>"$W$"&amp;A984+7</f>
        <v>$W$163</v>
      </c>
      <c r="Q984" s="112"/>
      <c r="R984" s="112"/>
      <c r="S984" s="112"/>
      <c r="T984" s="112"/>
      <c r="U984" s="112"/>
      <c r="V984" s="112" t="s">
        <v>1342</v>
      </c>
      <c r="W984" s="112"/>
      <c r="X984" s="112"/>
      <c r="Y984" s="112"/>
      <c r="Z984" s="112"/>
      <c r="AA984" s="112"/>
      <c r="AB984" s="112"/>
      <c r="AC984" s="112"/>
      <c r="AD984" s="112" t="s">
        <v>105</v>
      </c>
      <c r="AE984" s="112">
        <v>12</v>
      </c>
      <c r="AF984" s="112" t="b">
        <v>1</v>
      </c>
      <c r="AG984" s="112" t="s">
        <v>1355</v>
      </c>
      <c r="AH984" s="112" t="s">
        <v>29</v>
      </c>
      <c r="AI984" s="112" t="s">
        <v>28</v>
      </c>
      <c r="AJ984" s="112"/>
      <c r="AK984" s="112"/>
      <c r="AL984" s="112"/>
      <c r="AM984" s="112"/>
      <c r="AN984" s="112"/>
      <c r="AO984" s="112"/>
      <c r="AP984" s="112"/>
    </row>
    <row r="985" spans="1:147" ht="16.5" customHeight="1" thickBot="1" x14ac:dyDescent="0.25">
      <c r="A985" s="113">
        <f>$A$984+0</f>
        <v>156</v>
      </c>
      <c r="B985" s="113" t="s">
        <v>566</v>
      </c>
      <c r="C985" s="113" t="s">
        <v>92</v>
      </c>
      <c r="D985" s="113"/>
      <c r="E985" s="113"/>
      <c r="F985" s="113" t="s">
        <v>565</v>
      </c>
      <c r="G985" s="113" t="s">
        <v>406</v>
      </c>
      <c r="H985" s="113"/>
      <c r="I985" s="113"/>
      <c r="J985" s="113" t="b">
        <f t="shared" si="129"/>
        <v>1</v>
      </c>
      <c r="K985" s="113" t="b">
        <v>1</v>
      </c>
      <c r="L985" s="113"/>
      <c r="M985" s="113"/>
      <c r="N985" s="113"/>
      <c r="O985" s="113" t="str">
        <f t="shared" si="136"/>
        <v>$H$156</v>
      </c>
      <c r="P985" s="113" t="str">
        <f>"$W$"&amp;A985</f>
        <v>$W$156</v>
      </c>
      <c r="Q985" s="113"/>
      <c r="R985" s="113"/>
      <c r="S985" s="113"/>
      <c r="T985" s="113">
        <v>52</v>
      </c>
      <c r="U985" s="113"/>
      <c r="V985" s="113" t="s">
        <v>1342</v>
      </c>
      <c r="W985" s="113"/>
      <c r="X985" s="113"/>
      <c r="Y985" s="113"/>
      <c r="Z985" s="113"/>
      <c r="AA985" s="113"/>
      <c r="AB985" s="113"/>
      <c r="AC985" s="113"/>
      <c r="AD985" s="113"/>
      <c r="AE985" s="113"/>
      <c r="AF985" s="113"/>
      <c r="AG985" s="113"/>
      <c r="AH985" s="113"/>
      <c r="AI985" s="113"/>
      <c r="AJ985" s="113"/>
      <c r="AK985" s="113"/>
      <c r="AL985" s="113">
        <v>1</v>
      </c>
      <c r="AM985" s="113"/>
      <c r="AN985" s="113"/>
      <c r="AO985" s="113"/>
      <c r="AP985" s="113" t="b">
        <v>1</v>
      </c>
      <c r="AQ985" s="360" t="s">
        <v>989</v>
      </c>
      <c r="AR985" s="360"/>
      <c r="AS985" s="360"/>
      <c r="AT985" s="361"/>
      <c r="AU985" s="514" t="s">
        <v>222</v>
      </c>
      <c r="AV985" s="515"/>
      <c r="AW985" s="514" t="s">
        <v>223</v>
      </c>
      <c r="AX985" s="515"/>
      <c r="AY985" s="391" t="s">
        <v>224</v>
      </c>
      <c r="AZ985" s="392"/>
      <c r="BA985" s="391" t="s">
        <v>225</v>
      </c>
      <c r="BB985" s="392"/>
      <c r="BC985" s="254"/>
      <c r="BD985" s="255" t="s">
        <v>1513</v>
      </c>
      <c r="BE985" s="255" t="s">
        <v>113</v>
      </c>
      <c r="BF985" s="255" t="s">
        <v>1514</v>
      </c>
    </row>
    <row r="986" spans="1:147" ht="16.5" customHeight="1" x14ac:dyDescent="0.2">
      <c r="A986" s="113">
        <f>$A$984+1</f>
        <v>157</v>
      </c>
      <c r="B986" s="113" t="s">
        <v>982</v>
      </c>
      <c r="C986" s="113" t="s">
        <v>92</v>
      </c>
      <c r="D986" s="113"/>
      <c r="E986" s="113"/>
      <c r="F986" s="113" t="s">
        <v>565</v>
      </c>
      <c r="G986" s="113" t="s">
        <v>406</v>
      </c>
      <c r="H986" s="113"/>
      <c r="I986" s="113"/>
      <c r="J986" s="113" t="b">
        <f t="shared" si="129"/>
        <v>1</v>
      </c>
      <c r="K986" s="113" t="b">
        <v>1</v>
      </c>
      <c r="L986" s="113"/>
      <c r="M986" s="113"/>
      <c r="N986" s="113"/>
      <c r="O986" s="113" t="str">
        <f t="shared" si="136"/>
        <v>$H$157</v>
      </c>
      <c r="P986" s="113" t="str">
        <f t="shared" ref="P986:P992" si="137">"$W$"&amp;A986</f>
        <v>$W$157</v>
      </c>
      <c r="Q986" s="113"/>
      <c r="R986" s="113"/>
      <c r="S986" s="113"/>
      <c r="T986" s="113"/>
      <c r="U986" s="113"/>
      <c r="V986" s="113" t="s">
        <v>1342</v>
      </c>
      <c r="W986" s="113"/>
      <c r="X986" s="113"/>
      <c r="Y986" s="113"/>
      <c r="Z986" s="113"/>
      <c r="AA986" s="113"/>
      <c r="AB986" s="113"/>
      <c r="AC986" s="113"/>
      <c r="AD986" s="113"/>
      <c r="AE986" s="113"/>
      <c r="AF986" s="113"/>
      <c r="AG986" s="113"/>
      <c r="AH986" s="113"/>
      <c r="AI986" s="113"/>
      <c r="AJ986" s="113"/>
      <c r="AK986" s="113"/>
      <c r="AL986" s="113">
        <v>1</v>
      </c>
      <c r="AM986" s="113"/>
      <c r="AN986" s="113"/>
      <c r="AO986" s="113"/>
      <c r="AP986" s="113" t="b">
        <v>1</v>
      </c>
      <c r="AQ986" s="146" t="s">
        <v>226</v>
      </c>
      <c r="AR986" s="146"/>
      <c r="AS986" s="146"/>
      <c r="AT986" s="146"/>
      <c r="AU986" s="500" t="e">
        <f ca="1">OFFSET(INDIRECT("MasterSheet_f_FP_Main1TidsplanTable_C"&amp;ROWS(AU986:INDIRECT("Businesscasen_f_BCM_subcat11_Table1_start",TRUE))-1&amp;"_1_VS",TRUE),0,37)</f>
        <v>#VALUE!</v>
      </c>
      <c r="AV986" s="501"/>
      <c r="AW986" s="500" t="e">
        <f ca="1">OFFSET(INDIRECT("MasterSheet_f_FP_Main1TidsplanTable_C"&amp;ROWS(AW986:INDIRECT("Businesscasen_f_BCM_subcat11_Table1_start",TRUE))-1&amp;"_1_VS",TRUE),0,39)</f>
        <v>#VALUE!</v>
      </c>
      <c r="AX986" s="501"/>
      <c r="AY986" s="502" t="str">
        <f t="shared" ref="AY986:AY992" ca="1" si="138">IFERROR(IF(AND(((YEAR(AW986)-YEAR(AU986))*12+MONTH(AW986)-MONTH(AU986))&gt;=0,((YEAR(AW986)-YEAR(AU986))*12+MONTH(AW986)-MONTH(AU986))&lt;200,AU986&lt;&gt;"",AW986&lt;&gt;""),(YEAR(AW986)-YEAR(AU986))*12+MONTH(AW986)-MONTH(AU986),"-"),"-")</f>
        <v>-</v>
      </c>
      <c r="AZ986" s="503"/>
      <c r="BA986" s="504">
        <f t="shared" ref="BA986" ca="1" si="139">IFERROR(AY986/SUM(AY986:AZ992),0)</f>
        <v>0</v>
      </c>
      <c r="BB986" s="505"/>
      <c r="BC986" s="256" t="str">
        <f>"1. "&amp;TRIM(AQ986)</f>
        <v>1. Ide</v>
      </c>
      <c r="BD986" s="255" t="e">
        <f ca="1">IF(AND(AU986&gt;DATE(1980,1,1),AY986&lt;200,AY986&gt;=0),1,0)</f>
        <v>#VALUE!</v>
      </c>
      <c r="BE986" s="257" t="e">
        <f ca="1">BD986*(AU986-MIN(AU986:AV992))/30</f>
        <v>#VALUE!</v>
      </c>
      <c r="BF986" s="258" t="str">
        <f ca="1">AY986</f>
        <v>-</v>
      </c>
    </row>
    <row r="987" spans="1:147" ht="16.5" customHeight="1" x14ac:dyDescent="0.2">
      <c r="A987" s="113">
        <f>$A$984+2</f>
        <v>158</v>
      </c>
      <c r="B987" s="113" t="s">
        <v>983</v>
      </c>
      <c r="C987" s="113" t="s">
        <v>92</v>
      </c>
      <c r="D987" s="113"/>
      <c r="E987" s="113"/>
      <c r="F987" s="113" t="s">
        <v>565</v>
      </c>
      <c r="G987" s="113" t="s">
        <v>406</v>
      </c>
      <c r="H987" s="113"/>
      <c r="I987" s="113"/>
      <c r="J987" s="113" t="b">
        <f t="shared" si="129"/>
        <v>1</v>
      </c>
      <c r="K987" s="113" t="b">
        <v>1</v>
      </c>
      <c r="L987" s="113"/>
      <c r="M987" s="113"/>
      <c r="N987" s="113"/>
      <c r="O987" s="113" t="str">
        <f t="shared" si="136"/>
        <v>$H$158</v>
      </c>
      <c r="P987" s="113" t="str">
        <f t="shared" si="137"/>
        <v>$W$158</v>
      </c>
      <c r="Q987" s="113"/>
      <c r="R987" s="113"/>
      <c r="S987" s="113"/>
      <c r="T987" s="113"/>
      <c r="U987" s="113"/>
      <c r="V987" s="113" t="s">
        <v>1342</v>
      </c>
      <c r="W987" s="113"/>
      <c r="X987" s="113"/>
      <c r="Y987" s="113"/>
      <c r="Z987" s="113"/>
      <c r="AA987" s="113"/>
      <c r="AB987" s="113"/>
      <c r="AC987" s="113"/>
      <c r="AD987" s="113"/>
      <c r="AE987" s="113"/>
      <c r="AF987" s="113"/>
      <c r="AG987" s="113"/>
      <c r="AH987" s="113"/>
      <c r="AI987" s="113"/>
      <c r="AJ987" s="113"/>
      <c r="AK987" s="113"/>
      <c r="AL987" s="113">
        <v>1</v>
      </c>
      <c r="AM987" s="113"/>
      <c r="AN987" s="113"/>
      <c r="AO987" s="113"/>
      <c r="AP987" s="113" t="b">
        <v>1</v>
      </c>
      <c r="AQ987" s="147" t="s">
        <v>184</v>
      </c>
      <c r="AR987" s="147"/>
      <c r="AS987" s="147"/>
      <c r="AT987" s="147"/>
      <c r="AU987" s="506" t="e">
        <f ca="1">OFFSET(INDIRECT("MasterSheet_f_FP_Main1TidsplanTable_C"&amp;ROWS(AU987:INDIRECT("Businesscasen_f_BCM_subcat11_Table1_start",TRUE))-1&amp;"_1_VS",TRUE),0,37)</f>
        <v>#VALUE!</v>
      </c>
      <c r="AV987" s="507"/>
      <c r="AW987" s="506" t="e">
        <f ca="1">OFFSET(INDIRECT("MasterSheet_f_FP_Main1TidsplanTable_C"&amp;ROWS(AW987:INDIRECT("Businesscasen_f_BCM_subcat11_Table1_start",TRUE))-1&amp;"_1_VS",TRUE),0,39)</f>
        <v>#VALUE!</v>
      </c>
      <c r="AX987" s="507"/>
      <c r="AY987" s="508" t="str">
        <f t="shared" ca="1" si="138"/>
        <v>-</v>
      </c>
      <c r="AZ987" s="509"/>
      <c r="BA987" s="510">
        <f t="shared" ref="BA987" ca="1" si="140">IFERROR(AY987/SUM(AY986:AZ992),0)</f>
        <v>0</v>
      </c>
      <c r="BB987" s="511"/>
      <c r="BC987" s="256" t="str">
        <f>"2. "&amp;TRIM(AQ987)</f>
        <v>2. Analyse</v>
      </c>
      <c r="BD987" s="255" t="e">
        <f t="shared" ref="BD987:BD992" ca="1" si="141">IF(AND(AU987&gt;DATE(1980,1,1),AY987&lt;200,AY987&gt;=0),1,0)</f>
        <v>#VALUE!</v>
      </c>
      <c r="BE987" s="257" t="e">
        <f ca="1">BD987*(AU987-MIN(AU986:AV992))/30</f>
        <v>#VALUE!</v>
      </c>
      <c r="BF987" s="258" t="str">
        <f t="shared" ref="BF987:BF992" ca="1" si="142">AY987</f>
        <v>-</v>
      </c>
    </row>
    <row r="988" spans="1:147" ht="16.5" customHeight="1" x14ac:dyDescent="0.2">
      <c r="A988" s="113">
        <f>$A$984+3</f>
        <v>159</v>
      </c>
      <c r="B988" s="113" t="s">
        <v>984</v>
      </c>
      <c r="C988" s="113" t="s">
        <v>92</v>
      </c>
      <c r="D988" s="113"/>
      <c r="E988" s="113"/>
      <c r="F988" s="113" t="s">
        <v>565</v>
      </c>
      <c r="G988" s="113" t="s">
        <v>406</v>
      </c>
      <c r="H988" s="113"/>
      <c r="I988" s="113"/>
      <c r="J988" s="113" t="b">
        <f t="shared" si="129"/>
        <v>1</v>
      </c>
      <c r="K988" s="113" t="b">
        <v>1</v>
      </c>
      <c r="L988" s="113"/>
      <c r="M988" s="113"/>
      <c r="N988" s="113"/>
      <c r="O988" s="113" t="str">
        <f t="shared" si="136"/>
        <v>$H$159</v>
      </c>
      <c r="P988" s="113" t="str">
        <f t="shared" si="137"/>
        <v>$W$159</v>
      </c>
      <c r="Q988" s="113"/>
      <c r="R988" s="113"/>
      <c r="S988" s="113"/>
      <c r="T988" s="113"/>
      <c r="U988" s="113"/>
      <c r="V988" s="113" t="s">
        <v>1342</v>
      </c>
      <c r="W988" s="113"/>
      <c r="X988" s="113"/>
      <c r="Y988" s="113"/>
      <c r="Z988" s="113"/>
      <c r="AA988" s="113"/>
      <c r="AB988" s="113"/>
      <c r="AC988" s="113"/>
      <c r="AD988" s="113"/>
      <c r="AE988" s="113"/>
      <c r="AF988" s="113"/>
      <c r="AG988" s="113"/>
      <c r="AH988" s="113"/>
      <c r="AI988" s="113"/>
      <c r="AJ988" s="113"/>
      <c r="AK988" s="113"/>
      <c r="AL988" s="113">
        <v>1</v>
      </c>
      <c r="AM988" s="113"/>
      <c r="AN988" s="113"/>
      <c r="AO988" s="113"/>
      <c r="AP988" s="113" t="b">
        <v>1</v>
      </c>
      <c r="AQ988" s="147" t="s">
        <v>185</v>
      </c>
      <c r="AR988" s="147"/>
      <c r="AS988" s="147"/>
      <c r="AT988" s="147"/>
      <c r="AU988" s="506" t="e">
        <f t="shared" ref="AU988" ca="1" si="143">IF(MIN(AU989:AV990)=0,"-",MIN(AU989:AV990))</f>
        <v>#VALUE!</v>
      </c>
      <c r="AV988" s="507"/>
      <c r="AW988" s="506" t="e">
        <f t="shared" ref="AW988" ca="1" si="144">IF(MAX(AW989:AX990)=0,"-",MAX(AW989:AX990))</f>
        <v>#VALUE!</v>
      </c>
      <c r="AX988" s="507"/>
      <c r="AY988" s="508" t="str">
        <f t="shared" ca="1" si="138"/>
        <v>-</v>
      </c>
      <c r="AZ988" s="509"/>
      <c r="BA988" s="510">
        <f t="shared" ref="BA988" ca="1" si="145">IFERROR(AY988/SUM(AY986:AZ992),0)</f>
        <v>0</v>
      </c>
      <c r="BB988" s="511"/>
      <c r="BC988" s="256" t="str">
        <f>"3. "&amp;TRIM(AQ988)</f>
        <v>3. Anskaffelse</v>
      </c>
      <c r="BD988" s="255" t="e">
        <f t="shared" ca="1" si="141"/>
        <v>#VALUE!</v>
      </c>
      <c r="BE988" s="257" t="e">
        <f ca="1">BD988*(AU988-MIN(AU986:AV992))/30</f>
        <v>#VALUE!</v>
      </c>
      <c r="BF988" s="258" t="str">
        <f t="shared" ca="1" si="142"/>
        <v>-</v>
      </c>
    </row>
    <row r="989" spans="1:147" ht="16.5" customHeight="1" x14ac:dyDescent="0.2">
      <c r="A989" s="113">
        <f>$A$984+4</f>
        <v>160</v>
      </c>
      <c r="B989" s="113" t="s">
        <v>985</v>
      </c>
      <c r="C989" s="113" t="s">
        <v>92</v>
      </c>
      <c r="D989" s="113"/>
      <c r="E989" s="113"/>
      <c r="F989" s="113" t="s">
        <v>565</v>
      </c>
      <c r="G989" s="113" t="s">
        <v>406</v>
      </c>
      <c r="H989" s="113"/>
      <c r="I989" s="113"/>
      <c r="J989" s="113" t="b">
        <f t="shared" si="129"/>
        <v>1</v>
      </c>
      <c r="K989" s="113" t="b">
        <v>1</v>
      </c>
      <c r="L989" s="113"/>
      <c r="M989" s="113"/>
      <c r="N989" s="113"/>
      <c r="O989" s="113" t="str">
        <f t="shared" si="136"/>
        <v>$H$160</v>
      </c>
      <c r="P989" s="113" t="str">
        <f t="shared" si="137"/>
        <v>$W$160</v>
      </c>
      <c r="Q989" s="113"/>
      <c r="R989" s="113"/>
      <c r="S989" s="113"/>
      <c r="T989" s="113"/>
      <c r="U989" s="113"/>
      <c r="V989" s="113" t="s">
        <v>1342</v>
      </c>
      <c r="W989" s="113"/>
      <c r="X989" s="113"/>
      <c r="Y989" s="113"/>
      <c r="Z989" s="113"/>
      <c r="AA989" s="113"/>
      <c r="AB989" s="113"/>
      <c r="AC989" s="113"/>
      <c r="AD989" s="113"/>
      <c r="AE989" s="113"/>
      <c r="AF989" s="113"/>
      <c r="AG989" s="113"/>
      <c r="AH989" s="113"/>
      <c r="AI989" s="113"/>
      <c r="AJ989" s="113"/>
      <c r="AK989" s="113"/>
      <c r="AL989" s="113">
        <v>1</v>
      </c>
      <c r="AM989" s="113"/>
      <c r="AN989" s="113"/>
      <c r="AO989" s="113"/>
      <c r="AP989" s="113" t="b">
        <v>1</v>
      </c>
      <c r="AQ989" s="147" t="s">
        <v>227</v>
      </c>
      <c r="AR989" s="147"/>
      <c r="AS989" s="147"/>
      <c r="AT989" s="147"/>
      <c r="AU989" s="506" t="e">
        <f ca="1">OFFSET(INDIRECT("MasterSheet_f_FP_Main1TidsplanTable_C"&amp;ROWS(AU989:INDIRECT("Businesscasen_f_BCM_subcat11_Table1_start",TRUE))-1&amp;"_1_VS",TRUE),0,37)</f>
        <v>#VALUE!</v>
      </c>
      <c r="AV989" s="507"/>
      <c r="AW989" s="506" t="e">
        <f ca="1">OFFSET(INDIRECT("MasterSheet_f_FP_Main1TidsplanTable_C"&amp;ROWS(AW989:INDIRECT("Businesscasen_f_BCM_subcat11_Table1_start",TRUE))-1&amp;"_1_VS",TRUE),0,39)</f>
        <v>#VALUE!</v>
      </c>
      <c r="AX989" s="507"/>
      <c r="AY989" s="508" t="str">
        <f t="shared" ca="1" si="138"/>
        <v>-</v>
      </c>
      <c r="AZ989" s="509"/>
      <c r="BA989" s="510">
        <f t="shared" ref="BA989" ca="1" si="146">IFERROR(AY989/SUM(AY986:AZ992),0)</f>
        <v>0</v>
      </c>
      <c r="BB989" s="511"/>
      <c r="BC989" s="256" t="str">
        <f>"3.1. "&amp;TRIM(AQ989)</f>
        <v>3.1. Specificering</v>
      </c>
      <c r="BD989" s="255" t="e">
        <f t="shared" ca="1" si="141"/>
        <v>#VALUE!</v>
      </c>
      <c r="BE989" s="257" t="e">
        <f ca="1">BD989*(AU989-MIN(AU986:AV992))/30</f>
        <v>#VALUE!</v>
      </c>
      <c r="BF989" s="258" t="str">
        <f t="shared" ca="1" si="142"/>
        <v>-</v>
      </c>
    </row>
    <row r="990" spans="1:147" ht="16.5" customHeight="1" x14ac:dyDescent="0.2">
      <c r="A990" s="113">
        <f>$A$984+5</f>
        <v>161</v>
      </c>
      <c r="B990" s="113" t="s">
        <v>986</v>
      </c>
      <c r="C990" s="113" t="s">
        <v>92</v>
      </c>
      <c r="D990" s="113"/>
      <c r="E990" s="113"/>
      <c r="F990" s="113" t="s">
        <v>565</v>
      </c>
      <c r="G990" s="113" t="s">
        <v>406</v>
      </c>
      <c r="H990" s="113"/>
      <c r="I990" s="113"/>
      <c r="J990" s="113" t="b">
        <f t="shared" si="129"/>
        <v>1</v>
      </c>
      <c r="K990" s="113" t="b">
        <v>1</v>
      </c>
      <c r="L990" s="113"/>
      <c r="M990" s="113"/>
      <c r="N990" s="113"/>
      <c r="O990" s="113" t="str">
        <f t="shared" si="136"/>
        <v>$H$161</v>
      </c>
      <c r="P990" s="113" t="str">
        <f t="shared" si="137"/>
        <v>$W$161</v>
      </c>
      <c r="Q990" s="113"/>
      <c r="R990" s="113"/>
      <c r="S990" s="113"/>
      <c r="T990" s="113"/>
      <c r="U990" s="113"/>
      <c r="V990" s="113" t="s">
        <v>1342</v>
      </c>
      <c r="W990" s="113"/>
      <c r="X990" s="113"/>
      <c r="Y990" s="113"/>
      <c r="Z990" s="113"/>
      <c r="AA990" s="113"/>
      <c r="AB990" s="113"/>
      <c r="AC990" s="113"/>
      <c r="AD990" s="113"/>
      <c r="AE990" s="113"/>
      <c r="AF990" s="113"/>
      <c r="AG990" s="113"/>
      <c r="AH990" s="113"/>
      <c r="AI990" s="113"/>
      <c r="AJ990" s="113"/>
      <c r="AK990" s="113"/>
      <c r="AL990" s="113">
        <v>1</v>
      </c>
      <c r="AM990" s="113"/>
      <c r="AN990" s="113"/>
      <c r="AO990" s="113"/>
      <c r="AP990" s="113" t="b">
        <v>1</v>
      </c>
      <c r="AQ990" s="147" t="s">
        <v>228</v>
      </c>
      <c r="AR990" s="147"/>
      <c r="AS990" s="147"/>
      <c r="AT990" s="147"/>
      <c r="AU990" s="506" t="e">
        <f ca="1">OFFSET(INDIRECT("MasterSheet_f_FP_Main1TidsplanTable_C"&amp;ROWS(AU990:INDIRECT("Businesscasen_f_BCM_subcat11_Table1_start",TRUE))-1&amp;"_1_VS",TRUE),0,37)</f>
        <v>#VALUE!</v>
      </c>
      <c r="AV990" s="507"/>
      <c r="AW990" s="506" t="e">
        <f ca="1">OFFSET(INDIRECT("MasterSheet_f_FP_Main1TidsplanTable_C"&amp;ROWS(AW990:INDIRECT("Businesscasen_f_BCM_subcat11_Table1_start",TRUE))-1&amp;"_1_VS",TRUE),0,39)</f>
        <v>#VALUE!</v>
      </c>
      <c r="AX990" s="507"/>
      <c r="AY990" s="508" t="str">
        <f t="shared" ca="1" si="138"/>
        <v>-</v>
      </c>
      <c r="AZ990" s="509"/>
      <c r="BA990" s="510">
        <f t="shared" ref="BA990" ca="1" si="147">IFERROR(AY990/SUM(AY986:AZ992),0)</f>
        <v>0</v>
      </c>
      <c r="BB990" s="511"/>
      <c r="BC990" s="256" t="str">
        <f>"3.2. "&amp;TRIM(AQ990)</f>
        <v>3.2. Udbud</v>
      </c>
      <c r="BD990" s="255" t="e">
        <f t="shared" ca="1" si="141"/>
        <v>#VALUE!</v>
      </c>
      <c r="BE990" s="257" t="e">
        <f ca="1">BD990*(AU990-MIN(AU986:AV992))/30</f>
        <v>#VALUE!</v>
      </c>
      <c r="BF990" s="258" t="str">
        <f t="shared" ca="1" si="142"/>
        <v>-</v>
      </c>
    </row>
    <row r="991" spans="1:147" ht="16.5" customHeight="1" x14ac:dyDescent="0.2">
      <c r="A991" s="113">
        <f>$A$984+6</f>
        <v>162</v>
      </c>
      <c r="B991" s="113" t="s">
        <v>987</v>
      </c>
      <c r="C991" s="113" t="s">
        <v>92</v>
      </c>
      <c r="D991" s="113"/>
      <c r="E991" s="113"/>
      <c r="F991" s="113" t="s">
        <v>565</v>
      </c>
      <c r="G991" s="113" t="s">
        <v>406</v>
      </c>
      <c r="H991" s="113"/>
      <c r="I991" s="113"/>
      <c r="J991" s="113" t="b">
        <f t="shared" si="129"/>
        <v>1</v>
      </c>
      <c r="K991" s="113" t="b">
        <v>1</v>
      </c>
      <c r="L991" s="113"/>
      <c r="M991" s="113"/>
      <c r="N991" s="113"/>
      <c r="O991" s="113" t="str">
        <f t="shared" si="136"/>
        <v>$H$162</v>
      </c>
      <c r="P991" s="113" t="str">
        <f t="shared" si="137"/>
        <v>$W$162</v>
      </c>
      <c r="Q991" s="113"/>
      <c r="R991" s="113"/>
      <c r="S991" s="113"/>
      <c r="T991" s="113"/>
      <c r="U991" s="113"/>
      <c r="V991" s="113" t="s">
        <v>1342</v>
      </c>
      <c r="W991" s="113"/>
      <c r="X991" s="113"/>
      <c r="Y991" s="113"/>
      <c r="Z991" s="113"/>
      <c r="AA991" s="113"/>
      <c r="AB991" s="113"/>
      <c r="AC991" s="113"/>
      <c r="AD991" s="113"/>
      <c r="AE991" s="113"/>
      <c r="AF991" s="113"/>
      <c r="AG991" s="113"/>
      <c r="AH991" s="113"/>
      <c r="AI991" s="113"/>
      <c r="AJ991" s="113"/>
      <c r="AK991" s="113"/>
      <c r="AL991" s="113">
        <v>1</v>
      </c>
      <c r="AM991" s="113"/>
      <c r="AN991" s="113"/>
      <c r="AO991" s="113"/>
      <c r="AP991" s="113" t="b">
        <v>1</v>
      </c>
      <c r="AQ991" s="147" t="s">
        <v>229</v>
      </c>
      <c r="AR991" s="147"/>
      <c r="AS991" s="147"/>
      <c r="AT991" s="147"/>
      <c r="AU991" s="506" t="e">
        <f ca="1">OFFSET(INDIRECT("MasterSheet_f_FP_Main1TidsplanTable_C"&amp;ROWS(AU991:INDIRECT("Businesscasen_f_BCM_subcat11_Table1_start",TRUE))-1&amp;"_1_VS",TRUE),0,37)</f>
        <v>#VALUE!</v>
      </c>
      <c r="AV991" s="507"/>
      <c r="AW991" s="506" t="e">
        <f ca="1">OFFSET(INDIRECT("MasterSheet_f_FP_Main1TidsplanTable_C"&amp;ROWS(AW991:INDIRECT("Businesscasen_f_BCM_subcat11_Table1_start",TRUE))-1&amp;"_1_VS",TRUE),0,39)</f>
        <v>#VALUE!</v>
      </c>
      <c r="AX991" s="507"/>
      <c r="AY991" s="508" t="str">
        <f t="shared" ca="1" si="138"/>
        <v>-</v>
      </c>
      <c r="AZ991" s="509"/>
      <c r="BA991" s="510">
        <f t="shared" ref="BA991" ca="1" si="148">IFERROR(AY991/SUM(AY986:AZ992),0)</f>
        <v>0</v>
      </c>
      <c r="BB991" s="511"/>
      <c r="BC991" s="256" t="str">
        <f>"4. "&amp;TRIM(AQ991)</f>
        <v>4. Gennemførsel</v>
      </c>
      <c r="BD991" s="255" t="e">
        <f t="shared" ca="1" si="141"/>
        <v>#VALUE!</v>
      </c>
      <c r="BE991" s="257" t="e">
        <f ca="1">BD991*(AU991-MIN(AU986:AV992))/30</f>
        <v>#VALUE!</v>
      </c>
      <c r="BF991" s="258" t="str">
        <f t="shared" ca="1" si="142"/>
        <v>-</v>
      </c>
    </row>
    <row r="992" spans="1:147" ht="16.5" customHeight="1" x14ac:dyDescent="0.2">
      <c r="A992" s="113">
        <f>$A$984+7</f>
        <v>163</v>
      </c>
      <c r="B992" s="113" t="s">
        <v>988</v>
      </c>
      <c r="C992" s="113" t="s">
        <v>92</v>
      </c>
      <c r="D992" s="113"/>
      <c r="E992" s="113"/>
      <c r="F992" s="113" t="s">
        <v>565</v>
      </c>
      <c r="G992" s="113" t="s">
        <v>406</v>
      </c>
      <c r="H992" s="113"/>
      <c r="I992" s="113"/>
      <c r="J992" s="113" t="b">
        <f t="shared" si="129"/>
        <v>1</v>
      </c>
      <c r="K992" s="113" t="b">
        <v>1</v>
      </c>
      <c r="L992" s="113"/>
      <c r="M992" s="113"/>
      <c r="N992" s="113"/>
      <c r="O992" s="113" t="str">
        <f t="shared" si="136"/>
        <v>$H$163</v>
      </c>
      <c r="P992" s="113" t="str">
        <f t="shared" si="137"/>
        <v>$W$163</v>
      </c>
      <c r="Q992" s="113"/>
      <c r="R992" s="113"/>
      <c r="S992" s="113"/>
      <c r="T992" s="113"/>
      <c r="U992" s="113"/>
      <c r="V992" s="113" t="s">
        <v>1342</v>
      </c>
      <c r="W992" s="113"/>
      <c r="X992" s="113"/>
      <c r="Y992" s="113"/>
      <c r="Z992" s="113"/>
      <c r="AA992" s="113"/>
      <c r="AB992" s="113"/>
      <c r="AC992" s="113"/>
      <c r="AD992" s="113"/>
      <c r="AE992" s="113"/>
      <c r="AF992" s="113"/>
      <c r="AG992" s="113"/>
      <c r="AH992" s="113"/>
      <c r="AI992" s="113"/>
      <c r="AJ992" s="113"/>
      <c r="AK992" s="113"/>
      <c r="AL992" s="113">
        <v>1</v>
      </c>
      <c r="AM992" s="113"/>
      <c r="AN992" s="113"/>
      <c r="AO992" s="113"/>
      <c r="AP992" s="113" t="b">
        <v>1</v>
      </c>
      <c r="AQ992" s="160" t="s">
        <v>186</v>
      </c>
      <c r="AR992" s="160"/>
      <c r="AS992" s="160"/>
      <c r="AT992" s="160"/>
      <c r="AU992" s="516" t="e">
        <f ca="1">OFFSET(INDIRECT("MasterSheet_f_FP_Main1TidsplanTable_C"&amp;ROWS(AU992:INDIRECT("Businesscasen_f_BCM_subcat11_Table1_start",TRUE))-1&amp;"_1_VS",TRUE),0,37)</f>
        <v>#VALUE!</v>
      </c>
      <c r="AV992" s="517"/>
      <c r="AW992" s="516" t="e">
        <f ca="1">OFFSET(INDIRECT("MasterSheet_f_FP_Main1TidsplanTable_C"&amp;ROWS(AW992:INDIRECT("Businesscasen_f_BCM_subcat11_Table1_start",TRUE))-1&amp;"_1_VS",TRUE),0,39)</f>
        <v>#VALUE!</v>
      </c>
      <c r="AX992" s="517"/>
      <c r="AY992" s="518" t="str">
        <f t="shared" ca="1" si="138"/>
        <v>-</v>
      </c>
      <c r="AZ992" s="519"/>
      <c r="BA992" s="520">
        <f t="shared" ref="BA992" ca="1" si="149">IFERROR(AY992/SUM(AY986:AZ992),0)</f>
        <v>0</v>
      </c>
      <c r="BB992" s="521"/>
      <c r="BC992" s="256" t="str">
        <f>"5. "&amp;TRIM(AQ992)</f>
        <v>5. Realisering</v>
      </c>
      <c r="BD992" s="255" t="e">
        <f t="shared" ca="1" si="141"/>
        <v>#VALUE!</v>
      </c>
      <c r="BE992" s="257" t="e">
        <f ca="1">BD992*(AU992-MIN(AU986:AV992))/30</f>
        <v>#VALUE!</v>
      </c>
      <c r="BF992" s="258" t="str">
        <f t="shared" ca="1" si="142"/>
        <v>-</v>
      </c>
    </row>
    <row r="993" spans="1:53" ht="16.5" customHeight="1" x14ac:dyDescent="0.2">
      <c r="A993" s="128">
        <f>$A$984+0</f>
        <v>156</v>
      </c>
      <c r="B993" s="128" t="s">
        <v>990</v>
      </c>
      <c r="C993" s="128" t="s">
        <v>598</v>
      </c>
      <c r="D993" s="128"/>
      <c r="E993" s="128"/>
      <c r="F993" s="128"/>
      <c r="G993" s="128" t="s">
        <v>406</v>
      </c>
      <c r="H993" s="128" t="s">
        <v>632</v>
      </c>
      <c r="I993" s="128"/>
      <c r="J993" s="128" t="b">
        <f t="shared" si="129"/>
        <v>1</v>
      </c>
      <c r="K993" s="128" t="b">
        <v>0</v>
      </c>
      <c r="L993" s="128"/>
      <c r="M993" s="128"/>
      <c r="N993" s="128" t="s">
        <v>59</v>
      </c>
      <c r="O993" s="128" t="str">
        <f t="shared" ref="O993:O998" si="150">"$B$"&amp;A993</f>
        <v>$B$156</v>
      </c>
      <c r="P993" s="128" t="str">
        <f>"$F$"&amp;A994-3</f>
        <v>$F$166</v>
      </c>
      <c r="Q993" s="128">
        <v>1</v>
      </c>
      <c r="R993" s="128">
        <v>1</v>
      </c>
      <c r="S993" s="128"/>
      <c r="T993" s="128"/>
      <c r="U993" s="128"/>
      <c r="V993" s="128"/>
      <c r="W993" s="128"/>
      <c r="X993" s="128"/>
      <c r="Y993" s="128"/>
      <c r="Z993" s="128"/>
      <c r="AA993" s="128"/>
      <c r="AB993" s="128"/>
      <c r="AC993" s="128">
        <v>5</v>
      </c>
      <c r="AD993" s="128"/>
      <c r="AE993" s="128">
        <v>12</v>
      </c>
      <c r="AF993" s="128" t="b">
        <v>0</v>
      </c>
      <c r="AG993" s="128" t="s">
        <v>1355</v>
      </c>
      <c r="AH993" s="128" t="s">
        <v>29</v>
      </c>
      <c r="AI993" s="128" t="s">
        <v>28</v>
      </c>
      <c r="AJ993" s="128"/>
      <c r="AK993" s="128"/>
      <c r="AL993" s="128"/>
      <c r="AM993" s="128"/>
      <c r="AN993" s="128">
        <v>5</v>
      </c>
      <c r="AO993" s="128"/>
      <c r="AP993" s="128"/>
    </row>
    <row r="994" spans="1:53" ht="16.5" customHeight="1" x14ac:dyDescent="0.2">
      <c r="A994" s="103">
        <f>$A$984+13</f>
        <v>169</v>
      </c>
      <c r="B994" s="103" t="s">
        <v>504</v>
      </c>
      <c r="C994" s="103" t="s">
        <v>654</v>
      </c>
      <c r="D994" s="103"/>
      <c r="E994" s="103"/>
      <c r="F994" s="103"/>
      <c r="G994" s="103" t="s">
        <v>406</v>
      </c>
      <c r="H994" s="103"/>
      <c r="I994" s="103" t="s">
        <v>475</v>
      </c>
      <c r="J994" s="103" t="b">
        <f t="shared" si="129"/>
        <v>1</v>
      </c>
      <c r="K994" s="103" t="b">
        <v>1</v>
      </c>
      <c r="L994" s="103"/>
      <c r="M994" s="103"/>
      <c r="N994" s="103" t="s">
        <v>59</v>
      </c>
      <c r="O994" s="103" t="str">
        <f t="shared" si="150"/>
        <v>$B$169</v>
      </c>
      <c r="P994" s="103" t="str">
        <f>"$S$"&amp;A1006-1</f>
        <v>$S$180</v>
      </c>
      <c r="Q994" s="103"/>
      <c r="R994" s="103">
        <v>1</v>
      </c>
      <c r="S994" s="103"/>
      <c r="T994" s="103">
        <v>27</v>
      </c>
      <c r="U994" s="103" t="b">
        <v>1</v>
      </c>
      <c r="V994" s="103" t="s">
        <v>1352</v>
      </c>
      <c r="W994" s="103" t="s">
        <v>1352</v>
      </c>
      <c r="X994" s="103"/>
      <c r="Y994" s="103"/>
      <c r="Z994" s="103"/>
      <c r="AA994" s="103"/>
      <c r="AB994" s="103"/>
      <c r="AC994" s="103">
        <v>7</v>
      </c>
      <c r="AD994" s="103" t="s">
        <v>105</v>
      </c>
      <c r="AE994" s="103">
        <v>20</v>
      </c>
      <c r="AF994" s="103" t="b">
        <v>1</v>
      </c>
      <c r="AG994" s="103" t="s">
        <v>1351</v>
      </c>
      <c r="AH994" s="103" t="s">
        <v>29</v>
      </c>
      <c r="AI994" s="103" t="s">
        <v>28</v>
      </c>
      <c r="AJ994" s="103"/>
      <c r="AK994" s="103"/>
      <c r="AL994" s="103">
        <v>0</v>
      </c>
      <c r="AM994" s="103"/>
      <c r="AN994" s="103"/>
      <c r="AO994" s="103"/>
      <c r="AP994" s="103"/>
      <c r="AQ994" s="93" t="s">
        <v>475</v>
      </c>
    </row>
    <row r="995" spans="1:53" ht="16.5" customHeight="1" x14ac:dyDescent="0.2">
      <c r="A995" s="112">
        <f>$A$994+2</f>
        <v>171</v>
      </c>
      <c r="B995" s="112" t="s">
        <v>567</v>
      </c>
      <c r="C995" s="112" t="s">
        <v>90</v>
      </c>
      <c r="D995" s="112"/>
      <c r="E995" s="112"/>
      <c r="F995" s="112"/>
      <c r="G995" s="112" t="s">
        <v>406</v>
      </c>
      <c r="H995" s="112"/>
      <c r="I995" s="112"/>
      <c r="J995" s="112" t="b">
        <f t="shared" si="129"/>
        <v>1</v>
      </c>
      <c r="K995" s="112" t="b">
        <v>1</v>
      </c>
      <c r="L995" s="112"/>
      <c r="M995" s="112"/>
      <c r="N995" s="112"/>
      <c r="O995" s="112" t="str">
        <f t="shared" si="150"/>
        <v>$B$171</v>
      </c>
      <c r="P995" s="112" t="str">
        <f>"$K$"&amp;A1005</f>
        <v>$K$177</v>
      </c>
      <c r="Q995" s="112"/>
      <c r="R995" s="112"/>
      <c r="S995" s="112"/>
      <c r="T995" s="112"/>
      <c r="U995" s="112"/>
      <c r="V995" s="112" t="s">
        <v>1342</v>
      </c>
      <c r="W995" s="112"/>
      <c r="X995" s="112"/>
      <c r="Y995" s="112"/>
      <c r="Z995" s="112"/>
      <c r="AA995" s="112"/>
      <c r="AB995" s="112"/>
      <c r="AC995" s="112"/>
      <c r="AD995" s="112" t="s">
        <v>105</v>
      </c>
      <c r="AE995" s="112">
        <v>12</v>
      </c>
      <c r="AF995" s="112" t="b">
        <v>1</v>
      </c>
      <c r="AG995" s="112" t="s">
        <v>1355</v>
      </c>
      <c r="AH995" s="112" t="s">
        <v>29</v>
      </c>
      <c r="AI995" s="112" t="s">
        <v>28</v>
      </c>
      <c r="AJ995" s="112"/>
      <c r="AK995" s="112"/>
      <c r="AL995" s="112"/>
      <c r="AM995" s="112"/>
      <c r="AN995" s="112"/>
      <c r="AO995" s="112"/>
      <c r="AP995" s="112"/>
    </row>
    <row r="996" spans="1:53" ht="16.5" customHeight="1" thickBot="1" x14ac:dyDescent="0.25">
      <c r="A996" s="113">
        <f>$A$995+0</f>
        <v>171</v>
      </c>
      <c r="B996" s="113" t="s">
        <v>568</v>
      </c>
      <c r="C996" s="113" t="s">
        <v>92</v>
      </c>
      <c r="D996" s="113"/>
      <c r="E996" s="113"/>
      <c r="F996" s="113"/>
      <c r="G996" s="113" t="s">
        <v>406</v>
      </c>
      <c r="H996" s="113"/>
      <c r="I996" s="113"/>
      <c r="J996" s="113" t="b">
        <f t="shared" si="129"/>
        <v>1</v>
      </c>
      <c r="K996" s="113" t="b">
        <v>1</v>
      </c>
      <c r="L996" s="113"/>
      <c r="M996" s="113"/>
      <c r="N996" s="113"/>
      <c r="O996" s="113" t="str">
        <f t="shared" si="150"/>
        <v>$B$171</v>
      </c>
      <c r="P996" s="113" t="str">
        <f>"$K$"&amp;A996</f>
        <v>$K$171</v>
      </c>
      <c r="Q996" s="113"/>
      <c r="R996" s="113"/>
      <c r="S996" s="113"/>
      <c r="T996" s="113">
        <v>52</v>
      </c>
      <c r="U996" s="113"/>
      <c r="V996" s="113" t="s">
        <v>1342</v>
      </c>
      <c r="W996" s="113"/>
      <c r="X996" s="113"/>
      <c r="Y996" s="113"/>
      <c r="Z996" s="113"/>
      <c r="AA996" s="113"/>
      <c r="AB996" s="113"/>
      <c r="AC996" s="113"/>
      <c r="AD996" s="113"/>
      <c r="AE996" s="113"/>
      <c r="AF996" s="113"/>
      <c r="AG996" s="113"/>
      <c r="AH996" s="113" t="s">
        <v>29</v>
      </c>
      <c r="AI996" s="113"/>
      <c r="AJ996" s="113"/>
      <c r="AK996" s="113"/>
      <c r="AL996" s="113">
        <v>1</v>
      </c>
      <c r="AM996" s="113"/>
      <c r="AN996" s="113"/>
      <c r="AO996" s="113"/>
      <c r="AP996" s="113" t="b">
        <v>1</v>
      </c>
      <c r="AQ996" s="522" t="str">
        <f>"Tabel 1.8: Pris på "&amp;IF(MasterSheet_f_FP_CfgGroup1R3_VS,"programmets","projektets")&amp;" risici, mio. kr."</f>
        <v>Tabel 1.8: Pris på projektets risici, mio. kr.</v>
      </c>
      <c r="AR996" s="522"/>
      <c r="AS996" s="523" t="s">
        <v>1566</v>
      </c>
      <c r="AT996" s="524"/>
      <c r="AU996" s="523" t="s">
        <v>1567</v>
      </c>
      <c r="AV996" s="524"/>
      <c r="AW996" s="525" t="s">
        <v>1571</v>
      </c>
      <c r="AX996" s="526"/>
      <c r="AY996" s="523" t="s">
        <v>1572</v>
      </c>
      <c r="AZ996" s="527"/>
    </row>
    <row r="997" spans="1:53" ht="16.5" customHeight="1" x14ac:dyDescent="0.2">
      <c r="A997" s="113">
        <f>$A$995+1</f>
        <v>172</v>
      </c>
      <c r="B997" s="113" t="s">
        <v>1425</v>
      </c>
      <c r="C997" s="113" t="s">
        <v>92</v>
      </c>
      <c r="D997" s="113"/>
      <c r="E997" s="113"/>
      <c r="F997" s="113"/>
      <c r="G997" s="113" t="s">
        <v>406</v>
      </c>
      <c r="H997" s="113"/>
      <c r="I997" s="113"/>
      <c r="J997" s="113" t="b">
        <f t="shared" si="129"/>
        <v>1</v>
      </c>
      <c r="K997" s="113" t="b">
        <v>1</v>
      </c>
      <c r="L997" s="113"/>
      <c r="M997" s="113"/>
      <c r="N997" s="113"/>
      <c r="O997" s="113" t="str">
        <f t="shared" si="150"/>
        <v>$B$172</v>
      </c>
      <c r="P997" s="113" t="str">
        <f>"$K$"&amp;A997</f>
        <v>$K$172</v>
      </c>
      <c r="Q997" s="113"/>
      <c r="R997" s="113"/>
      <c r="S997" s="113"/>
      <c r="T997" s="113">
        <v>2</v>
      </c>
      <c r="U997" s="113"/>
      <c r="V997" s="113" t="s">
        <v>1342</v>
      </c>
      <c r="W997" s="113"/>
      <c r="X997" s="113"/>
      <c r="Y997" s="113"/>
      <c r="Z997" s="113"/>
      <c r="AA997" s="113"/>
      <c r="AB997" s="113"/>
      <c r="AC997" s="113"/>
      <c r="AD997" s="113"/>
      <c r="AE997" s="113"/>
      <c r="AF997" s="113"/>
      <c r="AG997" s="113"/>
      <c r="AH997" s="113" t="s">
        <v>29</v>
      </c>
      <c r="AI997" s="113"/>
      <c r="AJ997" s="113"/>
      <c r="AK997" s="113"/>
      <c r="AL997" s="113">
        <v>1</v>
      </c>
      <c r="AM997" s="113"/>
      <c r="AN997" s="113"/>
      <c r="AO997" s="113"/>
      <c r="AP997" s="113" t="b">
        <v>1</v>
      </c>
      <c r="AQ997" s="528"/>
      <c r="AR997" s="528"/>
      <c r="AS997" s="529"/>
      <c r="AT997" s="530"/>
      <c r="AU997" s="529"/>
      <c r="AV997" s="530"/>
      <c r="AW997" s="529"/>
      <c r="AX997" s="531"/>
      <c r="AY997" s="532"/>
      <c r="AZ997" s="533"/>
    </row>
    <row r="998" spans="1:53" ht="16.5" customHeight="1" x14ac:dyDescent="0.2">
      <c r="A998" s="113">
        <f>$A$995+2</f>
        <v>173</v>
      </c>
      <c r="B998" s="113" t="s">
        <v>1426</v>
      </c>
      <c r="C998" s="113" t="s">
        <v>92</v>
      </c>
      <c r="D998" s="113"/>
      <c r="E998" s="113"/>
      <c r="F998" s="113"/>
      <c r="G998" s="113" t="s">
        <v>406</v>
      </c>
      <c r="H998" s="113"/>
      <c r="I998" s="113"/>
      <c r="J998" s="113" t="b">
        <f t="shared" si="129"/>
        <v>1</v>
      </c>
      <c r="K998" s="113" t="b">
        <v>1</v>
      </c>
      <c r="L998" s="113"/>
      <c r="M998" s="113"/>
      <c r="N998" s="113"/>
      <c r="O998" s="113" t="str">
        <f t="shared" si="150"/>
        <v>$B$173</v>
      </c>
      <c r="P998" s="113" t="str">
        <f>"$K$"&amp;A998</f>
        <v>$K$173</v>
      </c>
      <c r="Q998" s="113"/>
      <c r="R998" s="113"/>
      <c r="S998" s="113"/>
      <c r="T998" s="113">
        <v>2</v>
      </c>
      <c r="U998" s="113"/>
      <c r="V998" s="113" t="s">
        <v>1342</v>
      </c>
      <c r="W998" s="113"/>
      <c r="X998" s="113"/>
      <c r="Y998" s="113"/>
      <c r="Z998" s="113"/>
      <c r="AA998" s="113"/>
      <c r="AB998" s="113"/>
      <c r="AC998" s="113"/>
      <c r="AD998" s="113"/>
      <c r="AE998" s="113"/>
      <c r="AF998" s="113"/>
      <c r="AG998" s="113"/>
      <c r="AH998" s="113" t="s">
        <v>29</v>
      </c>
      <c r="AI998" s="113"/>
      <c r="AJ998" s="113"/>
      <c r="AK998" s="113"/>
      <c r="AL998" s="113">
        <v>1</v>
      </c>
      <c r="AM998" s="113"/>
      <c r="AN998" s="113"/>
      <c r="AO998" s="113"/>
      <c r="AP998" s="113" t="b">
        <v>1</v>
      </c>
      <c r="AQ998" s="137"/>
      <c r="AR998" s="137"/>
      <c r="AS998" s="177"/>
      <c r="AT998" s="178"/>
      <c r="AU998" s="179"/>
      <c r="AV998" s="180"/>
      <c r="AW998" s="177"/>
      <c r="AX998" s="178"/>
      <c r="AY998" s="177"/>
      <c r="AZ998" s="178"/>
    </row>
    <row r="999" spans="1:53" ht="16.5" customHeight="1" x14ac:dyDescent="0.25">
      <c r="A999" s="107">
        <f>$A$995+3</f>
        <v>174</v>
      </c>
      <c r="B999" s="107" t="s">
        <v>682</v>
      </c>
      <c r="C999" s="107" t="s">
        <v>663</v>
      </c>
      <c r="D999" s="107"/>
      <c r="E999" s="107"/>
      <c r="F999" s="107"/>
      <c r="G999" s="107" t="s">
        <v>406</v>
      </c>
      <c r="H999" s="107">
        <v>3</v>
      </c>
      <c r="I999" s="107">
        <v>1</v>
      </c>
      <c r="J999" s="107" t="b">
        <f t="shared" si="129"/>
        <v>1</v>
      </c>
      <c r="K999" s="107"/>
      <c r="L999" s="107"/>
      <c r="M999" s="107"/>
      <c r="N999" s="107"/>
      <c r="O999" s="107">
        <f>A999</f>
        <v>174</v>
      </c>
      <c r="P999" s="107">
        <f>O999</f>
        <v>174</v>
      </c>
      <c r="Q999" s="107"/>
      <c r="R999" s="107"/>
      <c r="S999" s="107"/>
      <c r="T999" s="107"/>
      <c r="U999" s="107"/>
      <c r="V999" s="107"/>
      <c r="W999" s="107"/>
      <c r="X999" s="107"/>
      <c r="Y999" s="107"/>
      <c r="Z999" s="107"/>
      <c r="AA999" s="107"/>
      <c r="AB999" s="107"/>
      <c r="AC999" s="107"/>
      <c r="AD999" s="107"/>
      <c r="AE999" s="107"/>
      <c r="AF999" s="107"/>
      <c r="AG999" s="107"/>
      <c r="AH999" s="107"/>
      <c r="AI999" s="107"/>
      <c r="AJ999" s="107"/>
      <c r="AK999" s="107"/>
      <c r="AL999" s="107"/>
      <c r="AM999" s="107"/>
      <c r="AN999" s="107"/>
      <c r="AO999" s="107"/>
      <c r="AP999" s="107"/>
      <c r="AQ999" s="149"/>
      <c r="AR999" s="149"/>
      <c r="AS999" s="149"/>
      <c r="AT999" s="149"/>
      <c r="AU999" s="149"/>
      <c r="AV999" s="149"/>
      <c r="AW999" s="149"/>
      <c r="AX999" s="149"/>
      <c r="AY999" s="149"/>
      <c r="AZ999" s="149"/>
      <c r="BA999"/>
    </row>
    <row r="1000" spans="1:53" ht="16.5" customHeight="1" x14ac:dyDescent="0.2">
      <c r="A1000" s="108">
        <f>$A$999+0</f>
        <v>174</v>
      </c>
      <c r="B1000" s="113" t="s">
        <v>1097</v>
      </c>
      <c r="C1000" s="113" t="s">
        <v>92</v>
      </c>
      <c r="D1000" s="113"/>
      <c r="E1000" s="113" t="s">
        <v>682</v>
      </c>
      <c r="F1000" s="113"/>
      <c r="G1000" s="113" t="s">
        <v>406</v>
      </c>
      <c r="H1000" s="113"/>
      <c r="I1000" s="113"/>
      <c r="J1000" s="113"/>
      <c r="K1000" s="113" t="b">
        <v>1</v>
      </c>
      <c r="L1000" s="113"/>
      <c r="M1000" s="113"/>
      <c r="N1000" s="113"/>
      <c r="O1000" s="113" t="str">
        <f>"$B$"&amp;A1000</f>
        <v>$B$174</v>
      </c>
      <c r="P1000" s="113" t="str">
        <f>"$K$"&amp;A1000</f>
        <v>$K$174</v>
      </c>
      <c r="Q1000" s="113"/>
      <c r="R1000" s="113"/>
      <c r="S1000" s="113"/>
      <c r="T1000" s="113"/>
      <c r="U1000" s="113" t="b">
        <v>1</v>
      </c>
      <c r="V1000" s="113" t="s">
        <v>1342</v>
      </c>
      <c r="W1000" s="113" t="s">
        <v>1342</v>
      </c>
      <c r="X1000" s="113"/>
      <c r="Y1000" s="113"/>
      <c r="Z1000" s="113"/>
      <c r="AA1000" s="113"/>
      <c r="AB1000" s="113"/>
      <c r="AC1000" s="113">
        <v>5</v>
      </c>
      <c r="AD1000" s="113" t="s">
        <v>105</v>
      </c>
      <c r="AE1000" s="113"/>
      <c r="AF1000" s="113"/>
      <c r="AG1000" s="113" t="s">
        <v>1360</v>
      </c>
      <c r="AH1000" s="113" t="s">
        <v>29</v>
      </c>
      <c r="AI1000" s="113" t="s">
        <v>28</v>
      </c>
      <c r="AJ1000" s="113"/>
      <c r="AK1000" s="113" t="s">
        <v>1342</v>
      </c>
      <c r="AL1000" s="113">
        <v>5</v>
      </c>
      <c r="AM1000" s="113"/>
      <c r="AN1000" s="113"/>
      <c r="AO1000" s="113"/>
      <c r="AP1000" s="113" t="b">
        <v>1</v>
      </c>
      <c r="AQ1000" s="205" t="e">
        <f ca="1">OFFSET(INDIRECT("MasterSheet_f_FP_Main1RisciTable_V_"&amp;ROWS(AQ1000:INDIRECT("Businesscasen_f_BCM_subcat12_Table1_start",TRUE))-3&amp;"_VS",TRUE),0,35)</f>
        <v>#VALUE!</v>
      </c>
      <c r="AR1000" s="233"/>
      <c r="AS1000" s="459">
        <f ca="1">(SUMIF(IF(MasterSheet_f_FP_CfgGroup1R3_VS,ProgramudgifterC!$F:$F,ProjektudgifterC!$F:$F),OFFSET(Businesscasen_f_BCM_subcat12_Table1_start,ROW()-ROW(Businesscasen_f_BCM_subcat12_Table1_start),0),IF(MasterSheet_f_FP_CfgGroup1R3_VS,IF(MasterSheet_f_FP_CfgGroup2R2_VS,ProgramudgifterC!$U:$U,ProgramudgifterC!$S:$S),IF(MasterSheet_f_FP_CfgGroup2R2_VS,ProjektudgifterC!$U:$U,ProjektudgifterC!$S:$S)))+SUMIF(IF(MasterSheet_f_FP_CfgGroup1R3_VS,ProgramudgifterC!$F:$F,ProjektudgifterC!$F:$F),OFFSET(Businesscasen_f_BCM_subcat12_Table1_start,ROW()-ROW(Businesscasen_f_BCM_subcat12_Table1_start),0),IF(MasterSheet_f_FP_CfgGroup1R3_VS,IF(MasterSheet_f_FP_CfgGroup2R2_VS,ProgramudgifterC!$V:$V,ProgramudgifterC!$T:$T),IF(MasterSheet_f_FP_CfgGroup2R2_VS,ProjektudgifterC!$V:$V,ProjektudgifterC!$T:$T))))/1000</f>
        <v>0</v>
      </c>
      <c r="AT1000" s="534"/>
      <c r="AU1000" s="535">
        <f ca="1">SUMIF(IF(MasterSheet_f_CfgGroup1R3_VS,ProgramudgifterC!$F:$F,ProjektudgifterC!$F:$F),OFFSET(Businesscasen_f_BCM_subcat12_Table1_start,ROW()-ROW(Businesscasen_f_BCM_subcat12_Table1_start),0),IF(MasterSheet_f_CfgGroup1R3_VS,ProgramudgifterC!$W:$W,ProjektudgifterC!$W:$W))+SUMIF(IF(MasterSheet_f_CfgGroup1R3_VS,ProgramudgifterC!$F:$F,ProjektudgifterC!$F:$F),OFFSET(Businesscasen_f_BCM_subcat12_Table1_start,ROW()-ROW(Businesscasen_f_BCM_subcat12_Table1_start),0),IF(MasterSheet_f_CfgGroup1R3_VS,ProgramudgifterC!$X:$X,ProjektudgifterC!$X:$X))</f>
        <v>0</v>
      </c>
      <c r="AV1000" s="536"/>
      <c r="AW1000" s="535">
        <f ca="1">(SUMIF(IF(MasterSheet_f_CfgGroup1R3_VS,ProgramudgifterC!$F:$F,'Drift - fremtidig uden projektC'!$F:$F),OFFSET(Businesscasen_f_BCM_subcat12_Table1_start,ROW()-ROW(Businesscasen_f_BCM_subcat12_Table1_start),0),IF(MasterSheet_f_CfgGroup1R3_VS,IF(MasterSheet_f_FP_CfgGroup2R2_VS,ProgramudgifterC!$U:$U,ProgramudgifterC!$S:$S),IF(MasterSheet_f_FP_CfgGroup2R2_VS,'Drift - fremtidig uden projektC'!$U:$U,'Drift - fremtidig uden projektC'!$S:$S)))+SUMIF(IF(MasterSheet_f_CfgGroup1R3_VS,ProgramudgifterC!$F:$F,'Drift - fremtidig uden projektC'!$F:$F),OFFSET(Businesscasen_f_BCM_subcat12_Table1_start,ROW()-ROW(Businesscasen_f_BCM_subcat12_Table1_start),0),IF(MasterSheet_f_CfgGroup1R3_VS,IF(MasterSheet_f_FP_CfgGroup2R2_VS,ProgramudgifterC!$V:$V,ProgramudgifterC!$T:$T),IF(MasterSheet_f_FP_CfgGroup2R2_VS,'Drift - fremtidig uden projektC'!$V:$V,'Drift - fremtidig uden projektC'!$T:$T)))-SUMIF(IF(MasterSheet_f_CfgGroup1R3_VS,ProgramudgifterC!$F:$F,'Drift - med projektC'!$F:$F),OFFSET(Businesscasen_f_BCM_subcat12_Table1_start,ROW()-ROW(Businesscasen_f_BCM_subcat12_Table1_start),0),IF(MasterSheet_f_CfgGroup1R3_VS,IF(MasterSheet_f_FP_CfgGroup2R2_VS,ProgramudgifterC!$U:$U,ProgramudgifterC!$S:$S),IF(MasterSheet_f_FP_CfgGroup2R2_VS,'Drift - med projektC'!$U:$U,'Drift - med projektC'!$S:$S)))+SUMIF(IF(MasterSheet_f_CfgGroup1R3_VS,ProgramudgifterC!$F:$F,'Drift - med projektC'!$F:$F),OFFSET(Businesscasen_f_BCM_subcat12_Table1_start,ROW()-ROW(Businesscasen_f_BCM_subcat12_Table1_start),0),IF(MasterSheet_f_CfgGroup1R3_VS,IF(MasterSheet_f_FP_CfgGroup2R2_VS,ProgramudgifterC!$V:$V,ProgramudgifterC!$T:$T),IF(MasterSheet_f_FP_CfgGroup2R2_VS,'Drift - med projektC'!$V:$V,'Drift - med projektC'!$T:$T))))/1000</f>
        <v>0</v>
      </c>
      <c r="AX1000" s="536"/>
      <c r="AY1000" s="535"/>
      <c r="AZ1000" s="537"/>
    </row>
    <row r="1001" spans="1:53" ht="16.5" customHeight="1" x14ac:dyDescent="0.25">
      <c r="A1001" s="113">
        <f>$A$999+0</f>
        <v>174</v>
      </c>
      <c r="B1001" s="113" t="s">
        <v>1122</v>
      </c>
      <c r="C1001" s="113" t="s">
        <v>92</v>
      </c>
      <c r="D1001" s="113"/>
      <c r="E1001" s="113" t="s">
        <v>682</v>
      </c>
      <c r="F1001" s="113"/>
      <c r="G1001" s="113" t="s">
        <v>406</v>
      </c>
      <c r="H1001" s="113">
        <v>1</v>
      </c>
      <c r="I1001" s="113"/>
      <c r="J1001" s="113" t="b">
        <f>$H$5</f>
        <v>1</v>
      </c>
      <c r="K1001" s="113" t="b">
        <v>1</v>
      </c>
      <c r="L1001" s="113"/>
      <c r="M1001" s="113"/>
      <c r="N1001" s="113"/>
      <c r="O1001" s="113" t="str">
        <f>"$B$"&amp;A1001</f>
        <v>$B$174</v>
      </c>
      <c r="P1001" s="113" t="str">
        <f>"$K$"&amp;A1001</f>
        <v>$K$174</v>
      </c>
      <c r="Q1001" s="113"/>
      <c r="R1001" s="113"/>
      <c r="S1001" s="113"/>
      <c r="T1001" s="113"/>
      <c r="U1001" s="113" t="b">
        <v>1</v>
      </c>
      <c r="V1001" s="113" t="s">
        <v>1342</v>
      </c>
      <c r="W1001" s="113" t="s">
        <v>1342</v>
      </c>
      <c r="X1001" s="113"/>
      <c r="Y1001" s="113"/>
      <c r="Z1001" s="113"/>
      <c r="AA1001" s="113"/>
      <c r="AB1001" s="113"/>
      <c r="AC1001" s="113">
        <v>5</v>
      </c>
      <c r="AD1001" s="113" t="s">
        <v>105</v>
      </c>
      <c r="AE1001" s="113"/>
      <c r="AF1001" s="113"/>
      <c r="AG1001" s="113" t="s">
        <v>1360</v>
      </c>
      <c r="AH1001" s="113" t="s">
        <v>29</v>
      </c>
      <c r="AI1001" s="113" t="s">
        <v>28</v>
      </c>
      <c r="AJ1001" s="113"/>
      <c r="AK1001" s="113" t="s">
        <v>1342</v>
      </c>
      <c r="AL1001" s="113">
        <v>5</v>
      </c>
      <c r="AM1001" s="113"/>
      <c r="AN1001" s="113"/>
      <c r="AO1001" s="113"/>
      <c r="AP1001" s="113" t="b">
        <v>1</v>
      </c>
      <c r="AQ1001" s="205" t="e">
        <f ca="1">OFFSET(INDIRECT("MasterSheet_f_FP_Main1RisciTable_V_"&amp;ROWS(AQ1001:INDIRECT("Businesscasen_f_BCM_subcat12_Table1_start",TRUE))-3&amp;"_VS",TRUE),0,35)</f>
        <v>#VALUE!</v>
      </c>
      <c r="AR1001" s="233"/>
      <c r="AS1001" s="459">
        <f ca="1">(SUMIF(IF(MasterSheet_f_CfgGroup1R3_VS,ProgramudgifterC!$F:$F,ProjektudgifterC!$F:$F),OFFSET(Businesscasen_f_BCM_subcat12_Table1_start,ROW()-ROW(Businesscasen_f_BCM_subcat12_Table1_start),0),IF(MasterSheet_f_CfgGroup1R3_VS,IF(MasterSheet_f_FP_CfgGroup2R2_VS,ProgramudgifterC!$U:$U,ProgramudgifterC!$S:$S),IF(MasterSheet_f_FP_CfgGroup2R2_VS,ProjektudgifterC!$U:$U,ProjektudgifterC!$S:$S)))+SUMIF(IF(MasterSheet_f_CfgGroup1R3_VS,ProgramudgifterC!$F:$F,ProjektudgifterC!$F:$F),OFFSET(Businesscasen_f_BCM_subcat12_Table1_start,ROW()-ROW(Businesscasen_f_BCM_subcat12_Table1_start),0),IF(MasterSheet_f_CfgGroup1R3_VS,IF(MasterSheet_f_FP_CfgGroup2R2_VS,ProgramudgifterC!$V:$V,ProgramudgifterC!$T:$T),IF(MasterSheet_f_FP_CfgGroup2R2_VS,ProjektudgifterC!$V:$V,ProjektudgifterC!$T:$T))))/1000</f>
        <v>0</v>
      </c>
      <c r="AT1001" s="534"/>
      <c r="AU1001" s="535">
        <f ca="1">SUMIF(IF(MasterSheet_f_CfgGroup1R3_VS,ProgramudgifterC!$F:$F,ProjektudgifterC!$F:$F),OFFSET(Businesscasen_f_BCM_subcat12_Table1_start,ROW()-ROW(Businesscasen_f_BCM_subcat12_Table1_start),0),IF(MasterSheet_f_CfgGroup1R3_VS,ProgramudgifterC!$W:$W,ProjektudgifterC!$W:$W))+SUMIF(IF(MasterSheet_f_CfgGroup1R3_VS,ProgramudgifterC!$F:$F,ProjektudgifterC!$F:$F),OFFSET(Businesscasen_f_BCM_subcat12_Table1_start,ROW()-ROW(Businesscasen_f_BCM_subcat12_Table1_start),0),IF(MasterSheet_f_CfgGroup1R3_VS,ProgramudgifterC!$X:$X,ProjektudgifterC!$X:$X))</f>
        <v>0</v>
      </c>
      <c r="AV1001" s="536"/>
      <c r="AW1001" s="535">
        <f ca="1">(SUMIF(IF(MasterSheet_f_CfgGroup1R3_VS,ProgramudgifterC!$F:$F,'Drift - fremtidig uden projektC'!$F:$F),OFFSET(Businesscasen_f_BCM_subcat12_Table1_start,ROW()-ROW(Businesscasen_f_BCM_subcat12_Table1_start),0),IF(MasterSheet_f_CfgGroup1R3_VS,IF(MasterSheet_f_FP_CfgGroup2R2_VS,ProgramudgifterC!$U:$U,ProgramudgifterC!$S:$S),IF(MasterSheet_f_FP_CfgGroup2R2_VS,'Drift - fremtidig uden projektC'!$U:$U,'Drift - fremtidig uden projektC'!$S:$S)))+SUMIF(IF(MasterSheet_f_CfgGroup1R3_VS,ProgramudgifterC!$F:$F,'Drift - fremtidig uden projektC'!$F:$F),OFFSET(Businesscasen_f_BCM_subcat12_Table1_start,ROW()-ROW(Businesscasen_f_BCM_subcat12_Table1_start),0),IF(MasterSheet_f_CfgGroup1R3_VS,IF(MasterSheet_f_FP_CfgGroup2R2_VS,ProgramudgifterC!$V:$V,ProgramudgifterC!$T:$T),IF(MasterSheet_f_FP_CfgGroup2R2_VS,'Drift - fremtidig uden projektC'!$V:$V,'Drift - fremtidig uden projektC'!$T:$T)))-SUMIF(IF(MasterSheet_f_CfgGroup1R3_VS,ProgramudgifterC!$F:$F,'Drift - med projektC'!$F:$F),OFFSET(Businesscasen_f_BCM_subcat12_Table1_start,ROW()-ROW(Businesscasen_f_BCM_subcat12_Table1_start),0),IF(MasterSheet_f_CfgGroup1R3_VS,IF(MasterSheet_f_FP_CfgGroup2R2_VS,ProgramudgifterC!$U:$U,ProgramudgifterC!$S:$S),IF(MasterSheet_f_FP_CfgGroup2R2_VS,'Drift - med projektC'!$U:$U,'Drift - med projektC'!$S:$S)))+SUMIF(IF(MasterSheet_f_CfgGroup1R3_VS,ProgramudgifterC!$F:$F,'Drift - med projektC'!$F:$F),OFFSET(Businesscasen_f_BCM_subcat12_Table1_start,ROW()-ROW(Businesscasen_f_BCM_subcat12_Table1_start),0),IF(MasterSheet_f_CfgGroup1R3_VS,IF(MasterSheet_f_FP_CfgGroup2R2_VS,ProgramudgifterC!$V:$V,ProgramudgifterC!$T:$T),IF(MasterSheet_f_FP_CfgGroup2R2_VS,'Drift - med projektC'!$V:$V,'Drift - med projektC'!$T:$T))))/1000</f>
        <v>0</v>
      </c>
      <c r="AX1001" s="536"/>
      <c r="AY1001" s="535"/>
      <c r="AZ1001" s="537"/>
      <c r="BA1001"/>
    </row>
    <row r="1002" spans="1:53" ht="16.5" customHeight="1" x14ac:dyDescent="0.25">
      <c r="A1002" s="113">
        <f>$A$999+1</f>
        <v>175</v>
      </c>
      <c r="B1002" s="113" t="s">
        <v>1433</v>
      </c>
      <c r="C1002" s="113" t="s">
        <v>92</v>
      </c>
      <c r="D1002" s="113"/>
      <c r="E1002" s="113" t="s">
        <v>682</v>
      </c>
      <c r="F1002" s="113"/>
      <c r="G1002" s="113" t="s">
        <v>406</v>
      </c>
      <c r="H1002" s="113">
        <v>2</v>
      </c>
      <c r="I1002" s="113"/>
      <c r="J1002" s="113" t="b">
        <f>$H$5</f>
        <v>1</v>
      </c>
      <c r="K1002" s="113" t="b">
        <v>1</v>
      </c>
      <c r="L1002" s="113"/>
      <c r="M1002" s="113"/>
      <c r="N1002" s="113"/>
      <c r="O1002" s="113" t="str">
        <f>"$B$"&amp;A1002</f>
        <v>$B$175</v>
      </c>
      <c r="P1002" s="113" t="str">
        <f>"$K$"&amp;A1002</f>
        <v>$K$175</v>
      </c>
      <c r="Q1002" s="113"/>
      <c r="R1002" s="113"/>
      <c r="S1002" s="113"/>
      <c r="T1002" s="113"/>
      <c r="U1002" s="113" t="b">
        <v>1</v>
      </c>
      <c r="V1002" s="113" t="s">
        <v>1342</v>
      </c>
      <c r="W1002" s="113" t="s">
        <v>1342</v>
      </c>
      <c r="X1002" s="113"/>
      <c r="Y1002" s="113"/>
      <c r="Z1002" s="113"/>
      <c r="AA1002" s="113"/>
      <c r="AB1002" s="113"/>
      <c r="AC1002" s="113">
        <v>5</v>
      </c>
      <c r="AD1002" s="113" t="s">
        <v>105</v>
      </c>
      <c r="AE1002" s="113"/>
      <c r="AF1002" s="113"/>
      <c r="AG1002" s="113" t="s">
        <v>1360</v>
      </c>
      <c r="AH1002" s="113" t="s">
        <v>29</v>
      </c>
      <c r="AI1002" s="113" t="s">
        <v>28</v>
      </c>
      <c r="AJ1002" s="113"/>
      <c r="AK1002" s="113" t="s">
        <v>1342</v>
      </c>
      <c r="AL1002" s="113">
        <v>5</v>
      </c>
      <c r="AM1002" s="113"/>
      <c r="AN1002" s="113"/>
      <c r="AO1002" s="113"/>
      <c r="AP1002" s="113" t="b">
        <v>1</v>
      </c>
      <c r="AQ1002" s="205" t="e">
        <f ca="1">OFFSET(INDIRECT("MasterSheet_f_FP_Main1RisciTable_V_"&amp;ROWS(AQ1002:INDIRECT("Businesscasen_f_BCM_subcat12_Table1_start",TRUE))-3&amp;"_VS",TRUE),0,35)</f>
        <v>#VALUE!</v>
      </c>
      <c r="AR1002" s="233"/>
      <c r="AS1002" s="459">
        <f ca="1">(SUMIF(IF(MasterSheet_f_CfgGroup1R3_VS,ProgramudgifterC!$F:$F,ProjektudgifterC!$F:$F),OFFSET(Businesscasen_f_BCM_subcat12_Table1_start,ROW()-ROW(Businesscasen_f_BCM_subcat12_Table1_start),0),IF(MasterSheet_f_CfgGroup1R3_VS,IF(MasterSheet_f_FP_CfgGroup2R2_VS,ProgramudgifterC!$U:$U,ProgramudgifterC!$S:$S),IF(MasterSheet_f_FP_CfgGroup2R2_VS,ProjektudgifterC!$U:$U,ProjektudgifterC!$S:$S)))+SUMIF(IF(MasterSheet_f_CfgGroup1R3_VS,ProgramudgifterC!$F:$F,ProjektudgifterC!$F:$F),OFFSET(Businesscasen_f_BCM_subcat12_Table1_start,ROW()-ROW(Businesscasen_f_BCM_subcat12_Table1_start),0),IF(MasterSheet_f_CfgGroup1R3_VS,IF(MasterSheet_f_FP_CfgGroup2R2_VS,ProgramudgifterC!$V:$V,ProgramudgifterC!$T:$T),IF(MasterSheet_f_FP_CfgGroup2R2_VS,ProjektudgifterC!$V:$V,ProjektudgifterC!$T:$T))))/1000</f>
        <v>0</v>
      </c>
      <c r="AT1002" s="534"/>
      <c r="AU1002" s="535">
        <f ca="1">SUMIF(IF(MasterSheet_f_CfgGroup1R3_VS,ProgramudgifterC!$F:$F,ProjektudgifterC!$F:$F),OFFSET(Businesscasen_f_BCM_subcat12_Table1_start,ROW()-ROW(Businesscasen_f_BCM_subcat12_Table1_start),0),IF(MasterSheet_f_CfgGroup1R3_VS,ProgramudgifterC!$W:$W,ProjektudgifterC!$W:$W))+SUMIF(IF(MasterSheet_f_CfgGroup1R3_VS,ProgramudgifterC!$F:$F,ProjektudgifterC!$F:$F),OFFSET(Businesscasen_f_BCM_subcat12_Table1_start,ROW()-ROW(Businesscasen_f_BCM_subcat12_Table1_start),0),IF(MasterSheet_f_CfgGroup1R3_VS,ProgramudgifterC!$X:$X,ProjektudgifterC!$X:$X))</f>
        <v>0</v>
      </c>
      <c r="AV1002" s="536"/>
      <c r="AW1002" s="535">
        <f ca="1">(SUMIF(IF(MasterSheet_f_CfgGroup1R3_VS,ProgramudgifterC!$F:$F,'Drift - fremtidig uden projektC'!$F:$F),OFFSET(Businesscasen_f_BCM_subcat12_Table1_start,ROW()-ROW(Businesscasen_f_BCM_subcat12_Table1_start),0),IF(MasterSheet_f_CfgGroup1R3_VS,IF(MasterSheet_f_FP_CfgGroup2R2_VS,ProgramudgifterC!$U:$U,ProgramudgifterC!$S:$S),IF(MasterSheet_f_FP_CfgGroup2R2_VS,'Drift - fremtidig uden projektC'!$U:$U,'Drift - fremtidig uden projektC'!$S:$S)))+SUMIF(IF(MasterSheet_f_CfgGroup1R3_VS,ProgramudgifterC!$F:$F,'Drift - fremtidig uden projektC'!$F:$F),OFFSET(Businesscasen_f_BCM_subcat12_Table1_start,ROW()-ROW(Businesscasen_f_BCM_subcat12_Table1_start),0),IF(MasterSheet_f_CfgGroup1R3_VS,IF(MasterSheet_f_FP_CfgGroup2R2_VS,ProgramudgifterC!$V:$V,ProgramudgifterC!$T:$T),IF(MasterSheet_f_FP_CfgGroup2R2_VS,'Drift - fremtidig uden projektC'!$V:$V,'Drift - fremtidig uden projektC'!$T:$T)))-SUMIF(IF(MasterSheet_f_CfgGroup1R3_VS,ProgramudgifterC!$F:$F,'Drift - med projektC'!$F:$F),OFFSET(Businesscasen_f_BCM_subcat12_Table1_start,ROW()-ROW(Businesscasen_f_BCM_subcat12_Table1_start),0),IF(MasterSheet_f_CfgGroup1R3_VS,IF(MasterSheet_f_FP_CfgGroup2R2_VS,ProgramudgifterC!$U:$U,ProgramudgifterC!$S:$S),IF(MasterSheet_f_FP_CfgGroup2R2_VS,'Drift - med projektC'!$U:$U,'Drift - med projektC'!$S:$S)))+SUMIF(IF(MasterSheet_f_CfgGroup1R3_VS,ProgramudgifterC!$F:$F,'Drift - med projektC'!$F:$F),OFFSET(Businesscasen_f_BCM_subcat12_Table1_start,ROW()-ROW(Businesscasen_f_BCM_subcat12_Table1_start),0),IF(MasterSheet_f_CfgGroup1R3_VS,IF(MasterSheet_f_FP_CfgGroup2R2_VS,ProgramudgifterC!$V:$V,ProgramudgifterC!$T:$T),IF(MasterSheet_f_FP_CfgGroup2R2_VS,'Drift - med projektC'!$V:$V,'Drift - med projektC'!$T:$T))))/1000</f>
        <v>0</v>
      </c>
      <c r="AX1002" s="536"/>
      <c r="AY1002" s="535"/>
      <c r="AZ1002" s="537"/>
      <c r="BA1002"/>
    </row>
    <row r="1003" spans="1:53" ht="16.5" customHeight="1" x14ac:dyDescent="0.25">
      <c r="A1003" s="107">
        <f>$O$999+(P999-O999+1)*(H999-1)-1</f>
        <v>175</v>
      </c>
      <c r="B1003" s="107" t="s">
        <v>682</v>
      </c>
      <c r="C1003" s="107" t="s">
        <v>663</v>
      </c>
      <c r="D1003" s="107" t="s">
        <v>1095</v>
      </c>
      <c r="E1003" s="107"/>
      <c r="F1003" s="107"/>
      <c r="G1003" s="107" t="s">
        <v>406</v>
      </c>
      <c r="H1003" s="107"/>
      <c r="I1003" s="107"/>
      <c r="J1003" s="107" t="b">
        <f t="shared" ref="J1003:J1013" si="151">$H$5</f>
        <v>1</v>
      </c>
      <c r="K1003" s="107"/>
      <c r="L1003" s="107"/>
      <c r="M1003" s="107"/>
      <c r="N1003" s="107"/>
      <c r="O1003" s="107"/>
      <c r="P1003" s="107"/>
      <c r="Q1003" s="107"/>
      <c r="R1003" s="107"/>
      <c r="S1003" s="107"/>
      <c r="T1003" s="107"/>
      <c r="U1003" s="107"/>
      <c r="V1003" s="107"/>
      <c r="W1003" s="107"/>
      <c r="X1003" s="107"/>
      <c r="Y1003" s="107"/>
      <c r="Z1003" s="107"/>
      <c r="AA1003" s="107"/>
      <c r="AB1003" s="107"/>
      <c r="AC1003" s="107"/>
      <c r="AD1003" s="107"/>
      <c r="AE1003" s="107"/>
      <c r="AF1003" s="107"/>
      <c r="AG1003" s="107"/>
      <c r="AH1003" s="107"/>
      <c r="AI1003" s="107"/>
      <c r="AJ1003" s="107"/>
      <c r="AK1003" s="107"/>
      <c r="AL1003" s="107"/>
      <c r="AM1003" s="107"/>
      <c r="AN1003" s="107"/>
      <c r="AO1003" s="107"/>
      <c r="AP1003" s="107"/>
      <c r="AQ1003" s="150"/>
      <c r="AR1003" s="150"/>
      <c r="AS1003" s="234"/>
      <c r="AT1003" s="234"/>
      <c r="AU1003" s="234"/>
      <c r="AV1003" s="234"/>
      <c r="AW1003" s="234"/>
      <c r="AX1003" s="234"/>
      <c r="AY1003" s="234"/>
      <c r="AZ1003" s="234"/>
      <c r="BA1003"/>
    </row>
    <row r="1004" spans="1:53" ht="16.5" customHeight="1" x14ac:dyDescent="0.25">
      <c r="A1004" s="113">
        <f>$A$1003+1</f>
        <v>176</v>
      </c>
      <c r="B1004" s="113" t="s">
        <v>1098</v>
      </c>
      <c r="C1004" s="113" t="s">
        <v>92</v>
      </c>
      <c r="D1004" s="113"/>
      <c r="E1004" s="113"/>
      <c r="F1004" s="113"/>
      <c r="G1004" s="113" t="s">
        <v>406</v>
      </c>
      <c r="H1004" s="113"/>
      <c r="I1004" s="113"/>
      <c r="J1004" s="113" t="b">
        <f t="shared" si="151"/>
        <v>1</v>
      </c>
      <c r="K1004" s="113" t="b">
        <v>1</v>
      </c>
      <c r="L1004" s="113"/>
      <c r="M1004" s="113"/>
      <c r="N1004" s="113"/>
      <c r="O1004" s="113" t="str">
        <f>"$B$"&amp;A1004</f>
        <v>$B$176</v>
      </c>
      <c r="P1004" s="113" t="str">
        <f>"$K$"&amp;A1004</f>
        <v>$K$176</v>
      </c>
      <c r="Q1004" s="113"/>
      <c r="R1004" s="113"/>
      <c r="S1004" s="113"/>
      <c r="T1004" s="113"/>
      <c r="U1004" s="113"/>
      <c r="V1004" s="113" t="s">
        <v>1342</v>
      </c>
      <c r="W1004" s="113"/>
      <c r="X1004" s="113"/>
      <c r="Y1004" s="113"/>
      <c r="Z1004" s="113"/>
      <c r="AA1004" s="113"/>
      <c r="AB1004" s="113"/>
      <c r="AC1004" s="113"/>
      <c r="AD1004" s="113"/>
      <c r="AE1004" s="113"/>
      <c r="AF1004" s="113"/>
      <c r="AG1004" s="113"/>
      <c r="AH1004" s="113"/>
      <c r="AI1004" s="113"/>
      <c r="AJ1004" s="113"/>
      <c r="AK1004" s="113"/>
      <c r="AL1004" s="113">
        <v>1</v>
      </c>
      <c r="AM1004" s="113"/>
      <c r="AN1004" s="113"/>
      <c r="AO1004" s="113"/>
      <c r="AP1004" s="113" t="b">
        <v>1</v>
      </c>
      <c r="AQ1004" s="133" t="s">
        <v>434</v>
      </c>
      <c r="AR1004" s="133"/>
      <c r="AS1004" s="538">
        <f>SUMIF(IF(MasterSheet_f_FP_CfgGroup1R3_VS,ProgramudgifterC!$F:$F,ProjektudgifterC!$F:$F),"",IF(MasterSheet_f_FP_CfgGroup1R3_VS,IF(MasterSheet_f_FP_CfgGroup2R2_VS,ProgramudgifterC!$U:$U,ProgramudgifterC!$S:$S),IF(MasterSheet_f_FP_CfgGroup2R2_VS,ProjektudgifterC!$U:$U,ProjektudgifterC!$S:$S)))/1000</f>
        <v>0</v>
      </c>
      <c r="AT1004" s="539"/>
      <c r="AU1004" s="538">
        <f>SUMIF(IF(MasterSheet_f_FP_CfgGroup1R3_VS,ProgramudgifterC!$F:$F,ProjektudgifterC!$F:$F),"",IF(MasterSheet_f_FP_CfgGroup1R3_VS,ProgramudgifterC!$W:$W,ProjektudgifterC!$W:$W))/1000</f>
        <v>0</v>
      </c>
      <c r="AV1004" s="539"/>
      <c r="AW1004" s="538">
        <f>SUMIF('Drift - fremtidig uden projektC'!$F:$F,"",IF(MasterSheet_f_FP_CfgGroup2R2_VS,'Drift - fremtidig uden projektC'!$U:$U,'Drift - fremtidig uden projektC'!$S:$S))/1000</f>
        <v>0</v>
      </c>
      <c r="AX1004" s="539"/>
      <c r="AY1004" s="538">
        <f>SUMIF('Drift - med projektC'!$F:$F,"",IF(MasterSheet_f_FP_CfgGroup2R2_VS,'Drift - med projektC'!$U:$U,'Drift - med projektC'!$S:$S))/1000</f>
        <v>0</v>
      </c>
      <c r="AZ1004" s="540"/>
      <c r="BA1004"/>
    </row>
    <row r="1005" spans="1:53" ht="16.5" customHeight="1" thickBot="1" x14ac:dyDescent="0.3">
      <c r="A1005" s="113">
        <f>$A$1003+2</f>
        <v>177</v>
      </c>
      <c r="B1005" s="113" t="s">
        <v>1099</v>
      </c>
      <c r="C1005" s="113" t="s">
        <v>92</v>
      </c>
      <c r="D1005" s="113"/>
      <c r="E1005" s="113"/>
      <c r="F1005" s="113"/>
      <c r="G1005" s="113" t="s">
        <v>406</v>
      </c>
      <c r="H1005" s="113"/>
      <c r="I1005" s="113"/>
      <c r="J1005" s="113" t="b">
        <f t="shared" si="151"/>
        <v>1</v>
      </c>
      <c r="K1005" s="113" t="b">
        <v>1</v>
      </c>
      <c r="L1005" s="113"/>
      <c r="M1005" s="113"/>
      <c r="N1005" s="113"/>
      <c r="O1005" s="113" t="str">
        <f>"$B$"&amp;A1005</f>
        <v>$B$177</v>
      </c>
      <c r="P1005" s="113" t="str">
        <f>"$K$"&amp;A1005</f>
        <v>$K$177</v>
      </c>
      <c r="Q1005" s="113"/>
      <c r="R1005" s="113"/>
      <c r="S1005" s="113"/>
      <c r="T1005" s="113"/>
      <c r="U1005" s="113"/>
      <c r="V1005" s="113" t="s">
        <v>1342</v>
      </c>
      <c r="W1005" s="113"/>
      <c r="X1005" s="113"/>
      <c r="Y1005" s="113"/>
      <c r="Z1005" s="113"/>
      <c r="AA1005" s="113"/>
      <c r="AB1005" s="113"/>
      <c r="AC1005" s="113"/>
      <c r="AD1005" s="113"/>
      <c r="AE1005" s="113"/>
      <c r="AF1005" s="113"/>
      <c r="AG1005" s="113"/>
      <c r="AH1005" s="113"/>
      <c r="AI1005" s="113"/>
      <c r="AJ1005" s="113"/>
      <c r="AK1005" s="113"/>
      <c r="AL1005" s="113">
        <v>1</v>
      </c>
      <c r="AM1005" s="113"/>
      <c r="AN1005" s="113"/>
      <c r="AO1005" s="113"/>
      <c r="AP1005" s="113" t="b">
        <v>1</v>
      </c>
      <c r="AQ1005" s="227" t="s">
        <v>476</v>
      </c>
      <c r="AR1005" s="227"/>
      <c r="AS1005" s="472">
        <f ca="1">SUM(AS1000:AT1004)</f>
        <v>0</v>
      </c>
      <c r="AT1005" s="474"/>
      <c r="AU1005" s="472">
        <f ca="1">SUM(AU1000:AV1004)</f>
        <v>0</v>
      </c>
      <c r="AV1005" s="474"/>
      <c r="AW1005" s="472">
        <f ca="1">SUM(AW1000:AX1004)</f>
        <v>0</v>
      </c>
      <c r="AX1005" s="474"/>
      <c r="AY1005" s="472">
        <f>SUM(AY1000:AZ1004)</f>
        <v>0</v>
      </c>
      <c r="AZ1005" s="474"/>
      <c r="BA1005"/>
    </row>
    <row r="1006" spans="1:53" ht="16.5" customHeight="1" x14ac:dyDescent="0.2">
      <c r="A1006" s="103">
        <f>$A$1003+6</f>
        <v>181</v>
      </c>
      <c r="B1006" s="103" t="s">
        <v>505</v>
      </c>
      <c r="C1006" s="103" t="s">
        <v>654</v>
      </c>
      <c r="D1006" s="103"/>
      <c r="E1006" s="103"/>
      <c r="F1006" s="103"/>
      <c r="G1006" s="103" t="s">
        <v>406</v>
      </c>
      <c r="H1006" s="103"/>
      <c r="I1006" s="103" t="s">
        <v>477</v>
      </c>
      <c r="J1006" s="103" t="b">
        <f t="shared" si="151"/>
        <v>1</v>
      </c>
      <c r="K1006" s="103" t="b">
        <v>1</v>
      </c>
      <c r="L1006" s="103"/>
      <c r="M1006" s="103"/>
      <c r="N1006" s="103" t="s">
        <v>59</v>
      </c>
      <c r="O1006" s="103" t="str">
        <f>"$B$"&amp;A1006</f>
        <v>$B$181</v>
      </c>
      <c r="P1006" s="103" t="str">
        <f>"$S$"&amp;A1032-1</f>
        <v>$S$203</v>
      </c>
      <c r="Q1006" s="103"/>
      <c r="R1006" s="103">
        <v>1</v>
      </c>
      <c r="S1006" s="103"/>
      <c r="T1006" s="103">
        <v>27</v>
      </c>
      <c r="U1006" s="103" t="b">
        <v>1</v>
      </c>
      <c r="V1006" s="103" t="s">
        <v>1352</v>
      </c>
      <c r="W1006" s="103" t="s">
        <v>1352</v>
      </c>
      <c r="X1006" s="103"/>
      <c r="Y1006" s="103"/>
      <c r="Z1006" s="103"/>
      <c r="AA1006" s="103"/>
      <c r="AB1006" s="103"/>
      <c r="AC1006" s="103">
        <v>7</v>
      </c>
      <c r="AD1006" s="103" t="s">
        <v>105</v>
      </c>
      <c r="AE1006" s="103">
        <v>20</v>
      </c>
      <c r="AF1006" s="103" t="b">
        <v>1</v>
      </c>
      <c r="AG1006" s="103" t="s">
        <v>1351</v>
      </c>
      <c r="AH1006" s="103" t="s">
        <v>29</v>
      </c>
      <c r="AI1006" s="103" t="s">
        <v>28</v>
      </c>
      <c r="AJ1006" s="103"/>
      <c r="AK1006" s="103"/>
      <c r="AL1006" s="103">
        <v>0</v>
      </c>
      <c r="AM1006" s="103"/>
      <c r="AN1006" s="103"/>
      <c r="AO1006" s="103"/>
      <c r="AP1006" s="103"/>
      <c r="AQ1006" s="93" t="s">
        <v>477</v>
      </c>
    </row>
    <row r="1007" spans="1:53" ht="16.5" customHeight="1" x14ac:dyDescent="0.2">
      <c r="A1007" s="81">
        <f>$A$1006+2</f>
        <v>183</v>
      </c>
      <c r="B1007" s="81" t="s">
        <v>972</v>
      </c>
      <c r="C1007" s="81" t="s">
        <v>512</v>
      </c>
      <c r="D1007" s="81" t="s">
        <v>961</v>
      </c>
      <c r="E1007" s="81"/>
      <c r="F1007" s="81"/>
      <c r="G1007" s="81" t="s">
        <v>406</v>
      </c>
      <c r="H1007" s="81"/>
      <c r="I1007" s="81"/>
      <c r="J1007" s="81" t="b">
        <f t="shared" si="151"/>
        <v>1</v>
      </c>
      <c r="K1007" s="81" t="b">
        <v>1</v>
      </c>
      <c r="L1007" s="81" t="b">
        <v>0</v>
      </c>
      <c r="M1007" s="81"/>
      <c r="N1007" s="81" t="s">
        <v>59</v>
      </c>
      <c r="O1007" s="81" t="str">
        <f>"$U$"&amp;A1007</f>
        <v>$U$183</v>
      </c>
      <c r="P1007" s="81" t="str">
        <f>"$U$"&amp;A1019-1</f>
        <v>$U$193</v>
      </c>
      <c r="Q1007" s="81"/>
      <c r="R1007" s="81">
        <v>1</v>
      </c>
      <c r="S1007" s="81">
        <v>-20</v>
      </c>
      <c r="T1007" s="81"/>
      <c r="U1007" s="81" t="b">
        <f>$I$5</f>
        <v>0</v>
      </c>
      <c r="V1007" s="81" t="s">
        <v>1348</v>
      </c>
      <c r="W1007" s="81" t="s">
        <v>1348</v>
      </c>
      <c r="X1007" s="81"/>
      <c r="Y1007" s="81"/>
      <c r="Z1007" s="81"/>
      <c r="AA1007" s="81"/>
      <c r="AB1007" s="81"/>
      <c r="AC1007" s="81"/>
      <c r="AD1007" s="81"/>
      <c r="AE1007" s="81"/>
      <c r="AF1007" s="81"/>
      <c r="AG1007" s="81"/>
      <c r="AH1007" s="81"/>
      <c r="AI1007" s="81"/>
      <c r="AJ1007" s="81"/>
      <c r="AK1007" s="81"/>
      <c r="AL1007" s="81">
        <v>-10</v>
      </c>
      <c r="AM1007" s="81">
        <v>5</v>
      </c>
      <c r="AN1007" s="81"/>
      <c r="AO1007" s="81"/>
      <c r="AP1007" s="81"/>
    </row>
    <row r="1008" spans="1:53" ht="16.5" customHeight="1" x14ac:dyDescent="0.2">
      <c r="A1008" s="112">
        <f>$A$1006+2</f>
        <v>183</v>
      </c>
      <c r="B1008" s="112" t="s">
        <v>569</v>
      </c>
      <c r="C1008" s="112" t="s">
        <v>90</v>
      </c>
      <c r="D1008" s="112"/>
      <c r="E1008" s="112"/>
      <c r="F1008" s="112"/>
      <c r="G1008" s="112" t="s">
        <v>406</v>
      </c>
      <c r="H1008" s="112"/>
      <c r="I1008" s="112"/>
      <c r="J1008" s="112" t="b">
        <f t="shared" si="151"/>
        <v>1</v>
      </c>
      <c r="K1008" s="112" t="b">
        <v>1</v>
      </c>
      <c r="L1008" s="112"/>
      <c r="M1008" s="112"/>
      <c r="N1008" s="112"/>
      <c r="O1008" s="112" t="str">
        <f>"$B$"&amp;A1008</f>
        <v>$B$183</v>
      </c>
      <c r="P1008" s="112" t="str">
        <f>"$S$"&amp;A1018</f>
        <v>$S$189</v>
      </c>
      <c r="Q1008" s="112"/>
      <c r="R1008" s="112"/>
      <c r="S1008" s="112"/>
      <c r="T1008" s="112"/>
      <c r="U1008" s="112"/>
      <c r="V1008" s="112" t="s">
        <v>1342</v>
      </c>
      <c r="W1008" s="112"/>
      <c r="X1008" s="112"/>
      <c r="Y1008" s="112"/>
      <c r="Z1008" s="112"/>
      <c r="AA1008" s="112"/>
      <c r="AB1008" s="112"/>
      <c r="AC1008" s="112"/>
      <c r="AD1008" s="112" t="s">
        <v>105</v>
      </c>
      <c r="AE1008" s="112">
        <v>12</v>
      </c>
      <c r="AF1008" s="112" t="b">
        <v>1</v>
      </c>
      <c r="AG1008" s="112" t="s">
        <v>1355</v>
      </c>
      <c r="AH1008" s="112" t="s">
        <v>29</v>
      </c>
      <c r="AI1008" s="112" t="s">
        <v>28</v>
      </c>
      <c r="AJ1008" s="112"/>
      <c r="AK1008" s="112"/>
      <c r="AL1008" s="112"/>
      <c r="AM1008" s="112"/>
      <c r="AN1008" s="112"/>
      <c r="AO1008" s="112"/>
      <c r="AP1008" s="112"/>
    </row>
    <row r="1009" spans="1:59" ht="16.5" customHeight="1" x14ac:dyDescent="0.2">
      <c r="A1009" s="113">
        <f>$A$1008+0</f>
        <v>183</v>
      </c>
      <c r="B1009" s="113" t="s">
        <v>570</v>
      </c>
      <c r="C1009" s="113" t="s">
        <v>92</v>
      </c>
      <c r="D1009" s="113"/>
      <c r="E1009" s="113"/>
      <c r="F1009" s="113"/>
      <c r="G1009" s="113" t="s">
        <v>406</v>
      </c>
      <c r="H1009" s="113"/>
      <c r="I1009" s="113"/>
      <c r="J1009" s="113" t="b">
        <f t="shared" si="151"/>
        <v>1</v>
      </c>
      <c r="K1009" s="113" t="b">
        <v>1</v>
      </c>
      <c r="L1009" s="113"/>
      <c r="M1009" s="113"/>
      <c r="N1009" s="113"/>
      <c r="O1009" s="113" t="str">
        <f>"$B$"&amp;A1009</f>
        <v>$B$183</v>
      </c>
      <c r="P1009" s="113" t="str">
        <f>"$S$"&amp;A1009</f>
        <v>$S$183</v>
      </c>
      <c r="Q1009" s="113"/>
      <c r="R1009" s="113"/>
      <c r="S1009" s="113"/>
      <c r="T1009" s="113">
        <v>52</v>
      </c>
      <c r="U1009" s="113"/>
      <c r="V1009" s="113" t="s">
        <v>1342</v>
      </c>
      <c r="W1009" s="113"/>
      <c r="X1009" s="113"/>
      <c r="Y1009" s="113"/>
      <c r="Z1009" s="113"/>
      <c r="AA1009" s="113"/>
      <c r="AB1009" s="113"/>
      <c r="AC1009" s="113"/>
      <c r="AD1009" s="113"/>
      <c r="AE1009" s="113"/>
      <c r="AF1009" s="113"/>
      <c r="AG1009" s="113"/>
      <c r="AH1009" s="113"/>
      <c r="AI1009" s="113"/>
      <c r="AJ1009" s="113"/>
      <c r="AK1009" s="113"/>
      <c r="AL1009" s="113">
        <v>1</v>
      </c>
      <c r="AM1009" s="113"/>
      <c r="AN1009" s="113"/>
      <c r="AO1009" s="113"/>
      <c r="AP1009" s="113" t="b">
        <v>1</v>
      </c>
      <c r="AQ1009" s="359" t="s">
        <v>637</v>
      </c>
      <c r="AR1009" s="359"/>
      <c r="AS1009" s="147"/>
      <c r="AT1009" s="147"/>
      <c r="AU1009" s="147"/>
      <c r="AV1009" s="147"/>
      <c r="AW1009" s="147"/>
      <c r="AX1009" s="147"/>
      <c r="AY1009" s="147"/>
      <c r="AZ1009" s="147"/>
      <c r="BA1009" s="162"/>
      <c r="BB1009" s="162"/>
      <c r="BC1009" s="124"/>
      <c r="BD1009" s="124"/>
      <c r="BE1009" s="124"/>
      <c r="BF1009" s="124"/>
      <c r="BG1009" s="124"/>
    </row>
    <row r="1010" spans="1:59" ht="16.5" customHeight="1" thickBot="1" x14ac:dyDescent="0.25">
      <c r="A1010" s="113">
        <f>$A$1008+1</f>
        <v>184</v>
      </c>
      <c r="B1010" s="113" t="s">
        <v>991</v>
      </c>
      <c r="C1010" s="113" t="s">
        <v>92</v>
      </c>
      <c r="D1010" s="113"/>
      <c r="E1010" s="113"/>
      <c r="F1010" s="113"/>
      <c r="G1010" s="113" t="s">
        <v>406</v>
      </c>
      <c r="H1010" s="113"/>
      <c r="I1010" s="113"/>
      <c r="J1010" s="113" t="b">
        <f t="shared" si="151"/>
        <v>1</v>
      </c>
      <c r="K1010" s="113" t="b">
        <v>1</v>
      </c>
      <c r="L1010" s="113"/>
      <c r="M1010" s="113"/>
      <c r="N1010" s="113"/>
      <c r="O1010" s="113" t="str">
        <f>"$B$"&amp;A1010</f>
        <v>$B$184</v>
      </c>
      <c r="P1010" s="113" t="str">
        <f>"$S$"&amp;A1010</f>
        <v>$S$184</v>
      </c>
      <c r="Q1010" s="113"/>
      <c r="R1010" s="113"/>
      <c r="S1010" s="113"/>
      <c r="T1010" s="113">
        <v>52</v>
      </c>
      <c r="U1010" s="113"/>
      <c r="V1010" s="113" t="s">
        <v>1342</v>
      </c>
      <c r="W1010" s="113"/>
      <c r="X1010" s="113"/>
      <c r="Y1010" s="113"/>
      <c r="Z1010" s="113"/>
      <c r="AA1010" s="113"/>
      <c r="AB1010" s="113"/>
      <c r="AC1010" s="113"/>
      <c r="AD1010" s="113"/>
      <c r="AE1010" s="113"/>
      <c r="AF1010" s="113"/>
      <c r="AG1010" s="113"/>
      <c r="AH1010" s="113"/>
      <c r="AI1010" s="113"/>
      <c r="AJ1010" s="113"/>
      <c r="AK1010" s="113"/>
      <c r="AL1010" s="113">
        <v>1</v>
      </c>
      <c r="AM1010" s="113"/>
      <c r="AN1010" s="113"/>
      <c r="AO1010" s="113"/>
      <c r="AP1010" s="113" t="b">
        <v>1</v>
      </c>
      <c r="AQ1010" s="541" t="s">
        <v>638</v>
      </c>
      <c r="AR1010" s="541"/>
      <c r="AS1010" s="466" t="str">
        <f>"Drift uden "&amp;IF(MasterSheet_f_FP_CfgGroup1R3_VS,"program","projekt")</f>
        <v>Drift uden projekt</v>
      </c>
      <c r="AT1010" s="467"/>
      <c r="AU1010" s="466" t="str">
        <f>"Drift med "&amp;IF(MasterSheet_f_FP_CfgGroup1R3_VS,"program","projekt")</f>
        <v>Drift med projekt</v>
      </c>
      <c r="AV1010" s="467"/>
      <c r="AW1010" s="466" t="s">
        <v>478</v>
      </c>
      <c r="AX1010" s="467"/>
      <c r="AY1010" s="542" t="str">
        <f>"Drift - før "&amp;IF(MasterSheet_f_FP_CfgGroup1R3_VS,"program","projekt")</f>
        <v>Drift - før projekt</v>
      </c>
      <c r="AZ1010" s="543"/>
      <c r="BA1010" s="542" t="s">
        <v>639</v>
      </c>
      <c r="BB1010" s="543"/>
      <c r="BC1010" s="124"/>
      <c r="BD1010" s="124"/>
      <c r="BE1010" s="124"/>
      <c r="BF1010" s="124"/>
      <c r="BG1010" s="124"/>
    </row>
    <row r="1011" spans="1:59" ht="16.5" customHeight="1" x14ac:dyDescent="0.2">
      <c r="A1011" s="113">
        <f>$A$1008+2</f>
        <v>185</v>
      </c>
      <c r="B1011" s="113" t="s">
        <v>1427</v>
      </c>
      <c r="C1011" s="113" t="s">
        <v>92</v>
      </c>
      <c r="D1011" s="113"/>
      <c r="E1011" s="113"/>
      <c r="F1011" s="113"/>
      <c r="G1011" s="113" t="s">
        <v>406</v>
      </c>
      <c r="H1011" s="113"/>
      <c r="I1011" s="113"/>
      <c r="J1011" s="113" t="b">
        <f t="shared" si="151"/>
        <v>1</v>
      </c>
      <c r="K1011" s="113" t="b">
        <v>1</v>
      </c>
      <c r="L1011" s="113"/>
      <c r="M1011" s="113"/>
      <c r="N1011" s="113"/>
      <c r="O1011" s="113" t="str">
        <f>"$B$"&amp;A1011</f>
        <v>$B$185</v>
      </c>
      <c r="P1011" s="113" t="str">
        <f>"$S$"&amp;A1011</f>
        <v>$S$185</v>
      </c>
      <c r="Q1011" s="113"/>
      <c r="R1011" s="113"/>
      <c r="S1011" s="113"/>
      <c r="T1011" s="113">
        <v>2</v>
      </c>
      <c r="U1011" s="113"/>
      <c r="V1011" s="113" t="s">
        <v>1342</v>
      </c>
      <c r="W1011" s="113"/>
      <c r="X1011" s="113"/>
      <c r="Y1011" s="113"/>
      <c r="Z1011" s="113"/>
      <c r="AA1011" s="113"/>
      <c r="AB1011" s="113"/>
      <c r="AC1011" s="113"/>
      <c r="AD1011" s="113"/>
      <c r="AE1011" s="113"/>
      <c r="AF1011" s="113"/>
      <c r="AG1011" s="113"/>
      <c r="AH1011" s="113"/>
      <c r="AI1011" s="113"/>
      <c r="AJ1011" s="113"/>
      <c r="AK1011" s="113"/>
      <c r="AL1011" s="113">
        <v>1</v>
      </c>
      <c r="AM1011" s="113"/>
      <c r="AN1011" s="113"/>
      <c r="AO1011" s="113"/>
      <c r="AP1011" s="113" t="b">
        <v>1</v>
      </c>
      <c r="AQ1011" s="369"/>
      <c r="AR1011" s="369"/>
      <c r="AS1011" s="366"/>
      <c r="AT1011" s="367"/>
      <c r="AU1011" s="366"/>
      <c r="AV1011" s="367"/>
      <c r="AW1011" s="366"/>
      <c r="AX1011" s="367"/>
      <c r="AY1011" s="370"/>
      <c r="AZ1011" s="371"/>
      <c r="BA1011" s="370"/>
      <c r="BB1011" s="371"/>
      <c r="BC1011" s="124"/>
      <c r="BD1011" s="124"/>
      <c r="BE1011" s="124"/>
      <c r="BF1011" s="124"/>
      <c r="BG1011" s="124"/>
    </row>
    <row r="1012" spans="1:59" ht="16.5" customHeight="1" x14ac:dyDescent="0.2">
      <c r="A1012" s="113">
        <f>$A$1008+3</f>
        <v>186</v>
      </c>
      <c r="B1012" s="113" t="s">
        <v>1428</v>
      </c>
      <c r="C1012" s="113" t="s">
        <v>92</v>
      </c>
      <c r="D1012" s="113"/>
      <c r="E1012" s="113"/>
      <c r="F1012" s="113"/>
      <c r="G1012" s="113" t="s">
        <v>406</v>
      </c>
      <c r="H1012" s="113"/>
      <c r="I1012" s="113"/>
      <c r="J1012" s="113" t="b">
        <f t="shared" si="151"/>
        <v>1</v>
      </c>
      <c r="K1012" s="113" t="b">
        <v>1</v>
      </c>
      <c r="L1012" s="113"/>
      <c r="M1012" s="113"/>
      <c r="N1012" s="113"/>
      <c r="O1012" s="113" t="str">
        <f>"$B$"&amp;A1012</f>
        <v>$B$186</v>
      </c>
      <c r="P1012" s="113" t="str">
        <f>"$S$"&amp;A1012</f>
        <v>$S$186</v>
      </c>
      <c r="Q1012" s="113"/>
      <c r="R1012" s="113"/>
      <c r="S1012" s="113"/>
      <c r="T1012" s="113">
        <v>2</v>
      </c>
      <c r="U1012" s="113"/>
      <c r="V1012" s="113" t="s">
        <v>1342</v>
      </c>
      <c r="W1012" s="113"/>
      <c r="X1012" s="113"/>
      <c r="Y1012" s="113"/>
      <c r="Z1012" s="113"/>
      <c r="AA1012" s="113"/>
      <c r="AB1012" s="113"/>
      <c r="AC1012" s="113"/>
      <c r="AD1012" s="113"/>
      <c r="AE1012" s="113"/>
      <c r="AF1012" s="113"/>
      <c r="AG1012" s="113"/>
      <c r="AH1012" s="113"/>
      <c r="AI1012" s="113"/>
      <c r="AJ1012" s="113"/>
      <c r="AK1012" s="113"/>
      <c r="AL1012" s="113">
        <v>1</v>
      </c>
      <c r="AM1012" s="113"/>
      <c r="AN1012" s="113"/>
      <c r="AO1012" s="113"/>
      <c r="AP1012" s="113" t="b">
        <v>1</v>
      </c>
      <c r="AQ1012" s="368"/>
      <c r="AR1012" s="368"/>
      <c r="AS1012" s="362"/>
      <c r="AT1012" s="363"/>
      <c r="AU1012" s="362"/>
      <c r="AV1012" s="363"/>
      <c r="AW1012" s="362"/>
      <c r="AX1012" s="363"/>
      <c r="AY1012" s="364"/>
      <c r="AZ1012" s="365"/>
      <c r="BA1012" s="364"/>
      <c r="BB1012" s="365"/>
      <c r="BC1012" s="124"/>
      <c r="BD1012" s="124"/>
      <c r="BE1012" s="124"/>
      <c r="BF1012" s="124"/>
      <c r="BG1012" s="124"/>
    </row>
    <row r="1013" spans="1:59" ht="16.5" customHeight="1" x14ac:dyDescent="0.2">
      <c r="A1013" s="107">
        <f>$A$1008+4</f>
        <v>187</v>
      </c>
      <c r="B1013" s="107" t="s">
        <v>1121</v>
      </c>
      <c r="C1013" s="107" t="s">
        <v>663</v>
      </c>
      <c r="D1013" s="107"/>
      <c r="E1013" s="107"/>
      <c r="F1013" s="107"/>
      <c r="G1013" s="107" t="s">
        <v>406</v>
      </c>
      <c r="H1013" s="107">
        <v>2</v>
      </c>
      <c r="I1013" s="107">
        <v>1</v>
      </c>
      <c r="J1013" s="107" t="b">
        <f t="shared" si="151"/>
        <v>1</v>
      </c>
      <c r="K1013" s="107"/>
      <c r="L1013" s="107"/>
      <c r="M1013" s="107"/>
      <c r="N1013" s="107"/>
      <c r="O1013" s="107">
        <f>A1013</f>
        <v>187</v>
      </c>
      <c r="P1013" s="107">
        <f>O1013</f>
        <v>187</v>
      </c>
      <c r="Q1013" s="107"/>
      <c r="R1013" s="107"/>
      <c r="S1013" s="107"/>
      <c r="T1013" s="107"/>
      <c r="U1013" s="107"/>
      <c r="V1013" s="107"/>
      <c r="W1013" s="107"/>
      <c r="X1013" s="107"/>
      <c r="Y1013" s="107"/>
      <c r="Z1013" s="107"/>
      <c r="AA1013" s="107"/>
      <c r="AB1013" s="107"/>
      <c r="AC1013" s="107"/>
      <c r="AD1013" s="107"/>
      <c r="AE1013" s="107"/>
      <c r="AF1013" s="107"/>
      <c r="AG1013" s="107"/>
      <c r="AH1013" s="107"/>
      <c r="AI1013" s="107"/>
      <c r="AJ1013" s="107"/>
      <c r="AK1013" s="107"/>
      <c r="AL1013" s="107"/>
      <c r="AM1013" s="107"/>
      <c r="AN1013" s="107"/>
      <c r="AO1013" s="107"/>
      <c r="AP1013" s="107"/>
      <c r="AQ1013" s="149" t="str">
        <f>AQ1015</f>
        <v>[Hovedforudsætninger]</v>
      </c>
      <c r="AR1013" s="149"/>
      <c r="AS1013" s="278"/>
      <c r="AT1013" s="278"/>
      <c r="AU1013" s="278"/>
      <c r="AV1013" s="278"/>
      <c r="AW1013" s="278"/>
      <c r="AX1013" s="278"/>
      <c r="AY1013" s="278"/>
      <c r="AZ1013" s="278"/>
      <c r="BA1013" s="278"/>
      <c r="BB1013" s="278"/>
    </row>
    <row r="1014" spans="1:59" ht="16.5" customHeight="1" x14ac:dyDescent="0.2">
      <c r="A1014" s="108">
        <f>$A$1013+0</f>
        <v>187</v>
      </c>
      <c r="B1014" s="113" t="s">
        <v>1120</v>
      </c>
      <c r="C1014" s="113" t="s">
        <v>92</v>
      </c>
      <c r="D1014" s="113"/>
      <c r="E1014" s="113" t="s">
        <v>1121</v>
      </c>
      <c r="F1014" s="113"/>
      <c r="G1014" s="113" t="s">
        <v>406</v>
      </c>
      <c r="H1014" s="113"/>
      <c r="I1014" s="113"/>
      <c r="J1014" s="113"/>
      <c r="K1014" s="113" t="b">
        <v>1</v>
      </c>
      <c r="L1014" s="113"/>
      <c r="M1014" s="113"/>
      <c r="N1014" s="113"/>
      <c r="O1014" s="113" t="str">
        <f>"$B$"&amp;A1014</f>
        <v>$B$187</v>
      </c>
      <c r="P1014" s="113" t="str">
        <f>"$S$"&amp;A1014</f>
        <v>$S$187</v>
      </c>
      <c r="Q1014" s="113"/>
      <c r="R1014" s="113"/>
      <c r="S1014" s="113"/>
      <c r="T1014" s="113">
        <v>14</v>
      </c>
      <c r="U1014" s="113" t="b">
        <v>1</v>
      </c>
      <c r="V1014" s="113" t="s">
        <v>1342</v>
      </c>
      <c r="W1014" s="113" t="s">
        <v>1342</v>
      </c>
      <c r="X1014" s="113"/>
      <c r="Y1014" s="113"/>
      <c r="Z1014" s="113"/>
      <c r="AA1014" s="113"/>
      <c r="AB1014" s="113"/>
      <c r="AC1014" s="113">
        <v>5</v>
      </c>
      <c r="AD1014" s="113" t="s">
        <v>105</v>
      </c>
      <c r="AE1014" s="113"/>
      <c r="AF1014" s="113"/>
      <c r="AG1014" s="113" t="s">
        <v>1360</v>
      </c>
      <c r="AH1014" s="113" t="s">
        <v>29</v>
      </c>
      <c r="AI1014" s="113" t="s">
        <v>28</v>
      </c>
      <c r="AJ1014" s="113"/>
      <c r="AK1014" s="113" t="s">
        <v>1342</v>
      </c>
      <c r="AL1014" s="113">
        <v>5</v>
      </c>
      <c r="AM1014" s="113"/>
      <c r="AN1014" s="113"/>
      <c r="AO1014" s="113"/>
      <c r="AP1014" s="113" t="b">
        <v>1</v>
      </c>
      <c r="AQ1014" s="368" t="s">
        <v>1117</v>
      </c>
      <c r="AR1014" s="368"/>
      <c r="AS1014" s="362"/>
      <c r="AT1014" s="363"/>
      <c r="AU1014" s="362"/>
      <c r="AV1014" s="363"/>
      <c r="AW1014" s="362"/>
      <c r="AX1014" s="363"/>
      <c r="AY1014" s="364"/>
      <c r="AZ1014" s="365"/>
      <c r="BA1014" s="364"/>
      <c r="BB1014" s="365"/>
      <c r="BC1014" s="124"/>
      <c r="BD1014" s="124"/>
      <c r="BE1014" s="124"/>
      <c r="BF1014" s="124"/>
      <c r="BG1014" s="124"/>
    </row>
    <row r="1015" spans="1:59" ht="16.5" customHeight="1" x14ac:dyDescent="0.2">
      <c r="A1015" s="113">
        <f>$A$1013+0+0</f>
        <v>187</v>
      </c>
      <c r="B1015" s="113" t="s">
        <v>1491</v>
      </c>
      <c r="C1015" s="113" t="s">
        <v>92</v>
      </c>
      <c r="D1015" s="113"/>
      <c r="E1015" s="113" t="s">
        <v>1121</v>
      </c>
      <c r="F1015" s="113"/>
      <c r="G1015" s="113" t="s">
        <v>406</v>
      </c>
      <c r="H1015" s="113">
        <v>1</v>
      </c>
      <c r="I1015" s="113"/>
      <c r="J1015" s="113" t="b">
        <f>$H$5</f>
        <v>1</v>
      </c>
      <c r="K1015" s="113" t="b">
        <v>1</v>
      </c>
      <c r="L1015" s="113"/>
      <c r="M1015" s="113"/>
      <c r="N1015" s="113"/>
      <c r="O1015" s="113" t="str">
        <f>"$B$"&amp;A1015</f>
        <v>$B$187</v>
      </c>
      <c r="P1015" s="113" t="str">
        <f>"$S$"&amp;A1015</f>
        <v>$S$187</v>
      </c>
      <c r="Q1015" s="113"/>
      <c r="R1015" s="113"/>
      <c r="S1015" s="113"/>
      <c r="T1015" s="113">
        <v>14</v>
      </c>
      <c r="U1015" s="113" t="b">
        <v>1</v>
      </c>
      <c r="V1015" s="113" t="s">
        <v>1342</v>
      </c>
      <c r="W1015" s="113" t="s">
        <v>1342</v>
      </c>
      <c r="X1015" s="113"/>
      <c r="Y1015" s="113"/>
      <c r="Z1015" s="113"/>
      <c r="AA1015" s="113"/>
      <c r="AB1015" s="113"/>
      <c r="AC1015" s="113">
        <v>5</v>
      </c>
      <c r="AD1015" s="113" t="s">
        <v>105</v>
      </c>
      <c r="AE1015" s="113"/>
      <c r="AF1015" s="113"/>
      <c r="AG1015" s="113" t="s">
        <v>1360</v>
      </c>
      <c r="AH1015" s="113" t="s">
        <v>29</v>
      </c>
      <c r="AI1015" s="113" t="s">
        <v>28</v>
      </c>
      <c r="AJ1015" s="113"/>
      <c r="AK1015" s="113" t="s">
        <v>1342</v>
      </c>
      <c r="AL1015" s="113">
        <v>5</v>
      </c>
      <c r="AM1015" s="113"/>
      <c r="AN1015" s="113"/>
      <c r="AO1015" s="113"/>
      <c r="AP1015" s="113" t="b">
        <v>1</v>
      </c>
      <c r="AQ1015" s="368" t="s">
        <v>1117</v>
      </c>
      <c r="AR1015" s="368"/>
      <c r="AS1015" s="362"/>
      <c r="AT1015" s="363"/>
      <c r="AU1015" s="362"/>
      <c r="AV1015" s="363"/>
      <c r="AW1015" s="362"/>
      <c r="AX1015" s="363"/>
      <c r="AY1015" s="364"/>
      <c r="AZ1015" s="365"/>
      <c r="BA1015" s="364"/>
      <c r="BB1015" s="365"/>
      <c r="BC1015" s="124"/>
      <c r="BD1015" s="124"/>
      <c r="BE1015" s="124"/>
      <c r="BF1015" s="124"/>
      <c r="BG1015" s="124"/>
    </row>
    <row r="1016" spans="1:59" ht="16.5" customHeight="1" x14ac:dyDescent="0.2">
      <c r="A1016" s="107">
        <f>$O$1013+(P1013-O1013+1)*(H1013-1)-1</f>
        <v>187</v>
      </c>
      <c r="B1016" s="107" t="s">
        <v>1121</v>
      </c>
      <c r="C1016" s="107" t="s">
        <v>663</v>
      </c>
      <c r="D1016" s="107" t="s">
        <v>1096</v>
      </c>
      <c r="E1016" s="107"/>
      <c r="F1016" s="107"/>
      <c r="G1016" s="107" t="s">
        <v>406</v>
      </c>
      <c r="H1016" s="107"/>
      <c r="I1016" s="107"/>
      <c r="J1016" s="107" t="b">
        <f t="shared" ref="J1016:J1024" si="152">$H$5</f>
        <v>1</v>
      </c>
      <c r="K1016" s="107"/>
      <c r="L1016" s="107"/>
      <c r="M1016" s="107"/>
      <c r="N1016" s="107"/>
      <c r="O1016" s="107"/>
      <c r="P1016" s="107"/>
      <c r="Q1016" s="107"/>
      <c r="R1016" s="107"/>
      <c r="S1016" s="107"/>
      <c r="T1016" s="107"/>
      <c r="U1016" s="107"/>
      <c r="V1016" s="107"/>
      <c r="W1016" s="107"/>
      <c r="X1016" s="107"/>
      <c r="Y1016" s="107"/>
      <c r="Z1016" s="107"/>
      <c r="AA1016" s="107"/>
      <c r="AB1016" s="107"/>
      <c r="AC1016" s="107"/>
      <c r="AD1016" s="107"/>
      <c r="AE1016" s="107"/>
      <c r="AF1016" s="107"/>
      <c r="AG1016" s="107"/>
      <c r="AH1016" s="107"/>
      <c r="AI1016" s="107"/>
      <c r="AJ1016" s="107"/>
      <c r="AK1016" s="107"/>
      <c r="AL1016" s="107"/>
      <c r="AM1016" s="107"/>
      <c r="AN1016" s="107"/>
      <c r="AO1016" s="107"/>
      <c r="AP1016" s="107"/>
      <c r="AQ1016" s="149"/>
      <c r="AR1016" s="149"/>
      <c r="AS1016" s="278"/>
      <c r="AT1016" s="278"/>
      <c r="AU1016" s="278"/>
      <c r="AV1016" s="278"/>
      <c r="AW1016" s="278"/>
      <c r="AX1016" s="278"/>
      <c r="AY1016" s="278"/>
      <c r="AZ1016" s="278"/>
      <c r="BA1016" s="278"/>
      <c r="BB1016" s="278"/>
    </row>
    <row r="1017" spans="1:59" ht="16.5" customHeight="1" x14ac:dyDescent="0.2">
      <c r="A1017" s="113">
        <f>$A$1016+1</f>
        <v>188</v>
      </c>
      <c r="B1017" s="113" t="s">
        <v>1438</v>
      </c>
      <c r="C1017" s="113" t="s">
        <v>92</v>
      </c>
      <c r="D1017" s="113"/>
      <c r="E1017" s="113"/>
      <c r="F1017" s="113"/>
      <c r="G1017" s="113" t="s">
        <v>406</v>
      </c>
      <c r="H1017" s="113"/>
      <c r="I1017" s="113"/>
      <c r="J1017" s="113" t="b">
        <f t="shared" si="152"/>
        <v>1</v>
      </c>
      <c r="K1017" s="113" t="b">
        <v>1</v>
      </c>
      <c r="L1017" s="113"/>
      <c r="M1017" s="113"/>
      <c r="N1017" s="113"/>
      <c r="O1017" s="113" t="str">
        <f>"$B$"&amp;A1017</f>
        <v>$B$188</v>
      </c>
      <c r="P1017" s="113" t="str">
        <f>"$S$"&amp;A1017</f>
        <v>$S$188</v>
      </c>
      <c r="Q1017" s="113"/>
      <c r="R1017" s="113"/>
      <c r="S1017" s="113"/>
      <c r="T1017" s="113">
        <v>2</v>
      </c>
      <c r="U1017" s="113"/>
      <c r="V1017" s="113" t="s">
        <v>1342</v>
      </c>
      <c r="W1017" s="113"/>
      <c r="X1017" s="113"/>
      <c r="Y1017" s="113"/>
      <c r="Z1017" s="113"/>
      <c r="AA1017" s="113"/>
      <c r="AB1017" s="113"/>
      <c r="AC1017" s="113"/>
      <c r="AD1017" s="113"/>
      <c r="AE1017" s="113"/>
      <c r="AF1017" s="113"/>
      <c r="AG1017" s="113"/>
      <c r="AH1017" s="113"/>
      <c r="AI1017" s="113"/>
      <c r="AJ1017" s="113"/>
      <c r="AK1017" s="113"/>
      <c r="AL1017" s="113">
        <v>1</v>
      </c>
      <c r="AM1017" s="113"/>
      <c r="AN1017" s="113"/>
      <c r="AO1017" s="113"/>
      <c r="AP1017" s="113" t="b">
        <v>1</v>
      </c>
      <c r="AQ1017" s="368"/>
      <c r="AR1017" s="368"/>
      <c r="AS1017" s="362"/>
      <c r="AT1017" s="363"/>
      <c r="AU1017" s="362"/>
      <c r="AV1017" s="363"/>
      <c r="AW1017" s="362"/>
      <c r="AX1017" s="363"/>
      <c r="AY1017" s="364"/>
      <c r="AZ1017" s="365"/>
      <c r="BA1017" s="364"/>
      <c r="BB1017" s="365"/>
      <c r="BC1017" s="124"/>
      <c r="BD1017" s="124"/>
      <c r="BE1017" s="124"/>
      <c r="BF1017" s="124"/>
      <c r="BG1017" s="124"/>
    </row>
    <row r="1018" spans="1:59" ht="16.5" customHeight="1" thickBot="1" x14ac:dyDescent="0.25">
      <c r="A1018" s="113">
        <f>$A$1016+2</f>
        <v>189</v>
      </c>
      <c r="B1018" s="113" t="s">
        <v>992</v>
      </c>
      <c r="C1018" s="113" t="s">
        <v>92</v>
      </c>
      <c r="D1018" s="113"/>
      <c r="E1018" s="113"/>
      <c r="F1018" s="113"/>
      <c r="G1018" s="113" t="s">
        <v>406</v>
      </c>
      <c r="H1018" s="113"/>
      <c r="I1018" s="113"/>
      <c r="J1018" s="113" t="b">
        <f t="shared" si="152"/>
        <v>1</v>
      </c>
      <c r="K1018" s="113" t="b">
        <v>1</v>
      </c>
      <c r="L1018" s="113"/>
      <c r="M1018" s="113"/>
      <c r="N1018" s="113"/>
      <c r="O1018" s="113" t="str">
        <f t="shared" ref="O1018:O1023" si="153">"$B$"&amp;A1018</f>
        <v>$B$189</v>
      </c>
      <c r="P1018" s="113" t="str">
        <f>"$S$"&amp;A1018</f>
        <v>$S$189</v>
      </c>
      <c r="Q1018" s="113"/>
      <c r="R1018" s="113"/>
      <c r="S1018" s="113"/>
      <c r="T1018" s="113"/>
      <c r="U1018" s="113"/>
      <c r="V1018" s="113" t="s">
        <v>1342</v>
      </c>
      <c r="W1018" s="113"/>
      <c r="X1018" s="113"/>
      <c r="Y1018" s="113"/>
      <c r="Z1018" s="113"/>
      <c r="AA1018" s="113"/>
      <c r="AB1018" s="113"/>
      <c r="AC1018" s="113"/>
      <c r="AD1018" s="113"/>
      <c r="AE1018" s="113"/>
      <c r="AF1018" s="113"/>
      <c r="AG1018" s="113"/>
      <c r="AH1018" s="113"/>
      <c r="AI1018" s="113"/>
      <c r="AJ1018" s="113"/>
      <c r="AK1018" s="113"/>
      <c r="AL1018" s="113">
        <v>1</v>
      </c>
      <c r="AM1018" s="113"/>
      <c r="AN1018" s="113"/>
      <c r="AO1018" s="113"/>
      <c r="AP1018" s="113" t="b">
        <v>1</v>
      </c>
      <c r="AQ1018" s="544" t="s">
        <v>479</v>
      </c>
      <c r="AR1018" s="544"/>
      <c r="AS1018" s="545">
        <f>SUM(AS1014:AT1017)</f>
        <v>0</v>
      </c>
      <c r="AT1018" s="546"/>
      <c r="AU1018" s="545">
        <f>SUM(AU1014:AV1017)</f>
        <v>0</v>
      </c>
      <c r="AV1018" s="546"/>
      <c r="AW1018" s="545">
        <f>SUM(AW1014:AX1017)</f>
        <v>0</v>
      </c>
      <c r="AX1018" s="546"/>
      <c r="AY1018" s="545">
        <f>SUM(AY1014:AZ1017)</f>
        <v>0</v>
      </c>
      <c r="AZ1018" s="546"/>
      <c r="BA1018" s="545">
        <f>SUM(BA1014:BB1017)</f>
        <v>0</v>
      </c>
      <c r="BB1018" s="546"/>
      <c r="BC1018" s="124"/>
      <c r="BD1018" s="124"/>
      <c r="BE1018" s="124"/>
      <c r="BF1018" s="124"/>
      <c r="BG1018" s="124"/>
    </row>
    <row r="1019" spans="1:59" ht="16.5" customHeight="1" x14ac:dyDescent="0.2">
      <c r="A1019" s="112">
        <f>$A$1016+7</f>
        <v>194</v>
      </c>
      <c r="B1019" s="112" t="s">
        <v>993</v>
      </c>
      <c r="C1019" s="112" t="s">
        <v>90</v>
      </c>
      <c r="D1019" s="112"/>
      <c r="E1019" s="112"/>
      <c r="F1019" s="112"/>
      <c r="G1019" s="112" t="s">
        <v>406</v>
      </c>
      <c r="H1019" s="112"/>
      <c r="I1019" s="112"/>
      <c r="J1019" s="112" t="b">
        <f t="shared" si="152"/>
        <v>1</v>
      </c>
      <c r="K1019" s="112" t="b">
        <v>1</v>
      </c>
      <c r="L1019" s="112"/>
      <c r="M1019" s="112"/>
      <c r="N1019" s="112"/>
      <c r="O1019" s="112" t="str">
        <f t="shared" si="153"/>
        <v>$B$194</v>
      </c>
      <c r="P1019" s="112" t="str">
        <f>"$S$"&amp;A1030</f>
        <v>$S$201</v>
      </c>
      <c r="Q1019" s="112"/>
      <c r="R1019" s="112"/>
      <c r="S1019" s="112"/>
      <c r="T1019" s="112"/>
      <c r="U1019" s="112"/>
      <c r="V1019" s="112" t="s">
        <v>1342</v>
      </c>
      <c r="W1019" s="112"/>
      <c r="X1019" s="112"/>
      <c r="Y1019" s="112"/>
      <c r="Z1019" s="112"/>
      <c r="AA1019" s="112"/>
      <c r="AB1019" s="112"/>
      <c r="AC1019" s="112"/>
      <c r="AD1019" s="112" t="s">
        <v>105</v>
      </c>
      <c r="AE1019" s="112">
        <v>12</v>
      </c>
      <c r="AF1019" s="112" t="b">
        <v>1</v>
      </c>
      <c r="AG1019" s="112" t="s">
        <v>1355</v>
      </c>
      <c r="AH1019" s="112" t="s">
        <v>29</v>
      </c>
      <c r="AI1019" s="112" t="s">
        <v>28</v>
      </c>
      <c r="AJ1019" s="112"/>
      <c r="AK1019" s="112"/>
      <c r="AL1019" s="112"/>
      <c r="AM1019" s="112"/>
      <c r="AN1019" s="112"/>
      <c r="AO1019" s="112"/>
      <c r="AP1019" s="112"/>
    </row>
    <row r="1020" spans="1:59" ht="16.5" customHeight="1" x14ac:dyDescent="0.2">
      <c r="A1020" s="113">
        <f>$A$1019+0</f>
        <v>194</v>
      </c>
      <c r="B1020" s="113" t="s">
        <v>994</v>
      </c>
      <c r="C1020" s="113" t="s">
        <v>92</v>
      </c>
      <c r="D1020" s="113"/>
      <c r="E1020" s="113"/>
      <c r="F1020" s="113"/>
      <c r="G1020" s="113" t="s">
        <v>406</v>
      </c>
      <c r="H1020" s="113"/>
      <c r="I1020" s="113"/>
      <c r="J1020" s="113" t="b">
        <f t="shared" si="152"/>
        <v>1</v>
      </c>
      <c r="K1020" s="113" t="b">
        <v>1</v>
      </c>
      <c r="L1020" s="113"/>
      <c r="M1020" s="113"/>
      <c r="N1020" s="113"/>
      <c r="O1020" s="113" t="str">
        <f t="shared" si="153"/>
        <v>$B$194</v>
      </c>
      <c r="P1020" s="113" t="str">
        <f>"$S$"&amp;A1020</f>
        <v>$S$194</v>
      </c>
      <c r="Q1020" s="113"/>
      <c r="R1020" s="113"/>
      <c r="S1020" s="113"/>
      <c r="T1020" s="113">
        <v>52</v>
      </c>
      <c r="U1020" s="113"/>
      <c r="V1020" s="113" t="s">
        <v>1342</v>
      </c>
      <c r="W1020" s="113"/>
      <c r="X1020" s="113"/>
      <c r="Y1020" s="113"/>
      <c r="Z1020" s="113"/>
      <c r="AA1020" s="113"/>
      <c r="AB1020" s="113"/>
      <c r="AC1020" s="113"/>
      <c r="AD1020" s="113"/>
      <c r="AE1020" s="113"/>
      <c r="AF1020" s="113"/>
      <c r="AG1020" s="113"/>
      <c r="AH1020" s="113"/>
      <c r="AI1020" s="113"/>
      <c r="AJ1020" s="113"/>
      <c r="AK1020" s="113"/>
      <c r="AL1020" s="113">
        <v>1</v>
      </c>
      <c r="AM1020" s="113"/>
      <c r="AN1020" s="113"/>
      <c r="AO1020" s="113"/>
      <c r="AP1020" s="113" t="b">
        <v>1</v>
      </c>
      <c r="AQ1020" s="359" t="str">
        <f>"Tabel 1.11: "&amp;IF(MasterSheet_f_FP_CfgGroup1R3_VS,"Program","Projekt")&amp;"udgifter (hovedforudsætninger)"</f>
        <v>Tabel 1.11: Projektudgifter (hovedforudsætninger)</v>
      </c>
      <c r="AR1020" s="359"/>
      <c r="AS1020" s="359"/>
      <c r="AT1020" s="359"/>
      <c r="AU1020" s="359"/>
      <c r="AV1020" s="359"/>
      <c r="AW1020" s="359"/>
      <c r="AX1020" s="359"/>
      <c r="AY1020" s="359"/>
      <c r="AZ1020" s="359"/>
      <c r="BA1020" s="359"/>
      <c r="BB1020" s="359"/>
      <c r="BC1020" s="124"/>
      <c r="BD1020" s="124"/>
      <c r="BE1020" s="124"/>
      <c r="BF1020" s="124"/>
      <c r="BG1020" s="124"/>
    </row>
    <row r="1021" spans="1:59" ht="16.5" customHeight="1" thickBot="1" x14ac:dyDescent="0.25">
      <c r="A1021" s="113">
        <f>$A$1019+1</f>
        <v>195</v>
      </c>
      <c r="B1021" s="113" t="s">
        <v>995</v>
      </c>
      <c r="C1021" s="113" t="s">
        <v>92</v>
      </c>
      <c r="D1021" s="113"/>
      <c r="E1021" s="113"/>
      <c r="F1021" s="113"/>
      <c r="G1021" s="113" t="s">
        <v>406</v>
      </c>
      <c r="H1021" s="113"/>
      <c r="I1021" s="113"/>
      <c r="J1021" s="113" t="b">
        <f t="shared" si="152"/>
        <v>1</v>
      </c>
      <c r="K1021" s="113" t="b">
        <v>1</v>
      </c>
      <c r="L1021" s="113"/>
      <c r="M1021" s="113"/>
      <c r="N1021" s="113"/>
      <c r="O1021" s="113" t="str">
        <f t="shared" si="153"/>
        <v>$B$195</v>
      </c>
      <c r="P1021" s="113" t="str">
        <f>"$S$"&amp;A1021</f>
        <v>$S$195</v>
      </c>
      <c r="Q1021" s="113"/>
      <c r="R1021" s="113"/>
      <c r="S1021" s="113"/>
      <c r="T1021" s="113">
        <v>52</v>
      </c>
      <c r="U1021" s="113"/>
      <c r="V1021" s="113" t="s">
        <v>1342</v>
      </c>
      <c r="W1021" s="113"/>
      <c r="X1021" s="113"/>
      <c r="Y1021" s="113"/>
      <c r="Z1021" s="113"/>
      <c r="AA1021" s="113"/>
      <c r="AB1021" s="113"/>
      <c r="AC1021" s="113"/>
      <c r="AD1021" s="113"/>
      <c r="AE1021" s="113"/>
      <c r="AF1021" s="113"/>
      <c r="AG1021" s="113"/>
      <c r="AH1021" s="113"/>
      <c r="AI1021" s="113"/>
      <c r="AJ1021" s="113"/>
      <c r="AK1021" s="113"/>
      <c r="AL1021" s="113">
        <v>1</v>
      </c>
      <c r="AM1021" s="113"/>
      <c r="AN1021" s="113"/>
      <c r="AO1021" s="113"/>
      <c r="AP1021" s="113" t="b">
        <v>1</v>
      </c>
      <c r="AQ1021" s="174" t="str">
        <f>IF(MasterSheet_f_FP_CfgGroup1R3_VS,"Program","Projekt")&amp;"udgifter (hovedforudsætninger), mio. kr."</f>
        <v>Projektudgifter (hovedforudsætninger), mio. kr.</v>
      </c>
      <c r="AR1021" s="171" t="s">
        <v>413</v>
      </c>
      <c r="AS1021" s="466" t="s">
        <v>309</v>
      </c>
      <c r="AT1021" s="467"/>
      <c r="AU1021" s="466" t="s">
        <v>317</v>
      </c>
      <c r="AV1021" s="467"/>
      <c r="AW1021" s="466" t="s">
        <v>1608</v>
      </c>
      <c r="AX1021" s="467"/>
      <c r="AY1021" s="466" t="s">
        <v>1624</v>
      </c>
      <c r="AZ1021" s="467"/>
      <c r="BA1021" s="466" t="s">
        <v>1609</v>
      </c>
      <c r="BB1021" s="467"/>
      <c r="BC1021" s="124"/>
      <c r="BD1021" s="124"/>
      <c r="BE1021" s="124"/>
      <c r="BF1021" s="124"/>
      <c r="BG1021" s="124"/>
    </row>
    <row r="1022" spans="1:59" ht="16.5" customHeight="1" x14ac:dyDescent="0.2">
      <c r="A1022" s="113">
        <f>$A$1019+2</f>
        <v>196</v>
      </c>
      <c r="B1022" s="113" t="s">
        <v>1429</v>
      </c>
      <c r="C1022" s="113" t="s">
        <v>92</v>
      </c>
      <c r="D1022" s="113"/>
      <c r="E1022" s="113"/>
      <c r="F1022" s="113"/>
      <c r="G1022" s="113" t="s">
        <v>406</v>
      </c>
      <c r="H1022" s="113"/>
      <c r="I1022" s="113"/>
      <c r="J1022" s="113" t="b">
        <f t="shared" si="152"/>
        <v>1</v>
      </c>
      <c r="K1022" s="113" t="b">
        <v>1</v>
      </c>
      <c r="L1022" s="113"/>
      <c r="M1022" s="113"/>
      <c r="N1022" s="113"/>
      <c r="O1022" s="113" t="str">
        <f t="shared" si="153"/>
        <v>$B$196</v>
      </c>
      <c r="P1022" s="113" t="str">
        <f>"$S$"&amp;A1022</f>
        <v>$S$196</v>
      </c>
      <c r="Q1022" s="113"/>
      <c r="R1022" s="113"/>
      <c r="S1022" s="113"/>
      <c r="T1022" s="113">
        <v>2</v>
      </c>
      <c r="U1022" s="113"/>
      <c r="V1022" s="113" t="s">
        <v>1342</v>
      </c>
      <c r="W1022" s="113"/>
      <c r="X1022" s="113"/>
      <c r="Y1022" s="113"/>
      <c r="Z1022" s="113"/>
      <c r="AA1022" s="113"/>
      <c r="AB1022" s="113"/>
      <c r="AC1022" s="113"/>
      <c r="AD1022" s="113"/>
      <c r="AE1022" s="113"/>
      <c r="AF1022" s="113"/>
      <c r="AG1022" s="113"/>
      <c r="AH1022" s="113"/>
      <c r="AI1022" s="113"/>
      <c r="AJ1022" s="113"/>
      <c r="AK1022" s="113"/>
      <c r="AL1022" s="113">
        <v>1</v>
      </c>
      <c r="AM1022" s="113"/>
      <c r="AN1022" s="113"/>
      <c r="AO1022" s="113"/>
      <c r="AP1022" s="113" t="b">
        <v>1</v>
      </c>
      <c r="AQ1022" s="146"/>
      <c r="AR1022" s="279"/>
      <c r="AS1022" s="366"/>
      <c r="AT1022" s="367"/>
      <c r="AU1022" s="366"/>
      <c r="AV1022" s="367"/>
      <c r="AW1022" s="366"/>
      <c r="AX1022" s="367"/>
      <c r="AY1022" s="366"/>
      <c r="AZ1022" s="367"/>
      <c r="BA1022" s="366"/>
      <c r="BB1022" s="367"/>
      <c r="BC1022" s="124"/>
      <c r="BD1022" s="124"/>
      <c r="BE1022" s="124"/>
      <c r="BF1022" s="124"/>
      <c r="BG1022" s="124"/>
    </row>
    <row r="1023" spans="1:59" ht="16.5" customHeight="1" x14ac:dyDescent="0.2">
      <c r="A1023" s="113">
        <f>$A$1019+3</f>
        <v>197</v>
      </c>
      <c r="B1023" s="113" t="s">
        <v>1430</v>
      </c>
      <c r="C1023" s="113" t="s">
        <v>92</v>
      </c>
      <c r="D1023" s="113"/>
      <c r="E1023" s="113"/>
      <c r="F1023" s="113"/>
      <c r="G1023" s="113" t="s">
        <v>406</v>
      </c>
      <c r="H1023" s="113"/>
      <c r="I1023" s="113"/>
      <c r="J1023" s="113" t="b">
        <f t="shared" si="152"/>
        <v>1</v>
      </c>
      <c r="K1023" s="113" t="b">
        <v>1</v>
      </c>
      <c r="L1023" s="113"/>
      <c r="M1023" s="113"/>
      <c r="N1023" s="113"/>
      <c r="O1023" s="113" t="str">
        <f t="shared" si="153"/>
        <v>$B$197</v>
      </c>
      <c r="P1023" s="113" t="str">
        <f>"$S$"&amp;A1023</f>
        <v>$S$197</v>
      </c>
      <c r="Q1023" s="113"/>
      <c r="R1023" s="113"/>
      <c r="S1023" s="113"/>
      <c r="T1023" s="113">
        <v>2</v>
      </c>
      <c r="U1023" s="113"/>
      <c r="V1023" s="113" t="s">
        <v>1342</v>
      </c>
      <c r="W1023" s="113"/>
      <c r="X1023" s="113"/>
      <c r="Y1023" s="113"/>
      <c r="Z1023" s="113"/>
      <c r="AA1023" s="113"/>
      <c r="AB1023" s="113"/>
      <c r="AC1023" s="113"/>
      <c r="AD1023" s="113"/>
      <c r="AE1023" s="113"/>
      <c r="AF1023" s="113"/>
      <c r="AG1023" s="113"/>
      <c r="AH1023" s="113"/>
      <c r="AI1023" s="113"/>
      <c r="AJ1023" s="113"/>
      <c r="AK1023" s="113"/>
      <c r="AL1023" s="113">
        <v>1</v>
      </c>
      <c r="AM1023" s="113"/>
      <c r="AN1023" s="113"/>
      <c r="AO1023" s="113"/>
      <c r="AP1023" s="113" t="b">
        <v>1</v>
      </c>
      <c r="AQ1023" s="147"/>
      <c r="AR1023" s="280"/>
      <c r="AS1023" s="362"/>
      <c r="AT1023" s="363"/>
      <c r="AU1023" s="362"/>
      <c r="AV1023" s="363"/>
      <c r="AW1023" s="362"/>
      <c r="AX1023" s="363"/>
      <c r="AY1023" s="362"/>
      <c r="AZ1023" s="363"/>
      <c r="BA1023" s="362"/>
      <c r="BB1023" s="363"/>
      <c r="BC1023" s="124"/>
      <c r="BD1023" s="124"/>
      <c r="BE1023" s="124"/>
      <c r="BF1023" s="124"/>
      <c r="BG1023" s="124"/>
    </row>
    <row r="1024" spans="1:59" ht="16.5" customHeight="1" x14ac:dyDescent="0.2">
      <c r="A1024" s="107">
        <f>$A$1019+4</f>
        <v>198</v>
      </c>
      <c r="B1024" s="107" t="s">
        <v>1118</v>
      </c>
      <c r="C1024" s="107" t="s">
        <v>663</v>
      </c>
      <c r="D1024" s="107"/>
      <c r="E1024" s="107"/>
      <c r="F1024" s="107"/>
      <c r="G1024" s="107" t="s">
        <v>406</v>
      </c>
      <c r="H1024" s="107">
        <v>2</v>
      </c>
      <c r="I1024" s="107">
        <v>1</v>
      </c>
      <c r="J1024" s="107" t="b">
        <f t="shared" si="152"/>
        <v>1</v>
      </c>
      <c r="K1024" s="107"/>
      <c r="L1024" s="107"/>
      <c r="M1024" s="107"/>
      <c r="N1024" s="107"/>
      <c r="O1024" s="107">
        <f>A1024</f>
        <v>198</v>
      </c>
      <c r="P1024" s="107">
        <f>O1024</f>
        <v>198</v>
      </c>
      <c r="Q1024" s="107"/>
      <c r="R1024" s="107"/>
      <c r="S1024" s="107"/>
      <c r="T1024" s="107"/>
      <c r="U1024" s="107"/>
      <c r="V1024" s="107"/>
      <c r="W1024" s="107"/>
      <c r="X1024" s="107"/>
      <c r="Y1024" s="107"/>
      <c r="Z1024" s="107"/>
      <c r="AA1024" s="107"/>
      <c r="AB1024" s="107"/>
      <c r="AC1024" s="107"/>
      <c r="AD1024" s="107"/>
      <c r="AE1024" s="107"/>
      <c r="AF1024" s="107"/>
      <c r="AG1024" s="107"/>
      <c r="AH1024" s="107"/>
      <c r="AI1024" s="107"/>
      <c r="AJ1024" s="107"/>
      <c r="AK1024" s="107"/>
      <c r="AL1024" s="107"/>
      <c r="AM1024" s="107"/>
      <c r="AN1024" s="107"/>
      <c r="AO1024" s="107"/>
      <c r="AP1024" s="107" t="s">
        <v>1117</v>
      </c>
      <c r="AQ1024" s="149" t="str">
        <f>AQ1026</f>
        <v>[Hovedforudsætninger]</v>
      </c>
      <c r="AR1024" s="278"/>
      <c r="AS1024" s="278"/>
      <c r="AT1024" s="278"/>
      <c r="AU1024" s="278"/>
      <c r="AV1024" s="278"/>
      <c r="AW1024" s="278"/>
      <c r="AX1024" s="278"/>
      <c r="AY1024" s="278"/>
      <c r="AZ1024" s="278"/>
      <c r="BA1024" s="278"/>
      <c r="BB1024" s="278"/>
    </row>
    <row r="1025" spans="1:97" ht="16.5" customHeight="1" x14ac:dyDescent="0.2">
      <c r="A1025" s="108">
        <f>$A$1024+0</f>
        <v>198</v>
      </c>
      <c r="B1025" s="113" t="s">
        <v>1119</v>
      </c>
      <c r="C1025" s="113" t="s">
        <v>92</v>
      </c>
      <c r="D1025" s="113"/>
      <c r="E1025" s="113" t="s">
        <v>1118</v>
      </c>
      <c r="F1025" s="113"/>
      <c r="G1025" s="113" t="s">
        <v>406</v>
      </c>
      <c r="H1025" s="113"/>
      <c r="I1025" s="113"/>
      <c r="J1025" s="113"/>
      <c r="K1025" s="113" t="b">
        <v>1</v>
      </c>
      <c r="L1025" s="113"/>
      <c r="M1025" s="113"/>
      <c r="N1025" s="113"/>
      <c r="O1025" s="113" t="str">
        <f t="shared" ref="O1025" si="154">"$B$"&amp;A1025</f>
        <v>$B$198</v>
      </c>
      <c r="P1025" s="113" t="str">
        <f t="shared" ref="P1025" si="155">"$S$"&amp;A1025</f>
        <v>$S$198</v>
      </c>
      <c r="Q1025" s="113"/>
      <c r="R1025" s="113"/>
      <c r="S1025" s="113"/>
      <c r="T1025" s="113"/>
      <c r="U1025" s="113" t="b">
        <v>1</v>
      </c>
      <c r="V1025" s="113" t="s">
        <v>1342</v>
      </c>
      <c r="W1025" s="113" t="s">
        <v>1342</v>
      </c>
      <c r="X1025" s="113"/>
      <c r="Y1025" s="113"/>
      <c r="Z1025" s="113"/>
      <c r="AA1025" s="113"/>
      <c r="AB1025" s="113"/>
      <c r="AC1025" s="113">
        <v>5</v>
      </c>
      <c r="AD1025" s="113" t="s">
        <v>105</v>
      </c>
      <c r="AE1025" s="113"/>
      <c r="AF1025" s="113"/>
      <c r="AG1025" s="113" t="s">
        <v>1360</v>
      </c>
      <c r="AH1025" s="113" t="s">
        <v>29</v>
      </c>
      <c r="AI1025" s="113" t="s">
        <v>28</v>
      </c>
      <c r="AJ1025" s="113"/>
      <c r="AK1025" s="113" t="s">
        <v>1342</v>
      </c>
      <c r="AL1025" s="113">
        <v>5</v>
      </c>
      <c r="AM1025" s="113"/>
      <c r="AN1025" s="113"/>
      <c r="AO1025" s="113"/>
      <c r="AP1025" s="113" t="b">
        <v>1</v>
      </c>
      <c r="AQ1025" s="147" t="s">
        <v>1117</v>
      </c>
      <c r="AR1025" s="281">
        <f t="shared" ref="AR1025" si="156">SUM(AS1025:BB1025)</f>
        <v>0</v>
      </c>
      <c r="AS1025" s="362"/>
      <c r="AT1025" s="363"/>
      <c r="AU1025" s="362"/>
      <c r="AV1025" s="363"/>
      <c r="AW1025" s="362"/>
      <c r="AX1025" s="363"/>
      <c r="AY1025" s="362"/>
      <c r="AZ1025" s="363"/>
      <c r="BA1025" s="362"/>
      <c r="BB1025" s="363"/>
      <c r="BC1025" s="124"/>
      <c r="BD1025" s="124"/>
      <c r="BE1025" s="124"/>
      <c r="BF1025" s="124"/>
      <c r="BG1025" s="124"/>
    </row>
    <row r="1026" spans="1:97" ht="16.5" customHeight="1" x14ac:dyDescent="0.2">
      <c r="A1026" s="113">
        <f>$A$1024+0+0</f>
        <v>198</v>
      </c>
      <c r="B1026" s="113" t="s">
        <v>1492</v>
      </c>
      <c r="C1026" s="113" t="s">
        <v>92</v>
      </c>
      <c r="D1026" s="113"/>
      <c r="E1026" s="113" t="s">
        <v>1118</v>
      </c>
      <c r="F1026" s="113"/>
      <c r="G1026" s="113" t="s">
        <v>406</v>
      </c>
      <c r="H1026" s="113">
        <v>1</v>
      </c>
      <c r="I1026" s="113"/>
      <c r="J1026" s="113" t="b">
        <f>$H$5</f>
        <v>1</v>
      </c>
      <c r="K1026" s="113" t="b">
        <v>1</v>
      </c>
      <c r="L1026" s="113"/>
      <c r="M1026" s="113"/>
      <c r="N1026" s="113"/>
      <c r="O1026" s="113" t="str">
        <f t="shared" ref="O1026" si="157">"$B$"&amp;A1026</f>
        <v>$B$198</v>
      </c>
      <c r="P1026" s="113" t="str">
        <f t="shared" ref="P1026" si="158">"$S$"&amp;A1026</f>
        <v>$S$198</v>
      </c>
      <c r="Q1026" s="113"/>
      <c r="R1026" s="113"/>
      <c r="S1026" s="113"/>
      <c r="T1026" s="113"/>
      <c r="U1026" s="113" t="b">
        <v>1</v>
      </c>
      <c r="V1026" s="113" t="s">
        <v>1342</v>
      </c>
      <c r="W1026" s="113" t="s">
        <v>1342</v>
      </c>
      <c r="X1026" s="113"/>
      <c r="Y1026" s="113"/>
      <c r="Z1026" s="113"/>
      <c r="AA1026" s="113"/>
      <c r="AB1026" s="113"/>
      <c r="AC1026" s="113">
        <v>5</v>
      </c>
      <c r="AD1026" s="113" t="s">
        <v>105</v>
      </c>
      <c r="AE1026" s="113"/>
      <c r="AF1026" s="113"/>
      <c r="AG1026" s="113" t="s">
        <v>1360</v>
      </c>
      <c r="AH1026" s="113" t="s">
        <v>29</v>
      </c>
      <c r="AI1026" s="113" t="s">
        <v>28</v>
      </c>
      <c r="AJ1026" s="113"/>
      <c r="AK1026" s="113" t="s">
        <v>1342</v>
      </c>
      <c r="AL1026" s="113">
        <v>5</v>
      </c>
      <c r="AM1026" s="113"/>
      <c r="AN1026" s="113"/>
      <c r="AO1026" s="113"/>
      <c r="AP1026" s="113" t="b">
        <v>1</v>
      </c>
      <c r="AQ1026" s="147" t="s">
        <v>1117</v>
      </c>
      <c r="AR1026" s="281">
        <f t="shared" ref="AR1026" si="159">SUM(AS1026:BB1026)</f>
        <v>0</v>
      </c>
      <c r="AS1026" s="362"/>
      <c r="AT1026" s="363"/>
      <c r="AU1026" s="362"/>
      <c r="AV1026" s="363"/>
      <c r="AW1026" s="362"/>
      <c r="AX1026" s="363"/>
      <c r="AY1026" s="362"/>
      <c r="AZ1026" s="363"/>
      <c r="BA1026" s="362"/>
      <c r="BB1026" s="363"/>
      <c r="BC1026" s="124"/>
      <c r="BD1026" s="124"/>
      <c r="BE1026" s="124"/>
      <c r="BF1026" s="124"/>
      <c r="BG1026" s="124"/>
    </row>
    <row r="1027" spans="1:97" ht="16.5" customHeight="1" x14ac:dyDescent="0.2">
      <c r="A1027" s="107">
        <f>$O$1024+(P1024-O1024+1)*(H1024-1)-1</f>
        <v>198</v>
      </c>
      <c r="B1027" s="107" t="s">
        <v>1118</v>
      </c>
      <c r="C1027" s="107" t="s">
        <v>663</v>
      </c>
      <c r="D1027" s="107" t="s">
        <v>1096</v>
      </c>
      <c r="E1027" s="107"/>
      <c r="F1027" s="107"/>
      <c r="G1027" s="107" t="s">
        <v>406</v>
      </c>
      <c r="H1027" s="107"/>
      <c r="I1027" s="107"/>
      <c r="J1027" s="107" t="b">
        <f t="shared" ref="J1027" si="160">$H$5</f>
        <v>1</v>
      </c>
      <c r="K1027" s="107"/>
      <c r="L1027" s="107"/>
      <c r="M1027" s="107"/>
      <c r="N1027" s="107"/>
      <c r="O1027" s="107"/>
      <c r="P1027" s="107"/>
      <c r="Q1027" s="107"/>
      <c r="R1027" s="107"/>
      <c r="S1027" s="107"/>
      <c r="T1027" s="107"/>
      <c r="U1027" s="107"/>
      <c r="V1027" s="107"/>
      <c r="W1027" s="107"/>
      <c r="X1027" s="107"/>
      <c r="Y1027" s="107"/>
      <c r="Z1027" s="107"/>
      <c r="AA1027" s="107"/>
      <c r="AB1027" s="107"/>
      <c r="AC1027" s="107"/>
      <c r="AD1027" s="107"/>
      <c r="AE1027" s="107"/>
      <c r="AF1027" s="107"/>
      <c r="AG1027" s="107"/>
      <c r="AH1027" s="107"/>
      <c r="AI1027" s="107"/>
      <c r="AJ1027" s="107"/>
      <c r="AK1027" s="107"/>
      <c r="AL1027" s="107"/>
      <c r="AM1027" s="107"/>
      <c r="AN1027" s="107"/>
      <c r="AO1027" s="107"/>
      <c r="AP1027" s="107"/>
      <c r="AQ1027" s="149"/>
      <c r="AR1027" s="278"/>
      <c r="AS1027" s="278"/>
      <c r="AT1027" s="278"/>
      <c r="AU1027" s="278"/>
      <c r="AV1027" s="278"/>
      <c r="AW1027" s="278"/>
      <c r="AX1027" s="278"/>
      <c r="AY1027" s="278"/>
      <c r="AZ1027" s="278"/>
      <c r="BA1027" s="278"/>
      <c r="BB1027" s="278"/>
    </row>
    <row r="1028" spans="1:97" ht="16.5" customHeight="1" x14ac:dyDescent="0.2">
      <c r="A1028" s="113">
        <f>$A$1027+1</f>
        <v>199</v>
      </c>
      <c r="B1028" s="113" t="s">
        <v>996</v>
      </c>
      <c r="C1028" s="113" t="s">
        <v>92</v>
      </c>
      <c r="D1028" s="113"/>
      <c r="E1028" s="113"/>
      <c r="F1028" s="113"/>
      <c r="G1028" s="113" t="s">
        <v>406</v>
      </c>
      <c r="H1028" s="113"/>
      <c r="I1028" s="113"/>
      <c r="J1028" s="113" t="b">
        <f t="shared" ref="J1028:J1090" si="161">$H$5</f>
        <v>1</v>
      </c>
      <c r="K1028" s="113" t="b">
        <v>1</v>
      </c>
      <c r="L1028" s="113"/>
      <c r="M1028" s="113"/>
      <c r="N1028" s="113"/>
      <c r="O1028" s="113" t="str">
        <f>"$B$"&amp;A1028</f>
        <v>$B$199</v>
      </c>
      <c r="P1028" s="113" t="str">
        <f>"$S$"&amp;A1028</f>
        <v>$S$199</v>
      </c>
      <c r="Q1028" s="113"/>
      <c r="R1028" s="113"/>
      <c r="S1028" s="113"/>
      <c r="T1028" s="113"/>
      <c r="U1028" s="113"/>
      <c r="V1028" s="113" t="s">
        <v>1342</v>
      </c>
      <c r="W1028" s="113"/>
      <c r="X1028" s="113"/>
      <c r="Y1028" s="113"/>
      <c r="Z1028" s="113"/>
      <c r="AA1028" s="113"/>
      <c r="AB1028" s="113"/>
      <c r="AC1028" s="113"/>
      <c r="AD1028" s="113"/>
      <c r="AE1028" s="113"/>
      <c r="AF1028" s="113"/>
      <c r="AG1028" s="113"/>
      <c r="AH1028" s="113"/>
      <c r="AI1028" s="113"/>
      <c r="AJ1028" s="113"/>
      <c r="AK1028" s="113"/>
      <c r="AL1028" s="113">
        <v>1</v>
      </c>
      <c r="AM1028" s="113"/>
      <c r="AN1028" s="113"/>
      <c r="AO1028" s="113"/>
      <c r="AP1028" s="113" t="b">
        <v>1</v>
      </c>
      <c r="AQ1028" s="147" t="s">
        <v>411</v>
      </c>
      <c r="AR1028" s="281">
        <f>SUM(AS1028:BB1028)</f>
        <v>0</v>
      </c>
      <c r="AS1028" s="362"/>
      <c r="AT1028" s="363"/>
      <c r="AU1028" s="362"/>
      <c r="AV1028" s="363"/>
      <c r="AW1028" s="362"/>
      <c r="AX1028" s="363"/>
      <c r="AY1028" s="362"/>
      <c r="AZ1028" s="363"/>
      <c r="BA1028" s="362"/>
      <c r="BB1028" s="363"/>
      <c r="BC1028" s="124"/>
      <c r="BD1028" s="124"/>
      <c r="BE1028" s="124"/>
      <c r="BF1028" s="124"/>
      <c r="BG1028" s="124"/>
    </row>
    <row r="1029" spans="1:97" ht="16.5" customHeight="1" x14ac:dyDescent="0.2">
      <c r="A1029" s="113">
        <f>$A$1027+2</f>
        <v>200</v>
      </c>
      <c r="B1029" s="113" t="s">
        <v>997</v>
      </c>
      <c r="C1029" s="113" t="s">
        <v>92</v>
      </c>
      <c r="D1029" s="113"/>
      <c r="E1029" s="113"/>
      <c r="F1029" s="113"/>
      <c r="G1029" s="113" t="s">
        <v>406</v>
      </c>
      <c r="H1029" s="113"/>
      <c r="I1029" s="113"/>
      <c r="J1029" s="113" t="b">
        <f t="shared" si="161"/>
        <v>1</v>
      </c>
      <c r="K1029" s="113" t="b">
        <v>1</v>
      </c>
      <c r="L1029" s="113"/>
      <c r="M1029" s="113"/>
      <c r="N1029" s="113"/>
      <c r="O1029" s="113" t="str">
        <f>"$B$"&amp;A1029</f>
        <v>$B$200</v>
      </c>
      <c r="P1029" s="113" t="str">
        <f>"$S$"&amp;A1029</f>
        <v>$S$200</v>
      </c>
      <c r="Q1029" s="113"/>
      <c r="R1029" s="113"/>
      <c r="S1029" s="113"/>
      <c r="T1029" s="113"/>
      <c r="U1029" s="113"/>
      <c r="V1029" s="113" t="s">
        <v>1342</v>
      </c>
      <c r="W1029" s="113"/>
      <c r="X1029" s="113"/>
      <c r="Y1029" s="113"/>
      <c r="Z1029" s="113"/>
      <c r="AA1029" s="113"/>
      <c r="AB1029" s="113"/>
      <c r="AC1029" s="113"/>
      <c r="AD1029" s="113"/>
      <c r="AE1029" s="113"/>
      <c r="AF1029" s="113"/>
      <c r="AG1029" s="113"/>
      <c r="AH1029" s="113"/>
      <c r="AI1029" s="113"/>
      <c r="AJ1029" s="113"/>
      <c r="AK1029" s="113"/>
      <c r="AL1029" s="113">
        <v>1</v>
      </c>
      <c r="AM1029" s="113"/>
      <c r="AN1029" s="113"/>
      <c r="AO1029" s="113"/>
      <c r="AP1029" s="113" t="b">
        <v>1</v>
      </c>
      <c r="AQ1029" s="163" t="s">
        <v>417</v>
      </c>
      <c r="AR1029" s="281">
        <f>SUM(AS1029:BB1029)</f>
        <v>0</v>
      </c>
      <c r="AS1029" s="362"/>
      <c r="AT1029" s="363"/>
      <c r="AU1029" s="362"/>
      <c r="AV1029" s="363"/>
      <c r="AW1029" s="362"/>
      <c r="AX1029" s="363"/>
      <c r="AY1029" s="362"/>
      <c r="AZ1029" s="363"/>
      <c r="BA1029" s="362"/>
      <c r="BB1029" s="363"/>
      <c r="BC1029" s="124"/>
      <c r="BD1029" s="124"/>
      <c r="BE1029" s="124"/>
      <c r="BF1029" s="124"/>
      <c r="BG1029" s="124"/>
    </row>
    <row r="1030" spans="1:97" ht="16.5" customHeight="1" thickBot="1" x14ac:dyDescent="0.25">
      <c r="A1030" s="113">
        <f>$A$1027+3</f>
        <v>201</v>
      </c>
      <c r="B1030" s="113" t="s">
        <v>998</v>
      </c>
      <c r="C1030" s="113" t="s">
        <v>92</v>
      </c>
      <c r="D1030" s="113"/>
      <c r="E1030" s="113"/>
      <c r="F1030" s="113"/>
      <c r="G1030" s="113" t="s">
        <v>406</v>
      </c>
      <c r="H1030" s="113"/>
      <c r="I1030" s="113"/>
      <c r="J1030" s="113" t="b">
        <f t="shared" si="161"/>
        <v>1</v>
      </c>
      <c r="K1030" s="113" t="b">
        <v>1</v>
      </c>
      <c r="L1030" s="113"/>
      <c r="M1030" s="113"/>
      <c r="N1030" s="113"/>
      <c r="O1030" s="113" t="str">
        <f>"$B$"&amp;A1030</f>
        <v>$B$201</v>
      </c>
      <c r="P1030" s="113" t="str">
        <f>"$S$"&amp;A1030</f>
        <v>$S$201</v>
      </c>
      <c r="Q1030" s="113"/>
      <c r="R1030" s="113"/>
      <c r="S1030" s="113"/>
      <c r="T1030" s="113"/>
      <c r="U1030" s="113"/>
      <c r="V1030" s="113" t="s">
        <v>1342</v>
      </c>
      <c r="W1030" s="113"/>
      <c r="X1030" s="113"/>
      <c r="Y1030" s="113"/>
      <c r="Z1030" s="113"/>
      <c r="AA1030" s="113"/>
      <c r="AB1030" s="113"/>
      <c r="AC1030" s="113"/>
      <c r="AD1030" s="113"/>
      <c r="AE1030" s="113"/>
      <c r="AF1030" s="113"/>
      <c r="AG1030" s="113"/>
      <c r="AH1030" s="113"/>
      <c r="AI1030" s="113"/>
      <c r="AJ1030" s="113"/>
      <c r="AK1030" s="113"/>
      <c r="AL1030" s="113">
        <v>1</v>
      </c>
      <c r="AM1030" s="113"/>
      <c r="AN1030" s="113"/>
      <c r="AO1030" s="113"/>
      <c r="AP1030" s="113" t="b">
        <v>1</v>
      </c>
      <c r="AQ1030" s="164" t="str">
        <f>"Samlede "&amp;IF(MasterSheet_f_FP_CfgGroup1R3_VS,"program","projekt")&amp;"udgifter, ekskl. renter"</f>
        <v>Samlede projektudgifter, ekskl. renter</v>
      </c>
      <c r="AR1030" s="282">
        <f>SUM(AR1025:AR1029)</f>
        <v>0</v>
      </c>
      <c r="AS1030" s="545">
        <f>SUM(AS1025:AT1029)</f>
        <v>0</v>
      </c>
      <c r="AT1030" s="546"/>
      <c r="AU1030" s="545">
        <f>SUM(AU1025:AV1029)</f>
        <v>0</v>
      </c>
      <c r="AV1030" s="546"/>
      <c r="AW1030" s="545">
        <f>SUM(AW1025:AX1029)</f>
        <v>0</v>
      </c>
      <c r="AX1030" s="546"/>
      <c r="AY1030" s="545">
        <f>SUM(AY1025:AZ1029)</f>
        <v>0</v>
      </c>
      <c r="AZ1030" s="546"/>
      <c r="BA1030" s="545">
        <f>SUM(BA1025:BB1029)</f>
        <v>0</v>
      </c>
      <c r="BB1030" s="546"/>
      <c r="BC1030" s="124"/>
      <c r="BD1030" s="124"/>
      <c r="BE1030" s="124"/>
      <c r="BF1030" s="124"/>
      <c r="BG1030" s="124"/>
    </row>
    <row r="1031" spans="1:97" ht="16.5" customHeight="1" x14ac:dyDescent="0.2">
      <c r="A1031" s="81">
        <f>$A$1027+2</f>
        <v>200</v>
      </c>
      <c r="B1031" s="81" t="s">
        <v>1014</v>
      </c>
      <c r="C1031" s="81" t="s">
        <v>512</v>
      </c>
      <c r="D1031" s="81" t="s">
        <v>903</v>
      </c>
      <c r="E1031" s="81"/>
      <c r="F1031" s="81"/>
      <c r="G1031" s="81" t="s">
        <v>406</v>
      </c>
      <c r="H1031" s="81"/>
      <c r="I1031" s="81"/>
      <c r="J1031" s="81" t="b">
        <f t="shared" si="161"/>
        <v>1</v>
      </c>
      <c r="K1031" s="81" t="b">
        <v>1</v>
      </c>
      <c r="L1031" s="81" t="b">
        <v>1</v>
      </c>
      <c r="M1031" s="81"/>
      <c r="N1031" s="81" t="s">
        <v>59</v>
      </c>
      <c r="O1031" s="81" t="str">
        <f>"$A$"&amp;A1029</f>
        <v>$A$200</v>
      </c>
      <c r="P1031" s="81" t="str">
        <f>"$A$"&amp;A1029</f>
        <v>$A$200</v>
      </c>
      <c r="Q1031" s="81"/>
      <c r="R1031" s="81">
        <v>1</v>
      </c>
      <c r="S1031" s="81">
        <v>20</v>
      </c>
      <c r="T1031" s="81"/>
      <c r="U1031" s="81" t="b">
        <f>$I$5</f>
        <v>0</v>
      </c>
      <c r="V1031" s="81" t="s">
        <v>1351</v>
      </c>
      <c r="W1031" s="81" t="s">
        <v>1351</v>
      </c>
      <c r="X1031" s="81"/>
      <c r="Y1031" s="81"/>
      <c r="Z1031" s="81"/>
      <c r="AA1031" s="81"/>
      <c r="AB1031" s="81"/>
      <c r="AC1031" s="81"/>
      <c r="AD1031" s="81"/>
      <c r="AE1031" s="81"/>
      <c r="AF1031" s="81"/>
      <c r="AG1031" s="81"/>
      <c r="AH1031" s="81"/>
      <c r="AI1031" s="81"/>
      <c r="AJ1031" s="81"/>
      <c r="AK1031" s="81"/>
      <c r="AL1031" s="81">
        <v>10</v>
      </c>
      <c r="AM1031" s="81">
        <v>5</v>
      </c>
      <c r="AN1031" s="81"/>
      <c r="AO1031" s="81"/>
      <c r="AP1031" s="81"/>
    </row>
    <row r="1032" spans="1:97" ht="16.5" customHeight="1" x14ac:dyDescent="0.2">
      <c r="A1032" s="103">
        <f>$A$1027+6</f>
        <v>204</v>
      </c>
      <c r="B1032" s="103" t="s">
        <v>506</v>
      </c>
      <c r="C1032" s="103" t="s">
        <v>654</v>
      </c>
      <c r="D1032" s="103"/>
      <c r="E1032" s="103"/>
      <c r="F1032" s="103"/>
      <c r="G1032" s="103" t="s">
        <v>406</v>
      </c>
      <c r="H1032" s="103"/>
      <c r="I1032" s="103" t="s">
        <v>442</v>
      </c>
      <c r="J1032" s="103" t="b">
        <f t="shared" si="161"/>
        <v>1</v>
      </c>
      <c r="K1032" s="103" t="b">
        <v>1</v>
      </c>
      <c r="L1032" s="103"/>
      <c r="M1032" s="103"/>
      <c r="N1032" s="103" t="s">
        <v>59</v>
      </c>
      <c r="O1032" s="103" t="str">
        <f>"$B$"&amp;A1032</f>
        <v>$B$204</v>
      </c>
      <c r="P1032" s="103" t="str">
        <f>"$S$"&amp;A1049-1</f>
        <v>$S$221</v>
      </c>
      <c r="Q1032" s="103"/>
      <c r="R1032" s="103">
        <v>1</v>
      </c>
      <c r="S1032" s="103"/>
      <c r="T1032" s="103">
        <v>27</v>
      </c>
      <c r="U1032" s="103" t="b">
        <v>1</v>
      </c>
      <c r="V1032" s="103" t="s">
        <v>1352</v>
      </c>
      <c r="W1032" s="103" t="s">
        <v>1352</v>
      </c>
      <c r="X1032" s="103"/>
      <c r="Y1032" s="103"/>
      <c r="Z1032" s="103"/>
      <c r="AA1032" s="103"/>
      <c r="AB1032" s="103"/>
      <c r="AC1032" s="103">
        <v>7</v>
      </c>
      <c r="AD1032" s="103" t="s">
        <v>105</v>
      </c>
      <c r="AE1032" s="103">
        <v>20</v>
      </c>
      <c r="AF1032" s="103" t="b">
        <v>1</v>
      </c>
      <c r="AG1032" s="103" t="s">
        <v>1351</v>
      </c>
      <c r="AH1032" s="103" t="s">
        <v>29</v>
      </c>
      <c r="AI1032" s="103" t="s">
        <v>28</v>
      </c>
      <c r="AJ1032" s="103"/>
      <c r="AK1032" s="103"/>
      <c r="AL1032" s="103">
        <v>0</v>
      </c>
      <c r="AM1032" s="103"/>
      <c r="AN1032" s="103"/>
      <c r="AO1032" s="103"/>
      <c r="AP1032" s="103"/>
      <c r="AQ1032" s="93" t="s">
        <v>442</v>
      </c>
    </row>
    <row r="1033" spans="1:97" ht="16.5" customHeight="1" x14ac:dyDescent="0.2">
      <c r="A1033" s="81">
        <f>$A$1032+0</f>
        <v>204</v>
      </c>
      <c r="B1033" s="81" t="s">
        <v>999</v>
      </c>
      <c r="C1033" s="81" t="s">
        <v>512</v>
      </c>
      <c r="D1033" s="81" t="s">
        <v>900</v>
      </c>
      <c r="E1033" s="81"/>
      <c r="F1033" s="81"/>
      <c r="G1033" s="81" t="s">
        <v>406</v>
      </c>
      <c r="H1033" s="81"/>
      <c r="I1033" s="81"/>
      <c r="J1033" s="81" t="b">
        <f t="shared" si="161"/>
        <v>1</v>
      </c>
      <c r="K1033" s="81" t="b">
        <v>1</v>
      </c>
      <c r="L1033" s="81" t="b">
        <v>1</v>
      </c>
      <c r="M1033" s="81"/>
      <c r="N1033" s="81" t="s">
        <v>59</v>
      </c>
      <c r="O1033" s="81" t="str">
        <f>"$A$"&amp;A1033</f>
        <v>$A$204</v>
      </c>
      <c r="P1033" s="81" t="str">
        <f>"$A$"&amp;A1049-1</f>
        <v>$A$221</v>
      </c>
      <c r="Q1033" s="81"/>
      <c r="R1033" s="81">
        <v>1</v>
      </c>
      <c r="S1033" s="81">
        <v>20</v>
      </c>
      <c r="T1033" s="81"/>
      <c r="U1033" s="81" t="b">
        <f>$I$5</f>
        <v>0</v>
      </c>
      <c r="V1033" s="81" t="s">
        <v>1350</v>
      </c>
      <c r="W1033" s="81" t="s">
        <v>1350</v>
      </c>
      <c r="X1033" s="81"/>
      <c r="Y1033" s="81"/>
      <c r="Z1033" s="81"/>
      <c r="AA1033" s="81"/>
      <c r="AB1033" s="81"/>
      <c r="AC1033" s="81"/>
      <c r="AD1033" s="81"/>
      <c r="AE1033" s="81"/>
      <c r="AF1033" s="81"/>
      <c r="AG1033" s="81"/>
      <c r="AH1033" s="81"/>
      <c r="AI1033" s="81"/>
      <c r="AJ1033" s="81"/>
      <c r="AK1033" s="81"/>
      <c r="AL1033" s="81">
        <v>10</v>
      </c>
      <c r="AM1033" s="81">
        <v>5</v>
      </c>
      <c r="AN1033" s="81"/>
      <c r="AO1033" s="81"/>
      <c r="AP1033" s="81"/>
    </row>
    <row r="1034" spans="1:97" ht="16.5" customHeight="1" x14ac:dyDescent="0.2">
      <c r="A1034" s="112">
        <f>$A$1032+2</f>
        <v>206</v>
      </c>
      <c r="B1034" s="112" t="s">
        <v>571</v>
      </c>
      <c r="C1034" s="112" t="s">
        <v>90</v>
      </c>
      <c r="D1034" s="112"/>
      <c r="E1034" s="112"/>
      <c r="F1034" s="112"/>
      <c r="G1034" s="112" t="s">
        <v>406</v>
      </c>
      <c r="H1034" s="112"/>
      <c r="I1034" s="112"/>
      <c r="J1034" s="112" t="b">
        <f t="shared" si="161"/>
        <v>1</v>
      </c>
      <c r="K1034" s="112" t="b">
        <v>1</v>
      </c>
      <c r="L1034" s="112"/>
      <c r="M1034" s="112"/>
      <c r="N1034" s="112"/>
      <c r="O1034" s="112" t="str">
        <f t="shared" ref="O1034:O1049" si="162">"$B$"&amp;A1034</f>
        <v>$B$206</v>
      </c>
      <c r="P1034" s="112" t="str">
        <f>"$BK$"&amp;A1048</f>
        <v>$BK$219</v>
      </c>
      <c r="Q1034" s="112"/>
      <c r="R1034" s="112"/>
      <c r="S1034" s="112"/>
      <c r="T1034" s="112"/>
      <c r="U1034" s="112"/>
      <c r="V1034" s="112" t="s">
        <v>1342</v>
      </c>
      <c r="W1034" s="112"/>
      <c r="X1034" s="112"/>
      <c r="Y1034" s="112"/>
      <c r="Z1034" s="112"/>
      <c r="AA1034" s="112"/>
      <c r="AB1034" s="112"/>
      <c r="AC1034" s="112"/>
      <c r="AD1034" s="112" t="s">
        <v>105</v>
      </c>
      <c r="AE1034" s="112">
        <v>12</v>
      </c>
      <c r="AF1034" s="112" t="b">
        <v>1</v>
      </c>
      <c r="AG1034" s="112" t="s">
        <v>1355</v>
      </c>
      <c r="AH1034" s="112" t="s">
        <v>29</v>
      </c>
      <c r="AI1034" s="112" t="s">
        <v>28</v>
      </c>
      <c r="AJ1034" s="112"/>
      <c r="AK1034" s="112"/>
      <c r="AL1034" s="112"/>
      <c r="AM1034" s="112"/>
      <c r="AN1034" s="112"/>
      <c r="AO1034" s="112"/>
      <c r="AP1034" s="112"/>
    </row>
    <row r="1035" spans="1:97" ht="16.5" customHeight="1" thickBot="1" x14ac:dyDescent="0.25">
      <c r="A1035" s="113">
        <f>$A$1034+0</f>
        <v>206</v>
      </c>
      <c r="B1035" s="113" t="s">
        <v>572</v>
      </c>
      <c r="C1035" s="113" t="s">
        <v>92</v>
      </c>
      <c r="D1035" s="113"/>
      <c r="E1035" s="113"/>
      <c r="F1035" s="113" t="s">
        <v>571</v>
      </c>
      <c r="G1035" s="113" t="s">
        <v>406</v>
      </c>
      <c r="H1035" s="113"/>
      <c r="I1035" s="113"/>
      <c r="J1035" s="113" t="b">
        <f t="shared" si="161"/>
        <v>1</v>
      </c>
      <c r="K1035" s="113" t="b">
        <v>1</v>
      </c>
      <c r="L1035" s="113"/>
      <c r="M1035" s="113"/>
      <c r="N1035" s="113"/>
      <c r="O1035" s="113" t="str">
        <f t="shared" si="162"/>
        <v>$B$206</v>
      </c>
      <c r="P1035" s="113" t="str">
        <f t="shared" ref="P1035:P1048" si="163">"$BK$"&amp;A1035</f>
        <v>$BK$206</v>
      </c>
      <c r="Q1035" s="113"/>
      <c r="R1035" s="113"/>
      <c r="S1035" s="113"/>
      <c r="T1035" s="113">
        <v>52</v>
      </c>
      <c r="U1035" s="113"/>
      <c r="V1035" s="113" t="s">
        <v>1342</v>
      </c>
      <c r="W1035" s="113"/>
      <c r="X1035" s="113"/>
      <c r="Y1035" s="113"/>
      <c r="Z1035" s="113"/>
      <c r="AA1035" s="113"/>
      <c r="AB1035" s="113"/>
      <c r="AC1035" s="113"/>
      <c r="AD1035" s="113"/>
      <c r="AE1035" s="113"/>
      <c r="AF1035" s="113"/>
      <c r="AG1035" s="113"/>
      <c r="AH1035" s="113"/>
      <c r="AI1035" s="113"/>
      <c r="AJ1035" s="113"/>
      <c r="AK1035" s="113"/>
      <c r="AL1035" s="113">
        <v>1</v>
      </c>
      <c r="AM1035" s="113"/>
      <c r="AN1035" s="113"/>
      <c r="AO1035" s="113"/>
      <c r="AP1035" s="113" t="b">
        <v>1</v>
      </c>
      <c r="AQ1035" s="360" t="s">
        <v>443</v>
      </c>
      <c r="AR1035" s="360"/>
      <c r="AS1035" s="360"/>
      <c r="AT1035" s="360"/>
      <c r="AU1035" s="360"/>
      <c r="AV1035" s="361"/>
      <c r="AW1035" s="235">
        <v>2014</v>
      </c>
      <c r="AX1035" s="235">
        <v>2014</v>
      </c>
      <c r="AY1035" s="118"/>
      <c r="AZ1035" s="118"/>
      <c r="BA1035" s="118"/>
      <c r="BB1035" s="118"/>
      <c r="BC1035" s="118"/>
      <c r="BD1035" s="118"/>
      <c r="BE1035" s="118"/>
      <c r="BF1035" s="118"/>
      <c r="BG1035" s="118"/>
      <c r="BH1035" s="118"/>
      <c r="BI1035" s="118"/>
      <c r="BJ1035" s="118"/>
      <c r="BK1035" s="118"/>
      <c r="BL1035" s="118"/>
      <c r="BM1035" s="118"/>
      <c r="BN1035" s="118"/>
      <c r="BO1035" s="118"/>
      <c r="BP1035" s="118"/>
      <c r="BQ1035" s="118"/>
      <c r="BR1035" s="118"/>
      <c r="BS1035" s="118"/>
      <c r="BT1035" s="118"/>
      <c r="BU1035" s="118"/>
      <c r="BV1035" s="118"/>
      <c r="BW1035" s="118"/>
      <c r="BX1035" s="118"/>
      <c r="BY1035" s="118"/>
      <c r="BZ1035" s="118"/>
      <c r="CA1035" s="118"/>
      <c r="CB1035" s="118"/>
      <c r="CC1035" s="118"/>
      <c r="CD1035" s="118"/>
      <c r="CE1035" s="118"/>
      <c r="CF1035" s="118"/>
      <c r="CG1035" s="118"/>
      <c r="CH1035" s="118"/>
      <c r="CI1035" s="118"/>
      <c r="CJ1035" s="118"/>
      <c r="CK1035" s="118"/>
      <c r="CL1035" s="118"/>
      <c r="CM1035" s="118"/>
      <c r="CN1035" s="118"/>
      <c r="CO1035" s="118"/>
      <c r="CP1035" s="118"/>
      <c r="CQ1035" s="118"/>
      <c r="CR1035" s="118"/>
      <c r="CS1035" s="118"/>
    </row>
    <row r="1036" spans="1:97" ht="16.5" customHeight="1" x14ac:dyDescent="0.2">
      <c r="A1036" s="113">
        <f>$A$1034+1</f>
        <v>207</v>
      </c>
      <c r="B1036" s="113" t="s">
        <v>1000</v>
      </c>
      <c r="C1036" s="113" t="s">
        <v>92</v>
      </c>
      <c r="D1036" s="113"/>
      <c r="E1036" s="113"/>
      <c r="F1036" s="113" t="s">
        <v>571</v>
      </c>
      <c r="G1036" s="113" t="s">
        <v>406</v>
      </c>
      <c r="H1036" s="113"/>
      <c r="I1036" s="113"/>
      <c r="J1036" s="113" t="b">
        <f t="shared" si="161"/>
        <v>1</v>
      </c>
      <c r="K1036" s="113" t="b">
        <v>1</v>
      </c>
      <c r="L1036" s="113"/>
      <c r="M1036" s="113"/>
      <c r="N1036" s="113"/>
      <c r="O1036" s="113" t="str">
        <f t="shared" si="162"/>
        <v>$B$207</v>
      </c>
      <c r="P1036" s="113" t="str">
        <f t="shared" si="163"/>
        <v>$BK$207</v>
      </c>
      <c r="Q1036" s="113"/>
      <c r="R1036" s="113"/>
      <c r="S1036" s="113"/>
      <c r="T1036" s="113"/>
      <c r="U1036" s="113"/>
      <c r="V1036" s="113" t="s">
        <v>1342</v>
      </c>
      <c r="W1036" s="113"/>
      <c r="X1036" s="113"/>
      <c r="Y1036" s="113"/>
      <c r="Z1036" s="113"/>
      <c r="AA1036" s="113"/>
      <c r="AB1036" s="113"/>
      <c r="AC1036" s="113"/>
      <c r="AD1036" s="113"/>
      <c r="AE1036" s="113"/>
      <c r="AF1036" s="113"/>
      <c r="AG1036" s="113"/>
      <c r="AH1036" s="113"/>
      <c r="AI1036" s="113"/>
      <c r="AJ1036" s="113"/>
      <c r="AK1036" s="113"/>
      <c r="AL1036" s="113">
        <v>1</v>
      </c>
      <c r="AM1036" s="113"/>
      <c r="AN1036" s="113"/>
      <c r="AO1036" s="113"/>
      <c r="AP1036" s="113" t="b">
        <v>1</v>
      </c>
      <c r="AQ1036" s="369" t="s">
        <v>248</v>
      </c>
      <c r="AR1036" s="369"/>
      <c r="AS1036" s="369"/>
      <c r="AT1036" s="369"/>
      <c r="AU1036" s="369"/>
      <c r="AV1036" s="369"/>
      <c r="AW1036" s="236" t="e">
        <f ca="1">OFFSET(INDIRECT("Forside_f_FP_Main1OmkostTable_1_start",TRUE),ROWS(AW1036:INDIRECT("Businesscasen_f_BCM_subcat14_Table1_start",TRUE))-1,COLUMNS(AW1036:INDIRECT("Businesscasen_f_BCM_subcat14_Table1_start",TRUE))-1)</f>
        <v>#VALUE!</v>
      </c>
      <c r="AX1036" s="236" t="e">
        <f ca="1">OFFSET(INDIRECT("Forside_f_FP_Main1OmkostTable_1_start",TRUE),ROWS(AX1036:INDIRECT("Businesscasen_f_BCM_subcat14_Table1_start",TRUE))-1,COLUMNS(AX1036:INDIRECT("Businesscasen_f_BCM_subcat14_Table1_start",TRUE))-1)</f>
        <v>#VALUE!</v>
      </c>
      <c r="AY1036" s="118"/>
      <c r="AZ1036" s="118"/>
      <c r="BA1036" s="118"/>
      <c r="BB1036" s="118"/>
      <c r="BC1036" s="118"/>
      <c r="BD1036" s="118"/>
      <c r="BE1036" s="118"/>
      <c r="BF1036" s="118"/>
      <c r="BG1036" s="118"/>
      <c r="BH1036" s="118"/>
      <c r="BI1036" s="118"/>
      <c r="BJ1036" s="118"/>
      <c r="BK1036" s="118"/>
      <c r="BL1036" s="118"/>
      <c r="BM1036" s="118"/>
      <c r="BN1036" s="118"/>
      <c r="BO1036" s="118"/>
      <c r="BP1036" s="118"/>
      <c r="BQ1036" s="118"/>
      <c r="BR1036" s="118"/>
      <c r="BS1036" s="118"/>
      <c r="BT1036" s="118"/>
      <c r="BU1036" s="118"/>
      <c r="BV1036" s="118"/>
      <c r="BW1036" s="118"/>
      <c r="BX1036" s="118"/>
      <c r="BY1036" s="118"/>
      <c r="BZ1036" s="118"/>
      <c r="CA1036" s="118"/>
      <c r="CB1036" s="118"/>
      <c r="CC1036" s="118"/>
      <c r="CD1036" s="118"/>
      <c r="CE1036" s="118"/>
      <c r="CF1036" s="118"/>
      <c r="CG1036" s="118"/>
      <c r="CH1036" s="118"/>
      <c r="CI1036" s="118"/>
      <c r="CJ1036" s="118"/>
      <c r="CK1036" s="118"/>
      <c r="CL1036" s="118"/>
      <c r="CM1036" s="118"/>
      <c r="CN1036" s="118"/>
      <c r="CO1036" s="118"/>
      <c r="CP1036" s="118"/>
      <c r="CQ1036" s="118"/>
      <c r="CR1036" s="118"/>
      <c r="CS1036" s="118"/>
    </row>
    <row r="1037" spans="1:97" ht="16.5" customHeight="1" x14ac:dyDescent="0.2">
      <c r="A1037" s="113">
        <f>$A$1034+2</f>
        <v>208</v>
      </c>
      <c r="B1037" s="113" t="s">
        <v>1001</v>
      </c>
      <c r="C1037" s="113" t="s">
        <v>92</v>
      </c>
      <c r="D1037" s="113"/>
      <c r="E1037" s="113"/>
      <c r="F1037" s="113" t="s">
        <v>571</v>
      </c>
      <c r="G1037" s="113" t="s">
        <v>406</v>
      </c>
      <c r="H1037" s="113"/>
      <c r="I1037" s="113"/>
      <c r="J1037" s="113" t="b">
        <f t="shared" si="161"/>
        <v>1</v>
      </c>
      <c r="K1037" s="113" t="b">
        <v>1</v>
      </c>
      <c r="L1037" s="113"/>
      <c r="M1037" s="113"/>
      <c r="N1037" s="113"/>
      <c r="O1037" s="113" t="str">
        <f t="shared" si="162"/>
        <v>$B$208</v>
      </c>
      <c r="P1037" s="113" t="str">
        <f t="shared" si="163"/>
        <v>$BK$208</v>
      </c>
      <c r="Q1037" s="113"/>
      <c r="R1037" s="113"/>
      <c r="S1037" s="113"/>
      <c r="T1037" s="113"/>
      <c r="U1037" s="113"/>
      <c r="V1037" s="113" t="s">
        <v>1342</v>
      </c>
      <c r="W1037" s="113"/>
      <c r="X1037" s="113"/>
      <c r="Y1037" s="113"/>
      <c r="Z1037" s="113"/>
      <c r="AA1037" s="113"/>
      <c r="AB1037" s="113"/>
      <c r="AC1037" s="113"/>
      <c r="AD1037" s="113"/>
      <c r="AE1037" s="113"/>
      <c r="AF1037" s="113"/>
      <c r="AG1037" s="113"/>
      <c r="AH1037" s="113"/>
      <c r="AI1037" s="113"/>
      <c r="AJ1037" s="113"/>
      <c r="AK1037" s="113"/>
      <c r="AL1037" s="113">
        <v>1</v>
      </c>
      <c r="AM1037" s="113"/>
      <c r="AN1037" s="113"/>
      <c r="AO1037" s="113"/>
      <c r="AP1037" s="113" t="b">
        <v>1</v>
      </c>
      <c r="AQ1037" s="368"/>
      <c r="AR1037" s="368"/>
      <c r="AS1037" s="368"/>
      <c r="AT1037" s="368"/>
      <c r="AU1037" s="368"/>
      <c r="AV1037" s="368"/>
      <c r="AW1037" s="237"/>
      <c r="AX1037" s="237"/>
      <c r="AY1037" s="118"/>
      <c r="AZ1037" s="118"/>
      <c r="BA1037" s="118"/>
      <c r="BB1037" s="118"/>
      <c r="BC1037" s="118"/>
      <c r="BD1037" s="118"/>
      <c r="BE1037" s="118"/>
      <c r="BF1037" s="118"/>
      <c r="BG1037" s="118"/>
      <c r="BH1037" s="118"/>
      <c r="BI1037" s="118"/>
      <c r="BJ1037" s="118"/>
      <c r="BK1037" s="118"/>
      <c r="BL1037" s="118"/>
      <c r="BM1037" s="118"/>
      <c r="BN1037" s="118"/>
      <c r="BO1037" s="118"/>
      <c r="BP1037" s="118"/>
      <c r="BQ1037" s="118"/>
      <c r="BR1037" s="118"/>
      <c r="BS1037" s="118"/>
      <c r="BT1037" s="118"/>
      <c r="BU1037" s="118"/>
      <c r="BV1037" s="118"/>
      <c r="BW1037" s="118"/>
      <c r="BX1037" s="118"/>
      <c r="BY1037" s="118"/>
      <c r="BZ1037" s="118"/>
      <c r="CA1037" s="118"/>
      <c r="CB1037" s="118"/>
      <c r="CC1037" s="118"/>
      <c r="CD1037" s="118"/>
      <c r="CE1037" s="118"/>
      <c r="CF1037" s="118"/>
      <c r="CG1037" s="118"/>
      <c r="CH1037" s="118"/>
      <c r="CI1037" s="118"/>
      <c r="CJ1037" s="118"/>
      <c r="CK1037" s="118"/>
      <c r="CL1037" s="118"/>
      <c r="CM1037" s="118"/>
      <c r="CN1037" s="118"/>
      <c r="CO1037" s="118"/>
      <c r="CP1037" s="118"/>
      <c r="CQ1037" s="118"/>
      <c r="CR1037" s="118"/>
      <c r="CS1037" s="118"/>
    </row>
    <row r="1038" spans="1:97" ht="16.5" customHeight="1" x14ac:dyDescent="0.2">
      <c r="A1038" s="113">
        <f>$A$1034+3</f>
        <v>209</v>
      </c>
      <c r="B1038" s="113" t="s">
        <v>1002</v>
      </c>
      <c r="C1038" s="113" t="s">
        <v>92</v>
      </c>
      <c r="D1038" s="113"/>
      <c r="E1038" s="113"/>
      <c r="F1038" s="113" t="s">
        <v>571</v>
      </c>
      <c r="G1038" s="113" t="s">
        <v>406</v>
      </c>
      <c r="H1038" s="113"/>
      <c r="I1038" s="113"/>
      <c r="J1038" s="113" t="b">
        <f t="shared" si="161"/>
        <v>1</v>
      </c>
      <c r="K1038" s="113" t="b">
        <v>1</v>
      </c>
      <c r="L1038" s="113"/>
      <c r="M1038" s="113"/>
      <c r="N1038" s="113"/>
      <c r="O1038" s="113" t="str">
        <f t="shared" si="162"/>
        <v>$B$209</v>
      </c>
      <c r="P1038" s="113" t="str">
        <f t="shared" si="163"/>
        <v>$BK$209</v>
      </c>
      <c r="Q1038" s="113"/>
      <c r="R1038" s="113"/>
      <c r="S1038" s="113"/>
      <c r="T1038" s="113"/>
      <c r="U1038" s="113"/>
      <c r="V1038" s="113" t="s">
        <v>1342</v>
      </c>
      <c r="W1038" s="113"/>
      <c r="X1038" s="113"/>
      <c r="Y1038" s="113"/>
      <c r="Z1038" s="113"/>
      <c r="AA1038" s="113"/>
      <c r="AB1038" s="113"/>
      <c r="AC1038" s="113"/>
      <c r="AD1038" s="113"/>
      <c r="AE1038" s="113"/>
      <c r="AF1038" s="113"/>
      <c r="AG1038" s="113"/>
      <c r="AH1038" s="113"/>
      <c r="AI1038" s="113"/>
      <c r="AJ1038" s="113"/>
      <c r="AK1038" s="113"/>
      <c r="AL1038" s="113">
        <v>1</v>
      </c>
      <c r="AM1038" s="113"/>
      <c r="AN1038" s="113"/>
      <c r="AO1038" s="113"/>
      <c r="AP1038" s="113" t="b">
        <v>1</v>
      </c>
      <c r="AQ1038" s="368" t="s">
        <v>249</v>
      </c>
      <c r="AR1038" s="368"/>
      <c r="AS1038" s="368"/>
      <c r="AT1038" s="368"/>
      <c r="AU1038" s="368"/>
      <c r="AV1038" s="368"/>
      <c r="AW1038" s="237" t="e">
        <f ca="1">OFFSET(INDIRECT("Forside_f_FP_Main1OmkostTable_1_start",TRUE),ROWS(AW1038:INDIRECT("Businesscasen_f_BCM_subcat14_Table1_start",TRUE))-1,COLUMNS(AW1038:INDIRECT("Businesscasen_f_BCM_subcat14_Table1_start",TRUE))-1)</f>
        <v>#VALUE!</v>
      </c>
      <c r="AX1038" s="237" t="e">
        <f ca="1">OFFSET(INDIRECT("Forside_f_FP_Main1OmkostTable_1_start",TRUE),ROWS(AX1038:INDIRECT("Businesscasen_f_BCM_subcat14_Table1_start",TRUE))-1,COLUMNS(AX1038:INDIRECT("Businesscasen_f_BCM_subcat14_Table1_start",TRUE))-1)</f>
        <v>#VALUE!</v>
      </c>
      <c r="AY1038" s="118"/>
      <c r="AZ1038" s="118"/>
      <c r="BA1038" s="118"/>
      <c r="BB1038" s="118"/>
      <c r="BC1038" s="118"/>
      <c r="BD1038" s="118"/>
      <c r="BE1038" s="118"/>
      <c r="BF1038" s="118"/>
      <c r="BG1038" s="118"/>
      <c r="BH1038" s="118"/>
      <c r="BI1038" s="118"/>
      <c r="BJ1038" s="118"/>
      <c r="BK1038" s="118"/>
      <c r="BL1038" s="118"/>
      <c r="BM1038" s="118"/>
      <c r="BN1038" s="118"/>
      <c r="BO1038" s="118"/>
      <c r="BP1038" s="118"/>
      <c r="BQ1038" s="118"/>
      <c r="BR1038" s="118"/>
      <c r="BS1038" s="118"/>
      <c r="BT1038" s="118"/>
      <c r="BU1038" s="118"/>
      <c r="BV1038" s="118"/>
      <c r="BW1038" s="118"/>
      <c r="BX1038" s="118"/>
      <c r="BY1038" s="118"/>
      <c r="BZ1038" s="118"/>
      <c r="CA1038" s="118"/>
      <c r="CB1038" s="118"/>
      <c r="CC1038" s="118"/>
      <c r="CD1038" s="118"/>
      <c r="CE1038" s="118"/>
      <c r="CF1038" s="118"/>
      <c r="CG1038" s="118"/>
      <c r="CH1038" s="118"/>
      <c r="CI1038" s="118"/>
      <c r="CJ1038" s="118"/>
      <c r="CK1038" s="118"/>
      <c r="CL1038" s="118"/>
      <c r="CM1038" s="118"/>
      <c r="CN1038" s="118"/>
      <c r="CO1038" s="118"/>
      <c r="CP1038" s="118"/>
      <c r="CQ1038" s="118"/>
      <c r="CR1038" s="118"/>
      <c r="CS1038" s="118"/>
    </row>
    <row r="1039" spans="1:97" ht="16.5" customHeight="1" x14ac:dyDescent="0.2">
      <c r="A1039" s="113">
        <f>$A$1034+4</f>
        <v>210</v>
      </c>
      <c r="B1039" s="113" t="s">
        <v>1003</v>
      </c>
      <c r="C1039" s="113" t="s">
        <v>92</v>
      </c>
      <c r="D1039" s="113"/>
      <c r="E1039" s="113"/>
      <c r="F1039" s="113" t="s">
        <v>571</v>
      </c>
      <c r="G1039" s="113" t="s">
        <v>406</v>
      </c>
      <c r="H1039" s="113"/>
      <c r="I1039" s="113"/>
      <c r="J1039" s="113" t="b">
        <f t="shared" si="161"/>
        <v>1</v>
      </c>
      <c r="K1039" s="113" t="b">
        <v>1</v>
      </c>
      <c r="L1039" s="113"/>
      <c r="M1039" s="113"/>
      <c r="N1039" s="113"/>
      <c r="O1039" s="113" t="str">
        <f t="shared" si="162"/>
        <v>$B$210</v>
      </c>
      <c r="P1039" s="113" t="str">
        <f t="shared" si="163"/>
        <v>$BK$210</v>
      </c>
      <c r="Q1039" s="113"/>
      <c r="R1039" s="113"/>
      <c r="S1039" s="113"/>
      <c r="T1039" s="113"/>
      <c r="U1039" s="113"/>
      <c r="V1039" s="113" t="s">
        <v>1342</v>
      </c>
      <c r="W1039" s="113"/>
      <c r="X1039" s="113"/>
      <c r="Y1039" s="113"/>
      <c r="Z1039" s="113"/>
      <c r="AA1039" s="113"/>
      <c r="AB1039" s="113"/>
      <c r="AC1039" s="113"/>
      <c r="AD1039" s="113"/>
      <c r="AE1039" s="113"/>
      <c r="AF1039" s="113"/>
      <c r="AG1039" s="113"/>
      <c r="AH1039" s="113"/>
      <c r="AI1039" s="113"/>
      <c r="AJ1039" s="113"/>
      <c r="AK1039" s="113"/>
      <c r="AL1039" s="113">
        <v>1</v>
      </c>
      <c r="AM1039" s="113"/>
      <c r="AN1039" s="113"/>
      <c r="AO1039" s="113"/>
      <c r="AP1039" s="113" t="b">
        <v>1</v>
      </c>
      <c r="AQ1039" s="368"/>
      <c r="AR1039" s="368"/>
      <c r="AS1039" s="368"/>
      <c r="AT1039" s="368"/>
      <c r="AU1039" s="368"/>
      <c r="AV1039" s="368"/>
      <c r="AW1039" s="235"/>
      <c r="AX1039" s="235"/>
      <c r="AY1039" s="118"/>
      <c r="AZ1039" s="118"/>
      <c r="BA1039" s="118"/>
      <c r="BB1039" s="118"/>
      <c r="BC1039" s="118"/>
      <c r="BD1039" s="118"/>
      <c r="BE1039" s="118"/>
      <c r="BF1039" s="118"/>
      <c r="BG1039" s="118"/>
      <c r="BH1039" s="118"/>
      <c r="BI1039" s="118"/>
      <c r="BJ1039" s="118"/>
      <c r="BK1039" s="118"/>
      <c r="BL1039" s="118"/>
      <c r="BM1039" s="118"/>
      <c r="BN1039" s="118"/>
      <c r="BO1039" s="118"/>
      <c r="BP1039" s="118"/>
      <c r="BQ1039" s="118"/>
      <c r="BR1039" s="118"/>
      <c r="BS1039" s="118"/>
      <c r="BT1039" s="118"/>
      <c r="BU1039" s="118"/>
      <c r="BV1039" s="118"/>
      <c r="BW1039" s="118"/>
      <c r="BX1039" s="118"/>
      <c r="BY1039" s="118"/>
      <c r="BZ1039" s="118"/>
      <c r="CA1039" s="118"/>
      <c r="CB1039" s="118"/>
      <c r="CC1039" s="118"/>
      <c r="CD1039" s="118"/>
      <c r="CE1039" s="118"/>
      <c r="CF1039" s="118"/>
      <c r="CG1039" s="118"/>
      <c r="CH1039" s="118"/>
      <c r="CI1039" s="118"/>
      <c r="CJ1039" s="118"/>
      <c r="CK1039" s="118"/>
      <c r="CL1039" s="118"/>
      <c r="CM1039" s="118"/>
      <c r="CN1039" s="118"/>
      <c r="CO1039" s="118"/>
      <c r="CP1039" s="118"/>
      <c r="CQ1039" s="118"/>
      <c r="CR1039" s="118"/>
      <c r="CS1039" s="118"/>
    </row>
    <row r="1040" spans="1:97" ht="16.5" customHeight="1" x14ac:dyDescent="0.2">
      <c r="A1040" s="113">
        <f>$A$1034+5</f>
        <v>211</v>
      </c>
      <c r="B1040" s="113" t="s">
        <v>1004</v>
      </c>
      <c r="C1040" s="113" t="s">
        <v>92</v>
      </c>
      <c r="D1040" s="113"/>
      <c r="E1040" s="113"/>
      <c r="F1040" s="113" t="s">
        <v>571</v>
      </c>
      <c r="G1040" s="113" t="s">
        <v>406</v>
      </c>
      <c r="H1040" s="113"/>
      <c r="I1040" s="113"/>
      <c r="J1040" s="113" t="b">
        <f t="shared" si="161"/>
        <v>1</v>
      </c>
      <c r="K1040" s="113" t="b">
        <v>1</v>
      </c>
      <c r="L1040" s="113"/>
      <c r="M1040" s="113"/>
      <c r="N1040" s="113"/>
      <c r="O1040" s="113" t="str">
        <f t="shared" si="162"/>
        <v>$B$211</v>
      </c>
      <c r="P1040" s="113" t="str">
        <f t="shared" si="163"/>
        <v>$BK$211</v>
      </c>
      <c r="Q1040" s="113"/>
      <c r="R1040" s="113"/>
      <c r="S1040" s="113"/>
      <c r="T1040" s="113"/>
      <c r="U1040" s="113"/>
      <c r="V1040" s="113" t="s">
        <v>1342</v>
      </c>
      <c r="W1040" s="113"/>
      <c r="X1040" s="113"/>
      <c r="Y1040" s="113"/>
      <c r="Z1040" s="113"/>
      <c r="AA1040" s="113"/>
      <c r="AB1040" s="113"/>
      <c r="AC1040" s="113"/>
      <c r="AD1040" s="113"/>
      <c r="AE1040" s="113"/>
      <c r="AF1040" s="113"/>
      <c r="AG1040" s="113"/>
      <c r="AH1040" s="113"/>
      <c r="AI1040" s="113"/>
      <c r="AJ1040" s="113"/>
      <c r="AK1040" s="113"/>
      <c r="AL1040" s="113">
        <v>1</v>
      </c>
      <c r="AM1040" s="113"/>
      <c r="AN1040" s="113"/>
      <c r="AO1040" s="113"/>
      <c r="AP1040" s="113" t="b">
        <v>1</v>
      </c>
      <c r="AQ1040" s="368" t="s">
        <v>250</v>
      </c>
      <c r="AR1040" s="368"/>
      <c r="AS1040" s="368"/>
      <c r="AT1040" s="368"/>
      <c r="AU1040" s="368"/>
      <c r="AV1040" s="368"/>
      <c r="AW1040" s="235" t="e">
        <f ca="1">OFFSET(INDIRECT("Forside_f_FP_Main1OmkostTable_1_start",TRUE),ROWS(AW1040:INDIRECT("Businesscasen_f_BCM_subcat14_Table1_start",TRUE))-1,COLUMNS(AW1040:INDIRECT("Businesscasen_f_BCM_subcat14_Table1_start",TRUE))-1)</f>
        <v>#VALUE!</v>
      </c>
      <c r="AX1040" s="235" t="e">
        <f ca="1">OFFSET(INDIRECT("Forside_f_FP_Main1OmkostTable_1_start",TRUE),ROWS(AX1040:INDIRECT("Businesscasen_f_BCM_subcat14_Table1_start",TRUE))-1,COLUMNS(AX1040:INDIRECT("Businesscasen_f_BCM_subcat14_Table1_start",TRUE))-1)</f>
        <v>#VALUE!</v>
      </c>
      <c r="AY1040" s="118"/>
      <c r="AZ1040" s="118"/>
      <c r="BA1040" s="118"/>
      <c r="BB1040" s="118"/>
      <c r="BC1040" s="118"/>
      <c r="BD1040" s="118"/>
      <c r="BE1040" s="118"/>
      <c r="BF1040" s="118"/>
      <c r="BG1040" s="118"/>
      <c r="BH1040" s="118"/>
      <c r="BI1040" s="118"/>
      <c r="BJ1040" s="118"/>
      <c r="BK1040" s="118"/>
      <c r="BL1040" s="118"/>
      <c r="BM1040" s="118"/>
      <c r="BN1040" s="118"/>
      <c r="BO1040" s="118"/>
      <c r="BP1040" s="118"/>
      <c r="BQ1040" s="118"/>
      <c r="BR1040" s="118"/>
      <c r="BS1040" s="118"/>
      <c r="BT1040" s="118"/>
      <c r="BU1040" s="118"/>
      <c r="BV1040" s="118"/>
      <c r="BW1040" s="118"/>
      <c r="BX1040" s="118"/>
      <c r="BY1040" s="118"/>
      <c r="BZ1040" s="118"/>
      <c r="CA1040" s="118"/>
      <c r="CB1040" s="118"/>
      <c r="CC1040" s="118"/>
      <c r="CD1040" s="118"/>
      <c r="CE1040" s="118"/>
      <c r="CF1040" s="118"/>
      <c r="CG1040" s="118"/>
      <c r="CH1040" s="118"/>
      <c r="CI1040" s="118"/>
      <c r="CJ1040" s="118"/>
      <c r="CK1040" s="118"/>
      <c r="CL1040" s="118"/>
      <c r="CM1040" s="118"/>
      <c r="CN1040" s="118"/>
      <c r="CO1040" s="118"/>
      <c r="CP1040" s="118"/>
      <c r="CQ1040" s="118"/>
      <c r="CR1040" s="118"/>
      <c r="CS1040" s="118"/>
    </row>
    <row r="1041" spans="1:97" ht="16.5" customHeight="1" x14ac:dyDescent="0.2">
      <c r="A1041" s="113">
        <f>$A$1034+6</f>
        <v>212</v>
      </c>
      <c r="B1041" s="113" t="s">
        <v>1005</v>
      </c>
      <c r="C1041" s="113" t="s">
        <v>92</v>
      </c>
      <c r="D1041" s="113"/>
      <c r="E1041" s="113"/>
      <c r="F1041" s="113" t="s">
        <v>571</v>
      </c>
      <c r="G1041" s="113" t="s">
        <v>406</v>
      </c>
      <c r="H1041" s="113"/>
      <c r="I1041" s="113"/>
      <c r="J1041" s="113" t="b">
        <f t="shared" si="161"/>
        <v>1</v>
      </c>
      <c r="K1041" s="113" t="b">
        <v>1</v>
      </c>
      <c r="L1041" s="113"/>
      <c r="M1041" s="113"/>
      <c r="N1041" s="113"/>
      <c r="O1041" s="113" t="str">
        <f t="shared" si="162"/>
        <v>$B$212</v>
      </c>
      <c r="P1041" s="113" t="str">
        <f t="shared" si="163"/>
        <v>$BK$212</v>
      </c>
      <c r="Q1041" s="113"/>
      <c r="R1041" s="113"/>
      <c r="S1041" s="113"/>
      <c r="T1041" s="113"/>
      <c r="U1041" s="113"/>
      <c r="V1041" s="113" t="s">
        <v>1342</v>
      </c>
      <c r="W1041" s="113"/>
      <c r="X1041" s="113"/>
      <c r="Y1041" s="113"/>
      <c r="Z1041" s="113"/>
      <c r="AA1041" s="113"/>
      <c r="AB1041" s="113"/>
      <c r="AC1041" s="113"/>
      <c r="AD1041" s="113"/>
      <c r="AE1041" s="113"/>
      <c r="AF1041" s="113"/>
      <c r="AG1041" s="113"/>
      <c r="AH1041" s="113"/>
      <c r="AI1041" s="113"/>
      <c r="AJ1041" s="113"/>
      <c r="AK1041" s="113"/>
      <c r="AL1041" s="113">
        <v>1</v>
      </c>
      <c r="AM1041" s="113"/>
      <c r="AN1041" s="113"/>
      <c r="AO1041" s="113"/>
      <c r="AP1041" s="113" t="b">
        <v>1</v>
      </c>
      <c r="AQ1041" s="368" t="s">
        <v>80</v>
      </c>
      <c r="AR1041" s="368"/>
      <c r="AS1041" s="368"/>
      <c r="AT1041" s="368"/>
      <c r="AU1041" s="368"/>
      <c r="AV1041" s="368"/>
      <c r="AW1041" s="235" t="e">
        <f ca="1">OFFSET(INDIRECT("Forside_f_FP_Main1OmkostTable_1_start",TRUE),ROWS(AW1041:INDIRECT("Businesscasen_f_BCM_subcat14_Table1_start",TRUE))-1,COLUMNS(AW1041:INDIRECT("Businesscasen_f_BCM_subcat14_Table1_start",TRUE))-1)</f>
        <v>#VALUE!</v>
      </c>
      <c r="AX1041" s="235" t="e">
        <f ca="1">OFFSET(INDIRECT("Forside_f_FP_Main1OmkostTable_1_start",TRUE),ROWS(AX1041:INDIRECT("Businesscasen_f_BCM_subcat14_Table1_start",TRUE))-1,COLUMNS(AX1041:INDIRECT("Businesscasen_f_BCM_subcat14_Table1_start",TRUE))-1)</f>
        <v>#VALUE!</v>
      </c>
      <c r="AY1041" s="118"/>
      <c r="AZ1041" s="118"/>
      <c r="BA1041" s="118"/>
      <c r="BB1041" s="118"/>
      <c r="BC1041" s="118"/>
      <c r="BD1041" s="118"/>
      <c r="BE1041" s="118"/>
      <c r="BF1041" s="118"/>
      <c r="BG1041" s="118"/>
      <c r="BH1041" s="118"/>
      <c r="BI1041" s="118"/>
      <c r="BJ1041" s="118"/>
      <c r="BK1041" s="118"/>
      <c r="BL1041" s="118"/>
      <c r="BM1041" s="118"/>
      <c r="BN1041" s="118"/>
      <c r="BO1041" s="118"/>
      <c r="BP1041" s="118"/>
      <c r="BQ1041" s="118"/>
      <c r="BR1041" s="118"/>
      <c r="BS1041" s="118"/>
      <c r="BT1041" s="118"/>
      <c r="BU1041" s="118"/>
      <c r="BV1041" s="118"/>
      <c r="BW1041" s="118"/>
      <c r="BX1041" s="118"/>
      <c r="BY1041" s="118"/>
      <c r="BZ1041" s="118"/>
      <c r="CA1041" s="118"/>
      <c r="CB1041" s="118"/>
      <c r="CC1041" s="118"/>
      <c r="CD1041" s="118"/>
      <c r="CE1041" s="118"/>
      <c r="CF1041" s="118"/>
      <c r="CG1041" s="118"/>
      <c r="CH1041" s="118"/>
      <c r="CI1041" s="118"/>
      <c r="CJ1041" s="118"/>
      <c r="CK1041" s="118"/>
      <c r="CL1041" s="118"/>
      <c r="CM1041" s="118"/>
      <c r="CN1041" s="118"/>
      <c r="CO1041" s="118"/>
      <c r="CP1041" s="118"/>
      <c r="CQ1041" s="118"/>
      <c r="CR1041" s="118"/>
      <c r="CS1041" s="118"/>
    </row>
    <row r="1042" spans="1:97" ht="16.5" customHeight="1" x14ac:dyDescent="0.2">
      <c r="A1042" s="113">
        <f>$A$1034+7</f>
        <v>213</v>
      </c>
      <c r="B1042" s="113" t="s">
        <v>1006</v>
      </c>
      <c r="C1042" s="113" t="s">
        <v>92</v>
      </c>
      <c r="D1042" s="113"/>
      <c r="E1042" s="113"/>
      <c r="F1042" s="113" t="s">
        <v>571</v>
      </c>
      <c r="G1042" s="113" t="s">
        <v>406</v>
      </c>
      <c r="H1042" s="113"/>
      <c r="I1042" s="113"/>
      <c r="J1042" s="113" t="b">
        <f t="shared" si="161"/>
        <v>1</v>
      </c>
      <c r="K1042" s="113" t="b">
        <v>1</v>
      </c>
      <c r="L1042" s="113"/>
      <c r="M1042" s="113"/>
      <c r="N1042" s="113"/>
      <c r="O1042" s="113" t="str">
        <f t="shared" si="162"/>
        <v>$B$213</v>
      </c>
      <c r="P1042" s="113" t="str">
        <f t="shared" si="163"/>
        <v>$BK$213</v>
      </c>
      <c r="Q1042" s="113"/>
      <c r="R1042" s="113"/>
      <c r="S1042" s="113"/>
      <c r="T1042" s="113"/>
      <c r="U1042" s="113"/>
      <c r="V1042" s="113" t="s">
        <v>1342</v>
      </c>
      <c r="W1042" s="113"/>
      <c r="X1042" s="113"/>
      <c r="Y1042" s="113"/>
      <c r="Z1042" s="113"/>
      <c r="AA1042" s="113"/>
      <c r="AB1042" s="113"/>
      <c r="AC1042" s="113"/>
      <c r="AD1042" s="113"/>
      <c r="AE1042" s="113"/>
      <c r="AF1042" s="113"/>
      <c r="AG1042" s="113"/>
      <c r="AH1042" s="113"/>
      <c r="AI1042" s="113"/>
      <c r="AJ1042" s="113"/>
      <c r="AK1042" s="113"/>
      <c r="AL1042" s="113">
        <v>1</v>
      </c>
      <c r="AM1042" s="113"/>
      <c r="AN1042" s="113"/>
      <c r="AO1042" s="113"/>
      <c r="AP1042" s="113" t="b">
        <v>1</v>
      </c>
      <c r="AQ1042" s="368" t="s">
        <v>251</v>
      </c>
      <c r="AR1042" s="368"/>
      <c r="AS1042" s="368"/>
      <c r="AT1042" s="368"/>
      <c r="AU1042" s="368"/>
      <c r="AV1042" s="368"/>
      <c r="AW1042" s="235" t="e">
        <f ca="1">OFFSET(INDIRECT("Forside_f_FP_Main1OmkostTable_1_start",TRUE),ROWS(AW1042:INDIRECT("Businesscasen_f_BCM_subcat14_Table1_start",TRUE))-1,COLUMNS(AW1042:INDIRECT("Businesscasen_f_BCM_subcat14_Table1_start",TRUE))-1)</f>
        <v>#VALUE!</v>
      </c>
      <c r="AX1042" s="235" t="e">
        <f ca="1">OFFSET(INDIRECT("Forside_f_FP_Main1OmkostTable_1_start",TRUE),ROWS(AX1042:INDIRECT("Businesscasen_f_BCM_subcat14_Table1_start",TRUE))-1,COLUMNS(AX1042:INDIRECT("Businesscasen_f_BCM_subcat14_Table1_start",TRUE))-1)</f>
        <v>#VALUE!</v>
      </c>
      <c r="AY1042" s="118"/>
      <c r="AZ1042" s="118"/>
      <c r="BA1042" s="118"/>
      <c r="BB1042" s="118"/>
      <c r="BC1042" s="118"/>
      <c r="BD1042" s="118"/>
      <c r="BE1042" s="118"/>
      <c r="BF1042" s="118"/>
      <c r="BG1042" s="118"/>
      <c r="BH1042" s="118"/>
      <c r="BI1042" s="118"/>
      <c r="BJ1042" s="118"/>
      <c r="BK1042" s="118"/>
      <c r="BL1042" s="118"/>
      <c r="BM1042" s="118"/>
      <c r="BN1042" s="118"/>
      <c r="BO1042" s="118"/>
      <c r="BP1042" s="118"/>
      <c r="BQ1042" s="118"/>
      <c r="BR1042" s="118"/>
      <c r="BS1042" s="118"/>
      <c r="BT1042" s="118"/>
      <c r="BU1042" s="118"/>
      <c r="BV1042" s="118"/>
      <c r="BW1042" s="118"/>
      <c r="BX1042" s="118"/>
      <c r="BY1042" s="118"/>
      <c r="BZ1042" s="118"/>
      <c r="CA1042" s="118"/>
      <c r="CB1042" s="118"/>
      <c r="CC1042" s="118"/>
      <c r="CD1042" s="118"/>
      <c r="CE1042" s="118"/>
      <c r="CF1042" s="118"/>
      <c r="CG1042" s="118"/>
      <c r="CH1042" s="118"/>
      <c r="CI1042" s="118"/>
      <c r="CJ1042" s="118"/>
      <c r="CK1042" s="118"/>
      <c r="CL1042" s="118"/>
      <c r="CM1042" s="118"/>
      <c r="CN1042" s="118"/>
      <c r="CO1042" s="118"/>
      <c r="CP1042" s="118"/>
      <c r="CQ1042" s="118"/>
      <c r="CR1042" s="118"/>
      <c r="CS1042" s="118"/>
    </row>
    <row r="1043" spans="1:97" ht="16.5" customHeight="1" x14ac:dyDescent="0.2">
      <c r="A1043" s="113">
        <f>$A$1034+8</f>
        <v>214</v>
      </c>
      <c r="B1043" s="113" t="s">
        <v>1007</v>
      </c>
      <c r="C1043" s="113" t="s">
        <v>92</v>
      </c>
      <c r="D1043" s="113"/>
      <c r="E1043" s="113"/>
      <c r="F1043" s="113" t="s">
        <v>571</v>
      </c>
      <c r="G1043" s="113" t="s">
        <v>406</v>
      </c>
      <c r="H1043" s="113"/>
      <c r="I1043" s="113"/>
      <c r="J1043" s="113" t="b">
        <f t="shared" si="161"/>
        <v>1</v>
      </c>
      <c r="K1043" s="113" t="b">
        <v>1</v>
      </c>
      <c r="L1043" s="113"/>
      <c r="M1043" s="113"/>
      <c r="N1043" s="113"/>
      <c r="O1043" s="113" t="str">
        <f t="shared" si="162"/>
        <v>$B$214</v>
      </c>
      <c r="P1043" s="113" t="str">
        <f t="shared" si="163"/>
        <v>$BK$214</v>
      </c>
      <c r="Q1043" s="113"/>
      <c r="R1043" s="113"/>
      <c r="S1043" s="113"/>
      <c r="T1043" s="113"/>
      <c r="U1043" s="113"/>
      <c r="V1043" s="113" t="s">
        <v>1342</v>
      </c>
      <c r="W1043" s="113"/>
      <c r="X1043" s="113"/>
      <c r="Y1043" s="113"/>
      <c r="Z1043" s="113"/>
      <c r="AA1043" s="113"/>
      <c r="AB1043" s="113"/>
      <c r="AC1043" s="113"/>
      <c r="AD1043" s="113"/>
      <c r="AE1043" s="113"/>
      <c r="AF1043" s="113"/>
      <c r="AG1043" s="113"/>
      <c r="AH1043" s="113"/>
      <c r="AI1043" s="113"/>
      <c r="AJ1043" s="113"/>
      <c r="AK1043" s="113"/>
      <c r="AL1043" s="113">
        <v>1</v>
      </c>
      <c r="AM1043" s="113"/>
      <c r="AN1043" s="113"/>
      <c r="AO1043" s="113"/>
      <c r="AP1043" s="113" t="b">
        <v>1</v>
      </c>
      <c r="AQ1043" s="368" t="s">
        <v>252</v>
      </c>
      <c r="AR1043" s="368"/>
      <c r="AS1043" s="368"/>
      <c r="AT1043" s="368"/>
      <c r="AU1043" s="368"/>
      <c r="AV1043" s="368"/>
      <c r="AW1043" s="235" t="e">
        <f ca="1">OFFSET(INDIRECT("Forside_f_FP_Main1OmkostTable_1_start",TRUE),ROWS(AW1043:INDIRECT("Businesscasen_f_BCM_subcat14_Table1_start",TRUE))-1,COLUMNS(AW1043:INDIRECT("Businesscasen_f_BCM_subcat14_Table1_start",TRUE))-1)</f>
        <v>#VALUE!</v>
      </c>
      <c r="AX1043" s="235" t="e">
        <f ca="1">OFFSET(INDIRECT("Forside_f_FP_Main1OmkostTable_1_start",TRUE),ROWS(AX1043:INDIRECT("Businesscasen_f_BCM_subcat14_Table1_start",TRUE))-1,COLUMNS(AX1043:INDIRECT("Businesscasen_f_BCM_subcat14_Table1_start",TRUE))-1)</f>
        <v>#VALUE!</v>
      </c>
      <c r="AY1043" s="118"/>
      <c r="AZ1043" s="118"/>
      <c r="BA1043" s="118"/>
      <c r="BB1043" s="118"/>
      <c r="BC1043" s="118"/>
      <c r="BD1043" s="118"/>
      <c r="BE1043" s="118"/>
      <c r="BF1043" s="118"/>
      <c r="BG1043" s="118"/>
      <c r="BH1043" s="118"/>
      <c r="BI1043" s="118"/>
      <c r="BJ1043" s="118"/>
      <c r="BK1043" s="118"/>
      <c r="BL1043" s="118"/>
      <c r="BM1043" s="118"/>
      <c r="BN1043" s="118"/>
      <c r="BO1043" s="118"/>
      <c r="BP1043" s="118"/>
      <c r="BQ1043" s="118"/>
      <c r="BR1043" s="118"/>
      <c r="BS1043" s="118"/>
      <c r="BT1043" s="118"/>
      <c r="BU1043" s="118"/>
      <c r="BV1043" s="118"/>
      <c r="BW1043" s="118"/>
      <c r="BX1043" s="118"/>
      <c r="BY1043" s="118"/>
      <c r="BZ1043" s="118"/>
      <c r="CA1043" s="118"/>
      <c r="CB1043" s="118"/>
      <c r="CC1043" s="118"/>
      <c r="CD1043" s="118"/>
      <c r="CE1043" s="118"/>
      <c r="CF1043" s="118"/>
      <c r="CG1043" s="118"/>
      <c r="CH1043" s="118"/>
      <c r="CI1043" s="118"/>
      <c r="CJ1043" s="118"/>
      <c r="CK1043" s="118"/>
      <c r="CL1043" s="118"/>
      <c r="CM1043" s="118"/>
      <c r="CN1043" s="118"/>
      <c r="CO1043" s="118"/>
      <c r="CP1043" s="118"/>
      <c r="CQ1043" s="118"/>
      <c r="CR1043" s="118"/>
      <c r="CS1043" s="118"/>
    </row>
    <row r="1044" spans="1:97" ht="16.5" customHeight="1" x14ac:dyDescent="0.2">
      <c r="A1044" s="113">
        <f>$A$1034+9</f>
        <v>215</v>
      </c>
      <c r="B1044" s="113" t="s">
        <v>1008</v>
      </c>
      <c r="C1044" s="113" t="s">
        <v>92</v>
      </c>
      <c r="D1044" s="113"/>
      <c r="E1044" s="113"/>
      <c r="F1044" s="113" t="s">
        <v>571</v>
      </c>
      <c r="G1044" s="113" t="s">
        <v>406</v>
      </c>
      <c r="H1044" s="113"/>
      <c r="I1044" s="113"/>
      <c r="J1044" s="113" t="b">
        <f t="shared" si="161"/>
        <v>1</v>
      </c>
      <c r="K1044" s="113" t="b">
        <v>1</v>
      </c>
      <c r="L1044" s="113"/>
      <c r="M1044" s="113"/>
      <c r="N1044" s="113"/>
      <c r="O1044" s="113" t="str">
        <f t="shared" si="162"/>
        <v>$B$215</v>
      </c>
      <c r="P1044" s="113" t="str">
        <f t="shared" si="163"/>
        <v>$BK$215</v>
      </c>
      <c r="Q1044" s="113"/>
      <c r="R1044" s="113"/>
      <c r="S1044" s="113"/>
      <c r="T1044" s="113"/>
      <c r="U1044" s="113"/>
      <c r="V1044" s="113" t="s">
        <v>1342</v>
      </c>
      <c r="W1044" s="113"/>
      <c r="X1044" s="113"/>
      <c r="Y1044" s="113"/>
      <c r="Z1044" s="113"/>
      <c r="AA1044" s="113"/>
      <c r="AB1044" s="113"/>
      <c r="AC1044" s="113"/>
      <c r="AD1044" s="113"/>
      <c r="AE1044" s="113"/>
      <c r="AF1044" s="113"/>
      <c r="AG1044" s="113"/>
      <c r="AH1044" s="113"/>
      <c r="AI1044" s="113"/>
      <c r="AJ1044" s="113"/>
      <c r="AK1044" s="113"/>
      <c r="AL1044" s="113">
        <v>1</v>
      </c>
      <c r="AM1044" s="113"/>
      <c r="AN1044" s="113"/>
      <c r="AO1044" s="113"/>
      <c r="AP1044" s="113" t="b">
        <v>1</v>
      </c>
      <c r="AQ1044" s="368"/>
      <c r="AR1044" s="368"/>
      <c r="AS1044" s="368"/>
      <c r="AT1044" s="368"/>
      <c r="AU1044" s="368"/>
      <c r="AV1044" s="368"/>
      <c r="AW1044" s="235"/>
      <c r="AX1044" s="235"/>
      <c r="AY1044" s="118"/>
      <c r="AZ1044" s="118"/>
      <c r="BA1044" s="118"/>
      <c r="BB1044" s="118"/>
      <c r="BC1044" s="118"/>
      <c r="BD1044" s="118"/>
      <c r="BE1044" s="118"/>
      <c r="BF1044" s="118"/>
      <c r="BG1044" s="118"/>
      <c r="BH1044" s="118"/>
      <c r="BI1044" s="118"/>
      <c r="BJ1044" s="118"/>
      <c r="BK1044" s="118"/>
      <c r="BL1044" s="118"/>
      <c r="BM1044" s="118"/>
      <c r="BN1044" s="118"/>
      <c r="BO1044" s="118"/>
      <c r="BP1044" s="118"/>
      <c r="BQ1044" s="118"/>
      <c r="BR1044" s="118"/>
      <c r="BS1044" s="118"/>
      <c r="BT1044" s="118"/>
      <c r="BU1044" s="118"/>
      <c r="BV1044" s="118"/>
      <c r="BW1044" s="118"/>
      <c r="BX1044" s="118"/>
      <c r="BY1044" s="118"/>
      <c r="BZ1044" s="118"/>
      <c r="CA1044" s="118"/>
      <c r="CB1044" s="118"/>
      <c r="CC1044" s="118"/>
      <c r="CD1044" s="118"/>
      <c r="CE1044" s="118"/>
      <c r="CF1044" s="118"/>
      <c r="CG1044" s="118"/>
      <c r="CH1044" s="118"/>
      <c r="CI1044" s="118"/>
      <c r="CJ1044" s="118"/>
      <c r="CK1044" s="118"/>
      <c r="CL1044" s="118"/>
      <c r="CM1044" s="118"/>
      <c r="CN1044" s="118"/>
      <c r="CO1044" s="118"/>
      <c r="CP1044" s="118"/>
      <c r="CQ1044" s="118"/>
      <c r="CR1044" s="118"/>
      <c r="CS1044" s="118"/>
    </row>
    <row r="1045" spans="1:97" ht="16.5" customHeight="1" x14ac:dyDescent="0.2">
      <c r="A1045" s="113">
        <f>$A$1034+10</f>
        <v>216</v>
      </c>
      <c r="B1045" s="113" t="s">
        <v>1009</v>
      </c>
      <c r="C1045" s="113" t="s">
        <v>92</v>
      </c>
      <c r="D1045" s="113"/>
      <c r="E1045" s="113"/>
      <c r="F1045" s="113" t="s">
        <v>571</v>
      </c>
      <c r="G1045" s="113" t="s">
        <v>406</v>
      </c>
      <c r="H1045" s="113"/>
      <c r="I1045" s="113"/>
      <c r="J1045" s="113" t="b">
        <f t="shared" si="161"/>
        <v>1</v>
      </c>
      <c r="K1045" s="113" t="b">
        <v>1</v>
      </c>
      <c r="L1045" s="113"/>
      <c r="M1045" s="113"/>
      <c r="N1045" s="113"/>
      <c r="O1045" s="113" t="str">
        <f t="shared" si="162"/>
        <v>$B$216</v>
      </c>
      <c r="P1045" s="113" t="str">
        <f t="shared" si="163"/>
        <v>$BK$216</v>
      </c>
      <c r="Q1045" s="113"/>
      <c r="R1045" s="113"/>
      <c r="S1045" s="113"/>
      <c r="T1045" s="113"/>
      <c r="U1045" s="113"/>
      <c r="V1045" s="113" t="s">
        <v>1342</v>
      </c>
      <c r="W1045" s="113"/>
      <c r="X1045" s="113"/>
      <c r="Y1045" s="113"/>
      <c r="Z1045" s="113"/>
      <c r="AA1045" s="113"/>
      <c r="AB1045" s="113"/>
      <c r="AC1045" s="113"/>
      <c r="AD1045" s="113"/>
      <c r="AE1045" s="113"/>
      <c r="AF1045" s="113"/>
      <c r="AG1045" s="113"/>
      <c r="AH1045" s="113"/>
      <c r="AI1045" s="113"/>
      <c r="AJ1045" s="113"/>
      <c r="AK1045" s="113"/>
      <c r="AL1045" s="113">
        <v>1</v>
      </c>
      <c r="AM1045" s="113"/>
      <c r="AN1045" s="113"/>
      <c r="AO1045" s="113"/>
      <c r="AP1045" s="113" t="b">
        <v>1</v>
      </c>
      <c r="AQ1045" s="368" t="s">
        <v>81</v>
      </c>
      <c r="AR1045" s="368"/>
      <c r="AS1045" s="368"/>
      <c r="AT1045" s="368"/>
      <c r="AU1045" s="368"/>
      <c r="AV1045" s="368"/>
      <c r="AW1045" s="237" t="e">
        <f ca="1">OFFSET(INDIRECT("Forside_f_FP_Main1OmkostTable_1_start",TRUE),ROWS(AW1045:INDIRECT("Businesscasen_f_BCM_subcat14_Table1_start",TRUE))-1,COLUMNS(AW1045:INDIRECT("Businesscasen_f_BCM_subcat14_Table1_start",TRUE))-1)</f>
        <v>#VALUE!</v>
      </c>
      <c r="AX1045" s="237" t="e">
        <f ca="1">OFFSET(INDIRECT("Forside_f_FP_Main1OmkostTable_1_start",TRUE),ROWS(AX1045:INDIRECT("Businesscasen_f_BCM_subcat14_Table1_start",TRUE))-1,COLUMNS(AX1045:INDIRECT("Businesscasen_f_BCM_subcat14_Table1_start",TRUE))-1)</f>
        <v>#VALUE!</v>
      </c>
      <c r="AY1045" s="118"/>
      <c r="AZ1045" s="118"/>
      <c r="BA1045" s="118"/>
      <c r="BB1045" s="118"/>
      <c r="BC1045" s="118"/>
      <c r="BD1045" s="118"/>
      <c r="BE1045" s="118"/>
      <c r="BF1045" s="118"/>
      <c r="BG1045" s="118"/>
      <c r="BH1045" s="118"/>
      <c r="BI1045" s="118"/>
      <c r="BJ1045" s="118"/>
      <c r="BK1045" s="118"/>
      <c r="BL1045" s="118"/>
      <c r="BM1045" s="118"/>
      <c r="BN1045" s="118"/>
      <c r="BO1045" s="118"/>
      <c r="BP1045" s="118"/>
      <c r="BQ1045" s="118"/>
      <c r="BR1045" s="118"/>
      <c r="BS1045" s="118"/>
      <c r="BT1045" s="118"/>
      <c r="BU1045" s="118"/>
      <c r="BV1045" s="118"/>
      <c r="BW1045" s="118"/>
      <c r="BX1045" s="118"/>
      <c r="BY1045" s="118"/>
      <c r="BZ1045" s="118"/>
      <c r="CA1045" s="118"/>
      <c r="CB1045" s="118"/>
      <c r="CC1045" s="118"/>
      <c r="CD1045" s="118"/>
      <c r="CE1045" s="118"/>
      <c r="CF1045" s="118"/>
      <c r="CG1045" s="118"/>
      <c r="CH1045" s="118"/>
      <c r="CI1045" s="118"/>
      <c r="CJ1045" s="118"/>
      <c r="CK1045" s="118"/>
      <c r="CL1045" s="118"/>
      <c r="CM1045" s="118"/>
      <c r="CN1045" s="118"/>
      <c r="CO1045" s="118"/>
      <c r="CP1045" s="118"/>
      <c r="CQ1045" s="118"/>
      <c r="CR1045" s="118"/>
      <c r="CS1045" s="118"/>
    </row>
    <row r="1046" spans="1:97" ht="16.5" customHeight="1" x14ac:dyDescent="0.2">
      <c r="A1046" s="113">
        <f>$A$1034+11</f>
        <v>217</v>
      </c>
      <c r="B1046" s="113" t="s">
        <v>1010</v>
      </c>
      <c r="C1046" s="113" t="s">
        <v>92</v>
      </c>
      <c r="D1046" s="113"/>
      <c r="E1046" s="113"/>
      <c r="F1046" s="113" t="s">
        <v>571</v>
      </c>
      <c r="G1046" s="113" t="s">
        <v>406</v>
      </c>
      <c r="H1046" s="113"/>
      <c r="I1046" s="113"/>
      <c r="J1046" s="113" t="b">
        <f t="shared" si="161"/>
        <v>1</v>
      </c>
      <c r="K1046" s="113" t="b">
        <v>1</v>
      </c>
      <c r="L1046" s="113"/>
      <c r="M1046" s="113"/>
      <c r="N1046" s="113"/>
      <c r="O1046" s="113" t="str">
        <f t="shared" si="162"/>
        <v>$B$217</v>
      </c>
      <c r="P1046" s="113" t="str">
        <f t="shared" si="163"/>
        <v>$BK$217</v>
      </c>
      <c r="Q1046" s="113"/>
      <c r="R1046" s="113"/>
      <c r="S1046" s="113"/>
      <c r="T1046" s="113"/>
      <c r="U1046" s="113"/>
      <c r="V1046" s="113" t="s">
        <v>1342</v>
      </c>
      <c r="W1046" s="113"/>
      <c r="X1046" s="113"/>
      <c r="Y1046" s="113"/>
      <c r="Z1046" s="113"/>
      <c r="AA1046" s="113"/>
      <c r="AB1046" s="113"/>
      <c r="AC1046" s="113"/>
      <c r="AD1046" s="113"/>
      <c r="AE1046" s="113"/>
      <c r="AF1046" s="113"/>
      <c r="AG1046" s="113"/>
      <c r="AH1046" s="113"/>
      <c r="AI1046" s="113"/>
      <c r="AJ1046" s="113"/>
      <c r="AK1046" s="113"/>
      <c r="AL1046" s="113">
        <v>1</v>
      </c>
      <c r="AM1046" s="113"/>
      <c r="AN1046" s="113"/>
      <c r="AO1046" s="113"/>
      <c r="AP1046" s="113" t="b">
        <v>1</v>
      </c>
      <c r="AQ1046" s="368"/>
      <c r="AR1046" s="368"/>
      <c r="AS1046" s="368"/>
      <c r="AT1046" s="368"/>
      <c r="AU1046" s="368"/>
      <c r="AV1046" s="368"/>
      <c r="AW1046" s="235"/>
      <c r="AX1046" s="235"/>
      <c r="AY1046" s="118"/>
      <c r="AZ1046" s="118"/>
      <c r="BA1046" s="118"/>
      <c r="BB1046" s="118"/>
      <c r="BC1046" s="118"/>
      <c r="BD1046" s="118"/>
      <c r="BE1046" s="118"/>
      <c r="BF1046" s="118"/>
      <c r="BG1046" s="118"/>
      <c r="BH1046" s="118"/>
      <c r="BI1046" s="118"/>
      <c r="BJ1046" s="118"/>
      <c r="BK1046" s="118"/>
      <c r="BL1046" s="118"/>
      <c r="BM1046" s="118"/>
      <c r="BN1046" s="118"/>
      <c r="BO1046" s="118"/>
      <c r="BP1046" s="118"/>
      <c r="BQ1046" s="118"/>
      <c r="BR1046" s="118"/>
      <c r="BS1046" s="118"/>
      <c r="BT1046" s="118"/>
      <c r="BU1046" s="118"/>
      <c r="BV1046" s="118"/>
      <c r="BW1046" s="118"/>
      <c r="BX1046" s="118"/>
      <c r="BY1046" s="118"/>
      <c r="BZ1046" s="118"/>
      <c r="CA1046" s="118"/>
      <c r="CB1046" s="118"/>
      <c r="CC1046" s="118"/>
      <c r="CD1046" s="118"/>
      <c r="CE1046" s="118"/>
      <c r="CF1046" s="118"/>
      <c r="CG1046" s="118"/>
      <c r="CH1046" s="118"/>
      <c r="CI1046" s="118"/>
      <c r="CJ1046" s="118"/>
      <c r="CK1046" s="118"/>
      <c r="CL1046" s="118"/>
      <c r="CM1046" s="118"/>
      <c r="CN1046" s="118"/>
      <c r="CO1046" s="118"/>
      <c r="CP1046" s="118"/>
      <c r="CQ1046" s="118"/>
      <c r="CR1046" s="118"/>
      <c r="CS1046" s="118"/>
    </row>
    <row r="1047" spans="1:97" ht="16.5" customHeight="1" x14ac:dyDescent="0.2">
      <c r="A1047" s="113">
        <f>$A$1034+12</f>
        <v>218</v>
      </c>
      <c r="B1047" s="113" t="s">
        <v>1011</v>
      </c>
      <c r="C1047" s="113" t="s">
        <v>92</v>
      </c>
      <c r="D1047" s="113"/>
      <c r="E1047" s="113"/>
      <c r="F1047" s="113" t="s">
        <v>571</v>
      </c>
      <c r="G1047" s="113" t="s">
        <v>406</v>
      </c>
      <c r="H1047" s="113"/>
      <c r="I1047" s="113"/>
      <c r="J1047" s="113" t="b">
        <f t="shared" si="161"/>
        <v>1</v>
      </c>
      <c r="K1047" s="113" t="b">
        <v>1</v>
      </c>
      <c r="L1047" s="113"/>
      <c r="M1047" s="113"/>
      <c r="N1047" s="113"/>
      <c r="O1047" s="113" t="str">
        <f t="shared" si="162"/>
        <v>$B$218</v>
      </c>
      <c r="P1047" s="113" t="str">
        <f t="shared" si="163"/>
        <v>$BK$218</v>
      </c>
      <c r="Q1047" s="113"/>
      <c r="R1047" s="113"/>
      <c r="S1047" s="113"/>
      <c r="T1047" s="113"/>
      <c r="U1047" s="113"/>
      <c r="V1047" s="113" t="s">
        <v>1342</v>
      </c>
      <c r="W1047" s="113"/>
      <c r="X1047" s="113"/>
      <c r="Y1047" s="113"/>
      <c r="Z1047" s="113"/>
      <c r="AA1047" s="113"/>
      <c r="AB1047" s="113"/>
      <c r="AC1047" s="113"/>
      <c r="AD1047" s="113"/>
      <c r="AE1047" s="113"/>
      <c r="AF1047" s="113"/>
      <c r="AG1047" s="113"/>
      <c r="AH1047" s="113"/>
      <c r="AI1047" s="113"/>
      <c r="AJ1047" s="113"/>
      <c r="AK1047" s="113"/>
      <c r="AL1047" s="113">
        <v>1</v>
      </c>
      <c r="AM1047" s="113"/>
      <c r="AN1047" s="113"/>
      <c r="AO1047" s="113"/>
      <c r="AP1047" s="113" t="b">
        <v>1</v>
      </c>
      <c r="AQ1047" s="368" t="s">
        <v>82</v>
      </c>
      <c r="AR1047" s="368"/>
      <c r="AS1047" s="368"/>
      <c r="AT1047" s="368"/>
      <c r="AU1047" s="368"/>
      <c r="AV1047" s="368"/>
      <c r="AW1047" s="235" t="e">
        <f ca="1">OFFSET(INDIRECT("Forside_f_FP_Main1OmkostTable_1_start",TRUE),ROWS(AW1047:INDIRECT("Businesscasen_f_BCM_subcat14_Table1_start",TRUE))-1,COLUMNS(AW1047:INDIRECT("Businesscasen_f_BCM_subcat14_Table1_start",TRUE))-1)</f>
        <v>#VALUE!</v>
      </c>
      <c r="AX1047" s="235" t="e">
        <f ca="1">OFFSET(INDIRECT("Forside_f_FP_Main1OmkostTable_1_start",TRUE),ROWS(AX1047:INDIRECT("Businesscasen_f_BCM_subcat14_Table1_start",TRUE))-1,COLUMNS(AX1047:INDIRECT("Businesscasen_f_BCM_subcat14_Table1_start",TRUE))-1)</f>
        <v>#VALUE!</v>
      </c>
      <c r="AY1047" s="118"/>
      <c r="AZ1047" s="118"/>
      <c r="BA1047" s="118"/>
      <c r="BB1047" s="118"/>
      <c r="BC1047" s="118"/>
      <c r="BD1047" s="118"/>
      <c r="BE1047" s="118"/>
      <c r="BF1047" s="118"/>
      <c r="BG1047" s="118"/>
      <c r="BH1047" s="118"/>
      <c r="BI1047" s="118"/>
      <c r="BJ1047" s="118"/>
      <c r="BK1047" s="118"/>
      <c r="BL1047" s="118"/>
      <c r="BM1047" s="118"/>
      <c r="BN1047" s="118"/>
      <c r="BO1047" s="118"/>
      <c r="BP1047" s="118"/>
      <c r="BQ1047" s="118"/>
      <c r="BR1047" s="118"/>
      <c r="BS1047" s="118"/>
      <c r="BT1047" s="118"/>
      <c r="BU1047" s="118"/>
      <c r="BV1047" s="118"/>
      <c r="BW1047" s="118"/>
      <c r="BX1047" s="118"/>
      <c r="BY1047" s="118"/>
      <c r="BZ1047" s="118"/>
      <c r="CA1047" s="118"/>
      <c r="CB1047" s="118"/>
      <c r="CC1047" s="118"/>
      <c r="CD1047" s="118"/>
      <c r="CE1047" s="118"/>
      <c r="CF1047" s="118"/>
      <c r="CG1047" s="118"/>
      <c r="CH1047" s="118"/>
      <c r="CI1047" s="118"/>
      <c r="CJ1047" s="118"/>
      <c r="CK1047" s="118"/>
      <c r="CL1047" s="118"/>
      <c r="CM1047" s="118"/>
      <c r="CN1047" s="118"/>
      <c r="CO1047" s="118"/>
      <c r="CP1047" s="118"/>
      <c r="CQ1047" s="118"/>
      <c r="CR1047" s="118"/>
      <c r="CS1047" s="118"/>
    </row>
    <row r="1048" spans="1:97" ht="16.5" customHeight="1" x14ac:dyDescent="0.2">
      <c r="A1048" s="113">
        <f>$A$1034+13</f>
        <v>219</v>
      </c>
      <c r="B1048" s="113" t="s">
        <v>1012</v>
      </c>
      <c r="C1048" s="113" t="s">
        <v>92</v>
      </c>
      <c r="D1048" s="113"/>
      <c r="E1048" s="113"/>
      <c r="F1048" s="113" t="s">
        <v>571</v>
      </c>
      <c r="G1048" s="113" t="s">
        <v>406</v>
      </c>
      <c r="H1048" s="113"/>
      <c r="I1048" s="113"/>
      <c r="J1048" s="113" t="b">
        <f t="shared" si="161"/>
        <v>1</v>
      </c>
      <c r="K1048" s="113" t="b">
        <v>1</v>
      </c>
      <c r="L1048" s="113"/>
      <c r="M1048" s="113"/>
      <c r="N1048" s="113"/>
      <c r="O1048" s="113" t="str">
        <f t="shared" si="162"/>
        <v>$B$219</v>
      </c>
      <c r="P1048" s="113" t="str">
        <f t="shared" si="163"/>
        <v>$BK$219</v>
      </c>
      <c r="Q1048" s="113"/>
      <c r="R1048" s="113"/>
      <c r="S1048" s="113"/>
      <c r="T1048" s="113"/>
      <c r="U1048" s="113"/>
      <c r="V1048" s="113" t="s">
        <v>1342</v>
      </c>
      <c r="W1048" s="113"/>
      <c r="X1048" s="113"/>
      <c r="Y1048" s="113"/>
      <c r="Z1048" s="113"/>
      <c r="AA1048" s="113"/>
      <c r="AB1048" s="113"/>
      <c r="AC1048" s="113"/>
      <c r="AD1048" s="113"/>
      <c r="AE1048" s="113"/>
      <c r="AF1048" s="113"/>
      <c r="AG1048" s="113"/>
      <c r="AH1048" s="113"/>
      <c r="AI1048" s="113"/>
      <c r="AJ1048" s="113"/>
      <c r="AK1048" s="113"/>
      <c r="AL1048" s="113">
        <v>1</v>
      </c>
      <c r="AM1048" s="113"/>
      <c r="AN1048" s="113"/>
      <c r="AO1048" s="113"/>
      <c r="AP1048" s="113" t="b">
        <v>1</v>
      </c>
      <c r="AQ1048" s="547" t="s">
        <v>83</v>
      </c>
      <c r="AR1048" s="547"/>
      <c r="AS1048" s="547"/>
      <c r="AT1048" s="547"/>
      <c r="AU1048" s="547"/>
      <c r="AV1048" s="547"/>
      <c r="AW1048" s="238" t="e">
        <f ca="1">OFFSET(INDIRECT("Forside_f_FP_Main1OmkostTable_1_start",TRUE),ROWS(AW1048:INDIRECT("Businesscasen_f_BCM_subcat14_Table1_start",TRUE))-1,COLUMNS(AW1048:INDIRECT("Businesscasen_f_BCM_subcat14_Table1_start",TRUE))-1)</f>
        <v>#VALUE!</v>
      </c>
      <c r="AX1048" s="238" t="e">
        <f ca="1">OFFSET(INDIRECT("Forside_f_FP_Main1OmkostTable_1_start",TRUE),ROWS(AX1048:INDIRECT("Businesscasen_f_BCM_subcat14_Table1_start",TRUE))-1,COLUMNS(AX1048:INDIRECT("Businesscasen_f_BCM_subcat14_Table1_start",TRUE))-1)</f>
        <v>#VALUE!</v>
      </c>
      <c r="AY1048" s="118"/>
      <c r="AZ1048" s="118"/>
      <c r="BA1048" s="118"/>
      <c r="BB1048" s="118"/>
      <c r="BC1048" s="118"/>
      <c r="BD1048" s="118"/>
      <c r="BE1048" s="118"/>
      <c r="BF1048" s="118"/>
      <c r="BG1048" s="118"/>
      <c r="BH1048" s="118"/>
      <c r="BI1048" s="118"/>
      <c r="BJ1048" s="118"/>
      <c r="BK1048" s="118"/>
      <c r="BL1048" s="118"/>
      <c r="BM1048" s="118"/>
      <c r="BN1048" s="118"/>
      <c r="BO1048" s="118"/>
      <c r="BP1048" s="118"/>
      <c r="BQ1048" s="118"/>
      <c r="BR1048" s="118"/>
      <c r="BS1048" s="118"/>
      <c r="BT1048" s="118"/>
      <c r="BU1048" s="118"/>
      <c r="BV1048" s="118"/>
      <c r="BW1048" s="118"/>
      <c r="BX1048" s="118"/>
      <c r="BY1048" s="118"/>
      <c r="BZ1048" s="118"/>
      <c r="CA1048" s="118"/>
      <c r="CB1048" s="118"/>
      <c r="CC1048" s="118"/>
      <c r="CD1048" s="118"/>
      <c r="CE1048" s="118"/>
      <c r="CF1048" s="118"/>
      <c r="CG1048" s="118"/>
      <c r="CH1048" s="118"/>
      <c r="CI1048" s="118"/>
      <c r="CJ1048" s="118"/>
      <c r="CK1048" s="118"/>
      <c r="CL1048" s="118"/>
      <c r="CM1048" s="118"/>
      <c r="CN1048" s="118"/>
      <c r="CO1048" s="118"/>
      <c r="CP1048" s="118"/>
      <c r="CQ1048" s="118"/>
      <c r="CR1048" s="118"/>
      <c r="CS1048" s="118"/>
    </row>
    <row r="1049" spans="1:97" ht="16.5" customHeight="1" x14ac:dyDescent="0.2">
      <c r="A1049" s="103">
        <f>$A$1034+16</f>
        <v>222</v>
      </c>
      <c r="B1049" s="103" t="s">
        <v>507</v>
      </c>
      <c r="C1049" s="103" t="s">
        <v>654</v>
      </c>
      <c r="D1049" s="103"/>
      <c r="E1049" s="103"/>
      <c r="F1049" s="103"/>
      <c r="G1049" s="103" t="s">
        <v>406</v>
      </c>
      <c r="H1049" s="103"/>
      <c r="I1049" s="103" t="s">
        <v>444</v>
      </c>
      <c r="J1049" s="103" t="b">
        <f t="shared" si="161"/>
        <v>1</v>
      </c>
      <c r="K1049" s="103" t="b">
        <v>1</v>
      </c>
      <c r="L1049" s="103"/>
      <c r="M1049" s="103"/>
      <c r="N1049" s="103" t="s">
        <v>59</v>
      </c>
      <c r="O1049" s="103" t="str">
        <f t="shared" si="162"/>
        <v>$B$222</v>
      </c>
      <c r="P1049" s="103" t="str">
        <f>"$S$"&amp;A1063-1</f>
        <v>$S$235</v>
      </c>
      <c r="Q1049" s="103"/>
      <c r="R1049" s="103">
        <v>1</v>
      </c>
      <c r="S1049" s="103"/>
      <c r="T1049" s="103">
        <v>27</v>
      </c>
      <c r="U1049" s="103" t="b">
        <v>1</v>
      </c>
      <c r="V1049" s="103" t="s">
        <v>1352</v>
      </c>
      <c r="W1049" s="103" t="s">
        <v>1352</v>
      </c>
      <c r="X1049" s="103"/>
      <c r="Y1049" s="103"/>
      <c r="Z1049" s="103"/>
      <c r="AA1049" s="103"/>
      <c r="AB1049" s="103"/>
      <c r="AC1049" s="103">
        <v>7</v>
      </c>
      <c r="AD1049" s="103" t="s">
        <v>105</v>
      </c>
      <c r="AE1049" s="103">
        <v>20</v>
      </c>
      <c r="AF1049" s="103" t="b">
        <v>1</v>
      </c>
      <c r="AG1049" s="103" t="s">
        <v>1351</v>
      </c>
      <c r="AH1049" s="103" t="s">
        <v>29</v>
      </c>
      <c r="AI1049" s="103" t="s">
        <v>28</v>
      </c>
      <c r="AJ1049" s="103"/>
      <c r="AK1049" s="103"/>
      <c r="AL1049" s="103">
        <v>0</v>
      </c>
      <c r="AM1049" s="103"/>
      <c r="AN1049" s="103"/>
      <c r="AO1049" s="103"/>
      <c r="AP1049" s="103"/>
      <c r="AQ1049" s="93" t="s">
        <v>633</v>
      </c>
    </row>
    <row r="1050" spans="1:97" ht="16.5" customHeight="1" x14ac:dyDescent="0.2">
      <c r="A1050" s="81">
        <f>$A$1049+3</f>
        <v>225</v>
      </c>
      <c r="B1050" s="81" t="s">
        <v>1013</v>
      </c>
      <c r="C1050" s="81" t="s">
        <v>512</v>
      </c>
      <c r="D1050" s="81" t="s">
        <v>961</v>
      </c>
      <c r="E1050" s="81"/>
      <c r="F1050" s="81"/>
      <c r="G1050" s="81" t="s">
        <v>406</v>
      </c>
      <c r="H1050" s="81"/>
      <c r="I1050" s="81"/>
      <c r="J1050" s="81" t="b">
        <f t="shared" si="161"/>
        <v>1</v>
      </c>
      <c r="K1050" s="81" t="b">
        <v>1</v>
      </c>
      <c r="L1050" s="81" t="b">
        <v>0</v>
      </c>
      <c r="M1050" s="81"/>
      <c r="N1050" s="81" t="s">
        <v>59</v>
      </c>
      <c r="O1050" s="81" t="str">
        <f>"$U$"&amp;A1055</f>
        <v>$U$226</v>
      </c>
      <c r="P1050" s="81" t="str">
        <f>"$U$"&amp;A1055</f>
        <v>$U$226</v>
      </c>
      <c r="Q1050" s="81"/>
      <c r="R1050" s="81">
        <v>1</v>
      </c>
      <c r="S1050" s="81">
        <v>-20</v>
      </c>
      <c r="T1050" s="81"/>
      <c r="U1050" s="81" t="b">
        <f>$I$5</f>
        <v>0</v>
      </c>
      <c r="V1050" s="81" t="s">
        <v>1348</v>
      </c>
      <c r="W1050" s="81" t="s">
        <v>1348</v>
      </c>
      <c r="X1050" s="81"/>
      <c r="Y1050" s="81"/>
      <c r="Z1050" s="81"/>
      <c r="AA1050" s="81"/>
      <c r="AB1050" s="81"/>
      <c r="AC1050" s="81"/>
      <c r="AD1050" s="81"/>
      <c r="AE1050" s="81"/>
      <c r="AF1050" s="81"/>
      <c r="AG1050" s="81"/>
      <c r="AH1050" s="81"/>
      <c r="AI1050" s="81"/>
      <c r="AJ1050" s="81"/>
      <c r="AK1050" s="81"/>
      <c r="AL1050" s="81">
        <v>-10</v>
      </c>
      <c r="AM1050" s="81">
        <v>5</v>
      </c>
      <c r="AN1050" s="81"/>
      <c r="AO1050" s="81"/>
      <c r="AP1050" s="81"/>
    </row>
    <row r="1051" spans="1:97" ht="16.5" customHeight="1" x14ac:dyDescent="0.2">
      <c r="A1051" s="81">
        <f>$A$1049+5</f>
        <v>227</v>
      </c>
      <c r="B1051" s="81" t="s">
        <v>1015</v>
      </c>
      <c r="C1051" s="81" t="s">
        <v>512</v>
      </c>
      <c r="D1051" s="81" t="s">
        <v>961</v>
      </c>
      <c r="E1051" s="81"/>
      <c r="F1051" s="81"/>
      <c r="G1051" s="81" t="s">
        <v>406</v>
      </c>
      <c r="H1051" s="81"/>
      <c r="I1051" s="81"/>
      <c r="J1051" s="81" t="b">
        <f t="shared" si="161"/>
        <v>1</v>
      </c>
      <c r="K1051" s="81" t="b">
        <v>1</v>
      </c>
      <c r="L1051" s="81" t="b">
        <v>0</v>
      </c>
      <c r="M1051" s="81"/>
      <c r="N1051" s="81" t="s">
        <v>59</v>
      </c>
      <c r="O1051" s="81" t="str">
        <f>"$U$"&amp;A1057</f>
        <v>$U$228</v>
      </c>
      <c r="P1051" s="81" t="str">
        <f>"$U$"&amp;A1061</f>
        <v>$U$232</v>
      </c>
      <c r="Q1051" s="81"/>
      <c r="R1051" s="81">
        <v>1</v>
      </c>
      <c r="S1051" s="81">
        <v>-20</v>
      </c>
      <c r="T1051" s="81"/>
      <c r="U1051" s="81" t="b">
        <f>$I$5</f>
        <v>0</v>
      </c>
      <c r="V1051" s="81" t="s">
        <v>1348</v>
      </c>
      <c r="W1051" s="81" t="s">
        <v>1348</v>
      </c>
      <c r="X1051" s="81"/>
      <c r="Y1051" s="81"/>
      <c r="Z1051" s="81"/>
      <c r="AA1051" s="81"/>
      <c r="AB1051" s="81"/>
      <c r="AC1051" s="81"/>
      <c r="AD1051" s="81"/>
      <c r="AE1051" s="81"/>
      <c r="AF1051" s="81"/>
      <c r="AG1051" s="81"/>
      <c r="AH1051" s="81"/>
      <c r="AI1051" s="81"/>
      <c r="AJ1051" s="81"/>
      <c r="AK1051" s="81"/>
      <c r="AL1051" s="81">
        <v>-10</v>
      </c>
      <c r="AM1051" s="81">
        <v>5</v>
      </c>
      <c r="AN1051" s="81"/>
      <c r="AO1051" s="81"/>
      <c r="AP1051" s="81"/>
    </row>
    <row r="1052" spans="1:97" ht="16.5" customHeight="1" x14ac:dyDescent="0.2">
      <c r="A1052" s="112">
        <f>$A$1049+2</f>
        <v>224</v>
      </c>
      <c r="B1052" s="112" t="s">
        <v>573</v>
      </c>
      <c r="C1052" s="112" t="s">
        <v>90</v>
      </c>
      <c r="D1052" s="112"/>
      <c r="E1052" s="112"/>
      <c r="F1052" s="112"/>
      <c r="G1052" s="112" t="s">
        <v>406</v>
      </c>
      <c r="H1052" s="112"/>
      <c r="I1052" s="112"/>
      <c r="J1052" s="112" t="b">
        <f t="shared" si="161"/>
        <v>1</v>
      </c>
      <c r="K1052" s="112" t="b">
        <v>1</v>
      </c>
      <c r="L1052" s="112"/>
      <c r="M1052" s="112"/>
      <c r="N1052" s="112"/>
      <c r="O1052" s="112" t="str">
        <f t="shared" ref="O1052:O1063" si="164">"$B$"&amp;A1052</f>
        <v>$B$224</v>
      </c>
      <c r="P1052" s="112" t="str">
        <f t="shared" ref="P1052:P1062" si="165">"$K$"&amp;A1052</f>
        <v>$K$224</v>
      </c>
      <c r="Q1052" s="112"/>
      <c r="R1052" s="112"/>
      <c r="S1052" s="112"/>
      <c r="T1052" s="112"/>
      <c r="U1052" s="112"/>
      <c r="V1052" s="112" t="s">
        <v>1342</v>
      </c>
      <c r="W1052" s="112"/>
      <c r="X1052" s="112"/>
      <c r="Y1052" s="112"/>
      <c r="Z1052" s="112"/>
      <c r="AA1052" s="112"/>
      <c r="AB1052" s="112"/>
      <c r="AC1052" s="112"/>
      <c r="AD1052" s="112" t="s">
        <v>105</v>
      </c>
      <c r="AE1052" s="112">
        <v>12</v>
      </c>
      <c r="AF1052" s="112" t="b">
        <v>1</v>
      </c>
      <c r="AG1052" s="112" t="s">
        <v>1355</v>
      </c>
      <c r="AH1052" s="112" t="s">
        <v>29</v>
      </c>
      <c r="AI1052" s="112" t="s">
        <v>28</v>
      </c>
      <c r="AJ1052" s="112"/>
      <c r="AK1052" s="112"/>
      <c r="AL1052" s="112"/>
      <c r="AM1052" s="112"/>
      <c r="AN1052" s="112"/>
      <c r="AO1052" s="112"/>
      <c r="AP1052" s="112"/>
    </row>
    <row r="1053" spans="1:97" ht="16.5" customHeight="1" thickBot="1" x14ac:dyDescent="0.25">
      <c r="A1053" s="113">
        <f>$A$1052+0</f>
        <v>224</v>
      </c>
      <c r="B1053" s="113" t="s">
        <v>574</v>
      </c>
      <c r="C1053" s="113" t="s">
        <v>92</v>
      </c>
      <c r="D1053" s="113"/>
      <c r="E1053" s="113"/>
      <c r="F1053" s="113"/>
      <c r="G1053" s="113" t="s">
        <v>406</v>
      </c>
      <c r="H1053" s="113"/>
      <c r="I1053" s="113"/>
      <c r="J1053" s="113" t="b">
        <f t="shared" si="161"/>
        <v>1</v>
      </c>
      <c r="K1053" s="113" t="b">
        <v>1</v>
      </c>
      <c r="L1053" s="113"/>
      <c r="M1053" s="113"/>
      <c r="N1053" s="113"/>
      <c r="O1053" s="113" t="str">
        <f t="shared" si="164"/>
        <v>$B$224</v>
      </c>
      <c r="P1053" s="113" t="str">
        <f t="shared" si="165"/>
        <v>$K$224</v>
      </c>
      <c r="Q1053" s="113"/>
      <c r="R1053" s="113"/>
      <c r="S1053" s="113"/>
      <c r="T1053" s="113">
        <v>52</v>
      </c>
      <c r="U1053" s="113"/>
      <c r="V1053" s="113" t="s">
        <v>1342</v>
      </c>
      <c r="W1053" s="113"/>
      <c r="X1053" s="113"/>
      <c r="Y1053" s="113"/>
      <c r="Z1053" s="113"/>
      <c r="AA1053" s="113"/>
      <c r="AB1053" s="113"/>
      <c r="AC1053" s="113"/>
      <c r="AD1053" s="113"/>
      <c r="AE1053" s="113"/>
      <c r="AF1053" s="113"/>
      <c r="AG1053" s="113"/>
      <c r="AH1053" s="113"/>
      <c r="AI1053" s="113"/>
      <c r="AJ1053" s="113"/>
      <c r="AK1053" s="113"/>
      <c r="AL1053" s="113">
        <v>1</v>
      </c>
      <c r="AM1053" s="113"/>
      <c r="AN1053" s="113"/>
      <c r="AO1053" s="113"/>
      <c r="AP1053" s="113" t="b">
        <v>1</v>
      </c>
      <c r="AQ1053" s="548" t="s">
        <v>1590</v>
      </c>
      <c r="AR1053" s="548"/>
      <c r="AS1053" s="549" t="s">
        <v>74</v>
      </c>
      <c r="AT1053" s="550"/>
      <c r="AU1053" s="549" t="s">
        <v>75</v>
      </c>
      <c r="AV1053" s="550"/>
      <c r="AW1053" s="549" t="s">
        <v>76</v>
      </c>
      <c r="AX1053" s="550"/>
      <c r="AY1053" s="549" t="s">
        <v>77</v>
      </c>
      <c r="AZ1053" s="550"/>
    </row>
    <row r="1054" spans="1:97" ht="16.5" customHeight="1" x14ac:dyDescent="0.2">
      <c r="A1054" s="113">
        <f>$A$1052+1</f>
        <v>225</v>
      </c>
      <c r="B1054" s="113" t="s">
        <v>1581</v>
      </c>
      <c r="C1054" s="113" t="s">
        <v>92</v>
      </c>
      <c r="D1054" s="113"/>
      <c r="E1054" s="113"/>
      <c r="F1054" s="113"/>
      <c r="G1054" s="113" t="s">
        <v>406</v>
      </c>
      <c r="H1054" s="113"/>
      <c r="I1054" s="113"/>
      <c r="J1054" s="113" t="b">
        <f t="shared" si="161"/>
        <v>1</v>
      </c>
      <c r="K1054" s="113" t="b">
        <v>1</v>
      </c>
      <c r="L1054" s="113"/>
      <c r="M1054" s="113"/>
      <c r="N1054" s="113"/>
      <c r="O1054" s="113" t="str">
        <f t="shared" ref="O1054" si="166">"$B$"&amp;A1054</f>
        <v>$B$225</v>
      </c>
      <c r="P1054" s="113" t="str">
        <f t="shared" ref="P1054" si="167">"$K$"&amp;A1054</f>
        <v>$K$225</v>
      </c>
      <c r="Q1054" s="113"/>
      <c r="R1054" s="113"/>
      <c r="S1054" s="113"/>
      <c r="T1054" s="113">
        <v>2</v>
      </c>
      <c r="U1054" s="113"/>
      <c r="V1054" s="113" t="s">
        <v>1342</v>
      </c>
      <c r="W1054" s="113"/>
      <c r="X1054" s="113"/>
      <c r="Y1054" s="113"/>
      <c r="Z1054" s="113"/>
      <c r="AA1054" s="113"/>
      <c r="AB1054" s="113"/>
      <c r="AC1054" s="113"/>
      <c r="AD1054" s="113"/>
      <c r="AE1054" s="113"/>
      <c r="AF1054" s="113"/>
      <c r="AG1054" s="113"/>
      <c r="AH1054" s="113"/>
      <c r="AI1054" s="113"/>
      <c r="AJ1054" s="113"/>
      <c r="AK1054" s="113"/>
      <c r="AL1054" s="113">
        <v>1</v>
      </c>
      <c r="AM1054" s="113"/>
      <c r="AN1054" s="113"/>
      <c r="AO1054" s="113"/>
      <c r="AP1054" s="113" t="b">
        <v>1</v>
      </c>
      <c r="AQ1054" s="132"/>
      <c r="AR1054" s="147"/>
      <c r="AS1054" s="552"/>
      <c r="AT1054" s="553"/>
      <c r="AU1054" s="554"/>
      <c r="AV1054" s="555"/>
      <c r="AW1054" s="554"/>
      <c r="AX1054" s="555"/>
      <c r="AY1054" s="554"/>
      <c r="AZ1054" s="555"/>
    </row>
    <row r="1055" spans="1:97" ht="16.5" customHeight="1" x14ac:dyDescent="0.2">
      <c r="A1055" s="113">
        <f>$A$1052+2</f>
        <v>226</v>
      </c>
      <c r="B1055" s="113" t="s">
        <v>1582</v>
      </c>
      <c r="C1055" s="113" t="s">
        <v>92</v>
      </c>
      <c r="D1055" s="113"/>
      <c r="E1055" s="113"/>
      <c r="F1055" s="113"/>
      <c r="G1055" s="113" t="s">
        <v>406</v>
      </c>
      <c r="H1055" s="113"/>
      <c r="I1055" s="113"/>
      <c r="J1055" s="113" t="b">
        <f t="shared" si="161"/>
        <v>1</v>
      </c>
      <c r="K1055" s="113" t="b">
        <v>1</v>
      </c>
      <c r="L1055" s="113"/>
      <c r="M1055" s="113"/>
      <c r="N1055" s="113"/>
      <c r="O1055" s="113" t="str">
        <f t="shared" si="164"/>
        <v>$B$226</v>
      </c>
      <c r="P1055" s="113" t="str">
        <f t="shared" si="165"/>
        <v>$K$226</v>
      </c>
      <c r="Q1055" s="113"/>
      <c r="R1055" s="113"/>
      <c r="S1055" s="113"/>
      <c r="T1055" s="113">
        <v>14</v>
      </c>
      <c r="U1055" s="113"/>
      <c r="V1055" s="113" t="s">
        <v>1342</v>
      </c>
      <c r="W1055" s="113"/>
      <c r="X1055" s="113"/>
      <c r="Y1055" s="113"/>
      <c r="Z1055" s="113"/>
      <c r="AA1055" s="113"/>
      <c r="AB1055" s="113"/>
      <c r="AC1055" s="113"/>
      <c r="AD1055" s="113"/>
      <c r="AE1055" s="113"/>
      <c r="AF1055" s="113"/>
      <c r="AG1055" s="113"/>
      <c r="AH1055" s="113"/>
      <c r="AI1055" s="113"/>
      <c r="AJ1055" s="113"/>
      <c r="AK1055" s="113"/>
      <c r="AL1055" s="113">
        <v>1</v>
      </c>
      <c r="AM1055" s="113"/>
      <c r="AN1055" s="113"/>
      <c r="AO1055" s="113"/>
      <c r="AP1055" s="113" t="b">
        <v>1</v>
      </c>
      <c r="AQ1055" s="132" t="s">
        <v>628</v>
      </c>
      <c r="AR1055" s="147"/>
      <c r="AS1055" s="397">
        <f ca="1">NPV(MasterSheet_f_NPVDiscount,OFFSET(Businesscasen_f_BCM_subcat18_Table1_start,MATCH("Virksomhedsøkonomi samlet nettogevinst",OFFSET(Businesscasen_f_BCM_subcat18_Table1_start,0,0,ROWS(Businesscasen_f_BCM_subcat18_Table1_start:Businesscasen_f_BCM_subcat18_Table1_end),1),0),4,1,50))</f>
        <v>0</v>
      </c>
      <c r="AT1055" s="398"/>
      <c r="AU1055" s="397">
        <f ca="1">NPV(MasterSheet_f_NPVDiscount,OFFSET(Businesscasen_f_BCM_subcat18_Table1_start,MATCH("Virksomhedsøkonomi samlet nettogevinst",OFFSET(Businesscasen_f_BCM_subcat18_Table1_start,0,0,ROWS(Businesscasen_f_BCM_subcat18_Table1_start:Businesscasen_f_BCM_subcat18_Table1_end),1),0)+1,4,1,50))</f>
        <v>0</v>
      </c>
      <c r="AV1055" s="398"/>
      <c r="AW1055" s="397">
        <f ca="1">NPV(MasterSheet_f_NPVDiscount,OFFSET(Businesscasen_f_BCM_subcat18_Table1_start,MATCH("Virksomhedsøkonomi samlet nettogevinst",OFFSET(Businesscasen_f_BCM_subcat18_Table1_start,0,0,ROWS(Businesscasen_f_BCM_subcat18_Table1_start:Businesscasen_f_BCM_subcat18_Table1_end),1),0)+3,4,1,50))</f>
        <v>0</v>
      </c>
      <c r="AX1055" s="398"/>
      <c r="AY1055" s="397">
        <f ca="1">NPV(MasterSheet_f_NPVDiscount,OFFSET(Businesscasen_f_BCM_subcat18_Table1_start,MATCH("Virksomhedsøkonomi samlet nettogevinst",OFFSET(Businesscasen_f_BCM_subcat18_Table1_start,0,0,ROWS(Businesscasen_f_BCM_subcat18_Table1_start:Businesscasen_f_BCM_subcat18_Table1_end),1),0)+2,4,1,50))</f>
        <v>0</v>
      </c>
      <c r="AZ1055" s="398"/>
    </row>
    <row r="1056" spans="1:97" ht="16.5" customHeight="1" x14ac:dyDescent="0.2">
      <c r="A1056" s="113">
        <f>$A$1052+3</f>
        <v>227</v>
      </c>
      <c r="B1056" s="113" t="s">
        <v>1583</v>
      </c>
      <c r="C1056" s="113" t="s">
        <v>92</v>
      </c>
      <c r="D1056" s="113"/>
      <c r="E1056" s="113"/>
      <c r="F1056" s="113"/>
      <c r="G1056" s="113" t="s">
        <v>406</v>
      </c>
      <c r="H1056" s="113"/>
      <c r="I1056" s="113"/>
      <c r="J1056" s="113" t="b">
        <f t="shared" si="161"/>
        <v>1</v>
      </c>
      <c r="K1056" s="113" t="b">
        <v>1</v>
      </c>
      <c r="L1056" s="113"/>
      <c r="M1056" s="113"/>
      <c r="N1056" s="113"/>
      <c r="O1056" s="113" t="str">
        <f t="shared" si="164"/>
        <v>$B$227</v>
      </c>
      <c r="P1056" s="113" t="str">
        <f t="shared" si="165"/>
        <v>$K$227</v>
      </c>
      <c r="Q1056" s="113"/>
      <c r="R1056" s="113"/>
      <c r="S1056" s="113"/>
      <c r="T1056" s="113">
        <v>14</v>
      </c>
      <c r="U1056" s="113"/>
      <c r="V1056" s="113" t="s">
        <v>1342</v>
      </c>
      <c r="W1056" s="113"/>
      <c r="X1056" s="113"/>
      <c r="Y1056" s="113"/>
      <c r="Z1056" s="113"/>
      <c r="AA1056" s="113"/>
      <c r="AB1056" s="113"/>
      <c r="AC1056" s="113"/>
      <c r="AD1056" s="113"/>
      <c r="AE1056" s="113"/>
      <c r="AF1056" s="113"/>
      <c r="AG1056" s="113"/>
      <c r="AH1056" s="113"/>
      <c r="AI1056" s="113"/>
      <c r="AJ1056" s="113"/>
      <c r="AK1056" s="113"/>
      <c r="AL1056" s="113">
        <v>1</v>
      </c>
      <c r="AM1056" s="113"/>
      <c r="AN1056" s="113"/>
      <c r="AO1056" s="113"/>
      <c r="AP1056" s="113" t="b">
        <v>1</v>
      </c>
      <c r="AQ1056" s="132" t="s">
        <v>629</v>
      </c>
      <c r="AR1056" s="147"/>
      <c r="AS1056" s="397">
        <f ca="1">OFFSET(Businesscasen_f_BCM_subcat18_Table1_start,MATCH(IF(MasterSheet_f_FP_CfgGroup1R3_VS,"Program","Projekt")&amp;"udgifter",OFFSET(Businesscasen_f_BCM_subcat18_Table1_start,0,0,ROWS(Businesscasen_f_BCM_subcat18_Table1_start:Businesscasen_f_BCM_subcat18_Table1_end),1),0),3)</f>
        <v>0</v>
      </c>
      <c r="AT1056" s="398"/>
      <c r="AU1056" s="397">
        <f ca="1">OFFSET(Businesscasen_f_BCM_subcat18_Table1_start,MATCH(IF(MasterSheet_f_FP_CfgGroup1R3_VS,"Program","Projekt")&amp;"udgifter",OFFSET(Businesscasen_f_BCM_subcat18_Table1_start,0,0,ROWS(Businesscasen_f_BCM_subcat18_Table1_start:Businesscasen_f_BCM_subcat18_Table1_end),1),0)+1,3)</f>
        <v>0</v>
      </c>
      <c r="AV1056" s="398"/>
      <c r="AW1056" s="397">
        <f ca="1">OFFSET(Businesscasen_f_BCM_subcat18_Table1_start,MATCH(IF(MasterSheet_f_FP_CfgGroup1R3_VS,"Program","Projekt")&amp;"udgifter",OFFSET(Businesscasen_f_BCM_subcat18_Table1_start,0,0,ROWS(Businesscasen_f_BCM_subcat18_Table1_start:Businesscasen_f_BCM_subcat18_Table1_end),1),0)+3,3)</f>
        <v>0</v>
      </c>
      <c r="AX1056" s="398"/>
      <c r="AY1056" s="397">
        <f ca="1">OFFSET(Businesscasen_f_BCM_subcat18_Table1_start,MATCH(IF(MasterSheet_f_FP_CfgGroup1R3_VS,"Program","Projekt")&amp;"udgifter",OFFSET(Businesscasen_f_BCM_subcat18_Table1_start,0,0,ROWS(Businesscasen_f_BCM_subcat18_Table1_start:Businesscasen_f_BCM_subcat18_Table1_end),1),0)+2,3)</f>
        <v>0</v>
      </c>
      <c r="AZ1056" s="398"/>
    </row>
    <row r="1057" spans="1:147" ht="16.5" customHeight="1" x14ac:dyDescent="0.2">
      <c r="A1057" s="113">
        <f>$A$1052+4</f>
        <v>228</v>
      </c>
      <c r="B1057" s="113" t="s">
        <v>1584</v>
      </c>
      <c r="C1057" s="113" t="s">
        <v>92</v>
      </c>
      <c r="D1057" s="113"/>
      <c r="E1057" s="113"/>
      <c r="F1057" s="113"/>
      <c r="G1057" s="113" t="s">
        <v>406</v>
      </c>
      <c r="H1057" s="113"/>
      <c r="I1057" s="113"/>
      <c r="J1057" s="113" t="b">
        <f t="shared" si="161"/>
        <v>1</v>
      </c>
      <c r="K1057" s="113" t="b">
        <v>1</v>
      </c>
      <c r="L1057" s="113"/>
      <c r="M1057" s="113"/>
      <c r="N1057" s="113"/>
      <c r="O1057" s="113" t="str">
        <f t="shared" si="164"/>
        <v>$B$228</v>
      </c>
      <c r="P1057" s="113" t="str">
        <f t="shared" si="165"/>
        <v>$K$228</v>
      </c>
      <c r="Q1057" s="113"/>
      <c r="R1057" s="113"/>
      <c r="S1057" s="113"/>
      <c r="T1057" s="113">
        <v>14</v>
      </c>
      <c r="U1057" s="113"/>
      <c r="V1057" s="113" t="s">
        <v>1342</v>
      </c>
      <c r="W1057" s="113"/>
      <c r="X1057" s="113"/>
      <c r="Y1057" s="113"/>
      <c r="Z1057" s="113"/>
      <c r="AA1057" s="113"/>
      <c r="AB1057" s="113"/>
      <c r="AC1057" s="113"/>
      <c r="AD1057" s="113"/>
      <c r="AE1057" s="113"/>
      <c r="AF1057" s="113"/>
      <c r="AG1057" s="113"/>
      <c r="AH1057" s="113"/>
      <c r="AI1057" s="113"/>
      <c r="AJ1057" s="113"/>
      <c r="AK1057" s="113"/>
      <c r="AL1057" s="113">
        <v>1</v>
      </c>
      <c r="AM1057" s="113"/>
      <c r="AN1057" s="113"/>
      <c r="AO1057" s="113"/>
      <c r="AP1057" s="113" t="b">
        <v>1</v>
      </c>
      <c r="AQ1057" s="132" t="str">
        <f>"3. Drift uden "&amp;IF(MasterSheet_f_FP_CfgGroup1R3_VS,"program","projekt")</f>
        <v>3. Drift uden projekt</v>
      </c>
      <c r="AR1057" s="147"/>
      <c r="AS1057" s="397">
        <f ca="1">OFFSET(Businesscasen_f_BCM_subcat18_Table1_start,MATCH("Drift - fremtidig uden "&amp;IF(MasterSheet_f_FP_CfgGroup1R3_VS,"program","projekt"),OFFSET(Businesscasen_f_BCM_subcat18_Table1_start,0,0,ROWS(Businesscasen_f_BCM_subcat18_Table1_start:Businesscasen_f_BCM_subcat18_Table1_end),1),0),3)+OFFSET(Businesscasen_f_BCM_subcat18_Table1_start,47,3)</f>
        <v>0</v>
      </c>
      <c r="AT1057" s="398"/>
      <c r="AU1057" s="397">
        <f ca="1">OFFSET(Businesscasen_f_BCM_subcat18_Table1_start,MATCH("Drift - fremtidig uden "&amp;IF(MasterSheet_f_FP_CfgGroup1R3_VS,"program","projekt"),OFFSET(Businesscasen_f_BCM_subcat18_Table1_start,0,0,ROWS(Businesscasen_f_BCM_subcat18_Table1_start:Businesscasen_f_BCM_subcat18_Table1_end),1),0)+1,3)+OFFSET(Businesscasen_f_BCM_subcat18_Table1_start,48,3)</f>
        <v>0</v>
      </c>
      <c r="AV1057" s="398"/>
      <c r="AW1057" s="397">
        <f ca="1">OFFSET(Businesscasen_f_BCM_subcat18_Table1_start,MATCH("Drift - fremtidig uden "&amp;IF(MasterSheet_f_FP_CfgGroup1R3_VS,"program","projekt"),OFFSET(Businesscasen_f_BCM_subcat18_Table1_start,0,0,ROWS(Businesscasen_f_BCM_subcat18_Table1_start:Businesscasen_f_BCM_subcat18_Table1_end),1),0)+3,3)+OFFSET(Businesscasen_f_BCM_subcat18_Table1_start,49,3)</f>
        <v>0</v>
      </c>
      <c r="AX1057" s="398"/>
      <c r="AY1057" s="397">
        <f ca="1">OFFSET(Businesscasen_f_BCM_subcat18_Table1_start,MATCH("Drift - fremtidig uden "&amp;IF(MasterSheet_f_FP_CfgGroup1R3_VS,"program","projekt"),OFFSET(Businesscasen_f_BCM_subcat18_Table1_start,0,0,ROWS(Businesscasen_f_BCM_subcat18_Table1_start:Businesscasen_f_BCM_subcat18_Table1_end),1),0)+2,3)+OFFSET(Businesscasen_f_BCM_subcat18_Table1_start,50,3)</f>
        <v>0</v>
      </c>
      <c r="AZ1057" s="398"/>
    </row>
    <row r="1058" spans="1:147" ht="16.5" customHeight="1" x14ac:dyDescent="0.2">
      <c r="A1058" s="113">
        <f>$A$1052+5</f>
        <v>229</v>
      </c>
      <c r="B1058" s="113" t="s">
        <v>1585</v>
      </c>
      <c r="C1058" s="113" t="s">
        <v>92</v>
      </c>
      <c r="D1058" s="113"/>
      <c r="E1058" s="113"/>
      <c r="F1058" s="113"/>
      <c r="G1058" s="113" t="s">
        <v>406</v>
      </c>
      <c r="H1058" s="113"/>
      <c r="I1058" s="113"/>
      <c r="J1058" s="113" t="b">
        <f t="shared" si="161"/>
        <v>1</v>
      </c>
      <c r="K1058" s="113" t="b">
        <v>1</v>
      </c>
      <c r="L1058" s="113"/>
      <c r="M1058" s="113"/>
      <c r="N1058" s="113"/>
      <c r="O1058" s="113" t="str">
        <f t="shared" si="164"/>
        <v>$B$229</v>
      </c>
      <c r="P1058" s="113" t="str">
        <f t="shared" si="165"/>
        <v>$K$229</v>
      </c>
      <c r="Q1058" s="113"/>
      <c r="R1058" s="113"/>
      <c r="S1058" s="113"/>
      <c r="T1058" s="113">
        <v>14</v>
      </c>
      <c r="U1058" s="113"/>
      <c r="V1058" s="113" t="s">
        <v>1342</v>
      </c>
      <c r="W1058" s="113"/>
      <c r="X1058" s="113"/>
      <c r="Y1058" s="113"/>
      <c r="Z1058" s="113"/>
      <c r="AA1058" s="113"/>
      <c r="AB1058" s="113"/>
      <c r="AC1058" s="113"/>
      <c r="AD1058" s="113"/>
      <c r="AE1058" s="113"/>
      <c r="AF1058" s="113"/>
      <c r="AG1058" s="113"/>
      <c r="AH1058" s="113"/>
      <c r="AI1058" s="113"/>
      <c r="AJ1058" s="113"/>
      <c r="AK1058" s="113"/>
      <c r="AL1058" s="113">
        <v>1</v>
      </c>
      <c r="AM1058" s="113"/>
      <c r="AN1058" s="113"/>
      <c r="AO1058" s="113"/>
      <c r="AP1058" s="113" t="b">
        <v>1</v>
      </c>
      <c r="AQ1058" s="132" t="str">
        <f>"4. Drift med "&amp;IF(MasterSheet_f_FP_CfgGroup1R3_VS,"program","projekt")</f>
        <v>4. Drift med projekt</v>
      </c>
      <c r="AR1058" s="147"/>
      <c r="AS1058" s="397">
        <f ca="1">OFFSET(Businesscasen_f_BCM_subcat18_Table1_start,MATCH("Drift - med "&amp;IF(MasterSheet_f_FP_CfgGroup1R3_VS,"program","projekt"),OFFSET(Businesscasen_f_BCM_subcat18_Table1_start,0,0,ROWS(Businesscasen_f_BCM_subcat18_Table1_start:Businesscasen_f_BCM_subcat18_Table1_end),1),0),3)+OFFSET(Businesscasen_f_BCM_subcat18_Table1_start,41,3)</f>
        <v>0</v>
      </c>
      <c r="AT1058" s="398"/>
      <c r="AU1058" s="397">
        <f ca="1">OFFSET(Businesscasen_f_BCM_subcat18_Table1_start,MATCH("Drift - med "&amp;IF(MasterSheet_f_FP_CfgGroup1R3_VS,"program","projekt"),OFFSET(Businesscasen_f_BCM_subcat18_Table1_start,0,0,ROWS(Businesscasen_f_BCM_subcat18_Table1_start:Businesscasen_f_BCM_subcat18_Table1_end),1),0)+1,3)+OFFSET(Businesscasen_f_BCM_subcat18_Table1_start,42,3)</f>
        <v>0</v>
      </c>
      <c r="AV1058" s="398"/>
      <c r="AW1058" s="397">
        <f ca="1">OFFSET(Businesscasen_f_BCM_subcat18_Table1_start,MATCH("Drift - med "&amp;IF(MasterSheet_f_FP_CfgGroup1R3_VS,"program","projekt"),OFFSET(Businesscasen_f_BCM_subcat18_Table1_start,0,0,ROWS(Businesscasen_f_BCM_subcat18_Table1_start:Businesscasen_f_BCM_subcat18_Table1_end),1),0)+3,3)+OFFSET(Businesscasen_f_BCM_subcat18_Table1_start,44,3)</f>
        <v>0</v>
      </c>
      <c r="AX1058" s="398"/>
      <c r="AY1058" s="397">
        <f ca="1">OFFSET(Businesscasen_f_BCM_subcat18_Table1_start,MATCH("Drift - med "&amp;IF(MasterSheet_f_FP_CfgGroup1R3_VS,"program","projekt"),OFFSET(Businesscasen_f_BCM_subcat18_Table1_start,0,0,ROWS(Businesscasen_f_BCM_subcat18_Table1_start:Businesscasen_f_BCM_subcat18_Table1_end),1),0)+2,3)+OFFSET(Businesscasen_f_BCM_subcat18_Table1_start,43,3)</f>
        <v>0</v>
      </c>
      <c r="AZ1058" s="398"/>
    </row>
    <row r="1059" spans="1:147" ht="16.5" customHeight="1" x14ac:dyDescent="0.2">
      <c r="A1059" s="113">
        <f>$A$1052+6</f>
        <v>230</v>
      </c>
      <c r="B1059" s="113" t="s">
        <v>1586</v>
      </c>
      <c r="C1059" s="113" t="s">
        <v>92</v>
      </c>
      <c r="D1059" s="113"/>
      <c r="E1059" s="113"/>
      <c r="F1059" s="113"/>
      <c r="G1059" s="113" t="s">
        <v>406</v>
      </c>
      <c r="H1059" s="113"/>
      <c r="I1059" s="113"/>
      <c r="J1059" s="113" t="b">
        <f t="shared" si="161"/>
        <v>1</v>
      </c>
      <c r="K1059" s="113" t="b">
        <v>1</v>
      </c>
      <c r="L1059" s="113"/>
      <c r="M1059" s="113"/>
      <c r="N1059" s="113"/>
      <c r="O1059" s="113" t="str">
        <f t="shared" si="164"/>
        <v>$B$230</v>
      </c>
      <c r="P1059" s="113" t="str">
        <f t="shared" si="165"/>
        <v>$K$230</v>
      </c>
      <c r="Q1059" s="113"/>
      <c r="R1059" s="113"/>
      <c r="S1059" s="113"/>
      <c r="T1059" s="113">
        <v>14</v>
      </c>
      <c r="U1059" s="113"/>
      <c r="V1059" s="113" t="s">
        <v>1342</v>
      </c>
      <c r="W1059" s="113"/>
      <c r="X1059" s="113"/>
      <c r="Y1059" s="113"/>
      <c r="Z1059" s="113"/>
      <c r="AA1059" s="113"/>
      <c r="AB1059" s="113"/>
      <c r="AC1059" s="113"/>
      <c r="AD1059" s="113"/>
      <c r="AE1059" s="113"/>
      <c r="AF1059" s="113"/>
      <c r="AG1059" s="113"/>
      <c r="AH1059" s="113"/>
      <c r="AI1059" s="113"/>
      <c r="AJ1059" s="113"/>
      <c r="AK1059" s="113"/>
      <c r="AL1059" s="113">
        <v>1</v>
      </c>
      <c r="AM1059" s="113"/>
      <c r="AN1059" s="113"/>
      <c r="AO1059" s="113"/>
      <c r="AP1059" s="113" t="b">
        <v>1</v>
      </c>
      <c r="AQ1059" s="132" t="s">
        <v>630</v>
      </c>
      <c r="AR1059" s="147"/>
      <c r="AS1059" s="397">
        <f ca="1">AS1057-AS1058</f>
        <v>0</v>
      </c>
      <c r="AT1059" s="398"/>
      <c r="AU1059" s="397">
        <f t="shared" ref="AU1059" ca="1" si="168">AU1057-AU1058</f>
        <v>0</v>
      </c>
      <c r="AV1059" s="398"/>
      <c r="AW1059" s="397">
        <f t="shared" ref="AW1059" ca="1" si="169">AW1057-AW1058</f>
        <v>0</v>
      </c>
      <c r="AX1059" s="398"/>
      <c r="AY1059" s="397">
        <f t="shared" ref="AY1059" ca="1" si="170">AY1057-AY1058</f>
        <v>0</v>
      </c>
      <c r="AZ1059" s="398"/>
    </row>
    <row r="1060" spans="1:147" ht="16.5" customHeight="1" x14ac:dyDescent="0.2">
      <c r="A1060" s="113">
        <f>$A$1052+7</f>
        <v>231</v>
      </c>
      <c r="B1060" s="113" t="s">
        <v>1587</v>
      </c>
      <c r="C1060" s="113" t="s">
        <v>92</v>
      </c>
      <c r="D1060" s="113"/>
      <c r="E1060" s="113"/>
      <c r="F1060" s="113"/>
      <c r="G1060" s="113" t="s">
        <v>406</v>
      </c>
      <c r="H1060" s="113"/>
      <c r="I1060" s="113"/>
      <c r="J1060" s="113" t="b">
        <f t="shared" si="161"/>
        <v>1</v>
      </c>
      <c r="K1060" s="113" t="b">
        <v>1</v>
      </c>
      <c r="L1060" s="113"/>
      <c r="M1060" s="113"/>
      <c r="N1060" s="113"/>
      <c r="O1060" s="113" t="str">
        <f t="shared" si="164"/>
        <v>$B$231</v>
      </c>
      <c r="P1060" s="113" t="str">
        <f t="shared" si="165"/>
        <v>$K$231</v>
      </c>
      <c r="Q1060" s="113"/>
      <c r="R1060" s="113"/>
      <c r="S1060" s="113"/>
      <c r="T1060" s="113">
        <v>14</v>
      </c>
      <c r="U1060" s="113"/>
      <c r="V1060" s="113" t="s">
        <v>1342</v>
      </c>
      <c r="W1060" s="113"/>
      <c r="X1060" s="113"/>
      <c r="Y1060" s="113"/>
      <c r="Z1060" s="113"/>
      <c r="AA1060" s="113"/>
      <c r="AB1060" s="113"/>
      <c r="AC1060" s="113"/>
      <c r="AD1060" s="113"/>
      <c r="AE1060" s="113"/>
      <c r="AF1060" s="113"/>
      <c r="AG1060" s="113"/>
      <c r="AH1060" s="113"/>
      <c r="AI1060" s="113"/>
      <c r="AJ1060" s="113"/>
      <c r="AK1060" s="113"/>
      <c r="AL1060" s="113">
        <v>1</v>
      </c>
      <c r="AM1060" s="113"/>
      <c r="AN1060" s="113"/>
      <c r="AO1060" s="113"/>
      <c r="AP1060" s="113" t="b">
        <v>1</v>
      </c>
      <c r="AQ1060" s="368" t="str">
        <f>"6. Samlede udgifter med "&amp;IF(MasterSheet_f_FP_CfgGroup1R3_VS,"program","projekt")&amp;", ekskl. renter (2 + 4)"</f>
        <v>6. Samlede udgifter med projekt, ekskl. renter (2 + 4)</v>
      </c>
      <c r="AR1060" s="368"/>
      <c r="AS1060" s="397">
        <f ca="1">AS1056+AS1058</f>
        <v>0</v>
      </c>
      <c r="AT1060" s="398"/>
      <c r="AU1060" s="397">
        <f t="shared" ref="AU1060" ca="1" si="171">AU1056+AU1058</f>
        <v>0</v>
      </c>
      <c r="AV1060" s="398"/>
      <c r="AW1060" s="397">
        <f t="shared" ref="AW1060" ca="1" si="172">AW1056+AW1058</f>
        <v>0</v>
      </c>
      <c r="AX1060" s="398"/>
      <c r="AY1060" s="397">
        <f t="shared" ref="AY1060" ca="1" si="173">AY1056+AY1058</f>
        <v>0</v>
      </c>
      <c r="AZ1060" s="398"/>
    </row>
    <row r="1061" spans="1:147" ht="16.5" customHeight="1" x14ac:dyDescent="0.2">
      <c r="A1061" s="113">
        <f>$A$1052+8</f>
        <v>232</v>
      </c>
      <c r="B1061" s="113" t="s">
        <v>1588</v>
      </c>
      <c r="C1061" s="113" t="s">
        <v>92</v>
      </c>
      <c r="D1061" s="113"/>
      <c r="E1061" s="113"/>
      <c r="F1061" s="113"/>
      <c r="G1061" s="113" t="s">
        <v>406</v>
      </c>
      <c r="H1061" s="113"/>
      <c r="I1061" s="113"/>
      <c r="J1061" s="113" t="b">
        <f t="shared" si="161"/>
        <v>1</v>
      </c>
      <c r="K1061" s="113" t="b">
        <v>1</v>
      </c>
      <c r="L1061" s="113"/>
      <c r="M1061" s="113"/>
      <c r="N1061" s="113"/>
      <c r="O1061" s="113" t="str">
        <f t="shared" si="164"/>
        <v>$B$232</v>
      </c>
      <c r="P1061" s="113" t="str">
        <f t="shared" si="165"/>
        <v>$K$232</v>
      </c>
      <c r="Q1061" s="113"/>
      <c r="R1061" s="113"/>
      <c r="S1061" s="113"/>
      <c r="T1061" s="113">
        <v>14</v>
      </c>
      <c r="U1061" s="113"/>
      <c r="V1061" s="113" t="s">
        <v>1342</v>
      </c>
      <c r="W1061" s="113"/>
      <c r="X1061" s="113"/>
      <c r="Y1061" s="113"/>
      <c r="Z1061" s="113"/>
      <c r="AA1061" s="113"/>
      <c r="AB1061" s="113"/>
      <c r="AC1061" s="113"/>
      <c r="AD1061" s="113"/>
      <c r="AE1061" s="113"/>
      <c r="AF1061" s="113"/>
      <c r="AG1061" s="113"/>
      <c r="AH1061" s="113"/>
      <c r="AI1061" s="113"/>
      <c r="AJ1061" s="113"/>
      <c r="AK1061" s="113"/>
      <c r="AL1061" s="113">
        <v>1</v>
      </c>
      <c r="AM1061" s="113"/>
      <c r="AN1061" s="113"/>
      <c r="AO1061" s="113"/>
      <c r="AP1061" s="113" t="b">
        <v>1</v>
      </c>
      <c r="AQ1061" s="165" t="s">
        <v>1569</v>
      </c>
      <c r="AR1061" s="166"/>
      <c r="AS1061" s="397">
        <f ca="1">AS1059-AS1056</f>
        <v>0</v>
      </c>
      <c r="AT1061" s="398"/>
      <c r="AU1061" s="397">
        <f t="shared" ref="AU1061" ca="1" si="174">AU1059-AU1056</f>
        <v>0</v>
      </c>
      <c r="AV1061" s="398"/>
      <c r="AW1061" s="397">
        <f t="shared" ref="AW1061" ca="1" si="175">AW1059-AW1056</f>
        <v>0</v>
      </c>
      <c r="AX1061" s="398"/>
      <c r="AY1061" s="397">
        <f t="shared" ref="AY1061" ca="1" si="176">AY1059-AY1056</f>
        <v>0</v>
      </c>
      <c r="AZ1061" s="398"/>
    </row>
    <row r="1062" spans="1:147" ht="16.5" customHeight="1" x14ac:dyDescent="0.2">
      <c r="A1062" s="113">
        <f>$A$1052+9</f>
        <v>233</v>
      </c>
      <c r="B1062" s="113" t="s">
        <v>1589</v>
      </c>
      <c r="C1062" s="113" t="s">
        <v>92</v>
      </c>
      <c r="D1062" s="113"/>
      <c r="E1062" s="113"/>
      <c r="F1062" s="113"/>
      <c r="G1062" s="113" t="s">
        <v>406</v>
      </c>
      <c r="H1062" s="113"/>
      <c r="I1062" s="113"/>
      <c r="J1062" s="113" t="b">
        <f t="shared" si="161"/>
        <v>1</v>
      </c>
      <c r="K1062" s="113" t="b">
        <v>1</v>
      </c>
      <c r="L1062" s="113"/>
      <c r="M1062" s="113"/>
      <c r="N1062" s="113"/>
      <c r="O1062" s="113" t="str">
        <f t="shared" si="164"/>
        <v>$B$233</v>
      </c>
      <c r="P1062" s="113" t="str">
        <f t="shared" si="165"/>
        <v>$K$233</v>
      </c>
      <c r="Q1062" s="113"/>
      <c r="R1062" s="113"/>
      <c r="S1062" s="113"/>
      <c r="T1062" s="113">
        <v>14</v>
      </c>
      <c r="U1062" s="113"/>
      <c r="V1062" s="113" t="s">
        <v>1342</v>
      </c>
      <c r="W1062" s="113"/>
      <c r="X1062" s="113"/>
      <c r="Y1062" s="113"/>
      <c r="Z1062" s="113"/>
      <c r="AA1062" s="113"/>
      <c r="AB1062" s="113"/>
      <c r="AC1062" s="113"/>
      <c r="AD1062" s="113"/>
      <c r="AE1062" s="113"/>
      <c r="AF1062" s="113"/>
      <c r="AG1062" s="113"/>
      <c r="AH1062" s="113"/>
      <c r="AI1062" s="113"/>
      <c r="AJ1062" s="113"/>
      <c r="AK1062" s="113"/>
      <c r="AL1062" s="113">
        <v>1</v>
      </c>
      <c r="AM1062" s="113"/>
      <c r="AN1062" s="113"/>
      <c r="AO1062" s="113"/>
      <c r="AP1062" s="113" t="b">
        <v>1</v>
      </c>
      <c r="AQ1062" s="176"/>
      <c r="AR1062" s="176"/>
      <c r="AS1062" s="176"/>
      <c r="AT1062" s="176"/>
      <c r="AU1062" s="176"/>
      <c r="AV1062" s="176"/>
      <c r="AW1062" s="176"/>
      <c r="AX1062" s="176"/>
      <c r="AY1062" s="176"/>
      <c r="AZ1062" s="176"/>
    </row>
    <row r="1063" spans="1:147" ht="16.5" customHeight="1" x14ac:dyDescent="0.2">
      <c r="A1063" s="103">
        <f>$A$1052+12</f>
        <v>236</v>
      </c>
      <c r="B1063" s="103" t="s">
        <v>508</v>
      </c>
      <c r="C1063" s="103" t="s">
        <v>654</v>
      </c>
      <c r="D1063" s="103"/>
      <c r="E1063" s="103"/>
      <c r="F1063" s="103"/>
      <c r="G1063" s="103" t="s">
        <v>406</v>
      </c>
      <c r="H1063" s="103"/>
      <c r="I1063" s="103" t="s">
        <v>445</v>
      </c>
      <c r="J1063" s="103" t="b">
        <f t="shared" si="161"/>
        <v>1</v>
      </c>
      <c r="K1063" s="103" t="b">
        <v>1</v>
      </c>
      <c r="L1063" s="103"/>
      <c r="M1063" s="103"/>
      <c r="N1063" s="103" t="s">
        <v>59</v>
      </c>
      <c r="O1063" s="103" t="str">
        <f t="shared" si="164"/>
        <v>$B$236</v>
      </c>
      <c r="P1063" s="103" t="str">
        <f>"$S$"&amp;A1113-1</f>
        <v>$S$286</v>
      </c>
      <c r="Q1063" s="103"/>
      <c r="R1063" s="103">
        <v>1</v>
      </c>
      <c r="S1063" s="103"/>
      <c r="T1063" s="103">
        <v>27</v>
      </c>
      <c r="U1063" s="103" t="b">
        <v>1</v>
      </c>
      <c r="V1063" s="103" t="s">
        <v>1352</v>
      </c>
      <c r="W1063" s="103" t="s">
        <v>1352</v>
      </c>
      <c r="X1063" s="103"/>
      <c r="Y1063" s="103"/>
      <c r="Z1063" s="103"/>
      <c r="AA1063" s="103"/>
      <c r="AB1063" s="103"/>
      <c r="AC1063" s="103">
        <v>7</v>
      </c>
      <c r="AD1063" s="103" t="s">
        <v>105</v>
      </c>
      <c r="AE1063" s="103">
        <v>20</v>
      </c>
      <c r="AF1063" s="103" t="b">
        <v>1</v>
      </c>
      <c r="AG1063" s="103" t="s">
        <v>1351</v>
      </c>
      <c r="AH1063" s="103" t="s">
        <v>29</v>
      </c>
      <c r="AI1063" s="103" t="s">
        <v>28</v>
      </c>
      <c r="AJ1063" s="103"/>
      <c r="AK1063" s="103"/>
      <c r="AL1063" s="103">
        <v>0</v>
      </c>
      <c r="AM1063" s="103"/>
      <c r="AN1063" s="103"/>
      <c r="AO1063" s="103"/>
      <c r="AP1063" s="103"/>
      <c r="AQ1063" s="149" t="s">
        <v>445</v>
      </c>
      <c r="AR1063" s="149"/>
      <c r="AS1063" s="149"/>
      <c r="AT1063" s="149"/>
      <c r="AU1063" s="149"/>
      <c r="AV1063" s="149"/>
      <c r="AW1063" s="149"/>
      <c r="AX1063" s="149"/>
      <c r="AY1063" s="149"/>
      <c r="AZ1063" s="149"/>
    </row>
    <row r="1064" spans="1:147" ht="16.5" customHeight="1" x14ac:dyDescent="0.2">
      <c r="A1064" s="81">
        <f>$A$1063+0</f>
        <v>236</v>
      </c>
      <c r="B1064" s="81" t="s">
        <v>1016</v>
      </c>
      <c r="C1064" s="81" t="s">
        <v>512</v>
      </c>
      <c r="D1064" s="81" t="s">
        <v>961</v>
      </c>
      <c r="E1064" s="81"/>
      <c r="F1064" s="81"/>
      <c r="G1064" s="81" t="s">
        <v>406</v>
      </c>
      <c r="H1064" s="81"/>
      <c r="I1064" s="81"/>
      <c r="J1064" s="81" t="b">
        <f t="shared" si="161"/>
        <v>1</v>
      </c>
      <c r="K1064" s="81" t="b">
        <v>1</v>
      </c>
      <c r="L1064" s="81" t="b">
        <v>0</v>
      </c>
      <c r="M1064" s="81"/>
      <c r="N1064" s="81" t="s">
        <v>59</v>
      </c>
      <c r="O1064" s="81" t="str">
        <f>"$U$"&amp;A1064</f>
        <v>$U$236</v>
      </c>
      <c r="P1064" s="81" t="str">
        <f>"$U$"&amp;A1113-1</f>
        <v>$U$286</v>
      </c>
      <c r="Q1064" s="81"/>
      <c r="R1064" s="81">
        <v>1</v>
      </c>
      <c r="S1064" s="81">
        <v>-20</v>
      </c>
      <c r="T1064" s="81"/>
      <c r="U1064" s="81" t="b">
        <f>$I$5</f>
        <v>0</v>
      </c>
      <c r="V1064" s="81" t="s">
        <v>1348</v>
      </c>
      <c r="W1064" s="81" t="s">
        <v>1348</v>
      </c>
      <c r="X1064" s="81"/>
      <c r="Y1064" s="81"/>
      <c r="Z1064" s="81"/>
      <c r="AA1064" s="81"/>
      <c r="AB1064" s="81"/>
      <c r="AC1064" s="81"/>
      <c r="AD1064" s="81"/>
      <c r="AE1064" s="81"/>
      <c r="AF1064" s="81"/>
      <c r="AG1064" s="81"/>
      <c r="AH1064" s="81"/>
      <c r="AI1064" s="81"/>
      <c r="AJ1064" s="81"/>
      <c r="AK1064" s="81"/>
      <c r="AL1064" s="81">
        <v>-10</v>
      </c>
      <c r="AM1064" s="81">
        <v>5</v>
      </c>
      <c r="AN1064" s="81"/>
      <c r="AO1064" s="81"/>
      <c r="AP1064" s="81"/>
    </row>
    <row r="1065" spans="1:147" ht="16.5" customHeight="1" x14ac:dyDescent="0.2">
      <c r="A1065" s="112">
        <f>$A$1063+2</f>
        <v>238</v>
      </c>
      <c r="B1065" s="112" t="s">
        <v>576</v>
      </c>
      <c r="C1065" s="112" t="s">
        <v>90</v>
      </c>
      <c r="D1065" s="112"/>
      <c r="E1065" s="112"/>
      <c r="F1065" s="112"/>
      <c r="G1065" s="112" t="s">
        <v>406</v>
      </c>
      <c r="H1065" s="112"/>
      <c r="I1065" s="112"/>
      <c r="J1065" s="112" t="b">
        <f t="shared" si="161"/>
        <v>1</v>
      </c>
      <c r="K1065" s="112" t="b">
        <v>1</v>
      </c>
      <c r="L1065" s="112"/>
      <c r="M1065" s="112"/>
      <c r="N1065" s="112"/>
      <c r="O1065" s="112" t="str">
        <f t="shared" ref="O1065:O1113" si="177">"$B$"&amp;A1065</f>
        <v>$B$238</v>
      </c>
      <c r="P1065" s="112" t="str">
        <f>"$BK$"&amp;A1113-3</f>
        <v>$BK$284</v>
      </c>
      <c r="Q1065" s="112"/>
      <c r="R1065" s="112"/>
      <c r="S1065" s="112"/>
      <c r="T1065" s="112"/>
      <c r="U1065" s="112"/>
      <c r="V1065" s="112" t="s">
        <v>1342</v>
      </c>
      <c r="W1065" s="112"/>
      <c r="X1065" s="112"/>
      <c r="Y1065" s="112"/>
      <c r="Z1065" s="112"/>
      <c r="AA1065" s="112"/>
      <c r="AB1065" s="112"/>
      <c r="AC1065" s="112"/>
      <c r="AD1065" s="112" t="s">
        <v>105</v>
      </c>
      <c r="AE1065" s="112">
        <v>12</v>
      </c>
      <c r="AF1065" s="112" t="b">
        <v>1</v>
      </c>
      <c r="AG1065" s="112" t="s">
        <v>1355</v>
      </c>
      <c r="AH1065" s="112" t="s">
        <v>29</v>
      </c>
      <c r="AI1065" s="112" t="s">
        <v>28</v>
      </c>
      <c r="AJ1065" s="112"/>
      <c r="AK1065" s="112"/>
      <c r="AL1065" s="112"/>
      <c r="AM1065" s="112"/>
      <c r="AN1065" s="112"/>
      <c r="AO1065" s="112"/>
      <c r="AP1065" s="112"/>
    </row>
    <row r="1066" spans="1:147" ht="16.5" customHeight="1" thickBot="1" x14ac:dyDescent="0.3">
      <c r="A1066" s="113">
        <f>$A$1065+0</f>
        <v>238</v>
      </c>
      <c r="B1066" s="113" t="s">
        <v>577</v>
      </c>
      <c r="C1066" s="113" t="s">
        <v>92</v>
      </c>
      <c r="D1066" s="113"/>
      <c r="E1066" s="113"/>
      <c r="F1066" s="113" t="s">
        <v>576</v>
      </c>
      <c r="G1066" s="113" t="s">
        <v>406</v>
      </c>
      <c r="H1066" s="113"/>
      <c r="I1066" s="113"/>
      <c r="J1066" s="113" t="b">
        <f t="shared" si="161"/>
        <v>1</v>
      </c>
      <c r="K1066" s="113" t="b">
        <v>1</v>
      </c>
      <c r="L1066" s="113"/>
      <c r="M1066" s="113"/>
      <c r="N1066" s="113"/>
      <c r="O1066" s="113" t="str">
        <f t="shared" si="177"/>
        <v>$B$238</v>
      </c>
      <c r="P1066" s="113" t="str">
        <f t="shared" ref="P1066:P1112" si="178">"$BK$"&amp;A1066</f>
        <v>$BK$238</v>
      </c>
      <c r="Q1066" s="113"/>
      <c r="R1066" s="113"/>
      <c r="S1066" s="113"/>
      <c r="T1066" s="113">
        <v>52</v>
      </c>
      <c r="U1066" s="113"/>
      <c r="V1066" s="113" t="s">
        <v>1342</v>
      </c>
      <c r="W1066" s="113"/>
      <c r="X1066" s="113"/>
      <c r="Y1066" s="113"/>
      <c r="Z1066" s="113"/>
      <c r="AA1066" s="113"/>
      <c r="AB1066" s="113"/>
      <c r="AC1066" s="113"/>
      <c r="AD1066" s="113"/>
      <c r="AE1066" s="113"/>
      <c r="AF1066" s="113"/>
      <c r="AG1066" s="113"/>
      <c r="AH1066" s="113" t="s">
        <v>29</v>
      </c>
      <c r="AI1066" s="113"/>
      <c r="AJ1066" s="113"/>
      <c r="AK1066" s="113"/>
      <c r="AL1066" s="113">
        <v>1</v>
      </c>
      <c r="AM1066" s="113"/>
      <c r="AN1066" s="113"/>
      <c r="AO1066" s="113"/>
      <c r="AP1066" s="113" t="b">
        <v>1</v>
      </c>
      <c r="AQ1066" s="360" t="s">
        <v>446</v>
      </c>
      <c r="AR1066" s="361"/>
      <c r="AS1066" s="175" t="s">
        <v>413</v>
      </c>
      <c r="AT1066" s="261" t="s">
        <v>414</v>
      </c>
      <c r="AU1066" s="175">
        <v>2013</v>
      </c>
      <c r="AV1066" s="175">
        <v>2014</v>
      </c>
      <c r="AW1066"/>
      <c r="AX1066"/>
      <c r="AY1066"/>
      <c r="AZ1066"/>
      <c r="BA1066"/>
      <c r="BB1066"/>
      <c r="BC1066"/>
      <c r="BD1066"/>
      <c r="BE1066"/>
      <c r="BF1066"/>
      <c r="BG1066"/>
      <c r="BH1066"/>
      <c r="BI1066"/>
      <c r="BJ1066"/>
      <c r="BK1066"/>
      <c r="BL1066"/>
      <c r="BM1066"/>
      <c r="BN1066"/>
      <c r="BO1066"/>
      <c r="BP1066"/>
      <c r="BQ1066"/>
      <c r="BR1066"/>
      <c r="BS1066"/>
      <c r="BT1066"/>
      <c r="BU1066"/>
      <c r="BV1066"/>
      <c r="BW1066"/>
      <c r="BX1066"/>
      <c r="BY1066"/>
      <c r="BZ1066"/>
      <c r="CA1066"/>
      <c r="CB1066"/>
      <c r="CC1066"/>
      <c r="CD1066"/>
      <c r="CE1066"/>
      <c r="CF1066"/>
      <c r="CG1066"/>
      <c r="CH1066"/>
      <c r="CI1066"/>
      <c r="CJ1066"/>
      <c r="CK1066"/>
      <c r="CL1066"/>
      <c r="CM1066"/>
      <c r="CN1066"/>
      <c r="CO1066"/>
      <c r="CP1066"/>
      <c r="CQ1066"/>
      <c r="CR1066"/>
      <c r="CS1066"/>
      <c r="CT1066"/>
      <c r="CU1066"/>
      <c r="CV1066"/>
      <c r="CW1066"/>
      <c r="CX1066"/>
      <c r="CY1066"/>
      <c r="CZ1066"/>
      <c r="DA1066"/>
      <c r="DB1066"/>
      <c r="DC1066"/>
      <c r="DD1066"/>
      <c r="DE1066"/>
      <c r="DF1066"/>
      <c r="DG1066"/>
      <c r="DH1066"/>
      <c r="DI1066"/>
      <c r="DJ1066"/>
      <c r="DK1066"/>
      <c r="DL1066"/>
      <c r="DM1066"/>
      <c r="DN1066"/>
      <c r="DO1066"/>
      <c r="DP1066"/>
      <c r="DQ1066"/>
      <c r="DR1066"/>
      <c r="DS1066"/>
      <c r="DT1066"/>
      <c r="DU1066"/>
      <c r="DV1066"/>
      <c r="DW1066"/>
      <c r="DX1066"/>
      <c r="DY1066"/>
      <c r="DZ1066"/>
      <c r="EA1066"/>
      <c r="EB1066"/>
      <c r="EC1066"/>
      <c r="ED1066"/>
      <c r="EE1066"/>
      <c r="EF1066"/>
      <c r="EG1066"/>
      <c r="EH1066"/>
      <c r="EI1066"/>
      <c r="EJ1066"/>
      <c r="EK1066"/>
      <c r="EL1066"/>
      <c r="EM1066"/>
      <c r="EN1066"/>
      <c r="EO1066"/>
      <c r="EP1066"/>
      <c r="EQ1066"/>
    </row>
    <row r="1067" spans="1:147" ht="16.5" customHeight="1" x14ac:dyDescent="0.25">
      <c r="A1067" s="113">
        <f>$A$1065+1</f>
        <v>239</v>
      </c>
      <c r="B1067" s="113" t="s">
        <v>578</v>
      </c>
      <c r="C1067" s="113" t="s">
        <v>92</v>
      </c>
      <c r="D1067" s="113"/>
      <c r="E1067" s="113"/>
      <c r="F1067" s="113" t="s">
        <v>576</v>
      </c>
      <c r="G1067" s="113" t="s">
        <v>406</v>
      </c>
      <c r="H1067" s="113"/>
      <c r="I1067" s="113"/>
      <c r="J1067" s="113" t="b">
        <f t="shared" si="161"/>
        <v>1</v>
      </c>
      <c r="K1067" s="113" t="b">
        <v>1</v>
      </c>
      <c r="L1067" s="113"/>
      <c r="M1067" s="113"/>
      <c r="N1067" s="113"/>
      <c r="O1067" s="113" t="str">
        <f t="shared" si="177"/>
        <v>$B$239</v>
      </c>
      <c r="P1067" s="113" t="str">
        <f t="shared" si="178"/>
        <v>$BK$239</v>
      </c>
      <c r="Q1067" s="113"/>
      <c r="R1067" s="113"/>
      <c r="S1067" s="113"/>
      <c r="T1067" s="113"/>
      <c r="U1067" s="113"/>
      <c r="V1067" s="113" t="s">
        <v>1342</v>
      </c>
      <c r="W1067" s="113"/>
      <c r="X1067" s="113"/>
      <c r="Y1067" s="113"/>
      <c r="Z1067" s="113"/>
      <c r="AA1067" s="113"/>
      <c r="AB1067" s="113"/>
      <c r="AC1067" s="113"/>
      <c r="AD1067" s="113"/>
      <c r="AE1067" s="113"/>
      <c r="AF1067" s="113"/>
      <c r="AG1067" s="113"/>
      <c r="AH1067" s="113"/>
      <c r="AI1067" s="113"/>
      <c r="AJ1067" s="113"/>
      <c r="AK1067" s="113"/>
      <c r="AL1067" s="113">
        <v>1</v>
      </c>
      <c r="AM1067" s="113"/>
      <c r="AN1067" s="113"/>
      <c r="AO1067" s="113"/>
      <c r="AP1067" s="113" t="b">
        <v>1</v>
      </c>
      <c r="AQ1067" s="159"/>
      <c r="AR1067" s="167"/>
      <c r="AS1067" s="240"/>
      <c r="AT1067" s="272"/>
      <c r="AU1067" s="240"/>
      <c r="AV1067" s="240"/>
      <c r="AW1067"/>
      <c r="AX1067"/>
      <c r="AY1067"/>
      <c r="AZ1067"/>
      <c r="BA1067"/>
      <c r="BB1067"/>
      <c r="BC1067"/>
      <c r="BD1067"/>
      <c r="BE1067"/>
      <c r="BF1067"/>
      <c r="BG1067"/>
      <c r="BH1067"/>
      <c r="BI1067"/>
      <c r="BJ1067"/>
      <c r="BK1067"/>
      <c r="BL1067"/>
      <c r="BM1067"/>
      <c r="BN1067"/>
      <c r="BO1067"/>
      <c r="BP1067"/>
      <c r="BQ1067"/>
      <c r="BR1067"/>
      <c r="BS1067"/>
      <c r="BT1067"/>
      <c r="BU1067"/>
      <c r="BV1067"/>
      <c r="BW1067"/>
      <c r="BX1067"/>
      <c r="BY1067"/>
      <c r="BZ1067"/>
      <c r="CA1067"/>
      <c r="CB1067"/>
      <c r="CC1067"/>
      <c r="CD1067"/>
      <c r="CE1067"/>
      <c r="CF1067"/>
      <c r="CG1067"/>
      <c r="CH1067"/>
      <c r="CI1067"/>
      <c r="CJ1067"/>
      <c r="CK1067"/>
      <c r="CL1067"/>
      <c r="CM1067"/>
      <c r="CN1067"/>
      <c r="CO1067"/>
      <c r="CP1067"/>
      <c r="CQ1067"/>
      <c r="CR1067"/>
      <c r="CS1067"/>
      <c r="CT1067"/>
      <c r="CU1067"/>
      <c r="CV1067"/>
      <c r="CW1067"/>
      <c r="CX1067"/>
      <c r="CY1067"/>
      <c r="CZ1067"/>
      <c r="DA1067"/>
      <c r="DB1067"/>
      <c r="DC1067"/>
      <c r="DD1067"/>
      <c r="DE1067"/>
      <c r="DF1067"/>
      <c r="DG1067"/>
      <c r="DH1067"/>
      <c r="DI1067"/>
      <c r="DJ1067"/>
      <c r="DK1067"/>
      <c r="DL1067"/>
      <c r="DM1067"/>
      <c r="DN1067"/>
      <c r="DO1067"/>
      <c r="DP1067"/>
      <c r="DQ1067"/>
      <c r="DR1067"/>
      <c r="DS1067"/>
      <c r="DT1067"/>
      <c r="DU1067"/>
      <c r="DV1067"/>
      <c r="DW1067"/>
      <c r="DX1067"/>
      <c r="DY1067"/>
      <c r="DZ1067"/>
      <c r="EA1067"/>
      <c r="EB1067"/>
      <c r="EC1067"/>
      <c r="ED1067"/>
      <c r="EE1067"/>
      <c r="EF1067"/>
      <c r="EG1067"/>
      <c r="EH1067"/>
      <c r="EI1067"/>
      <c r="EJ1067"/>
      <c r="EK1067"/>
      <c r="EL1067"/>
      <c r="EM1067"/>
      <c r="EN1067"/>
      <c r="EO1067"/>
      <c r="EP1067"/>
      <c r="EQ1067"/>
    </row>
    <row r="1068" spans="1:147" ht="16.5" customHeight="1" x14ac:dyDescent="0.25">
      <c r="A1068" s="113">
        <f>$A$1065+2</f>
        <v>240</v>
      </c>
      <c r="B1068" s="113" t="s">
        <v>579</v>
      </c>
      <c r="C1068" s="113" t="s">
        <v>92</v>
      </c>
      <c r="D1068" s="113"/>
      <c r="E1068" s="113"/>
      <c r="F1068" s="113" t="s">
        <v>576</v>
      </c>
      <c r="G1068" s="113" t="s">
        <v>406</v>
      </c>
      <c r="H1068" s="113"/>
      <c r="I1068" s="113"/>
      <c r="J1068" s="113" t="b">
        <f t="shared" si="161"/>
        <v>1</v>
      </c>
      <c r="K1068" s="113" t="b">
        <v>1</v>
      </c>
      <c r="L1068" s="113"/>
      <c r="M1068" s="113"/>
      <c r="N1068" s="113"/>
      <c r="O1068" s="113" t="str">
        <f t="shared" si="177"/>
        <v>$B$240</v>
      </c>
      <c r="P1068" s="113" t="str">
        <f t="shared" si="178"/>
        <v>$BK$240</v>
      </c>
      <c r="Q1068" s="113"/>
      <c r="R1068" s="113"/>
      <c r="S1068" s="113"/>
      <c r="T1068" s="113"/>
      <c r="U1068" s="113"/>
      <c r="V1068" s="113" t="s">
        <v>1342</v>
      </c>
      <c r="W1068" s="113"/>
      <c r="X1068" s="113"/>
      <c r="Y1068" s="113"/>
      <c r="Z1068" s="113"/>
      <c r="AA1068" s="113"/>
      <c r="AB1068" s="113"/>
      <c r="AC1068" s="113"/>
      <c r="AD1068" s="113"/>
      <c r="AE1068" s="113"/>
      <c r="AF1068" s="113"/>
      <c r="AG1068" s="113"/>
      <c r="AH1068" s="113"/>
      <c r="AI1068" s="113"/>
      <c r="AJ1068" s="113"/>
      <c r="AK1068" s="113"/>
      <c r="AL1068" s="113">
        <v>1</v>
      </c>
      <c r="AM1068" s="113"/>
      <c r="AN1068" s="113"/>
      <c r="AO1068" s="113"/>
      <c r="AP1068" s="113" t="b">
        <v>1</v>
      </c>
      <c r="AQ1068" s="161" t="str">
        <f xml:space="preserve"> IF(MasterSheet_f_FP_CfgGroup1R3_VS,"Program","Projekt")&amp;"udgifter"</f>
        <v>Projektudgifter</v>
      </c>
      <c r="AR1068" s="161"/>
      <c r="AS1068" s="241"/>
      <c r="AT1068" s="273"/>
      <c r="AU1068" s="232"/>
      <c r="AV1068" s="232"/>
      <c r="AW1068"/>
      <c r="AX1068"/>
      <c r="AY1068"/>
      <c r="AZ1068"/>
      <c r="BA1068"/>
      <c r="BB1068"/>
      <c r="BC1068"/>
      <c r="BD1068"/>
      <c r="BE1068"/>
      <c r="BF1068"/>
      <c r="BG1068"/>
      <c r="BH1068"/>
      <c r="BI1068"/>
      <c r="BJ1068"/>
      <c r="BK1068"/>
      <c r="BL1068"/>
      <c r="BM1068"/>
      <c r="BN1068"/>
      <c r="BO1068"/>
      <c r="BP1068"/>
      <c r="BQ1068"/>
      <c r="BR1068"/>
      <c r="BS1068"/>
      <c r="BT1068"/>
      <c r="BU1068"/>
      <c r="BV1068"/>
      <c r="BW1068"/>
      <c r="BX1068"/>
      <c r="BY1068"/>
      <c r="BZ1068"/>
      <c r="CA1068"/>
      <c r="CB1068"/>
      <c r="CC1068"/>
      <c r="CD1068"/>
      <c r="CE1068"/>
      <c r="CF1068"/>
      <c r="CG1068"/>
      <c r="CH1068"/>
      <c r="CI1068"/>
      <c r="CJ1068"/>
      <c r="CK1068"/>
      <c r="CL1068"/>
      <c r="CM1068"/>
      <c r="CN1068"/>
      <c r="CO1068"/>
      <c r="CP1068"/>
      <c r="CQ1068"/>
      <c r="CR1068"/>
      <c r="CS1068"/>
      <c r="CT1068"/>
      <c r="CU1068"/>
      <c r="CV1068"/>
      <c r="CW1068"/>
      <c r="CX1068"/>
      <c r="CY1068"/>
      <c r="CZ1068"/>
      <c r="DA1068"/>
      <c r="DB1068"/>
      <c r="DC1068"/>
      <c r="DD1068"/>
      <c r="DE1068"/>
      <c r="DF1068"/>
      <c r="DG1068"/>
      <c r="DH1068"/>
      <c r="DI1068"/>
      <c r="DJ1068"/>
      <c r="DK1068"/>
      <c r="DL1068"/>
      <c r="DM1068"/>
      <c r="DN1068"/>
      <c r="DO1068"/>
      <c r="DP1068"/>
      <c r="DQ1068"/>
      <c r="DR1068"/>
      <c r="DS1068"/>
      <c r="DT1068"/>
      <c r="DU1068"/>
      <c r="DV1068"/>
      <c r="DW1068"/>
      <c r="DX1068"/>
      <c r="DY1068"/>
      <c r="DZ1068"/>
      <c r="EA1068"/>
      <c r="EB1068"/>
      <c r="EC1068"/>
      <c r="ED1068"/>
      <c r="EE1068"/>
      <c r="EF1068"/>
      <c r="EG1068"/>
      <c r="EH1068"/>
      <c r="EI1068"/>
      <c r="EJ1068"/>
      <c r="EK1068"/>
      <c r="EL1068"/>
      <c r="EM1068"/>
      <c r="EN1068"/>
      <c r="EO1068"/>
      <c r="EP1068"/>
      <c r="EQ1068"/>
    </row>
    <row r="1069" spans="1:147" ht="16.5" customHeight="1" x14ac:dyDescent="0.25">
      <c r="A1069" s="113">
        <f>$A$1065+3</f>
        <v>241</v>
      </c>
      <c r="B1069" s="113" t="s">
        <v>580</v>
      </c>
      <c r="C1069" s="113" t="s">
        <v>92</v>
      </c>
      <c r="D1069" s="113"/>
      <c r="E1069" s="113"/>
      <c r="F1069" s="113" t="s">
        <v>576</v>
      </c>
      <c r="G1069" s="113" t="s">
        <v>406</v>
      </c>
      <c r="H1069" s="113"/>
      <c r="I1069" s="113"/>
      <c r="J1069" s="113" t="b">
        <f t="shared" si="161"/>
        <v>1</v>
      </c>
      <c r="K1069" s="113" t="b">
        <v>1</v>
      </c>
      <c r="L1069" s="113"/>
      <c r="M1069" s="113"/>
      <c r="N1069" s="113"/>
      <c r="O1069" s="113" t="str">
        <f t="shared" si="177"/>
        <v>$B$241</v>
      </c>
      <c r="P1069" s="113" t="str">
        <f t="shared" si="178"/>
        <v>$BK$241</v>
      </c>
      <c r="Q1069" s="113"/>
      <c r="R1069" s="113"/>
      <c r="S1069" s="113"/>
      <c r="T1069" s="113"/>
      <c r="U1069" s="113"/>
      <c r="V1069" s="113" t="s">
        <v>1342</v>
      </c>
      <c r="W1069" s="113"/>
      <c r="X1069" s="113"/>
      <c r="Y1069" s="113"/>
      <c r="Z1069" s="113"/>
      <c r="AA1069" s="113"/>
      <c r="AB1069" s="113"/>
      <c r="AC1069" s="113"/>
      <c r="AD1069" s="113"/>
      <c r="AE1069" s="113"/>
      <c r="AF1069" s="113"/>
      <c r="AG1069" s="113"/>
      <c r="AH1069" s="113"/>
      <c r="AI1069" s="113"/>
      <c r="AJ1069" s="113"/>
      <c r="AK1069" s="113"/>
      <c r="AL1069" s="113">
        <v>1</v>
      </c>
      <c r="AM1069" s="113"/>
      <c r="AN1069" s="113"/>
      <c r="AO1069" s="113"/>
      <c r="AP1069" s="113" t="b">
        <v>1</v>
      </c>
      <c r="AQ1069" s="161"/>
      <c r="AR1069" s="161"/>
      <c r="AS1069" s="241"/>
      <c r="AT1069" s="273"/>
      <c r="AU1069" s="232"/>
      <c r="AV1069" s="232"/>
      <c r="AW1069"/>
      <c r="AX1069"/>
      <c r="AY1069"/>
      <c r="AZ1069"/>
      <c r="BA1069"/>
      <c r="BB1069"/>
      <c r="BC1069"/>
      <c r="BD1069"/>
      <c r="BE1069"/>
      <c r="BF1069"/>
      <c r="BG1069"/>
      <c r="BH1069"/>
      <c r="BI1069"/>
      <c r="BJ1069"/>
      <c r="BK1069"/>
      <c r="BL1069"/>
      <c r="BM1069"/>
      <c r="BN1069"/>
      <c r="BO1069"/>
      <c r="BP1069"/>
      <c r="BQ1069"/>
      <c r="BR1069"/>
      <c r="BS1069"/>
      <c r="BT1069"/>
      <c r="BU1069"/>
      <c r="BV1069"/>
      <c r="BW1069"/>
      <c r="BX1069"/>
      <c r="BY1069"/>
      <c r="BZ1069"/>
      <c r="CA1069"/>
      <c r="CB1069"/>
      <c r="CC1069"/>
      <c r="CD1069"/>
      <c r="CE1069"/>
      <c r="CF1069"/>
      <c r="CG1069"/>
      <c r="CH1069"/>
      <c r="CI1069"/>
      <c r="CJ1069"/>
      <c r="CK1069"/>
      <c r="CL1069"/>
      <c r="CM1069"/>
      <c r="CN1069"/>
      <c r="CO1069"/>
      <c r="CP1069"/>
      <c r="CQ1069"/>
      <c r="CR1069"/>
      <c r="CS1069"/>
      <c r="CT1069"/>
      <c r="CU1069"/>
      <c r="CV1069"/>
      <c r="CW1069"/>
      <c r="CX1069"/>
      <c r="CY1069"/>
      <c r="CZ1069"/>
      <c r="DA1069"/>
      <c r="DB1069"/>
      <c r="DC1069"/>
      <c r="DD1069"/>
      <c r="DE1069"/>
      <c r="DF1069"/>
      <c r="DG1069"/>
      <c r="DH1069"/>
      <c r="DI1069"/>
      <c r="DJ1069"/>
      <c r="DK1069"/>
      <c r="DL1069"/>
      <c r="DM1069"/>
      <c r="DN1069"/>
      <c r="DO1069"/>
      <c r="DP1069"/>
      <c r="DQ1069"/>
      <c r="DR1069"/>
      <c r="DS1069"/>
      <c r="DT1069"/>
      <c r="DU1069"/>
      <c r="DV1069"/>
      <c r="DW1069"/>
      <c r="DX1069"/>
      <c r="DY1069"/>
      <c r="DZ1069"/>
      <c r="EA1069"/>
      <c r="EB1069"/>
      <c r="EC1069"/>
      <c r="ED1069"/>
      <c r="EE1069"/>
      <c r="EF1069"/>
      <c r="EG1069"/>
      <c r="EH1069"/>
      <c r="EI1069"/>
      <c r="EJ1069"/>
      <c r="EK1069"/>
      <c r="EL1069"/>
      <c r="EM1069"/>
      <c r="EN1069"/>
      <c r="EO1069"/>
      <c r="EP1069"/>
      <c r="EQ1069"/>
    </row>
    <row r="1070" spans="1:147" ht="16.5" customHeight="1" x14ac:dyDescent="0.25">
      <c r="A1070" s="113">
        <f>$A$1065+4</f>
        <v>242</v>
      </c>
      <c r="B1070" s="113" t="s">
        <v>581</v>
      </c>
      <c r="C1070" s="113" t="s">
        <v>92</v>
      </c>
      <c r="D1070" s="113"/>
      <c r="E1070" s="113"/>
      <c r="F1070" s="113" t="s">
        <v>576</v>
      </c>
      <c r="G1070" s="113" t="s">
        <v>406</v>
      </c>
      <c r="H1070" s="113"/>
      <c r="I1070" s="113"/>
      <c r="J1070" s="113" t="b">
        <f t="shared" si="161"/>
        <v>1</v>
      </c>
      <c r="K1070" s="113" t="b">
        <v>1</v>
      </c>
      <c r="L1070" s="113"/>
      <c r="M1070" s="113"/>
      <c r="N1070" s="113"/>
      <c r="O1070" s="113" t="str">
        <f t="shared" si="177"/>
        <v>$B$242</v>
      </c>
      <c r="P1070" s="113" t="str">
        <f t="shared" si="178"/>
        <v>$BK$242</v>
      </c>
      <c r="Q1070" s="113"/>
      <c r="R1070" s="113"/>
      <c r="S1070" s="113"/>
      <c r="T1070" s="113"/>
      <c r="U1070" s="113"/>
      <c r="V1070" s="113" t="s">
        <v>1342</v>
      </c>
      <c r="W1070" s="113"/>
      <c r="X1070" s="113"/>
      <c r="Y1070" s="113"/>
      <c r="Z1070" s="113"/>
      <c r="AA1070" s="113"/>
      <c r="AB1070" s="113"/>
      <c r="AC1070" s="113"/>
      <c r="AD1070" s="113"/>
      <c r="AE1070" s="113"/>
      <c r="AF1070" s="113"/>
      <c r="AG1070" s="113"/>
      <c r="AH1070" s="113"/>
      <c r="AI1070" s="113"/>
      <c r="AJ1070" s="113"/>
      <c r="AK1070" s="113"/>
      <c r="AL1070" s="113">
        <v>1</v>
      </c>
      <c r="AM1070" s="113"/>
      <c r="AN1070" s="113"/>
      <c r="AO1070" s="113"/>
      <c r="AP1070" s="113" t="b">
        <v>1</v>
      </c>
      <c r="AQ1070" s="161" t="s">
        <v>447</v>
      </c>
      <c r="AR1070" s="168"/>
      <c r="AS1070" s="191">
        <f ca="1">SUM(AU1070:CZ1070)</f>
        <v>0</v>
      </c>
      <c r="AT1070" s="274" t="str">
        <f ca="1">IFERROR(AS1070/AS1083,"-")</f>
        <v>-</v>
      </c>
      <c r="AU1070" s="191">
        <f ca="1">AU1071+AU1072</f>
        <v>0</v>
      </c>
      <c r="AV1070" s="191">
        <f t="shared" ref="AV1070" ca="1" si="179">AV1071+AV1072</f>
        <v>0</v>
      </c>
      <c r="AW1070"/>
      <c r="AX1070"/>
      <c r="AY1070"/>
      <c r="AZ1070"/>
      <c r="BA1070"/>
      <c r="BB1070"/>
      <c r="BC1070"/>
      <c r="BD1070"/>
      <c r="BE1070"/>
      <c r="BF1070"/>
      <c r="BG1070"/>
      <c r="BH1070"/>
      <c r="BI1070"/>
      <c r="BJ1070"/>
      <c r="BK1070"/>
      <c r="BL1070"/>
      <c r="BM1070"/>
      <c r="BN1070"/>
      <c r="BO1070"/>
      <c r="BP1070"/>
      <c r="BQ1070"/>
      <c r="BR1070"/>
      <c r="BS1070"/>
      <c r="BT1070"/>
      <c r="BU1070"/>
      <c r="BV1070"/>
      <c r="BW1070"/>
      <c r="BX1070"/>
      <c r="BY1070"/>
      <c r="BZ1070"/>
      <c r="CA1070"/>
      <c r="CB1070"/>
      <c r="CC1070"/>
      <c r="CD1070"/>
      <c r="CE1070"/>
      <c r="CF1070"/>
      <c r="CG1070"/>
      <c r="CH1070"/>
      <c r="CI1070"/>
      <c r="CJ1070"/>
      <c r="CK1070"/>
      <c r="CL1070"/>
      <c r="CM1070"/>
      <c r="CN1070"/>
      <c r="CO1070"/>
      <c r="CP1070"/>
      <c r="CQ1070"/>
      <c r="CR1070"/>
      <c r="CS1070"/>
      <c r="CT1070"/>
      <c r="CU1070"/>
      <c r="CV1070"/>
      <c r="CW1070"/>
      <c r="CX1070"/>
      <c r="CY1070"/>
      <c r="CZ1070"/>
      <c r="DA1070"/>
      <c r="DB1070"/>
      <c r="DC1070"/>
      <c r="DD1070"/>
      <c r="DE1070"/>
      <c r="DF1070"/>
      <c r="DG1070"/>
      <c r="DH1070"/>
      <c r="DI1070"/>
      <c r="DJ1070"/>
      <c r="DK1070"/>
      <c r="DL1070"/>
      <c r="DM1070"/>
      <c r="DN1070"/>
      <c r="DO1070"/>
      <c r="DP1070"/>
      <c r="DQ1070"/>
      <c r="DR1070"/>
      <c r="DS1070"/>
      <c r="DT1070"/>
      <c r="DU1070"/>
      <c r="DV1070"/>
      <c r="DW1070"/>
      <c r="DX1070"/>
      <c r="DY1070"/>
      <c r="DZ1070"/>
      <c r="EA1070"/>
      <c r="EB1070"/>
      <c r="EC1070"/>
      <c r="ED1070"/>
      <c r="EE1070"/>
      <c r="EF1070"/>
      <c r="EG1070"/>
      <c r="EH1070"/>
      <c r="EI1070"/>
      <c r="EJ1070"/>
      <c r="EK1070"/>
      <c r="EL1070"/>
      <c r="EM1070"/>
      <c r="EN1070"/>
      <c r="EO1070"/>
      <c r="EP1070"/>
      <c r="EQ1070"/>
    </row>
    <row r="1071" spans="1:147" ht="16.5" customHeight="1" x14ac:dyDescent="0.25">
      <c r="A1071" s="113">
        <f>$A$1065+5</f>
        <v>243</v>
      </c>
      <c r="B1071" s="113" t="s">
        <v>582</v>
      </c>
      <c r="C1071" s="113" t="s">
        <v>92</v>
      </c>
      <c r="D1071" s="113"/>
      <c r="E1071" s="113"/>
      <c r="F1071" s="113" t="s">
        <v>576</v>
      </c>
      <c r="G1071" s="113" t="s">
        <v>406</v>
      </c>
      <c r="H1071" s="113"/>
      <c r="I1071" s="113"/>
      <c r="J1071" s="113" t="b">
        <f t="shared" si="161"/>
        <v>1</v>
      </c>
      <c r="K1071" s="113" t="b">
        <v>1</v>
      </c>
      <c r="L1071" s="113"/>
      <c r="M1071" s="113"/>
      <c r="N1071" s="113"/>
      <c r="O1071" s="113" t="str">
        <f t="shared" si="177"/>
        <v>$B$243</v>
      </c>
      <c r="P1071" s="113" t="str">
        <f t="shared" si="178"/>
        <v>$BK$243</v>
      </c>
      <c r="Q1071" s="113"/>
      <c r="R1071" s="113"/>
      <c r="S1071" s="113"/>
      <c r="T1071" s="113"/>
      <c r="U1071" s="113"/>
      <c r="V1071" s="113" t="s">
        <v>1342</v>
      </c>
      <c r="W1071" s="113"/>
      <c r="X1071" s="113"/>
      <c r="Y1071" s="113"/>
      <c r="Z1071" s="113"/>
      <c r="AA1071" s="113"/>
      <c r="AB1071" s="113"/>
      <c r="AC1071" s="113"/>
      <c r="AD1071" s="113"/>
      <c r="AE1071" s="113"/>
      <c r="AF1071" s="113"/>
      <c r="AG1071" s="113"/>
      <c r="AH1071" s="113"/>
      <c r="AI1071" s="113"/>
      <c r="AJ1071" s="113"/>
      <c r="AK1071" s="113"/>
      <c r="AL1071" s="113">
        <v>1</v>
      </c>
      <c r="AM1071" s="113"/>
      <c r="AN1071" s="113"/>
      <c r="AO1071" s="113"/>
      <c r="AP1071" s="113" t="b">
        <v>1</v>
      </c>
      <c r="AQ1071" s="132" t="s">
        <v>634</v>
      </c>
      <c r="AR1071" s="79" t="s">
        <v>1179</v>
      </c>
      <c r="AS1071" s="191">
        <f t="shared" ref="AS1071:AS1075" ca="1" si="180">SUM(AU1071:CZ1071)</f>
        <v>0</v>
      </c>
      <c r="AT1071" s="274" t="str">
        <f ca="1">IFERROR(AS1071/AS1083,"-")</f>
        <v>-</v>
      </c>
      <c r="AU1071" s="191">
        <f ca="1">SUMIFS(IF(MasterSheet_f_FP_CfgGroup1R3_VS,IF(MasterSheet_f_FP_CfgGroup2R2_VS,ProgramudgifterC!$P:$P,ProgramudgifterC!$O:$O),IF(MasterSheet_f_FP_CfgGroup2R2_VS,ProjektudgifterC!$P:$P,ProjektudgifterC!$O:$O)),IF(MasterSheet_f_FP_CfgGroup1R3_VS,ProgramudgifterC!$E:$E,ProjektudgifterC!$E:$E),OFFSET(Businesscasen_f_BCM_subcat16_Table1_start,0,COLUMN()-COLUMN(Businesscasen_f_BCM_subcat16_Table1_start)),IF(MasterSheet_f_FP_CfgGroup1R3_VS,ProgramudgifterC!$C:$C,ProjektudgifterC!$C:$C),OFFSET(Businesscasen_f_BCM_subcat16_Table1_start,ROW()-ROW(Businesscasen_f_BCM_subcat16_Table1_start),1))/1000</f>
        <v>0</v>
      </c>
      <c r="AV1071" s="191">
        <f ca="1">SUMIFS(IF(MasterSheet_f_FP_CfgGroup1R3_VS,IF(MasterSheet_f_FP_CfgGroup2R2_VS,ProgramudgifterC!$P:$P,ProgramudgifterC!$O:$O),IF(MasterSheet_f_FP_CfgGroup2R2_VS,ProjektudgifterC!$P:$P,ProjektudgifterC!$O:$O)),IF(MasterSheet_f_FP_CfgGroup1R3_VS,ProgramudgifterC!$E:$E,ProjektudgifterC!$E:$E),OFFSET(Businesscasen_f_BCM_subcat16_Table1_start,0,COLUMN()-COLUMN(Businesscasen_f_BCM_subcat16_Table1_start)),IF(MasterSheet_f_FP_CfgGroup1R3_VS,ProgramudgifterC!$C:$C,ProjektudgifterC!$C:$C),OFFSET(Businesscasen_f_BCM_subcat16_Table1_start,ROW()-ROW(Businesscasen_f_BCM_subcat16_Table1_start),1))/1000</f>
        <v>0</v>
      </c>
      <c r="AW1071"/>
      <c r="AX1071"/>
      <c r="AY1071"/>
      <c r="AZ1071"/>
      <c r="BA1071"/>
      <c r="BB1071"/>
      <c r="BC1071"/>
      <c r="BD1071"/>
      <c r="BE1071"/>
      <c r="BF1071"/>
      <c r="BG1071"/>
      <c r="BH1071"/>
      <c r="BI1071"/>
      <c r="BJ1071"/>
      <c r="BK1071"/>
      <c r="BL1071"/>
      <c r="BM1071"/>
      <c r="BN1071"/>
      <c r="BO1071"/>
      <c r="BP1071"/>
      <c r="BQ1071"/>
      <c r="BR1071"/>
      <c r="BS1071"/>
      <c r="BT1071"/>
      <c r="BU1071"/>
      <c r="BV1071"/>
      <c r="BW1071"/>
      <c r="BX1071"/>
      <c r="BY1071"/>
      <c r="BZ1071"/>
      <c r="CA1071"/>
      <c r="CB1071"/>
      <c r="CC1071"/>
      <c r="CD1071"/>
      <c r="CE1071"/>
      <c r="CF1071"/>
      <c r="CG1071"/>
      <c r="CH1071"/>
      <c r="CI1071"/>
      <c r="CJ1071"/>
      <c r="CK1071"/>
      <c r="CL1071"/>
      <c r="CM1071"/>
      <c r="CN1071"/>
      <c r="CO1071"/>
      <c r="CP1071"/>
      <c r="CQ1071"/>
      <c r="CR1071"/>
      <c r="CS1071"/>
      <c r="CT1071"/>
      <c r="CU1071"/>
      <c r="CV1071"/>
      <c r="CW1071"/>
      <c r="CX1071"/>
      <c r="CY1071"/>
      <c r="CZ1071"/>
      <c r="DA1071"/>
      <c r="DB1071"/>
      <c r="DC1071"/>
      <c r="DD1071"/>
      <c r="DE1071"/>
      <c r="DF1071"/>
      <c r="DG1071"/>
      <c r="DH1071"/>
      <c r="DI1071"/>
      <c r="DJ1071"/>
      <c r="DK1071"/>
      <c r="DL1071"/>
      <c r="DM1071"/>
      <c r="DN1071"/>
      <c r="DO1071"/>
      <c r="DP1071"/>
      <c r="DQ1071"/>
      <c r="DR1071"/>
      <c r="DS1071"/>
      <c r="DT1071"/>
      <c r="DU1071"/>
      <c r="DV1071"/>
      <c r="DW1071"/>
      <c r="DX1071"/>
      <c r="DY1071"/>
      <c r="DZ1071"/>
      <c r="EA1071"/>
      <c r="EB1071"/>
      <c r="EC1071"/>
      <c r="ED1071"/>
      <c r="EE1071"/>
      <c r="EF1071"/>
      <c r="EG1071"/>
      <c r="EH1071"/>
      <c r="EI1071"/>
      <c r="EJ1071"/>
      <c r="EK1071"/>
      <c r="EL1071"/>
      <c r="EM1071"/>
      <c r="EN1071"/>
      <c r="EO1071"/>
      <c r="EP1071"/>
      <c r="EQ1071"/>
    </row>
    <row r="1072" spans="1:147" ht="16.5" customHeight="1" x14ac:dyDescent="0.25">
      <c r="A1072" s="113">
        <f>$A$1065+6</f>
        <v>244</v>
      </c>
      <c r="B1072" s="113" t="s">
        <v>583</v>
      </c>
      <c r="C1072" s="113" t="s">
        <v>92</v>
      </c>
      <c r="D1072" s="113"/>
      <c r="E1072" s="113"/>
      <c r="F1072" s="113" t="s">
        <v>576</v>
      </c>
      <c r="G1072" s="113" t="s">
        <v>406</v>
      </c>
      <c r="H1072" s="113"/>
      <c r="I1072" s="113"/>
      <c r="J1072" s="113" t="b">
        <f t="shared" si="161"/>
        <v>1</v>
      </c>
      <c r="K1072" s="113" t="b">
        <v>1</v>
      </c>
      <c r="L1072" s="113"/>
      <c r="M1072" s="113"/>
      <c r="N1072" s="113"/>
      <c r="O1072" s="113" t="str">
        <f t="shared" si="177"/>
        <v>$B$244</v>
      </c>
      <c r="P1072" s="113" t="str">
        <f t="shared" si="178"/>
        <v>$BK$244</v>
      </c>
      <c r="Q1072" s="113"/>
      <c r="R1072" s="113"/>
      <c r="S1072" s="113"/>
      <c r="T1072" s="113"/>
      <c r="U1072" s="113"/>
      <c r="V1072" s="113" t="s">
        <v>1342</v>
      </c>
      <c r="W1072" s="113"/>
      <c r="X1072" s="113"/>
      <c r="Y1072" s="113"/>
      <c r="Z1072" s="113"/>
      <c r="AA1072" s="113"/>
      <c r="AB1072" s="113"/>
      <c r="AC1072" s="113"/>
      <c r="AD1072" s="113"/>
      <c r="AE1072" s="113"/>
      <c r="AF1072" s="113"/>
      <c r="AG1072" s="113"/>
      <c r="AH1072" s="113"/>
      <c r="AI1072" s="113"/>
      <c r="AJ1072" s="113"/>
      <c r="AK1072" s="113"/>
      <c r="AL1072" s="113">
        <v>1</v>
      </c>
      <c r="AM1072" s="113"/>
      <c r="AN1072" s="113"/>
      <c r="AO1072" s="113"/>
      <c r="AP1072" s="113" t="b">
        <v>1</v>
      </c>
      <c r="AQ1072" s="132" t="s">
        <v>448</v>
      </c>
      <c r="AR1072" s="79"/>
      <c r="AS1072" s="191">
        <f t="shared" ca="1" si="180"/>
        <v>0</v>
      </c>
      <c r="AT1072" s="274" t="str">
        <f ca="1">IFERROR(AS1072/AS1083,"-")</f>
        <v>-</v>
      </c>
      <c r="AU1072" s="191">
        <f ca="1">SUM(AU1073:AU1075)</f>
        <v>0</v>
      </c>
      <c r="AV1072" s="191">
        <f t="shared" ref="AV1072" ca="1" si="181">SUM(AV1073:AV1075)</f>
        <v>0</v>
      </c>
      <c r="AW1072"/>
      <c r="AX1072"/>
      <c r="AY1072"/>
      <c r="AZ1072"/>
      <c r="BA1072"/>
      <c r="BB1072"/>
      <c r="BC1072"/>
      <c r="BD1072"/>
      <c r="BE1072"/>
      <c r="BF1072"/>
      <c r="BG1072"/>
      <c r="BH1072"/>
      <c r="BI1072"/>
      <c r="BJ1072"/>
      <c r="BK1072"/>
      <c r="BL1072"/>
      <c r="BM1072"/>
      <c r="BN1072"/>
      <c r="BO1072"/>
      <c r="BP1072"/>
      <c r="BQ1072"/>
      <c r="BR1072"/>
      <c r="BS1072"/>
      <c r="BT1072"/>
      <c r="BU1072"/>
      <c r="BV1072"/>
      <c r="BW1072"/>
      <c r="BX1072"/>
      <c r="BY1072"/>
      <c r="BZ1072"/>
      <c r="CA1072"/>
      <c r="CB1072"/>
      <c r="CC1072"/>
      <c r="CD1072"/>
      <c r="CE1072"/>
      <c r="CF1072"/>
      <c r="CG1072"/>
      <c r="CH1072"/>
      <c r="CI1072"/>
      <c r="CJ1072"/>
      <c r="CK1072"/>
      <c r="CL1072"/>
      <c r="CM1072"/>
      <c r="CN1072"/>
      <c r="CO1072"/>
      <c r="CP1072"/>
      <c r="CQ1072"/>
      <c r="CR1072"/>
      <c r="CS1072"/>
      <c r="CT1072"/>
      <c r="CU1072"/>
      <c r="CV1072"/>
      <c r="CW1072"/>
      <c r="CX1072"/>
      <c r="CY1072"/>
      <c r="CZ1072"/>
      <c r="DA1072"/>
      <c r="DB1072"/>
      <c r="DC1072"/>
      <c r="DD1072"/>
      <c r="DE1072"/>
      <c r="DF1072"/>
      <c r="DG1072"/>
      <c r="DH1072"/>
      <c r="DI1072"/>
      <c r="DJ1072"/>
      <c r="DK1072"/>
      <c r="DL1072"/>
      <c r="DM1072"/>
      <c r="DN1072"/>
      <c r="DO1072"/>
      <c r="DP1072"/>
      <c r="DQ1072"/>
      <c r="DR1072"/>
      <c r="DS1072"/>
      <c r="DT1072"/>
      <c r="DU1072"/>
      <c r="DV1072"/>
      <c r="DW1072"/>
      <c r="DX1072"/>
      <c r="DY1072"/>
      <c r="DZ1072"/>
      <c r="EA1072"/>
      <c r="EB1072"/>
      <c r="EC1072"/>
      <c r="ED1072"/>
      <c r="EE1072"/>
      <c r="EF1072"/>
      <c r="EG1072"/>
      <c r="EH1072"/>
      <c r="EI1072"/>
      <c r="EJ1072"/>
      <c r="EK1072"/>
      <c r="EL1072"/>
      <c r="EM1072"/>
      <c r="EN1072"/>
      <c r="EO1072"/>
      <c r="EP1072"/>
      <c r="EQ1072"/>
    </row>
    <row r="1073" spans="1:147" ht="16.5" customHeight="1" x14ac:dyDescent="0.25">
      <c r="A1073" s="113">
        <f>$A$1065+7</f>
        <v>245</v>
      </c>
      <c r="B1073" s="113" t="s">
        <v>584</v>
      </c>
      <c r="C1073" s="113" t="s">
        <v>92</v>
      </c>
      <c r="D1073" s="113"/>
      <c r="E1073" s="113"/>
      <c r="F1073" s="113" t="s">
        <v>576</v>
      </c>
      <c r="G1073" s="113" t="s">
        <v>406</v>
      </c>
      <c r="H1073" s="113"/>
      <c r="I1073" s="113"/>
      <c r="J1073" s="113" t="b">
        <f t="shared" si="161"/>
        <v>1</v>
      </c>
      <c r="K1073" s="113" t="b">
        <v>1</v>
      </c>
      <c r="L1073" s="113"/>
      <c r="M1073" s="113"/>
      <c r="N1073" s="113"/>
      <c r="O1073" s="113" t="str">
        <f t="shared" si="177"/>
        <v>$B$245</v>
      </c>
      <c r="P1073" s="113" t="str">
        <f t="shared" si="178"/>
        <v>$BK$245</v>
      </c>
      <c r="Q1073" s="113"/>
      <c r="R1073" s="113"/>
      <c r="S1073" s="113"/>
      <c r="T1073" s="113"/>
      <c r="U1073" s="113"/>
      <c r="V1073" s="113" t="s">
        <v>1342</v>
      </c>
      <c r="W1073" s="113"/>
      <c r="X1073" s="113"/>
      <c r="Y1073" s="113"/>
      <c r="Z1073" s="113"/>
      <c r="AA1073" s="113"/>
      <c r="AB1073" s="113"/>
      <c r="AC1073" s="113"/>
      <c r="AD1073" s="113"/>
      <c r="AE1073" s="113"/>
      <c r="AF1073" s="113"/>
      <c r="AG1073" s="113"/>
      <c r="AH1073" s="113"/>
      <c r="AI1073" s="113"/>
      <c r="AJ1073" s="113"/>
      <c r="AK1073" s="113"/>
      <c r="AL1073" s="113">
        <v>1</v>
      </c>
      <c r="AM1073" s="113"/>
      <c r="AN1073" s="113"/>
      <c r="AO1073" s="113"/>
      <c r="AP1073" s="113" t="b">
        <v>1</v>
      </c>
      <c r="AQ1073" s="132" t="s">
        <v>449</v>
      </c>
      <c r="AR1073" s="79" t="s">
        <v>1180</v>
      </c>
      <c r="AS1073" s="191">
        <f t="shared" ca="1" si="180"/>
        <v>0</v>
      </c>
      <c r="AT1073" s="274" t="str">
        <f ca="1">IFERROR(AS1073/AS1083,"-")</f>
        <v>-</v>
      </c>
      <c r="AU1073" s="191">
        <f ca="1">SUMIFS(IF(MasterSheet_f_FP_CfgGroup1R3_VS,IF(MasterSheet_f_FP_CfgGroup2R2_VS,ProgramudgifterC!$P:$P,ProgramudgifterC!$O:$O),IF(MasterSheet_f_FP_CfgGroup2R2_VS,ProjektudgifterC!$P:$P,ProjektudgifterC!$O:$O)),IF(MasterSheet_f_FP_CfgGroup1R3_VS,ProgramudgifterC!$E:$E,ProjektudgifterC!$E:$E),OFFSET(Businesscasen_f_BCM_subcat16_Table1_start,0,COLUMN()-COLUMN(Businesscasen_f_BCM_subcat16_Table1_start)),IF(MasterSheet_f_FP_CfgGroup1R3_VS,ProgramudgifterC!$C:$C,ProjektudgifterC!$C:$C),OFFSET(Businesscasen_f_BCM_subcat16_Table1_start,ROW()-ROW(Businesscasen_f_BCM_subcat16_Table1_start),1))/1000</f>
        <v>0</v>
      </c>
      <c r="AV1073" s="191">
        <f ca="1">SUMIFS(IF(MasterSheet_f_FP_CfgGroup1R3_VS,IF(MasterSheet_f_FP_CfgGroup2R2_VS,ProgramudgifterC!$P:$P,ProgramudgifterC!$O:$O),IF(MasterSheet_f_FP_CfgGroup2R2_VS,ProjektudgifterC!$P:$P,ProjektudgifterC!$O:$O)),IF(MasterSheet_f_FP_CfgGroup1R3_VS,ProgramudgifterC!$E:$E,ProjektudgifterC!$E:$E),OFFSET(Businesscasen_f_BCM_subcat16_Table1_start,0,COLUMN()-COLUMN(Businesscasen_f_BCM_subcat16_Table1_start)),IF(MasterSheet_f_FP_CfgGroup1R3_VS,ProgramudgifterC!$C:$C,ProjektudgifterC!$C:$C),OFFSET(Businesscasen_f_BCM_subcat16_Table1_start,ROW()-ROW(Businesscasen_f_BCM_subcat16_Table1_start),1))/1000</f>
        <v>0</v>
      </c>
      <c r="AW1073"/>
      <c r="AX1073"/>
      <c r="AY1073"/>
      <c r="AZ1073"/>
      <c r="BA1073"/>
      <c r="BB1073"/>
      <c r="BC1073"/>
      <c r="BD1073"/>
      <c r="BE1073"/>
      <c r="BF1073"/>
      <c r="BG1073"/>
      <c r="BH1073"/>
      <c r="BI1073"/>
      <c r="BJ1073"/>
      <c r="BK1073"/>
      <c r="BL1073"/>
      <c r="BM1073"/>
      <c r="BN1073"/>
      <c r="BO1073"/>
      <c r="BP1073"/>
      <c r="BQ1073"/>
      <c r="BR1073"/>
      <c r="BS1073"/>
      <c r="BT1073"/>
      <c r="BU1073"/>
      <c r="BV1073"/>
      <c r="BW1073"/>
      <c r="BX1073"/>
      <c r="BY1073"/>
      <c r="BZ1073"/>
      <c r="CA1073"/>
      <c r="CB1073"/>
      <c r="CC1073"/>
      <c r="CD1073"/>
      <c r="CE1073"/>
      <c r="CF1073"/>
      <c r="CG1073"/>
      <c r="CH1073"/>
      <c r="CI1073"/>
      <c r="CJ1073"/>
      <c r="CK1073"/>
      <c r="CL1073"/>
      <c r="CM1073"/>
      <c r="CN1073"/>
      <c r="CO1073"/>
      <c r="CP1073"/>
      <c r="CQ1073"/>
      <c r="CR1073"/>
      <c r="CS1073"/>
      <c r="CT1073"/>
      <c r="CU1073"/>
      <c r="CV1073"/>
      <c r="CW1073"/>
      <c r="CX1073"/>
      <c r="CY1073"/>
      <c r="CZ1073"/>
      <c r="DA1073"/>
      <c r="DB1073"/>
      <c r="DC1073"/>
      <c r="DD1073"/>
      <c r="DE1073"/>
      <c r="DF1073"/>
      <c r="DG1073"/>
      <c r="DH1073"/>
      <c r="DI1073"/>
      <c r="DJ1073"/>
      <c r="DK1073"/>
      <c r="DL1073"/>
      <c r="DM1073"/>
      <c r="DN1073"/>
      <c r="DO1073"/>
      <c r="DP1073"/>
      <c r="DQ1073"/>
      <c r="DR1073"/>
      <c r="DS1073"/>
      <c r="DT1073"/>
      <c r="DU1073"/>
      <c r="DV1073"/>
      <c r="DW1073"/>
      <c r="DX1073"/>
      <c r="DY1073"/>
      <c r="DZ1073"/>
      <c r="EA1073"/>
      <c r="EB1073"/>
      <c r="EC1073"/>
      <c r="ED1073"/>
      <c r="EE1073"/>
      <c r="EF1073"/>
      <c r="EG1073"/>
      <c r="EH1073"/>
      <c r="EI1073"/>
      <c r="EJ1073"/>
      <c r="EK1073"/>
      <c r="EL1073"/>
      <c r="EM1073"/>
      <c r="EN1073"/>
      <c r="EO1073"/>
      <c r="EP1073"/>
      <c r="EQ1073"/>
    </row>
    <row r="1074" spans="1:147" ht="16.5" customHeight="1" x14ac:dyDescent="0.25">
      <c r="A1074" s="113">
        <f>$A$1065+8</f>
        <v>246</v>
      </c>
      <c r="B1074" s="113" t="s">
        <v>585</v>
      </c>
      <c r="C1074" s="113" t="s">
        <v>92</v>
      </c>
      <c r="D1074" s="113"/>
      <c r="E1074" s="113"/>
      <c r="F1074" s="113" t="s">
        <v>576</v>
      </c>
      <c r="G1074" s="113" t="s">
        <v>406</v>
      </c>
      <c r="H1074" s="113"/>
      <c r="I1074" s="113"/>
      <c r="J1074" s="113" t="b">
        <f t="shared" si="161"/>
        <v>1</v>
      </c>
      <c r="K1074" s="113" t="b">
        <v>1</v>
      </c>
      <c r="L1074" s="113"/>
      <c r="M1074" s="113"/>
      <c r="N1074" s="113"/>
      <c r="O1074" s="113" t="str">
        <f t="shared" si="177"/>
        <v>$B$246</v>
      </c>
      <c r="P1074" s="113" t="str">
        <f t="shared" si="178"/>
        <v>$BK$246</v>
      </c>
      <c r="Q1074" s="113"/>
      <c r="R1074" s="113"/>
      <c r="S1074" s="113"/>
      <c r="T1074" s="113"/>
      <c r="U1074" s="113"/>
      <c r="V1074" s="113" t="s">
        <v>1342</v>
      </c>
      <c r="W1074" s="113"/>
      <c r="X1074" s="113"/>
      <c r="Y1074" s="113"/>
      <c r="Z1074" s="113"/>
      <c r="AA1074" s="113"/>
      <c r="AB1074" s="113"/>
      <c r="AC1074" s="113"/>
      <c r="AD1074" s="113"/>
      <c r="AE1074" s="113"/>
      <c r="AF1074" s="113"/>
      <c r="AG1074" s="113"/>
      <c r="AH1074" s="113"/>
      <c r="AI1074" s="113"/>
      <c r="AJ1074" s="113"/>
      <c r="AK1074" s="113"/>
      <c r="AL1074" s="113">
        <v>1</v>
      </c>
      <c r="AM1074" s="113"/>
      <c r="AN1074" s="113"/>
      <c r="AO1074" s="113"/>
      <c r="AP1074" s="113" t="b">
        <v>1</v>
      </c>
      <c r="AQ1074" s="132" t="s">
        <v>450</v>
      </c>
      <c r="AR1074" s="79" t="s">
        <v>1181</v>
      </c>
      <c r="AS1074" s="191">
        <f t="shared" ca="1" si="180"/>
        <v>0</v>
      </c>
      <c r="AT1074" s="274" t="str">
        <f ca="1">IFERROR(AS1074/AS1083,"-")</f>
        <v>-</v>
      </c>
      <c r="AU1074" s="191">
        <f ca="1">SUMIFS(IF(MasterSheet_f_FP_CfgGroup1R3_VS,IF(MasterSheet_f_FP_CfgGroup2R2_VS,ProgramudgifterC!$P:$P,ProgramudgifterC!$O:$O),IF(MasterSheet_f_FP_CfgGroup2R2_VS,ProjektudgifterC!$P:$P,ProjektudgifterC!$O:$O)),IF(MasterSheet_f_FP_CfgGroup1R3_VS,ProgramudgifterC!$E:$E,ProjektudgifterC!$E:$E),OFFSET(Businesscasen_f_BCM_subcat16_Table1_start,0,COLUMN()-COLUMN(Businesscasen_f_BCM_subcat16_Table1_start)),IF(MasterSheet_f_FP_CfgGroup1R3_VS,ProgramudgifterC!$C:$C,ProjektudgifterC!$C:$C),OFFSET(Businesscasen_f_BCM_subcat16_Table1_start,ROW()-ROW(Businesscasen_f_BCM_subcat16_Table1_start),1))/1000</f>
        <v>0</v>
      </c>
      <c r="AV1074" s="191">
        <f ca="1">SUMIFS(IF(MasterSheet_f_FP_CfgGroup1R3_VS,IF(MasterSheet_f_FP_CfgGroup2R2_VS,ProgramudgifterC!$P:$P,ProgramudgifterC!$O:$O),IF(MasterSheet_f_FP_CfgGroup2R2_VS,ProjektudgifterC!$P:$P,ProjektudgifterC!$O:$O)),IF(MasterSheet_f_FP_CfgGroup1R3_VS,ProgramudgifterC!$E:$E,ProjektudgifterC!$E:$E),OFFSET(Businesscasen_f_BCM_subcat16_Table1_start,0,COLUMN()-COLUMN(Businesscasen_f_BCM_subcat16_Table1_start)),IF(MasterSheet_f_FP_CfgGroup1R3_VS,ProgramudgifterC!$C:$C,ProjektudgifterC!$C:$C),OFFSET(Businesscasen_f_BCM_subcat16_Table1_start,ROW()-ROW(Businesscasen_f_BCM_subcat16_Table1_start),1))/1000</f>
        <v>0</v>
      </c>
      <c r="AW1074"/>
      <c r="AX1074"/>
      <c r="AY1074"/>
      <c r="AZ1074"/>
      <c r="BA1074"/>
      <c r="BB1074"/>
      <c r="BC1074"/>
      <c r="BD1074"/>
      <c r="BE1074"/>
      <c r="BF1074"/>
      <c r="BG1074"/>
      <c r="BH1074"/>
      <c r="BI1074"/>
      <c r="BJ1074"/>
      <c r="BK1074"/>
      <c r="BL1074"/>
      <c r="BM1074"/>
      <c r="BN1074"/>
      <c r="BO1074"/>
      <c r="BP1074"/>
      <c r="BQ1074"/>
      <c r="BR1074"/>
      <c r="BS1074"/>
      <c r="BT1074"/>
      <c r="BU1074"/>
      <c r="BV1074"/>
      <c r="BW1074"/>
      <c r="BX1074"/>
      <c r="BY1074"/>
      <c r="BZ1074"/>
      <c r="CA1074"/>
      <c r="CB1074"/>
      <c r="CC1074"/>
      <c r="CD1074"/>
      <c r="CE1074"/>
      <c r="CF1074"/>
      <c r="CG1074"/>
      <c r="CH1074"/>
      <c r="CI1074"/>
      <c r="CJ1074"/>
      <c r="CK1074"/>
      <c r="CL1074"/>
      <c r="CM1074"/>
      <c r="CN1074"/>
      <c r="CO1074"/>
      <c r="CP1074"/>
      <c r="CQ1074"/>
      <c r="CR1074"/>
      <c r="CS1074"/>
      <c r="CT1074"/>
      <c r="CU1074"/>
      <c r="CV1074"/>
      <c r="CW1074"/>
      <c r="CX1074"/>
      <c r="CY1074"/>
      <c r="CZ1074"/>
      <c r="DA1074"/>
      <c r="DB1074"/>
      <c r="DC1074"/>
      <c r="DD1074"/>
      <c r="DE1074"/>
      <c r="DF1074"/>
      <c r="DG1074"/>
      <c r="DH1074"/>
      <c r="DI1074"/>
      <c r="DJ1074"/>
      <c r="DK1074"/>
      <c r="DL1074"/>
      <c r="DM1074"/>
      <c r="DN1074"/>
      <c r="DO1074"/>
      <c r="DP1074"/>
      <c r="DQ1074"/>
      <c r="DR1074"/>
      <c r="DS1074"/>
      <c r="DT1074"/>
      <c r="DU1074"/>
      <c r="DV1074"/>
      <c r="DW1074"/>
      <c r="DX1074"/>
      <c r="DY1074"/>
      <c r="DZ1074"/>
      <c r="EA1074"/>
      <c r="EB1074"/>
      <c r="EC1074"/>
      <c r="ED1074"/>
      <c r="EE1074"/>
      <c r="EF1074"/>
      <c r="EG1074"/>
      <c r="EH1074"/>
      <c r="EI1074"/>
      <c r="EJ1074"/>
      <c r="EK1074"/>
      <c r="EL1074"/>
      <c r="EM1074"/>
      <c r="EN1074"/>
      <c r="EO1074"/>
      <c r="EP1074"/>
      <c r="EQ1074"/>
    </row>
    <row r="1075" spans="1:147" ht="16.5" customHeight="1" x14ac:dyDescent="0.25">
      <c r="A1075" s="113">
        <f>$A$1065+9</f>
        <v>247</v>
      </c>
      <c r="B1075" s="113" t="s">
        <v>586</v>
      </c>
      <c r="C1075" s="113" t="s">
        <v>92</v>
      </c>
      <c r="D1075" s="113"/>
      <c r="E1075" s="113"/>
      <c r="F1075" s="113" t="s">
        <v>576</v>
      </c>
      <c r="G1075" s="113" t="s">
        <v>406</v>
      </c>
      <c r="H1075" s="113"/>
      <c r="I1075" s="113"/>
      <c r="J1075" s="113" t="b">
        <f t="shared" si="161"/>
        <v>1</v>
      </c>
      <c r="K1075" s="113" t="b">
        <v>1</v>
      </c>
      <c r="L1075" s="113"/>
      <c r="M1075" s="113"/>
      <c r="N1075" s="113"/>
      <c r="O1075" s="113" t="str">
        <f t="shared" si="177"/>
        <v>$B$247</v>
      </c>
      <c r="P1075" s="113" t="str">
        <f t="shared" si="178"/>
        <v>$BK$247</v>
      </c>
      <c r="Q1075" s="113"/>
      <c r="R1075" s="113"/>
      <c r="S1075" s="113"/>
      <c r="T1075" s="113"/>
      <c r="U1075" s="113"/>
      <c r="V1075" s="113" t="s">
        <v>1342</v>
      </c>
      <c r="W1075" s="113"/>
      <c r="X1075" s="113"/>
      <c r="Y1075" s="113"/>
      <c r="Z1075" s="113"/>
      <c r="AA1075" s="113"/>
      <c r="AB1075" s="113"/>
      <c r="AC1075" s="113"/>
      <c r="AD1075" s="113"/>
      <c r="AE1075" s="113"/>
      <c r="AF1075" s="113"/>
      <c r="AG1075" s="113"/>
      <c r="AH1075" s="113"/>
      <c r="AI1075" s="113"/>
      <c r="AJ1075" s="113"/>
      <c r="AK1075" s="113"/>
      <c r="AL1075" s="113">
        <v>1</v>
      </c>
      <c r="AM1075" s="113"/>
      <c r="AN1075" s="113"/>
      <c r="AO1075" s="113"/>
      <c r="AP1075" s="113" t="b">
        <v>1</v>
      </c>
      <c r="AQ1075" s="132" t="s">
        <v>451</v>
      </c>
      <c r="AR1075" s="79" t="s">
        <v>1182</v>
      </c>
      <c r="AS1075" s="191">
        <f t="shared" ca="1" si="180"/>
        <v>0</v>
      </c>
      <c r="AT1075" s="274" t="str">
        <f ca="1">IFERROR(AS1075/AS1083,"-")</f>
        <v>-</v>
      </c>
      <c r="AU1075" s="191">
        <f ca="1">SUMIFS(IF(MasterSheet_f_FP_CfgGroup1R3_VS,IF(MasterSheet_f_FP_CfgGroup2R2_VS,ProgramudgifterC!$P:$P,ProgramudgifterC!$O:$O),IF(MasterSheet_f_FP_CfgGroup2R2_VS,ProjektudgifterC!$P:$P,ProjektudgifterC!$O:$O)),IF(MasterSheet_f_FP_CfgGroup1R3_VS,ProgramudgifterC!$E:$E,ProjektudgifterC!$E:$E),OFFSET(Businesscasen_f_BCM_subcat16_Table1_start,0,COLUMN()-COLUMN(Businesscasen_f_BCM_subcat16_Table1_start)),IF(MasterSheet_f_FP_CfgGroup1R3_VS,ProgramudgifterC!$C:$C,ProjektudgifterC!$C:$C),OFFSET(Businesscasen_f_BCM_subcat16_Table1_start,ROW()-ROW(Businesscasen_f_BCM_subcat16_Table1_start),1))/1000</f>
        <v>0</v>
      </c>
      <c r="AV1075" s="191">
        <f ca="1">SUMIFS(IF(MasterSheet_f_FP_CfgGroup1R3_VS,IF(MasterSheet_f_FP_CfgGroup2R2_VS,ProgramudgifterC!$P:$P,ProgramudgifterC!$O:$O),IF(MasterSheet_f_FP_CfgGroup2R2_VS,ProjektudgifterC!$P:$P,ProjektudgifterC!$O:$O)),IF(MasterSheet_f_FP_CfgGroup1R3_VS,ProgramudgifterC!$E:$E,ProjektudgifterC!$E:$E),OFFSET(Businesscasen_f_BCM_subcat16_Table1_start,0,COLUMN()-COLUMN(Businesscasen_f_BCM_subcat16_Table1_start)),IF(MasterSheet_f_FP_CfgGroup1R3_VS,ProgramudgifterC!$C:$C,ProjektudgifterC!$C:$C),OFFSET(Businesscasen_f_BCM_subcat16_Table1_start,ROW()-ROW(Businesscasen_f_BCM_subcat16_Table1_start),1))/1000</f>
        <v>0</v>
      </c>
      <c r="AW1075"/>
      <c r="AX1075"/>
      <c r="AY1075"/>
      <c r="AZ1075"/>
      <c r="BA1075"/>
      <c r="BB1075"/>
      <c r="BC1075"/>
      <c r="BD1075"/>
      <c r="BE1075"/>
      <c r="BF1075"/>
      <c r="BG1075"/>
      <c r="BH1075"/>
      <c r="BI1075"/>
      <c r="BJ1075"/>
      <c r="BK1075"/>
      <c r="BL1075"/>
      <c r="BM1075"/>
      <c r="BN1075"/>
      <c r="BO1075"/>
      <c r="BP1075"/>
      <c r="BQ1075"/>
      <c r="BR1075"/>
      <c r="BS1075"/>
      <c r="BT1075"/>
      <c r="BU1075"/>
      <c r="BV1075"/>
      <c r="BW1075"/>
      <c r="BX1075"/>
      <c r="BY1075"/>
      <c r="BZ1075"/>
      <c r="CA1075"/>
      <c r="CB1075"/>
      <c r="CC1075"/>
      <c r="CD1075"/>
      <c r="CE1075"/>
      <c r="CF1075"/>
      <c r="CG1075"/>
      <c r="CH1075"/>
      <c r="CI1075"/>
      <c r="CJ1075"/>
      <c r="CK1075"/>
      <c r="CL1075"/>
      <c r="CM1075"/>
      <c r="CN1075"/>
      <c r="CO1075"/>
      <c r="CP1075"/>
      <c r="CQ1075"/>
      <c r="CR1075"/>
      <c r="CS1075"/>
      <c r="CT1075"/>
      <c r="CU1075"/>
      <c r="CV1075"/>
      <c r="CW1075"/>
      <c r="CX1075"/>
      <c r="CY1075"/>
      <c r="CZ1075"/>
      <c r="DA1075"/>
      <c r="DB1075"/>
      <c r="DC1075"/>
      <c r="DD1075"/>
      <c r="DE1075"/>
      <c r="DF1075"/>
      <c r="DG1075"/>
      <c r="DH1075"/>
      <c r="DI1075"/>
      <c r="DJ1075"/>
      <c r="DK1075"/>
      <c r="DL1075"/>
      <c r="DM1075"/>
      <c r="DN1075"/>
      <c r="DO1075"/>
      <c r="DP1075"/>
      <c r="DQ1075"/>
      <c r="DR1075"/>
      <c r="DS1075"/>
      <c r="DT1075"/>
      <c r="DU1075"/>
      <c r="DV1075"/>
      <c r="DW1075"/>
      <c r="DX1075"/>
      <c r="DY1075"/>
      <c r="DZ1075"/>
      <c r="EA1075"/>
      <c r="EB1075"/>
      <c r="EC1075"/>
      <c r="ED1075"/>
      <c r="EE1075"/>
      <c r="EF1075"/>
      <c r="EG1075"/>
      <c r="EH1075"/>
      <c r="EI1075"/>
      <c r="EJ1075"/>
      <c r="EK1075"/>
      <c r="EL1075"/>
      <c r="EM1075"/>
      <c r="EN1075"/>
      <c r="EO1075"/>
      <c r="EP1075"/>
      <c r="EQ1075"/>
    </row>
    <row r="1076" spans="1:147" ht="16.5" customHeight="1" x14ac:dyDescent="0.25">
      <c r="A1076" s="113">
        <f>$A$1065+10</f>
        <v>248</v>
      </c>
      <c r="B1076" s="113" t="s">
        <v>587</v>
      </c>
      <c r="C1076" s="113" t="s">
        <v>92</v>
      </c>
      <c r="D1076" s="113"/>
      <c r="E1076" s="113"/>
      <c r="F1076" s="113" t="s">
        <v>576</v>
      </c>
      <c r="G1076" s="113" t="s">
        <v>406</v>
      </c>
      <c r="H1076" s="113"/>
      <c r="I1076" s="113"/>
      <c r="J1076" s="113" t="b">
        <f t="shared" si="161"/>
        <v>1</v>
      </c>
      <c r="K1076" s="113" t="b">
        <v>1</v>
      </c>
      <c r="L1076" s="113"/>
      <c r="M1076" s="113"/>
      <c r="N1076" s="113"/>
      <c r="O1076" s="113" t="str">
        <f t="shared" si="177"/>
        <v>$B$248</v>
      </c>
      <c r="P1076" s="113" t="str">
        <f t="shared" si="178"/>
        <v>$BK$248</v>
      </c>
      <c r="Q1076" s="113"/>
      <c r="R1076" s="113"/>
      <c r="S1076" s="113"/>
      <c r="T1076" s="113"/>
      <c r="U1076" s="113"/>
      <c r="V1076" s="113" t="s">
        <v>1342</v>
      </c>
      <c r="W1076" s="113"/>
      <c r="X1076" s="113"/>
      <c r="Y1076" s="113"/>
      <c r="Z1076" s="113"/>
      <c r="AA1076" s="113"/>
      <c r="AB1076" s="113"/>
      <c r="AC1076" s="113"/>
      <c r="AD1076" s="113"/>
      <c r="AE1076" s="113"/>
      <c r="AF1076" s="113"/>
      <c r="AG1076" s="113"/>
      <c r="AH1076" s="113"/>
      <c r="AI1076" s="113"/>
      <c r="AJ1076" s="113"/>
      <c r="AK1076" s="113"/>
      <c r="AL1076" s="113">
        <v>1</v>
      </c>
      <c r="AM1076" s="113"/>
      <c r="AN1076" s="113"/>
      <c r="AO1076" s="113"/>
      <c r="AP1076" s="113" t="b">
        <v>1</v>
      </c>
      <c r="AQ1076" s="132"/>
      <c r="AR1076" s="79"/>
      <c r="AS1076" s="191"/>
      <c r="AT1076" s="274"/>
      <c r="AU1076" s="191"/>
      <c r="AV1076" s="191"/>
      <c r="AW1076"/>
      <c r="AX1076"/>
      <c r="AY1076"/>
      <c r="AZ1076"/>
      <c r="BA1076"/>
      <c r="BB1076"/>
      <c r="BC1076"/>
      <c r="BD1076"/>
      <c r="BE1076"/>
      <c r="BF1076"/>
      <c r="BG1076"/>
      <c r="BH1076"/>
      <c r="BI1076"/>
      <c r="BJ1076"/>
      <c r="BK1076"/>
      <c r="BL1076"/>
      <c r="BM1076"/>
      <c r="BN1076"/>
      <c r="BO1076"/>
      <c r="BP1076"/>
      <c r="BQ1076"/>
      <c r="BR1076"/>
      <c r="BS1076"/>
      <c r="BT1076"/>
      <c r="BU1076"/>
      <c r="BV1076"/>
      <c r="BW1076"/>
      <c r="BX1076"/>
      <c r="BY1076"/>
      <c r="BZ1076"/>
      <c r="CA1076"/>
      <c r="CB1076"/>
      <c r="CC1076"/>
      <c r="CD1076"/>
      <c r="CE1076"/>
      <c r="CF1076"/>
      <c r="CG1076"/>
      <c r="CH1076"/>
      <c r="CI1076"/>
      <c r="CJ1076"/>
      <c r="CK1076"/>
      <c r="CL1076"/>
      <c r="CM1076"/>
      <c r="CN1076"/>
      <c r="CO1076"/>
      <c r="CP1076"/>
      <c r="CQ1076"/>
      <c r="CR1076"/>
      <c r="CS1076"/>
      <c r="CT1076"/>
      <c r="CU1076"/>
      <c r="CV1076"/>
      <c r="CW1076"/>
      <c r="CX1076"/>
      <c r="CY1076"/>
      <c r="CZ1076"/>
      <c r="DA1076"/>
      <c r="DB1076"/>
      <c r="DC1076"/>
      <c r="DD1076"/>
      <c r="DE1076"/>
      <c r="DF1076"/>
      <c r="DG1076"/>
      <c r="DH1076"/>
      <c r="DI1076"/>
      <c r="DJ1076"/>
      <c r="DK1076"/>
      <c r="DL1076"/>
      <c r="DM1076"/>
      <c r="DN1076"/>
      <c r="DO1076"/>
      <c r="DP1076"/>
      <c r="DQ1076"/>
      <c r="DR1076"/>
      <c r="DS1076"/>
      <c r="DT1076"/>
      <c r="DU1076"/>
      <c r="DV1076"/>
      <c r="DW1076"/>
      <c r="DX1076"/>
      <c r="DY1076"/>
      <c r="DZ1076"/>
      <c r="EA1076"/>
      <c r="EB1076"/>
      <c r="EC1076"/>
      <c r="ED1076"/>
      <c r="EE1076"/>
      <c r="EF1076"/>
      <c r="EG1076"/>
      <c r="EH1076"/>
      <c r="EI1076"/>
      <c r="EJ1076"/>
      <c r="EK1076"/>
      <c r="EL1076"/>
      <c r="EM1076"/>
      <c r="EN1076"/>
      <c r="EO1076"/>
      <c r="EP1076"/>
      <c r="EQ1076"/>
    </row>
    <row r="1077" spans="1:147" ht="16.5" customHeight="1" x14ac:dyDescent="0.25">
      <c r="A1077" s="113">
        <f>$A$1065+11</f>
        <v>249</v>
      </c>
      <c r="B1077" s="113" t="s">
        <v>588</v>
      </c>
      <c r="C1077" s="113" t="s">
        <v>92</v>
      </c>
      <c r="D1077" s="113"/>
      <c r="E1077" s="113"/>
      <c r="F1077" s="113" t="s">
        <v>576</v>
      </c>
      <c r="G1077" s="113" t="s">
        <v>406</v>
      </c>
      <c r="H1077" s="113"/>
      <c r="I1077" s="113"/>
      <c r="J1077" s="113" t="b">
        <f t="shared" si="161"/>
        <v>1</v>
      </c>
      <c r="K1077" s="113" t="b">
        <v>1</v>
      </c>
      <c r="L1077" s="113"/>
      <c r="M1077" s="113"/>
      <c r="N1077" s="113"/>
      <c r="O1077" s="113" t="str">
        <f t="shared" si="177"/>
        <v>$B$249</v>
      </c>
      <c r="P1077" s="113" t="str">
        <f t="shared" si="178"/>
        <v>$BK$249</v>
      </c>
      <c r="Q1077" s="113"/>
      <c r="R1077" s="113"/>
      <c r="S1077" s="113"/>
      <c r="T1077" s="113"/>
      <c r="U1077" s="113"/>
      <c r="V1077" s="113" t="s">
        <v>1342</v>
      </c>
      <c r="W1077" s="113"/>
      <c r="X1077" s="113"/>
      <c r="Y1077" s="113"/>
      <c r="Z1077" s="113"/>
      <c r="AA1077" s="113"/>
      <c r="AB1077" s="113"/>
      <c r="AC1077" s="113"/>
      <c r="AD1077" s="113"/>
      <c r="AE1077" s="113"/>
      <c r="AF1077" s="113"/>
      <c r="AG1077" s="113"/>
      <c r="AH1077" s="113"/>
      <c r="AI1077" s="113"/>
      <c r="AJ1077" s="113"/>
      <c r="AK1077" s="113"/>
      <c r="AL1077" s="113">
        <v>1</v>
      </c>
      <c r="AM1077" s="113"/>
      <c r="AN1077" s="113"/>
      <c r="AO1077" s="113"/>
      <c r="AP1077" s="113" t="b">
        <v>1</v>
      </c>
      <c r="AQ1077" s="161" t="s">
        <v>452</v>
      </c>
      <c r="AR1077" s="80"/>
      <c r="AS1077" s="191">
        <f ca="1">SUM(AU1077:CZ1077)</f>
        <v>0</v>
      </c>
      <c r="AT1077" s="274" t="str">
        <f ca="1">IFERROR(AS1077/AS1083,"-")</f>
        <v>-</v>
      </c>
      <c r="AU1077" s="191">
        <f ca="1">SUM(AU1078:AU1081)</f>
        <v>0</v>
      </c>
      <c r="AV1077" s="191">
        <f t="shared" ref="AV1077" ca="1" si="182">SUM(AV1078:AV1081)</f>
        <v>0</v>
      </c>
      <c r="AW1077"/>
      <c r="AX1077"/>
      <c r="AY1077"/>
      <c r="AZ1077"/>
      <c r="BA1077"/>
      <c r="BB1077"/>
      <c r="BC1077"/>
      <c r="BD1077"/>
      <c r="BE1077"/>
      <c r="BF1077"/>
      <c r="BG1077"/>
      <c r="BH1077"/>
      <c r="BI1077"/>
      <c r="BJ1077"/>
      <c r="BK1077"/>
      <c r="BL1077"/>
      <c r="BM1077"/>
      <c r="BN1077"/>
      <c r="BO1077"/>
      <c r="BP1077"/>
      <c r="BQ1077"/>
      <c r="BR1077"/>
      <c r="BS1077"/>
      <c r="BT1077"/>
      <c r="BU1077"/>
      <c r="BV1077"/>
      <c r="BW1077"/>
      <c r="BX1077"/>
      <c r="BY1077"/>
      <c r="BZ1077"/>
      <c r="CA1077"/>
      <c r="CB1077"/>
      <c r="CC1077"/>
      <c r="CD1077"/>
      <c r="CE1077"/>
      <c r="CF1077"/>
      <c r="CG1077"/>
      <c r="CH1077"/>
      <c r="CI1077"/>
      <c r="CJ1077"/>
      <c r="CK1077"/>
      <c r="CL1077"/>
      <c r="CM1077"/>
      <c r="CN1077"/>
      <c r="CO1077"/>
      <c r="CP1077"/>
      <c r="CQ1077"/>
      <c r="CR1077"/>
      <c r="CS1077"/>
      <c r="CT1077"/>
      <c r="CU1077"/>
      <c r="CV1077"/>
      <c r="CW1077"/>
      <c r="CX1077"/>
      <c r="CY1077"/>
      <c r="CZ1077"/>
      <c r="DA1077"/>
      <c r="DB1077"/>
      <c r="DC1077"/>
      <c r="DD1077"/>
      <c r="DE1077"/>
      <c r="DF1077"/>
      <c r="DG1077"/>
      <c r="DH1077"/>
      <c r="DI1077"/>
      <c r="DJ1077"/>
      <c r="DK1077"/>
      <c r="DL1077"/>
      <c r="DM1077"/>
      <c r="DN1077"/>
      <c r="DO1077"/>
      <c r="DP1077"/>
      <c r="DQ1077"/>
      <c r="DR1077"/>
      <c r="DS1077"/>
      <c r="DT1077"/>
      <c r="DU1077"/>
      <c r="DV1077"/>
      <c r="DW1077"/>
      <c r="DX1077"/>
      <c r="DY1077"/>
      <c r="DZ1077"/>
      <c r="EA1077"/>
      <c r="EB1077"/>
      <c r="EC1077"/>
      <c r="ED1077"/>
      <c r="EE1077"/>
      <c r="EF1077"/>
      <c r="EG1077"/>
      <c r="EH1077"/>
      <c r="EI1077"/>
      <c r="EJ1077"/>
      <c r="EK1077"/>
      <c r="EL1077"/>
      <c r="EM1077"/>
      <c r="EN1077"/>
      <c r="EO1077"/>
      <c r="EP1077"/>
      <c r="EQ1077"/>
    </row>
    <row r="1078" spans="1:147" ht="16.5" customHeight="1" x14ac:dyDescent="0.25">
      <c r="A1078" s="113">
        <f>$A$1065+12</f>
        <v>250</v>
      </c>
      <c r="B1078" s="113" t="s">
        <v>589</v>
      </c>
      <c r="C1078" s="113" t="s">
        <v>92</v>
      </c>
      <c r="D1078" s="113"/>
      <c r="E1078" s="113"/>
      <c r="F1078" s="113" t="s">
        <v>576</v>
      </c>
      <c r="G1078" s="113" t="s">
        <v>406</v>
      </c>
      <c r="H1078" s="113"/>
      <c r="I1078" s="113"/>
      <c r="J1078" s="113" t="b">
        <f t="shared" si="161"/>
        <v>1</v>
      </c>
      <c r="K1078" s="113" t="b">
        <v>1</v>
      </c>
      <c r="L1078" s="113"/>
      <c r="M1078" s="113"/>
      <c r="N1078" s="113"/>
      <c r="O1078" s="113" t="str">
        <f t="shared" si="177"/>
        <v>$B$250</v>
      </c>
      <c r="P1078" s="113" t="str">
        <f t="shared" si="178"/>
        <v>$BK$250</v>
      </c>
      <c r="Q1078" s="113"/>
      <c r="R1078" s="113"/>
      <c r="S1078" s="113"/>
      <c r="T1078" s="113"/>
      <c r="U1078" s="113"/>
      <c r="V1078" s="113" t="s">
        <v>1342</v>
      </c>
      <c r="W1078" s="113"/>
      <c r="X1078" s="113"/>
      <c r="Y1078" s="113"/>
      <c r="Z1078" s="113"/>
      <c r="AA1078" s="113"/>
      <c r="AB1078" s="113"/>
      <c r="AC1078" s="113"/>
      <c r="AD1078" s="113"/>
      <c r="AE1078" s="113"/>
      <c r="AF1078" s="113"/>
      <c r="AG1078" s="113"/>
      <c r="AH1078" s="113"/>
      <c r="AI1078" s="113"/>
      <c r="AJ1078" s="113"/>
      <c r="AK1078" s="113"/>
      <c r="AL1078" s="113">
        <v>1</v>
      </c>
      <c r="AM1078" s="113"/>
      <c r="AN1078" s="113"/>
      <c r="AO1078" s="113"/>
      <c r="AP1078" s="113" t="b">
        <v>1</v>
      </c>
      <c r="AQ1078" s="132" t="s">
        <v>635</v>
      </c>
      <c r="AR1078" s="79" t="s">
        <v>1183</v>
      </c>
      <c r="AS1078" s="191">
        <f ca="1">SUM(AU1078:CZ1078)</f>
        <v>0</v>
      </c>
      <c r="AT1078" s="274" t="str">
        <f ca="1">IFERROR(AS1078/AS1083,"-")</f>
        <v>-</v>
      </c>
      <c r="AU1078" s="191">
        <f ca="1">SUMIFS(IF(MasterSheet_f_FP_CfgGroup1R3_VS,IF(MasterSheet_f_FP_CfgGroup2R2_VS,ProgramudgifterC!$P:$P,ProgramudgifterC!$O:$O),IF(MasterSheet_f_FP_CfgGroup2R2_VS,ProjektudgifterC!$P:$P,ProjektudgifterC!$O:$O)),IF(MasterSheet_f_FP_CfgGroup1R3_VS,ProgramudgifterC!$E:$E,ProjektudgifterC!$E:$E),OFFSET(Businesscasen_f_BCM_subcat16_Table1_start,0,COLUMN()-COLUMN(Businesscasen_f_BCM_subcat16_Table1_start)),IF(MasterSheet_f_FP_CfgGroup1R3_VS,ProgramudgifterC!$C:$C,ProjektudgifterC!$C:$C),OFFSET(Businesscasen_f_BCM_subcat16_Table1_start,ROW()-ROW(Businesscasen_f_BCM_subcat16_Table1_start),1))/1000</f>
        <v>0</v>
      </c>
      <c r="AV1078" s="191">
        <f ca="1">SUMIFS(IF(MasterSheet_f_FP_CfgGroup1R3_VS,IF(MasterSheet_f_FP_CfgGroup2R2_VS,ProgramudgifterC!$P:$P,ProgramudgifterC!$O:$O),IF(MasterSheet_f_FP_CfgGroup2R2_VS,ProjektudgifterC!$P:$P,ProjektudgifterC!$O:$O)),IF(MasterSheet_f_FP_CfgGroup1R3_VS,ProgramudgifterC!$E:$E,ProjektudgifterC!$E:$E),OFFSET(Businesscasen_f_BCM_subcat16_Table1_start,0,COLUMN()-COLUMN(Businesscasen_f_BCM_subcat16_Table1_start)),IF(MasterSheet_f_FP_CfgGroup1R3_VS,ProgramudgifterC!$C:$C,ProjektudgifterC!$C:$C),OFFSET(Businesscasen_f_BCM_subcat16_Table1_start,ROW()-ROW(Businesscasen_f_BCM_subcat16_Table1_start),1))/1000</f>
        <v>0</v>
      </c>
      <c r="AW1078"/>
      <c r="AX1078"/>
      <c r="AY1078"/>
      <c r="AZ1078"/>
      <c r="BA1078"/>
      <c r="BB1078"/>
      <c r="BC1078"/>
      <c r="BD1078"/>
      <c r="BE1078"/>
      <c r="BF1078"/>
      <c r="BG1078"/>
      <c r="BH1078"/>
      <c r="BI1078"/>
      <c r="BJ1078"/>
      <c r="BK1078"/>
      <c r="BL1078"/>
      <c r="BM1078"/>
      <c r="BN1078"/>
      <c r="BO1078"/>
      <c r="BP1078"/>
      <c r="BQ1078"/>
      <c r="BR1078"/>
      <c r="BS1078"/>
      <c r="BT1078"/>
      <c r="BU1078"/>
      <c r="BV1078"/>
      <c r="BW1078"/>
      <c r="BX1078"/>
      <c r="BY1078"/>
      <c r="BZ1078"/>
      <c r="CA1078"/>
      <c r="CB1078"/>
      <c r="CC1078"/>
      <c r="CD1078"/>
      <c r="CE1078"/>
      <c r="CF1078"/>
      <c r="CG1078"/>
      <c r="CH1078"/>
      <c r="CI1078"/>
      <c r="CJ1078"/>
      <c r="CK1078"/>
      <c r="CL1078"/>
      <c r="CM1078"/>
      <c r="CN1078"/>
      <c r="CO1078"/>
      <c r="CP1078"/>
      <c r="CQ1078"/>
      <c r="CR1078"/>
      <c r="CS1078"/>
      <c r="CT1078"/>
      <c r="CU1078"/>
      <c r="CV1078"/>
      <c r="CW1078"/>
      <c r="CX1078"/>
      <c r="CY1078"/>
      <c r="CZ1078"/>
      <c r="DA1078"/>
      <c r="DB1078"/>
      <c r="DC1078"/>
      <c r="DD1078"/>
      <c r="DE1078"/>
      <c r="DF1078"/>
      <c r="DG1078"/>
      <c r="DH1078"/>
      <c r="DI1078"/>
      <c r="DJ1078"/>
      <c r="DK1078"/>
      <c r="DL1078"/>
      <c r="DM1078"/>
      <c r="DN1078"/>
      <c r="DO1078"/>
      <c r="DP1078"/>
      <c r="DQ1078"/>
      <c r="DR1078"/>
      <c r="DS1078"/>
      <c r="DT1078"/>
      <c r="DU1078"/>
      <c r="DV1078"/>
      <c r="DW1078"/>
      <c r="DX1078"/>
      <c r="DY1078"/>
      <c r="DZ1078"/>
      <c r="EA1078"/>
      <c r="EB1078"/>
      <c r="EC1078"/>
      <c r="ED1078"/>
      <c r="EE1078"/>
      <c r="EF1078"/>
      <c r="EG1078"/>
      <c r="EH1078"/>
      <c r="EI1078"/>
      <c r="EJ1078"/>
      <c r="EK1078"/>
      <c r="EL1078"/>
      <c r="EM1078"/>
      <c r="EN1078"/>
      <c r="EO1078"/>
      <c r="EP1078"/>
      <c r="EQ1078"/>
    </row>
    <row r="1079" spans="1:147" ht="16.5" customHeight="1" x14ac:dyDescent="0.25">
      <c r="A1079" s="113">
        <f>$A$1065+13</f>
        <v>251</v>
      </c>
      <c r="B1079" s="113" t="s">
        <v>590</v>
      </c>
      <c r="C1079" s="113" t="s">
        <v>92</v>
      </c>
      <c r="D1079" s="113"/>
      <c r="E1079" s="113"/>
      <c r="F1079" s="113" t="s">
        <v>576</v>
      </c>
      <c r="G1079" s="113" t="s">
        <v>406</v>
      </c>
      <c r="H1079" s="113"/>
      <c r="I1079" s="113"/>
      <c r="J1079" s="113" t="b">
        <f t="shared" si="161"/>
        <v>1</v>
      </c>
      <c r="K1079" s="113" t="b">
        <v>1</v>
      </c>
      <c r="L1079" s="113"/>
      <c r="M1079" s="113"/>
      <c r="N1079" s="113"/>
      <c r="O1079" s="113" t="str">
        <f t="shared" si="177"/>
        <v>$B$251</v>
      </c>
      <c r="P1079" s="113" t="str">
        <f t="shared" si="178"/>
        <v>$BK$251</v>
      </c>
      <c r="Q1079" s="113"/>
      <c r="R1079" s="113"/>
      <c r="S1079" s="113"/>
      <c r="T1079" s="113"/>
      <c r="U1079" s="113"/>
      <c r="V1079" s="113" t="s">
        <v>1342</v>
      </c>
      <c r="W1079" s="113"/>
      <c r="X1079" s="113"/>
      <c r="Y1079" s="113"/>
      <c r="Z1079" s="113"/>
      <c r="AA1079" s="113"/>
      <c r="AB1079" s="113"/>
      <c r="AC1079" s="113"/>
      <c r="AD1079" s="113"/>
      <c r="AE1079" s="113"/>
      <c r="AF1079" s="113"/>
      <c r="AG1079" s="113"/>
      <c r="AH1079" s="113"/>
      <c r="AI1079" s="113"/>
      <c r="AJ1079" s="113"/>
      <c r="AK1079" s="113"/>
      <c r="AL1079" s="113">
        <v>1</v>
      </c>
      <c r="AM1079" s="113"/>
      <c r="AN1079" s="113"/>
      <c r="AO1079" s="113"/>
      <c r="AP1079" s="113" t="b">
        <v>1</v>
      </c>
      <c r="AQ1079" s="132" t="s">
        <v>84</v>
      </c>
      <c r="AR1079" s="79" t="s">
        <v>84</v>
      </c>
      <c r="AS1079" s="191">
        <f ca="1">SUM(AU1079:CZ1079)</f>
        <v>0</v>
      </c>
      <c r="AT1079" s="274" t="str">
        <f ca="1">IFERROR(AS1079/AS1083,"-")</f>
        <v>-</v>
      </c>
      <c r="AU1079" s="191">
        <f ca="1">SUMIFS(IF(MasterSheet_f_FP_CfgGroup1R3_VS,IF(MasterSheet_f_FP_CfgGroup2R2_VS,ProgramudgifterC!$P:$P,ProgramudgifterC!$O:$O),IF(MasterSheet_f_FP_CfgGroup2R2_VS,ProjektudgifterC!$P:$P,ProjektudgifterC!$O:$O)),IF(MasterSheet_f_FP_CfgGroup1R3_VS,ProgramudgifterC!$E:$E,ProjektudgifterC!$E:$E),OFFSET(Businesscasen_f_BCM_subcat16_Table1_start,0,COLUMN()-COLUMN(Businesscasen_f_BCM_subcat16_Table1_start)),IF(MasterSheet_f_FP_CfgGroup1R3_VS,ProgramudgifterC!$C:$C,ProjektudgifterC!$C:$C),OFFSET(Businesscasen_f_BCM_subcat16_Table1_start,ROW()-ROW(Businesscasen_f_BCM_subcat16_Table1_start),1))/1000</f>
        <v>0</v>
      </c>
      <c r="AV1079" s="191">
        <f ca="1">SUMIFS(IF(MasterSheet_f_FP_CfgGroup1R3_VS,IF(MasterSheet_f_FP_CfgGroup2R2_VS,ProgramudgifterC!$P:$P,ProgramudgifterC!$O:$O),IF(MasterSheet_f_FP_CfgGroup2R2_VS,ProjektudgifterC!$P:$P,ProjektudgifterC!$O:$O)),IF(MasterSheet_f_FP_CfgGroup1R3_VS,ProgramudgifterC!$E:$E,ProjektudgifterC!$E:$E),OFFSET(Businesscasen_f_BCM_subcat16_Table1_start,0,COLUMN()-COLUMN(Businesscasen_f_BCM_subcat16_Table1_start)),IF(MasterSheet_f_FP_CfgGroup1R3_VS,ProgramudgifterC!$C:$C,ProjektudgifterC!$C:$C),OFFSET(Businesscasen_f_BCM_subcat16_Table1_start,ROW()-ROW(Businesscasen_f_BCM_subcat16_Table1_start),1))/1000</f>
        <v>0</v>
      </c>
      <c r="AW1079"/>
      <c r="AX1079"/>
      <c r="AY1079"/>
      <c r="AZ1079"/>
      <c r="BA1079"/>
      <c r="BB1079"/>
      <c r="BC1079"/>
      <c r="BD1079"/>
      <c r="BE1079"/>
      <c r="BF1079"/>
      <c r="BG1079"/>
      <c r="BH1079"/>
      <c r="BI1079"/>
      <c r="BJ1079"/>
      <c r="BK1079"/>
      <c r="BL1079"/>
      <c r="BM1079"/>
      <c r="BN1079"/>
      <c r="BO1079"/>
      <c r="BP1079"/>
      <c r="BQ1079"/>
      <c r="BR1079"/>
      <c r="BS1079"/>
      <c r="BT1079"/>
      <c r="BU1079"/>
      <c r="BV1079"/>
      <c r="BW1079"/>
      <c r="BX1079"/>
      <c r="BY1079"/>
      <c r="BZ1079"/>
      <c r="CA1079"/>
      <c r="CB1079"/>
      <c r="CC1079"/>
      <c r="CD1079"/>
      <c r="CE1079"/>
      <c r="CF1079"/>
      <c r="CG1079"/>
      <c r="CH1079"/>
      <c r="CI1079"/>
      <c r="CJ1079"/>
      <c r="CK1079"/>
      <c r="CL1079"/>
      <c r="CM1079"/>
      <c r="CN1079"/>
      <c r="CO1079"/>
      <c r="CP1079"/>
      <c r="CQ1079"/>
      <c r="CR1079"/>
      <c r="CS1079"/>
      <c r="CT1079"/>
      <c r="CU1079"/>
      <c r="CV1079"/>
      <c r="CW1079"/>
      <c r="CX1079"/>
      <c r="CY1079"/>
      <c r="CZ1079"/>
      <c r="DA1079"/>
      <c r="DB1079"/>
      <c r="DC1079"/>
      <c r="DD1079"/>
      <c r="DE1079"/>
      <c r="DF1079"/>
      <c r="DG1079"/>
      <c r="DH1079"/>
      <c r="DI1079"/>
      <c r="DJ1079"/>
      <c r="DK1079"/>
      <c r="DL1079"/>
      <c r="DM1079"/>
      <c r="DN1079"/>
      <c r="DO1079"/>
      <c r="DP1079"/>
      <c r="DQ1079"/>
      <c r="DR1079"/>
      <c r="DS1079"/>
      <c r="DT1079"/>
      <c r="DU1079"/>
      <c r="DV1079"/>
      <c r="DW1079"/>
      <c r="DX1079"/>
      <c r="DY1079"/>
      <c r="DZ1079"/>
      <c r="EA1079"/>
      <c r="EB1079"/>
      <c r="EC1079"/>
      <c r="ED1079"/>
      <c r="EE1079"/>
      <c r="EF1079"/>
      <c r="EG1079"/>
      <c r="EH1079"/>
      <c r="EI1079"/>
      <c r="EJ1079"/>
      <c r="EK1079"/>
      <c r="EL1079"/>
      <c r="EM1079"/>
      <c r="EN1079"/>
      <c r="EO1079"/>
      <c r="EP1079"/>
      <c r="EQ1079"/>
    </row>
    <row r="1080" spans="1:147" ht="16.5" customHeight="1" x14ac:dyDescent="0.25">
      <c r="A1080" s="113">
        <f>$A$1065+14</f>
        <v>252</v>
      </c>
      <c r="B1080" s="113" t="s">
        <v>591</v>
      </c>
      <c r="C1080" s="113" t="s">
        <v>92</v>
      </c>
      <c r="D1080" s="113"/>
      <c r="E1080" s="113"/>
      <c r="F1080" s="113" t="s">
        <v>576</v>
      </c>
      <c r="G1080" s="113" t="s">
        <v>406</v>
      </c>
      <c r="H1080" s="113"/>
      <c r="I1080" s="113"/>
      <c r="J1080" s="113" t="b">
        <f t="shared" si="161"/>
        <v>1</v>
      </c>
      <c r="K1080" s="113" t="b">
        <v>1</v>
      </c>
      <c r="L1080" s="113"/>
      <c r="M1080" s="113"/>
      <c r="N1080" s="113"/>
      <c r="O1080" s="113" t="str">
        <f t="shared" si="177"/>
        <v>$B$252</v>
      </c>
      <c r="P1080" s="113" t="str">
        <f t="shared" si="178"/>
        <v>$BK$252</v>
      </c>
      <c r="Q1080" s="113"/>
      <c r="R1080" s="113"/>
      <c r="S1080" s="113"/>
      <c r="T1080" s="113"/>
      <c r="U1080" s="113"/>
      <c r="V1080" s="113" t="s">
        <v>1342</v>
      </c>
      <c r="W1080" s="113"/>
      <c r="X1080" s="113"/>
      <c r="Y1080" s="113"/>
      <c r="Z1080" s="113"/>
      <c r="AA1080" s="113"/>
      <c r="AB1080" s="113"/>
      <c r="AC1080" s="113"/>
      <c r="AD1080" s="113"/>
      <c r="AE1080" s="113"/>
      <c r="AF1080" s="113"/>
      <c r="AG1080" s="113"/>
      <c r="AH1080" s="113"/>
      <c r="AI1080" s="113"/>
      <c r="AJ1080" s="113"/>
      <c r="AK1080" s="113"/>
      <c r="AL1080" s="113">
        <v>1</v>
      </c>
      <c r="AM1080" s="113"/>
      <c r="AN1080" s="113"/>
      <c r="AO1080" s="113"/>
      <c r="AP1080" s="113" t="b">
        <v>1</v>
      </c>
      <c r="AQ1080" s="132" t="s">
        <v>85</v>
      </c>
      <c r="AR1080" s="79" t="s">
        <v>85</v>
      </c>
      <c r="AS1080" s="191">
        <f ca="1">SUM(AU1080:CZ1080)</f>
        <v>0</v>
      </c>
      <c r="AT1080" s="274" t="str">
        <f ca="1">IFERROR(AS1080/AS1083,"-")</f>
        <v>-</v>
      </c>
      <c r="AU1080" s="191">
        <f ca="1">SUMIFS(IF(MasterSheet_f_FP_CfgGroup1R3_VS,IF(MasterSheet_f_FP_CfgGroup2R2_VS,ProgramudgifterC!$P:$P,ProgramudgifterC!$O:$O),IF(MasterSheet_f_FP_CfgGroup2R2_VS,ProjektudgifterC!$P:$P,ProjektudgifterC!$O:$O)),IF(MasterSheet_f_FP_CfgGroup1R3_VS,ProgramudgifterC!$E:$E,ProjektudgifterC!$E:$E),OFFSET(Businesscasen_f_BCM_subcat16_Table1_start,0,COLUMN()-COLUMN(Businesscasen_f_BCM_subcat16_Table1_start)),IF(MasterSheet_f_FP_CfgGroup1R3_VS,ProgramudgifterC!$C:$C,ProjektudgifterC!$C:$C),OFFSET(Businesscasen_f_BCM_subcat16_Table1_start,ROW()-ROW(Businesscasen_f_BCM_subcat16_Table1_start),1))/1000</f>
        <v>0</v>
      </c>
      <c r="AV1080" s="191">
        <f ca="1">SUMIFS(IF(MasterSheet_f_FP_CfgGroup1R3_VS,IF(MasterSheet_f_FP_CfgGroup2R2_VS,ProgramudgifterC!$P:$P,ProgramudgifterC!$O:$O),IF(MasterSheet_f_FP_CfgGroup2R2_VS,ProjektudgifterC!$P:$P,ProjektudgifterC!$O:$O)),IF(MasterSheet_f_FP_CfgGroup1R3_VS,ProgramudgifterC!$E:$E,ProjektudgifterC!$E:$E),OFFSET(Businesscasen_f_BCM_subcat16_Table1_start,0,COLUMN()-COLUMN(Businesscasen_f_BCM_subcat16_Table1_start)),IF(MasterSheet_f_FP_CfgGroup1R3_VS,ProgramudgifterC!$C:$C,ProjektudgifterC!$C:$C),OFFSET(Businesscasen_f_BCM_subcat16_Table1_start,ROW()-ROW(Businesscasen_f_BCM_subcat16_Table1_start),1))/1000</f>
        <v>0</v>
      </c>
      <c r="AW1080"/>
      <c r="AX1080"/>
      <c r="AY1080"/>
      <c r="AZ1080"/>
      <c r="BA1080"/>
      <c r="BB1080"/>
      <c r="BC1080"/>
      <c r="BD1080"/>
      <c r="BE1080"/>
      <c r="BF1080"/>
      <c r="BG1080"/>
      <c r="BH1080"/>
      <c r="BI1080"/>
      <c r="BJ1080"/>
      <c r="BK1080"/>
      <c r="BL1080"/>
      <c r="BM1080"/>
      <c r="BN1080"/>
      <c r="BO1080"/>
      <c r="BP1080"/>
      <c r="BQ1080"/>
      <c r="BR1080"/>
      <c r="BS1080"/>
      <c r="BT1080"/>
      <c r="BU1080"/>
      <c r="BV1080"/>
      <c r="BW1080"/>
      <c r="BX1080"/>
      <c r="BY1080"/>
      <c r="BZ1080"/>
      <c r="CA1080"/>
      <c r="CB1080"/>
      <c r="CC1080"/>
      <c r="CD1080"/>
      <c r="CE1080"/>
      <c r="CF1080"/>
      <c r="CG1080"/>
      <c r="CH1080"/>
      <c r="CI1080"/>
      <c r="CJ1080"/>
      <c r="CK1080"/>
      <c r="CL1080"/>
      <c r="CM1080"/>
      <c r="CN1080"/>
      <c r="CO1080"/>
      <c r="CP1080"/>
      <c r="CQ1080"/>
      <c r="CR1080"/>
      <c r="CS1080"/>
      <c r="CT1080"/>
      <c r="CU1080"/>
      <c r="CV1080"/>
      <c r="CW1080"/>
      <c r="CX1080"/>
      <c r="CY1080"/>
      <c r="CZ1080"/>
      <c r="DA1080"/>
      <c r="DB1080"/>
      <c r="DC1080"/>
      <c r="DD1080"/>
      <c r="DE1080"/>
      <c r="DF1080"/>
      <c r="DG1080"/>
      <c r="DH1080"/>
      <c r="DI1080"/>
      <c r="DJ1080"/>
      <c r="DK1080"/>
      <c r="DL1080"/>
      <c r="DM1080"/>
      <c r="DN1080"/>
      <c r="DO1080"/>
      <c r="DP1080"/>
      <c r="DQ1080"/>
      <c r="DR1080"/>
      <c r="DS1080"/>
      <c r="DT1080"/>
      <c r="DU1080"/>
      <c r="DV1080"/>
      <c r="DW1080"/>
      <c r="DX1080"/>
      <c r="DY1080"/>
      <c r="DZ1080"/>
      <c r="EA1080"/>
      <c r="EB1080"/>
      <c r="EC1080"/>
      <c r="ED1080"/>
      <c r="EE1080"/>
      <c r="EF1080"/>
      <c r="EG1080"/>
      <c r="EH1080"/>
      <c r="EI1080"/>
      <c r="EJ1080"/>
      <c r="EK1080"/>
      <c r="EL1080"/>
      <c r="EM1080"/>
      <c r="EN1080"/>
      <c r="EO1080"/>
      <c r="EP1080"/>
      <c r="EQ1080"/>
    </row>
    <row r="1081" spans="1:147" ht="16.5" customHeight="1" x14ac:dyDescent="0.25">
      <c r="A1081" s="113">
        <f>$A$1065+15</f>
        <v>253</v>
      </c>
      <c r="B1081" s="113" t="s">
        <v>592</v>
      </c>
      <c r="C1081" s="113" t="s">
        <v>92</v>
      </c>
      <c r="D1081" s="113"/>
      <c r="E1081" s="113"/>
      <c r="F1081" s="113" t="s">
        <v>576</v>
      </c>
      <c r="G1081" s="113" t="s">
        <v>406</v>
      </c>
      <c r="H1081" s="113"/>
      <c r="I1081" s="113"/>
      <c r="J1081" s="113" t="b">
        <f t="shared" si="161"/>
        <v>1</v>
      </c>
      <c r="K1081" s="113" t="b">
        <v>1</v>
      </c>
      <c r="L1081" s="113"/>
      <c r="M1081" s="113"/>
      <c r="N1081" s="113"/>
      <c r="O1081" s="113" t="str">
        <f t="shared" si="177"/>
        <v>$B$253</v>
      </c>
      <c r="P1081" s="113" t="str">
        <f t="shared" si="178"/>
        <v>$BK$253</v>
      </c>
      <c r="Q1081" s="113"/>
      <c r="R1081" s="113"/>
      <c r="S1081" s="113"/>
      <c r="T1081" s="113"/>
      <c r="U1081" s="113"/>
      <c r="V1081" s="113" t="s">
        <v>1342</v>
      </c>
      <c r="W1081" s="113"/>
      <c r="X1081" s="113"/>
      <c r="Y1081" s="113"/>
      <c r="Z1081" s="113"/>
      <c r="AA1081" s="113"/>
      <c r="AB1081" s="113"/>
      <c r="AC1081" s="113"/>
      <c r="AD1081" s="113"/>
      <c r="AE1081" s="113"/>
      <c r="AF1081" s="113"/>
      <c r="AG1081" s="113"/>
      <c r="AH1081" s="113"/>
      <c r="AI1081" s="113"/>
      <c r="AJ1081" s="113"/>
      <c r="AK1081" s="113"/>
      <c r="AL1081" s="113">
        <v>1</v>
      </c>
      <c r="AM1081" s="113"/>
      <c r="AN1081" s="113"/>
      <c r="AO1081" s="113"/>
      <c r="AP1081" s="113" t="b">
        <v>1</v>
      </c>
      <c r="AQ1081" s="132" t="s">
        <v>86</v>
      </c>
      <c r="AR1081" s="79" t="s">
        <v>86</v>
      </c>
      <c r="AS1081" s="191">
        <f ca="1">SUM(AU1081:CZ1081)</f>
        <v>0</v>
      </c>
      <c r="AT1081" s="274" t="str">
        <f ca="1">IFERROR(AS1081/AS1083,"-")</f>
        <v>-</v>
      </c>
      <c r="AU1081" s="191">
        <f ca="1">SUMIFS(IF(MasterSheet_f_FP_CfgGroup1R3_VS,IF(MasterSheet_f_FP_CfgGroup2R2_VS,ProgramudgifterC!$P:$P,ProgramudgifterC!$O:$O),IF(MasterSheet_f_FP_CfgGroup2R2_VS,ProjektudgifterC!$P:$P,ProjektudgifterC!$O:$O)),IF(MasterSheet_f_FP_CfgGroup1R3_VS,ProgramudgifterC!$E:$E,ProjektudgifterC!$E:$E),OFFSET(Businesscasen_f_BCM_subcat16_Table1_start,0,COLUMN()-COLUMN(Businesscasen_f_BCM_subcat16_Table1_start)),IF(MasterSheet_f_FP_CfgGroup1R3_VS,ProgramudgifterC!$C:$C,ProjektudgifterC!$C:$C),OFFSET(Businesscasen_f_BCM_subcat16_Table1_start,ROW()-ROW(Businesscasen_f_BCM_subcat16_Table1_start),1))/1000</f>
        <v>0</v>
      </c>
      <c r="AV1081" s="191">
        <f ca="1">SUMIFS(IF(MasterSheet_f_FP_CfgGroup1R3_VS,IF(MasterSheet_f_FP_CfgGroup2R2_VS,ProgramudgifterC!$P:$P,ProgramudgifterC!$O:$O),IF(MasterSheet_f_FP_CfgGroup2R2_VS,ProjektudgifterC!$P:$P,ProjektudgifterC!$O:$O)),IF(MasterSheet_f_FP_CfgGroup1R3_VS,ProgramudgifterC!$E:$E,ProjektudgifterC!$E:$E),OFFSET(Businesscasen_f_BCM_subcat16_Table1_start,0,COLUMN()-COLUMN(Businesscasen_f_BCM_subcat16_Table1_start)),IF(MasterSheet_f_FP_CfgGroup1R3_VS,ProgramudgifterC!$C:$C,ProjektudgifterC!$C:$C),OFFSET(Businesscasen_f_BCM_subcat16_Table1_start,ROW()-ROW(Businesscasen_f_BCM_subcat16_Table1_start),1))/1000</f>
        <v>0</v>
      </c>
      <c r="AW1081"/>
      <c r="AX1081"/>
      <c r="AY1081"/>
      <c r="AZ1081"/>
      <c r="BA1081"/>
      <c r="BB1081"/>
      <c r="BC1081"/>
      <c r="BD1081"/>
      <c r="BE1081"/>
      <c r="BF1081"/>
      <c r="BG1081"/>
      <c r="BH1081"/>
      <c r="BI1081"/>
      <c r="BJ1081"/>
      <c r="BK1081"/>
      <c r="BL1081"/>
      <c r="BM1081"/>
      <c r="BN1081"/>
      <c r="BO1081"/>
      <c r="BP1081"/>
      <c r="BQ1081"/>
      <c r="BR1081"/>
      <c r="BS1081"/>
      <c r="BT1081"/>
      <c r="BU1081"/>
      <c r="BV1081"/>
      <c r="BW1081"/>
      <c r="BX1081"/>
      <c r="BY1081"/>
      <c r="BZ1081"/>
      <c r="CA1081"/>
      <c r="CB1081"/>
      <c r="CC1081"/>
      <c r="CD1081"/>
      <c r="CE1081"/>
      <c r="CF1081"/>
      <c r="CG1081"/>
      <c r="CH1081"/>
      <c r="CI1081"/>
      <c r="CJ1081"/>
      <c r="CK1081"/>
      <c r="CL1081"/>
      <c r="CM1081"/>
      <c r="CN1081"/>
      <c r="CO1081"/>
      <c r="CP1081"/>
      <c r="CQ1081"/>
      <c r="CR1081"/>
      <c r="CS1081"/>
      <c r="CT1081"/>
      <c r="CU1081"/>
      <c r="CV1081"/>
      <c r="CW1081"/>
      <c r="CX1081"/>
      <c r="CY1081"/>
      <c r="CZ1081"/>
      <c r="DA1081"/>
      <c r="DB1081"/>
      <c r="DC1081"/>
      <c r="DD1081"/>
      <c r="DE1081"/>
      <c r="DF1081"/>
      <c r="DG1081"/>
      <c r="DH1081"/>
      <c r="DI1081"/>
      <c r="DJ1081"/>
      <c r="DK1081"/>
      <c r="DL1081"/>
      <c r="DM1081"/>
      <c r="DN1081"/>
      <c r="DO1081"/>
      <c r="DP1081"/>
      <c r="DQ1081"/>
      <c r="DR1081"/>
      <c r="DS1081"/>
      <c r="DT1081"/>
      <c r="DU1081"/>
      <c r="DV1081"/>
      <c r="DW1081"/>
      <c r="DX1081"/>
      <c r="DY1081"/>
      <c r="DZ1081"/>
      <c r="EA1081"/>
      <c r="EB1081"/>
      <c r="EC1081"/>
      <c r="ED1081"/>
      <c r="EE1081"/>
      <c r="EF1081"/>
      <c r="EG1081"/>
      <c r="EH1081"/>
      <c r="EI1081"/>
      <c r="EJ1081"/>
      <c r="EK1081"/>
      <c r="EL1081"/>
      <c r="EM1081"/>
      <c r="EN1081"/>
      <c r="EO1081"/>
      <c r="EP1081"/>
      <c r="EQ1081"/>
    </row>
    <row r="1082" spans="1:147" ht="16.5" customHeight="1" x14ac:dyDescent="0.25">
      <c r="A1082" s="113">
        <f>$A$1065+16</f>
        <v>254</v>
      </c>
      <c r="B1082" s="113" t="s">
        <v>593</v>
      </c>
      <c r="C1082" s="113" t="s">
        <v>92</v>
      </c>
      <c r="D1082" s="113"/>
      <c r="E1082" s="113"/>
      <c r="F1082" s="113" t="s">
        <v>576</v>
      </c>
      <c r="G1082" s="113" t="s">
        <v>406</v>
      </c>
      <c r="H1082" s="113"/>
      <c r="I1082" s="113"/>
      <c r="J1082" s="113" t="b">
        <f t="shared" si="161"/>
        <v>1</v>
      </c>
      <c r="K1082" s="113" t="b">
        <v>1</v>
      </c>
      <c r="L1082" s="113"/>
      <c r="M1082" s="113"/>
      <c r="N1082" s="113"/>
      <c r="O1082" s="113" t="str">
        <f t="shared" si="177"/>
        <v>$B$254</v>
      </c>
      <c r="P1082" s="113" t="str">
        <f t="shared" si="178"/>
        <v>$BK$254</v>
      </c>
      <c r="Q1082" s="113"/>
      <c r="R1082" s="113"/>
      <c r="S1082" s="113"/>
      <c r="T1082" s="113"/>
      <c r="U1082" s="113"/>
      <c r="V1082" s="113" t="s">
        <v>1342</v>
      </c>
      <c r="W1082" s="113"/>
      <c r="X1082" s="113"/>
      <c r="Y1082" s="113"/>
      <c r="Z1082" s="113"/>
      <c r="AA1082" s="113"/>
      <c r="AB1082" s="113"/>
      <c r="AC1082" s="113"/>
      <c r="AD1082" s="113"/>
      <c r="AE1082" s="113"/>
      <c r="AF1082" s="113"/>
      <c r="AG1082" s="113"/>
      <c r="AH1082" s="113"/>
      <c r="AI1082" s="113"/>
      <c r="AJ1082" s="113"/>
      <c r="AK1082" s="113"/>
      <c r="AL1082" s="113">
        <v>1</v>
      </c>
      <c r="AM1082" s="113"/>
      <c r="AN1082" s="113"/>
      <c r="AO1082" s="113"/>
      <c r="AP1082" s="113" t="b">
        <v>1</v>
      </c>
      <c r="AQ1082" s="132"/>
      <c r="AR1082" s="79"/>
      <c r="AS1082" s="191"/>
      <c r="AT1082" s="274"/>
      <c r="AU1082" s="191"/>
      <c r="AV1082" s="191"/>
      <c r="AW1082"/>
      <c r="AX1082"/>
      <c r="AY1082"/>
      <c r="AZ1082"/>
      <c r="BA1082"/>
      <c r="BB1082"/>
      <c r="BC1082"/>
      <c r="BD1082"/>
      <c r="BE1082"/>
      <c r="BF1082"/>
      <c r="BG1082"/>
      <c r="BH1082"/>
      <c r="BI1082"/>
      <c r="BJ1082"/>
      <c r="BK1082"/>
      <c r="BL1082"/>
      <c r="BM1082"/>
      <c r="BN1082"/>
      <c r="BO1082"/>
      <c r="BP1082"/>
      <c r="BQ1082"/>
      <c r="BR1082"/>
      <c r="BS1082"/>
      <c r="BT1082"/>
      <c r="BU1082"/>
      <c r="BV1082"/>
      <c r="BW1082"/>
      <c r="BX1082"/>
      <c r="BY1082"/>
      <c r="BZ1082"/>
      <c r="CA1082"/>
      <c r="CB1082"/>
      <c r="CC1082"/>
      <c r="CD1082"/>
      <c r="CE1082"/>
      <c r="CF1082"/>
      <c r="CG1082"/>
      <c r="CH1082"/>
      <c r="CI1082"/>
      <c r="CJ1082"/>
      <c r="CK1082"/>
      <c r="CL1082"/>
      <c r="CM1082"/>
      <c r="CN1082"/>
      <c r="CO1082"/>
      <c r="CP1082"/>
      <c r="CQ1082"/>
      <c r="CR1082"/>
      <c r="CS1082"/>
      <c r="CT1082"/>
      <c r="CU1082"/>
      <c r="CV1082"/>
      <c r="CW1082"/>
      <c r="CX1082"/>
      <c r="CY1082"/>
      <c r="CZ1082"/>
      <c r="DA1082"/>
      <c r="DB1082"/>
      <c r="DC1082"/>
      <c r="DD1082"/>
      <c r="DE1082"/>
      <c r="DF1082"/>
      <c r="DG1082"/>
      <c r="DH1082"/>
      <c r="DI1082"/>
      <c r="DJ1082"/>
      <c r="DK1082"/>
      <c r="DL1082"/>
      <c r="DM1082"/>
      <c r="DN1082"/>
      <c r="DO1082"/>
      <c r="DP1082"/>
      <c r="DQ1082"/>
      <c r="DR1082"/>
      <c r="DS1082"/>
      <c r="DT1082"/>
      <c r="DU1082"/>
      <c r="DV1082"/>
      <c r="DW1082"/>
      <c r="DX1082"/>
      <c r="DY1082"/>
      <c r="DZ1082"/>
      <c r="EA1082"/>
      <c r="EB1082"/>
      <c r="EC1082"/>
      <c r="ED1082"/>
      <c r="EE1082"/>
      <c r="EF1082"/>
      <c r="EG1082"/>
      <c r="EH1082"/>
      <c r="EI1082"/>
      <c r="EJ1082"/>
      <c r="EK1082"/>
      <c r="EL1082"/>
      <c r="EM1082"/>
      <c r="EN1082"/>
      <c r="EO1082"/>
      <c r="EP1082"/>
      <c r="EQ1082"/>
    </row>
    <row r="1083" spans="1:147" ht="16.5" customHeight="1" x14ac:dyDescent="0.25">
      <c r="A1083" s="113">
        <f>$A$1065+17</f>
        <v>255</v>
      </c>
      <c r="B1083" s="113" t="s">
        <v>594</v>
      </c>
      <c r="C1083" s="113" t="s">
        <v>92</v>
      </c>
      <c r="D1083" s="113"/>
      <c r="E1083" s="113"/>
      <c r="F1083" s="113" t="s">
        <v>576</v>
      </c>
      <c r="G1083" s="113" t="s">
        <v>406</v>
      </c>
      <c r="H1083" s="113"/>
      <c r="I1083" s="113"/>
      <c r="J1083" s="113" t="b">
        <f t="shared" si="161"/>
        <v>1</v>
      </c>
      <c r="K1083" s="113" t="b">
        <v>1</v>
      </c>
      <c r="L1083" s="113"/>
      <c r="M1083" s="113"/>
      <c r="N1083" s="113"/>
      <c r="O1083" s="113" t="str">
        <f t="shared" si="177"/>
        <v>$B$255</v>
      </c>
      <c r="P1083" s="113" t="str">
        <f t="shared" si="178"/>
        <v>$BK$255</v>
      </c>
      <c r="Q1083" s="113"/>
      <c r="R1083" s="113"/>
      <c r="S1083" s="113"/>
      <c r="T1083" s="113"/>
      <c r="U1083" s="113"/>
      <c r="V1083" s="113" t="s">
        <v>1342</v>
      </c>
      <c r="W1083" s="113"/>
      <c r="X1083" s="113"/>
      <c r="Y1083" s="113"/>
      <c r="Z1083" s="113"/>
      <c r="AA1083" s="113"/>
      <c r="AB1083" s="113"/>
      <c r="AC1083" s="113"/>
      <c r="AD1083" s="113"/>
      <c r="AE1083" s="113"/>
      <c r="AF1083" s="113"/>
      <c r="AG1083" s="113"/>
      <c r="AH1083" s="113"/>
      <c r="AI1083" s="113"/>
      <c r="AJ1083" s="113"/>
      <c r="AK1083" s="113"/>
      <c r="AL1083" s="113">
        <v>1</v>
      </c>
      <c r="AM1083" s="113"/>
      <c r="AN1083" s="113"/>
      <c r="AO1083" s="113"/>
      <c r="AP1083" s="113" t="b">
        <v>1</v>
      </c>
      <c r="AQ1083" s="161" t="s">
        <v>453</v>
      </c>
      <c r="AS1083" s="191">
        <f ca="1">SUM(AU1083:CZ1083)</f>
        <v>0</v>
      </c>
      <c r="AT1083" s="274" t="str">
        <f ca="1">IFERROR(AS1083/AS1083,"-")</f>
        <v>-</v>
      </c>
      <c r="AU1083" s="191">
        <f ca="1">AU1077+AU1070</f>
        <v>0</v>
      </c>
      <c r="AV1083" s="191">
        <f t="shared" ref="AV1083" ca="1" si="183">AV1077+AV1070</f>
        <v>0</v>
      </c>
      <c r="AW1083"/>
      <c r="AX1083"/>
      <c r="AY1083"/>
      <c r="AZ1083"/>
      <c r="BA1083"/>
      <c r="BB1083"/>
      <c r="BC1083"/>
      <c r="BD1083"/>
      <c r="BE1083"/>
      <c r="BF1083"/>
      <c r="BG1083"/>
      <c r="BH1083"/>
      <c r="BI1083"/>
      <c r="BJ1083"/>
      <c r="BK1083"/>
      <c r="BL1083"/>
      <c r="BM1083"/>
      <c r="BN1083"/>
      <c r="BO1083"/>
      <c r="BP1083"/>
      <c r="BQ1083"/>
      <c r="BR1083"/>
      <c r="BS1083"/>
      <c r="BT1083"/>
      <c r="BU1083"/>
      <c r="BV1083"/>
      <c r="BW1083"/>
      <c r="BX1083"/>
      <c r="BY1083"/>
      <c r="BZ1083"/>
      <c r="CA1083"/>
      <c r="CB1083"/>
      <c r="CC1083"/>
      <c r="CD1083"/>
      <c r="CE1083"/>
      <c r="CF1083"/>
      <c r="CG1083"/>
      <c r="CH1083"/>
      <c r="CI1083"/>
      <c r="CJ1083"/>
      <c r="CK1083"/>
      <c r="CL1083"/>
      <c r="CM1083"/>
      <c r="CN1083"/>
      <c r="CO1083"/>
      <c r="CP1083"/>
      <c r="CQ1083"/>
      <c r="CR1083"/>
      <c r="CS1083"/>
      <c r="CT1083"/>
      <c r="CU1083"/>
      <c r="CV1083"/>
      <c r="CW1083"/>
      <c r="CX1083"/>
      <c r="CY1083"/>
      <c r="CZ1083"/>
      <c r="DA1083"/>
      <c r="DB1083"/>
      <c r="DC1083"/>
      <c r="DD1083"/>
      <c r="DE1083"/>
      <c r="DF1083"/>
      <c r="DG1083"/>
      <c r="DH1083"/>
      <c r="DI1083"/>
      <c r="DJ1083"/>
      <c r="DK1083"/>
      <c r="DL1083"/>
      <c r="DM1083"/>
      <c r="DN1083"/>
      <c r="DO1083"/>
      <c r="DP1083"/>
      <c r="DQ1083"/>
      <c r="DR1083"/>
      <c r="DS1083"/>
      <c r="DT1083"/>
      <c r="DU1083"/>
      <c r="DV1083"/>
      <c r="DW1083"/>
      <c r="DX1083"/>
      <c r="DY1083"/>
      <c r="DZ1083"/>
      <c r="EA1083"/>
      <c r="EB1083"/>
      <c r="EC1083"/>
      <c r="ED1083"/>
      <c r="EE1083"/>
      <c r="EF1083"/>
      <c r="EG1083"/>
      <c r="EH1083"/>
      <c r="EI1083"/>
      <c r="EJ1083"/>
      <c r="EK1083"/>
      <c r="EL1083"/>
      <c r="EM1083"/>
      <c r="EN1083"/>
      <c r="EO1083"/>
      <c r="EP1083"/>
      <c r="EQ1083"/>
    </row>
    <row r="1084" spans="1:147" ht="16.5" customHeight="1" x14ac:dyDescent="0.25">
      <c r="A1084" s="113">
        <f>$A$1065+18</f>
        <v>256</v>
      </c>
      <c r="B1084" s="113" t="s">
        <v>595</v>
      </c>
      <c r="C1084" s="113" t="s">
        <v>92</v>
      </c>
      <c r="D1084" s="113"/>
      <c r="E1084" s="113"/>
      <c r="F1084" s="113" t="s">
        <v>576</v>
      </c>
      <c r="G1084" s="113" t="s">
        <v>406</v>
      </c>
      <c r="H1084" s="113"/>
      <c r="I1084" s="113"/>
      <c r="J1084" s="113" t="b">
        <f t="shared" si="161"/>
        <v>1</v>
      </c>
      <c r="K1084" s="113" t="b">
        <v>1</v>
      </c>
      <c r="L1084" s="113"/>
      <c r="M1084" s="113"/>
      <c r="N1084" s="113"/>
      <c r="O1084" s="113" t="str">
        <f t="shared" si="177"/>
        <v>$B$256</v>
      </c>
      <c r="P1084" s="113" t="str">
        <f t="shared" si="178"/>
        <v>$BK$256</v>
      </c>
      <c r="Q1084" s="113"/>
      <c r="R1084" s="113"/>
      <c r="S1084" s="113"/>
      <c r="T1084" s="113"/>
      <c r="U1084" s="113"/>
      <c r="V1084" s="113" t="s">
        <v>1342</v>
      </c>
      <c r="W1084" s="113"/>
      <c r="X1084" s="113"/>
      <c r="Y1084" s="113"/>
      <c r="Z1084" s="113"/>
      <c r="AA1084" s="113"/>
      <c r="AB1084" s="113"/>
      <c r="AC1084" s="113"/>
      <c r="AD1084" s="113"/>
      <c r="AE1084" s="113"/>
      <c r="AF1084" s="113"/>
      <c r="AG1084" s="113"/>
      <c r="AH1084" s="113"/>
      <c r="AI1084" s="113"/>
      <c r="AJ1084" s="113"/>
      <c r="AK1084" s="113"/>
      <c r="AL1084" s="113">
        <v>1</v>
      </c>
      <c r="AM1084" s="113"/>
      <c r="AN1084" s="113"/>
      <c r="AO1084" s="113"/>
      <c r="AP1084" s="113" t="b">
        <v>1</v>
      </c>
      <c r="AQ1084" s="132" t="s">
        <v>298</v>
      </c>
      <c r="AR1084" s="79" t="e">
        <f ca="1">_xll.RiskMean(AS1085)</f>
        <v>#NAME?</v>
      </c>
      <c r="AS1084" s="191">
        <f ca="1">SUM(AU1084:CZ1084)</f>
        <v>0</v>
      </c>
      <c r="AT1084" s="274"/>
      <c r="AU1084" s="191">
        <f ca="1">SUMIF(IF(MasterSheet_f_FP_CfgGroup1R3_VS,ProgramudgifterC!$E:$E,ProjektudgifterC!$E:$E),OFFSET(Businesscasen_f_BCM_subcat16_Table1_start,0,COLUMN()-COLUMN(Businesscasen_f_BCM_subcat16_Table1_start)),IF(MasterSheet_f_FP_CfgGroup1R3_VS,ProgramudgifterC!$N:$N,ProjektudgifterC!$N:$N))/1000</f>
        <v>0</v>
      </c>
      <c r="AV1084" s="191">
        <f ca="1">SUMIF(IF(MasterSheet_f_FP_CfgGroup1R3_VS,ProgramudgifterC!$E:$E,ProjektudgifterC!$E:$E),OFFSET(Businesscasen_f_BCM_subcat16_Table1_start,0,COLUMN()-COLUMN(Businesscasen_f_BCM_subcat16_Table1_start)),IF(MasterSheet_f_FP_CfgGroup1R3_VS,ProgramudgifterC!$N:$N,ProjektudgifterC!$N:$N))/1000</f>
        <v>0</v>
      </c>
      <c r="AW1084"/>
      <c r="AX1084"/>
      <c r="AY1084"/>
      <c r="AZ1084"/>
      <c r="BA1084"/>
      <c r="BB1084"/>
      <c r="BC1084"/>
      <c r="BD1084"/>
      <c r="BE1084"/>
      <c r="BF1084"/>
      <c r="BG1084"/>
      <c r="BH1084"/>
      <c r="BI1084"/>
      <c r="BJ1084"/>
      <c r="BK1084"/>
      <c r="BL1084"/>
      <c r="BM1084"/>
      <c r="BN1084"/>
      <c r="BO1084"/>
      <c r="BP1084"/>
      <c r="BQ1084"/>
      <c r="BR1084"/>
      <c r="BS1084"/>
      <c r="BT1084"/>
      <c r="BU1084"/>
      <c r="BV1084"/>
      <c r="BW1084"/>
      <c r="BX1084"/>
      <c r="BY1084"/>
      <c r="BZ1084"/>
      <c r="CA1084"/>
      <c r="CB1084"/>
      <c r="CC1084"/>
      <c r="CD1084"/>
      <c r="CE1084"/>
      <c r="CF1084"/>
      <c r="CG1084"/>
      <c r="CH1084"/>
      <c r="CI1084"/>
      <c r="CJ1084"/>
      <c r="CK1084"/>
      <c r="CL1084"/>
      <c r="CM1084"/>
      <c r="CN1084"/>
      <c r="CO1084"/>
      <c r="CP1084"/>
      <c r="CQ1084"/>
      <c r="CR1084"/>
      <c r="CS1084"/>
      <c r="CT1084"/>
      <c r="CU1084"/>
      <c r="CV1084"/>
      <c r="CW1084"/>
      <c r="CX1084"/>
      <c r="CY1084"/>
      <c r="CZ1084"/>
      <c r="DA1084"/>
      <c r="DB1084"/>
      <c r="DC1084"/>
      <c r="DD1084"/>
      <c r="DE1084"/>
      <c r="DF1084"/>
      <c r="DG1084"/>
      <c r="DH1084"/>
      <c r="DI1084"/>
      <c r="DJ1084"/>
      <c r="DK1084"/>
      <c r="DL1084"/>
      <c r="DM1084"/>
      <c r="DN1084"/>
      <c r="DO1084"/>
      <c r="DP1084"/>
      <c r="DQ1084"/>
      <c r="DR1084"/>
      <c r="DS1084"/>
      <c r="DT1084"/>
      <c r="DU1084"/>
      <c r="DV1084"/>
      <c r="DW1084"/>
      <c r="DX1084"/>
      <c r="DY1084"/>
      <c r="DZ1084"/>
      <c r="EA1084"/>
      <c r="EB1084"/>
      <c r="EC1084"/>
      <c r="ED1084"/>
      <c r="EE1084"/>
      <c r="EF1084"/>
      <c r="EG1084"/>
      <c r="EH1084"/>
      <c r="EI1084"/>
      <c r="EJ1084"/>
      <c r="EK1084"/>
      <c r="EL1084"/>
      <c r="EM1084"/>
      <c r="EN1084"/>
      <c r="EO1084"/>
      <c r="EP1084"/>
      <c r="EQ1084"/>
    </row>
    <row r="1085" spans="1:147" ht="16.5" customHeight="1" x14ac:dyDescent="0.25">
      <c r="A1085" s="113">
        <f>$A$1065+19</f>
        <v>257</v>
      </c>
      <c r="B1085" s="113" t="s">
        <v>1017</v>
      </c>
      <c r="C1085" s="113" t="s">
        <v>92</v>
      </c>
      <c r="D1085" s="113"/>
      <c r="E1085" s="113"/>
      <c r="F1085" s="113" t="s">
        <v>576</v>
      </c>
      <c r="G1085" s="113" t="s">
        <v>406</v>
      </c>
      <c r="H1085" s="113"/>
      <c r="I1085" s="113"/>
      <c r="J1085" s="113" t="b">
        <f t="shared" si="161"/>
        <v>1</v>
      </c>
      <c r="K1085" s="113" t="b">
        <v>1</v>
      </c>
      <c r="L1085" s="113"/>
      <c r="M1085" s="113"/>
      <c r="N1085" s="113"/>
      <c r="O1085" s="113" t="str">
        <f t="shared" si="177"/>
        <v>$B$257</v>
      </c>
      <c r="P1085" s="113" t="str">
        <f t="shared" si="178"/>
        <v>$BK$257</v>
      </c>
      <c r="Q1085" s="113"/>
      <c r="R1085" s="113"/>
      <c r="S1085" s="113"/>
      <c r="T1085" s="113"/>
      <c r="U1085" s="113"/>
      <c r="V1085" s="113" t="s">
        <v>1342</v>
      </c>
      <c r="W1085" s="113"/>
      <c r="X1085" s="113"/>
      <c r="Y1085" s="113"/>
      <c r="Z1085" s="113"/>
      <c r="AA1085" s="113"/>
      <c r="AB1085" s="113"/>
      <c r="AC1085" s="113"/>
      <c r="AD1085" s="113"/>
      <c r="AE1085" s="113"/>
      <c r="AF1085" s="113"/>
      <c r="AG1085" s="113"/>
      <c r="AH1085" s="113"/>
      <c r="AI1085" s="113"/>
      <c r="AJ1085" s="113"/>
      <c r="AK1085" s="113"/>
      <c r="AL1085" s="113">
        <v>1</v>
      </c>
      <c r="AM1085" s="113"/>
      <c r="AN1085" s="113"/>
      <c r="AO1085" s="113"/>
      <c r="AP1085" s="113" t="b">
        <v>1</v>
      </c>
      <c r="AQ1085" s="132" t="s">
        <v>454</v>
      </c>
      <c r="AR1085" s="79" t="e">
        <f ca="1">_xll.RiskPercentile(AS1085,0.7)</f>
        <v>#NAME?</v>
      </c>
      <c r="AS1085" s="191">
        <f ca="1">SUM(AU1085:CZ1085)</f>
        <v>0</v>
      </c>
      <c r="AT1085" s="274" t="str">
        <f ca="1">IFERROR(AS1085/AS1083,"-")</f>
        <v>-</v>
      </c>
      <c r="AU1085" s="191">
        <f ca="1">AU1083-AU1084</f>
        <v>0</v>
      </c>
      <c r="AV1085" s="191">
        <f t="shared" ref="AV1085" ca="1" si="184">AV1083-AV1084</f>
        <v>0</v>
      </c>
      <c r="AW1085"/>
      <c r="AX1085"/>
      <c r="AY1085"/>
      <c r="AZ1085"/>
      <c r="BA1085"/>
      <c r="BB1085"/>
      <c r="BC1085"/>
      <c r="BD1085"/>
      <c r="BE1085"/>
      <c r="BF1085"/>
      <c r="BG1085"/>
      <c r="BH1085"/>
      <c r="BI1085"/>
      <c r="BJ1085"/>
      <c r="BK1085"/>
      <c r="BL1085"/>
      <c r="BM1085"/>
      <c r="BN1085"/>
      <c r="BO1085"/>
      <c r="BP1085"/>
      <c r="BQ1085"/>
      <c r="BR1085"/>
      <c r="BS1085"/>
      <c r="BT1085"/>
      <c r="BU1085"/>
      <c r="BV1085"/>
      <c r="BW1085"/>
      <c r="BX1085"/>
      <c r="BY1085"/>
      <c r="BZ1085"/>
      <c r="CA1085"/>
      <c r="CB1085"/>
      <c r="CC1085"/>
      <c r="CD1085"/>
      <c r="CE1085"/>
      <c r="CF1085"/>
      <c r="CG1085"/>
      <c r="CH1085"/>
      <c r="CI1085"/>
      <c r="CJ1085"/>
      <c r="CK1085"/>
      <c r="CL1085"/>
      <c r="CM1085"/>
      <c r="CN1085"/>
      <c r="CO1085"/>
      <c r="CP1085"/>
      <c r="CQ1085"/>
      <c r="CR1085"/>
      <c r="CS1085"/>
      <c r="CT1085"/>
      <c r="CU1085"/>
      <c r="CV1085"/>
      <c r="CW1085"/>
      <c r="CX1085"/>
      <c r="CY1085"/>
      <c r="CZ1085"/>
      <c r="DA1085"/>
      <c r="DB1085"/>
      <c r="DC1085"/>
      <c r="DD1085"/>
      <c r="DE1085"/>
      <c r="DF1085"/>
      <c r="DG1085"/>
      <c r="DH1085"/>
      <c r="DI1085"/>
      <c r="DJ1085"/>
      <c r="DK1085"/>
      <c r="DL1085"/>
      <c r="DM1085"/>
      <c r="DN1085"/>
      <c r="DO1085"/>
      <c r="DP1085"/>
      <c r="DQ1085"/>
      <c r="DR1085"/>
      <c r="DS1085"/>
      <c r="DT1085"/>
      <c r="DU1085"/>
      <c r="DV1085"/>
      <c r="DW1085"/>
      <c r="DX1085"/>
      <c r="DY1085"/>
      <c r="DZ1085"/>
      <c r="EA1085"/>
      <c r="EB1085"/>
      <c r="EC1085"/>
      <c r="ED1085"/>
      <c r="EE1085"/>
      <c r="EF1085"/>
      <c r="EG1085"/>
      <c r="EH1085"/>
      <c r="EI1085"/>
      <c r="EJ1085"/>
      <c r="EK1085"/>
      <c r="EL1085"/>
      <c r="EM1085"/>
      <c r="EN1085"/>
      <c r="EO1085"/>
      <c r="EP1085"/>
      <c r="EQ1085"/>
    </row>
    <row r="1086" spans="1:147" ht="16.5" customHeight="1" x14ac:dyDescent="0.25">
      <c r="A1086" s="113">
        <f>$A$1065+20</f>
        <v>258</v>
      </c>
      <c r="B1086" s="113" t="s">
        <v>1018</v>
      </c>
      <c r="C1086" s="113" t="s">
        <v>92</v>
      </c>
      <c r="D1086" s="113"/>
      <c r="E1086" s="113"/>
      <c r="F1086" s="113" t="s">
        <v>576</v>
      </c>
      <c r="G1086" s="113" t="s">
        <v>406</v>
      </c>
      <c r="H1086" s="113"/>
      <c r="I1086" s="113"/>
      <c r="J1086" s="113" t="b">
        <f t="shared" si="161"/>
        <v>1</v>
      </c>
      <c r="K1086" s="113" t="b">
        <v>1</v>
      </c>
      <c r="L1086" s="113"/>
      <c r="M1086" s="113"/>
      <c r="N1086" s="113"/>
      <c r="O1086" s="113" t="str">
        <f t="shared" si="177"/>
        <v>$B$258</v>
      </c>
      <c r="P1086" s="113" t="str">
        <f t="shared" si="178"/>
        <v>$BK$258</v>
      </c>
      <c r="Q1086" s="113"/>
      <c r="R1086" s="113"/>
      <c r="S1086" s="113"/>
      <c r="T1086" s="113"/>
      <c r="U1086" s="113"/>
      <c r="V1086" s="113" t="s">
        <v>1342</v>
      </c>
      <c r="W1086" s="113"/>
      <c r="X1086" s="113"/>
      <c r="Y1086" s="113"/>
      <c r="Z1086" s="113"/>
      <c r="AA1086" s="113"/>
      <c r="AB1086" s="113"/>
      <c r="AC1086" s="113"/>
      <c r="AD1086" s="113"/>
      <c r="AE1086" s="113"/>
      <c r="AF1086" s="113"/>
      <c r="AG1086" s="113"/>
      <c r="AH1086" s="113"/>
      <c r="AI1086" s="113"/>
      <c r="AJ1086" s="113"/>
      <c r="AK1086" s="113"/>
      <c r="AL1086" s="113">
        <v>1</v>
      </c>
      <c r="AM1086" s="113"/>
      <c r="AN1086" s="113"/>
      <c r="AO1086" s="113"/>
      <c r="AP1086" s="113" t="b">
        <v>1</v>
      </c>
      <c r="AQ1086" s="132" t="s">
        <v>455</v>
      </c>
      <c r="AR1086" s="79"/>
      <c r="AS1086" s="191">
        <f ca="1">SUM(AU1086:CZ1086)</f>
        <v>0</v>
      </c>
      <c r="AT1086" s="274"/>
      <c r="AU1086" s="191">
        <f ca="1">SUMIF(IF(MasterSheet_f_FP_CfgGroup1R3_VS,ProgramudgifterC!$E:$E,ProjektudgifterC!$E:$E),OFFSET(Businesscasen_f_BCM_subcat16_Table1_start,0,COLUMN()-COLUMN(Businesscasen_f_BCM_subcat16_Table1_start)),IF(MasterSheet_f_FP_CfgGroup1R3_VS,ProgramudgifterC!$Q:$Q,ProjektudgifterC!$Q:$Q))/1000</f>
        <v>0</v>
      </c>
      <c r="AV1086" s="191">
        <f ca="1">SUMIF(IF(MasterSheet_f_FP_CfgGroup1R3_VS,ProgramudgifterC!$E:$E,ProjektudgifterC!$E:$E),OFFSET(Businesscasen_f_BCM_subcat16_Table1_start,0,COLUMN()-COLUMN(Businesscasen_f_BCM_subcat16_Table1_start)),IF(MasterSheet_f_FP_CfgGroup1R3_VS,ProgramudgifterC!$Q:$Q,ProjektudgifterC!$Q:$Q))/1000</f>
        <v>0</v>
      </c>
      <c r="AW1086"/>
      <c r="AX1086"/>
      <c r="AY1086"/>
      <c r="AZ1086"/>
      <c r="BA1086"/>
      <c r="BB1086"/>
      <c r="BC1086"/>
      <c r="BD1086"/>
      <c r="BE1086"/>
      <c r="BF1086"/>
      <c r="BG1086"/>
      <c r="BH1086"/>
      <c r="BI1086"/>
      <c r="BJ1086"/>
      <c r="BK1086"/>
      <c r="BL1086"/>
      <c r="BM1086"/>
      <c r="BN1086"/>
      <c r="BO1086"/>
      <c r="BP1086"/>
      <c r="BQ1086"/>
      <c r="BR1086"/>
      <c r="BS1086"/>
      <c r="BT1086"/>
      <c r="BU1086"/>
      <c r="BV1086"/>
      <c r="BW1086"/>
      <c r="BX1086"/>
      <c r="BY1086"/>
      <c r="BZ1086"/>
      <c r="CA1086"/>
      <c r="CB1086"/>
      <c r="CC1086"/>
      <c r="CD1086"/>
      <c r="CE1086"/>
      <c r="CF1086"/>
      <c r="CG1086"/>
      <c r="CH1086"/>
      <c r="CI1086"/>
      <c r="CJ1086"/>
      <c r="CK1086"/>
      <c r="CL1086"/>
      <c r="CM1086"/>
      <c r="CN1086"/>
      <c r="CO1086"/>
      <c r="CP1086"/>
      <c r="CQ1086"/>
      <c r="CR1086"/>
      <c r="CS1086"/>
      <c r="CT1086"/>
      <c r="CU1086"/>
      <c r="CV1086"/>
      <c r="CW1086"/>
      <c r="CX1086"/>
      <c r="CY1086"/>
      <c r="CZ1086"/>
      <c r="DA1086"/>
      <c r="DB1086"/>
      <c r="DC1086"/>
      <c r="DD1086"/>
      <c r="DE1086"/>
      <c r="DF1086"/>
      <c r="DG1086"/>
      <c r="DH1086"/>
      <c r="DI1086"/>
      <c r="DJ1086"/>
      <c r="DK1086"/>
      <c r="DL1086"/>
      <c r="DM1086"/>
      <c r="DN1086"/>
      <c r="DO1086"/>
      <c r="DP1086"/>
      <c r="DQ1086"/>
      <c r="DR1086"/>
      <c r="DS1086"/>
      <c r="DT1086"/>
      <c r="DU1086"/>
      <c r="DV1086"/>
      <c r="DW1086"/>
      <c r="DX1086"/>
      <c r="DY1086"/>
      <c r="DZ1086"/>
      <c r="EA1086"/>
      <c r="EB1086"/>
      <c r="EC1086"/>
      <c r="ED1086"/>
      <c r="EE1086"/>
      <c r="EF1086"/>
      <c r="EG1086"/>
      <c r="EH1086"/>
      <c r="EI1086"/>
      <c r="EJ1086"/>
      <c r="EK1086"/>
      <c r="EL1086"/>
      <c r="EM1086"/>
      <c r="EN1086"/>
      <c r="EO1086"/>
      <c r="EP1086"/>
      <c r="EQ1086"/>
    </row>
    <row r="1087" spans="1:147" ht="16.5" customHeight="1" x14ac:dyDescent="0.25">
      <c r="A1087" s="113">
        <f>$A$1065+21</f>
        <v>259</v>
      </c>
      <c r="B1087" s="113" t="s">
        <v>1019</v>
      </c>
      <c r="C1087" s="113" t="s">
        <v>92</v>
      </c>
      <c r="D1087" s="113"/>
      <c r="E1087" s="113"/>
      <c r="F1087" s="113" t="s">
        <v>576</v>
      </c>
      <c r="G1087" s="113" t="s">
        <v>406</v>
      </c>
      <c r="H1087" s="113"/>
      <c r="I1087" s="113"/>
      <c r="J1087" s="113" t="b">
        <f t="shared" si="161"/>
        <v>1</v>
      </c>
      <c r="K1087" s="113" t="b">
        <v>1</v>
      </c>
      <c r="L1087" s="113"/>
      <c r="M1087" s="113"/>
      <c r="N1087" s="113"/>
      <c r="O1087" s="113" t="str">
        <f t="shared" si="177"/>
        <v>$B$259</v>
      </c>
      <c r="P1087" s="113" t="str">
        <f t="shared" si="178"/>
        <v>$BK$259</v>
      </c>
      <c r="Q1087" s="113"/>
      <c r="R1087" s="113"/>
      <c r="S1087" s="113"/>
      <c r="T1087" s="113"/>
      <c r="U1087" s="113"/>
      <c r="V1087" s="113" t="s">
        <v>1342</v>
      </c>
      <c r="W1087" s="113"/>
      <c r="X1087" s="113"/>
      <c r="Y1087" s="113"/>
      <c r="Z1087" s="113"/>
      <c r="AA1087" s="113"/>
      <c r="AB1087" s="113"/>
      <c r="AC1087" s="113"/>
      <c r="AD1087" s="113"/>
      <c r="AE1087" s="113"/>
      <c r="AF1087" s="113"/>
      <c r="AG1087" s="113"/>
      <c r="AH1087" s="113"/>
      <c r="AI1087" s="113"/>
      <c r="AJ1087" s="113"/>
      <c r="AK1087" s="113"/>
      <c r="AL1087" s="113">
        <v>1</v>
      </c>
      <c r="AM1087" s="113"/>
      <c r="AN1087" s="113"/>
      <c r="AO1087" s="113"/>
      <c r="AP1087" s="113" t="b">
        <v>1</v>
      </c>
      <c r="AQ1087" s="132" t="s">
        <v>456</v>
      </c>
      <c r="AR1087" s="79"/>
      <c r="AS1087" s="191">
        <f ca="1">SUM(AU1087:CZ1087)</f>
        <v>0</v>
      </c>
      <c r="AT1087" s="274"/>
      <c r="AU1087" s="191">
        <f ca="1">SUMIF(IF(MasterSheet_f_FP_CfgGroup1R3_VS,ProgramudgifterC!$E:$E,ProjektudgifterC!$E:$E),OFFSET(Businesscasen_f_BCM_subcat16_Table1_start,0,COLUMN()-COLUMN(Businesscasen_f_BCM_subcat16_Table1_start)),IF(MasterSheet_f_FP_CfgGroup1R3_VS,ProgramudgifterC!$R:$R,ProjektudgifterC!$R:$R))/1000</f>
        <v>0</v>
      </c>
      <c r="AV1087" s="191">
        <f ca="1">SUMIF(IF(MasterSheet_f_FP_CfgGroup1R3_VS,ProgramudgifterC!$E:$E,ProjektudgifterC!$E:$E),OFFSET(Businesscasen_f_BCM_subcat16_Table1_start,0,COLUMN()-COLUMN(Businesscasen_f_BCM_subcat16_Table1_start)),IF(MasterSheet_f_FP_CfgGroup1R3_VS,ProgramudgifterC!$R:$R,ProjektudgifterC!$R:$R))/1000</f>
        <v>0</v>
      </c>
      <c r="AW1087"/>
      <c r="AX1087"/>
      <c r="AY1087"/>
      <c r="AZ1087"/>
      <c r="BA1087"/>
      <c r="BB1087"/>
      <c r="BC1087"/>
      <c r="BD1087"/>
      <c r="BE1087"/>
      <c r="BF1087"/>
      <c r="BG1087"/>
      <c r="BH1087"/>
      <c r="BI1087"/>
      <c r="BJ1087"/>
      <c r="BK1087"/>
      <c r="BL1087"/>
      <c r="BM1087"/>
      <c r="BN1087"/>
      <c r="BO1087"/>
      <c r="BP1087"/>
      <c r="BQ1087"/>
      <c r="BR1087"/>
      <c r="BS1087"/>
      <c r="BT1087"/>
      <c r="BU1087"/>
      <c r="BV1087"/>
      <c r="BW1087"/>
      <c r="BX1087"/>
      <c r="BY1087"/>
      <c r="BZ1087"/>
      <c r="CA1087"/>
      <c r="CB1087"/>
      <c r="CC1087"/>
      <c r="CD1087"/>
      <c r="CE1087"/>
      <c r="CF1087"/>
      <c r="CG1087"/>
      <c r="CH1087"/>
      <c r="CI1087"/>
      <c r="CJ1087"/>
      <c r="CK1087"/>
      <c r="CL1087"/>
      <c r="CM1087"/>
      <c r="CN1087"/>
      <c r="CO1087"/>
      <c r="CP1087"/>
      <c r="CQ1087"/>
      <c r="CR1087"/>
      <c r="CS1087"/>
      <c r="CT1087"/>
      <c r="CU1087"/>
      <c r="CV1087"/>
      <c r="CW1087"/>
      <c r="CX1087"/>
      <c r="CY1087"/>
      <c r="CZ1087"/>
      <c r="DA1087"/>
      <c r="DB1087"/>
      <c r="DC1087"/>
      <c r="DD1087"/>
      <c r="DE1087"/>
      <c r="DF1087"/>
      <c r="DG1087"/>
      <c r="DH1087"/>
      <c r="DI1087"/>
      <c r="DJ1087"/>
      <c r="DK1087"/>
      <c r="DL1087"/>
      <c r="DM1087"/>
      <c r="DN1087"/>
      <c r="DO1087"/>
      <c r="DP1087"/>
      <c r="DQ1087"/>
      <c r="DR1087"/>
      <c r="DS1087"/>
      <c r="DT1087"/>
      <c r="DU1087"/>
      <c r="DV1087"/>
      <c r="DW1087"/>
      <c r="DX1087"/>
      <c r="DY1087"/>
      <c r="DZ1087"/>
      <c r="EA1087"/>
      <c r="EB1087"/>
      <c r="EC1087"/>
      <c r="ED1087"/>
      <c r="EE1087"/>
      <c r="EF1087"/>
      <c r="EG1087"/>
      <c r="EH1087"/>
      <c r="EI1087"/>
      <c r="EJ1087"/>
      <c r="EK1087"/>
      <c r="EL1087"/>
      <c r="EM1087"/>
      <c r="EN1087"/>
      <c r="EO1087"/>
      <c r="EP1087"/>
      <c r="EQ1087"/>
    </row>
    <row r="1088" spans="1:147" ht="16.5" customHeight="1" x14ac:dyDescent="0.25">
      <c r="A1088" s="113">
        <f>$A$1065+22</f>
        <v>260</v>
      </c>
      <c r="B1088" s="113" t="s">
        <v>1020</v>
      </c>
      <c r="C1088" s="113" t="s">
        <v>92</v>
      </c>
      <c r="D1088" s="113"/>
      <c r="E1088" s="113"/>
      <c r="F1088" s="113" t="s">
        <v>576</v>
      </c>
      <c r="G1088" s="113" t="s">
        <v>406</v>
      </c>
      <c r="H1088" s="113"/>
      <c r="I1088" s="113"/>
      <c r="J1088" s="113" t="b">
        <f t="shared" si="161"/>
        <v>1</v>
      </c>
      <c r="K1088" s="113" t="b">
        <v>1</v>
      </c>
      <c r="L1088" s="113"/>
      <c r="M1088" s="113"/>
      <c r="N1088" s="113"/>
      <c r="O1088" s="113" t="str">
        <f t="shared" si="177"/>
        <v>$B$260</v>
      </c>
      <c r="P1088" s="113" t="str">
        <f t="shared" si="178"/>
        <v>$BK$260</v>
      </c>
      <c r="Q1088" s="113"/>
      <c r="R1088" s="113"/>
      <c r="S1088" s="113"/>
      <c r="T1088" s="113"/>
      <c r="U1088" s="113"/>
      <c r="V1088" s="113" t="s">
        <v>1342</v>
      </c>
      <c r="W1088" s="113"/>
      <c r="X1088" s="113"/>
      <c r="Y1088" s="113"/>
      <c r="Z1088" s="113"/>
      <c r="AA1088" s="113"/>
      <c r="AB1088" s="113"/>
      <c r="AC1088" s="113"/>
      <c r="AD1088" s="113"/>
      <c r="AE1088" s="113"/>
      <c r="AF1088" s="113"/>
      <c r="AG1088" s="113"/>
      <c r="AH1088" s="113"/>
      <c r="AI1088" s="113"/>
      <c r="AJ1088" s="113"/>
      <c r="AK1088" s="113"/>
      <c r="AL1088" s="113">
        <v>1</v>
      </c>
      <c r="AM1088" s="113"/>
      <c r="AN1088" s="113"/>
      <c r="AO1088" s="113"/>
      <c r="AP1088" s="113" t="b">
        <v>1</v>
      </c>
      <c r="AQ1088" s="132"/>
      <c r="AR1088" s="79"/>
      <c r="AS1088" s="191"/>
      <c r="AT1088" s="274"/>
      <c r="AU1088" s="191"/>
      <c r="AV1088" s="191"/>
      <c r="AW1088"/>
      <c r="AX1088"/>
      <c r="AY1088"/>
      <c r="AZ1088"/>
      <c r="BA1088"/>
      <c r="BB1088"/>
      <c r="BC1088"/>
      <c r="BD1088"/>
      <c r="BE1088"/>
      <c r="BF1088"/>
      <c r="BG1088"/>
      <c r="BH1088"/>
      <c r="BI1088"/>
      <c r="BJ1088"/>
      <c r="BK1088"/>
      <c r="BL1088"/>
      <c r="BM1088"/>
      <c r="BN1088"/>
      <c r="BO1088"/>
      <c r="BP1088"/>
      <c r="BQ1088"/>
      <c r="BR1088"/>
      <c r="BS1088"/>
      <c r="BT1088"/>
      <c r="BU1088"/>
      <c r="BV1088"/>
      <c r="BW1088"/>
      <c r="BX1088"/>
      <c r="BY1088"/>
      <c r="BZ1088"/>
      <c r="CA1088"/>
      <c r="CB1088"/>
      <c r="CC1088"/>
      <c r="CD1088"/>
      <c r="CE1088"/>
      <c r="CF1088"/>
      <c r="CG1088"/>
      <c r="CH1088"/>
      <c r="CI1088"/>
      <c r="CJ1088"/>
      <c r="CK1088"/>
      <c r="CL1088"/>
      <c r="CM1088"/>
      <c r="CN1088"/>
      <c r="CO1088"/>
      <c r="CP1088"/>
      <c r="CQ1088"/>
      <c r="CR1088"/>
      <c r="CS1088"/>
      <c r="CT1088"/>
      <c r="CU1088"/>
      <c r="CV1088"/>
      <c r="CW1088"/>
      <c r="CX1088"/>
      <c r="CY1088"/>
      <c r="CZ1088"/>
      <c r="DA1088"/>
      <c r="DB1088"/>
      <c r="DC1088"/>
      <c r="DD1088"/>
      <c r="DE1088"/>
      <c r="DF1088"/>
      <c r="DG1088"/>
      <c r="DH1088"/>
      <c r="DI1088"/>
      <c r="DJ1088"/>
      <c r="DK1088"/>
      <c r="DL1088"/>
      <c r="DM1088"/>
      <c r="DN1088"/>
      <c r="DO1088"/>
      <c r="DP1088"/>
      <c r="DQ1088"/>
      <c r="DR1088"/>
      <c r="DS1088"/>
      <c r="DT1088"/>
      <c r="DU1088"/>
      <c r="DV1088"/>
      <c r="DW1088"/>
      <c r="DX1088"/>
      <c r="DY1088"/>
      <c r="DZ1088"/>
      <c r="EA1088"/>
      <c r="EB1088"/>
      <c r="EC1088"/>
      <c r="ED1088"/>
      <c r="EE1088"/>
      <c r="EF1088"/>
      <c r="EG1088"/>
      <c r="EH1088"/>
      <c r="EI1088"/>
      <c r="EJ1088"/>
      <c r="EK1088"/>
      <c r="EL1088"/>
      <c r="EM1088"/>
      <c r="EN1088"/>
      <c r="EO1088"/>
      <c r="EP1088"/>
      <c r="EQ1088"/>
    </row>
    <row r="1089" spans="1:147" ht="16.5" customHeight="1" x14ac:dyDescent="0.25">
      <c r="A1089" s="113">
        <f>$A$1065+23</f>
        <v>261</v>
      </c>
      <c r="B1089" s="113" t="s">
        <v>1021</v>
      </c>
      <c r="C1089" s="113" t="s">
        <v>92</v>
      </c>
      <c r="D1089" s="113"/>
      <c r="E1089" s="113"/>
      <c r="F1089" s="113" t="s">
        <v>576</v>
      </c>
      <c r="G1089" s="113" t="s">
        <v>406</v>
      </c>
      <c r="H1089" s="113"/>
      <c r="I1089" s="113"/>
      <c r="J1089" s="113" t="b">
        <f t="shared" si="161"/>
        <v>1</v>
      </c>
      <c r="K1089" s="113" t="b">
        <v>1</v>
      </c>
      <c r="L1089" s="113"/>
      <c r="M1089" s="113"/>
      <c r="N1089" s="113"/>
      <c r="O1089" s="113" t="str">
        <f t="shared" si="177"/>
        <v>$B$261</v>
      </c>
      <c r="P1089" s="113" t="str">
        <f t="shared" si="178"/>
        <v>$BK$261</v>
      </c>
      <c r="Q1089" s="113"/>
      <c r="R1089" s="113"/>
      <c r="S1089" s="113"/>
      <c r="T1089" s="113"/>
      <c r="U1089" s="113"/>
      <c r="V1089" s="113" t="s">
        <v>1342</v>
      </c>
      <c r="W1089" s="113"/>
      <c r="X1089" s="113"/>
      <c r="Y1089" s="113"/>
      <c r="Z1089" s="113"/>
      <c r="AA1089" s="113"/>
      <c r="AB1089" s="113"/>
      <c r="AC1089" s="113"/>
      <c r="AD1089" s="113"/>
      <c r="AE1089" s="113"/>
      <c r="AF1089" s="113"/>
      <c r="AG1089" s="113"/>
      <c r="AH1089" s="113"/>
      <c r="AI1089" s="113"/>
      <c r="AJ1089" s="113"/>
      <c r="AK1089" s="113"/>
      <c r="AL1089" s="113">
        <v>1</v>
      </c>
      <c r="AM1089" s="113"/>
      <c r="AN1089" s="113"/>
      <c r="AO1089" s="113"/>
      <c r="AP1089" s="113" t="b">
        <v>1</v>
      </c>
      <c r="AQ1089" s="161" t="s">
        <v>457</v>
      </c>
      <c r="AR1089" s="80"/>
      <c r="AS1089" s="191"/>
      <c r="AT1089" s="274"/>
      <c r="AU1089" s="191"/>
      <c r="AV1089" s="191"/>
      <c r="AW1089"/>
      <c r="AX1089"/>
      <c r="AY1089"/>
      <c r="AZ1089"/>
      <c r="BA1089"/>
      <c r="BB1089"/>
      <c r="BC1089"/>
      <c r="BD1089"/>
      <c r="BE1089"/>
      <c r="BF1089"/>
      <c r="BG1089"/>
      <c r="BH1089"/>
      <c r="BI1089"/>
      <c r="BJ1089"/>
      <c r="BK1089"/>
      <c r="BL1089"/>
      <c r="BM1089"/>
      <c r="BN1089"/>
      <c r="BO1089"/>
      <c r="BP1089"/>
      <c r="BQ1089"/>
      <c r="BR1089"/>
      <c r="BS1089"/>
      <c r="BT1089"/>
      <c r="BU1089"/>
      <c r="BV1089"/>
      <c r="BW1089"/>
      <c r="BX1089"/>
      <c r="BY1089"/>
      <c r="BZ1089"/>
      <c r="CA1089"/>
      <c r="CB1089"/>
      <c r="CC1089"/>
      <c r="CD1089"/>
      <c r="CE1089"/>
      <c r="CF1089"/>
      <c r="CG1089"/>
      <c r="CH1089"/>
      <c r="CI1089"/>
      <c r="CJ1089"/>
      <c r="CK1089"/>
      <c r="CL1089"/>
      <c r="CM1089"/>
      <c r="CN1089"/>
      <c r="CO1089"/>
      <c r="CP1089"/>
      <c r="CQ1089"/>
      <c r="CR1089"/>
      <c r="CS1089"/>
      <c r="CT1089"/>
      <c r="CU1089"/>
      <c r="CV1089"/>
      <c r="CW1089"/>
      <c r="CX1089"/>
      <c r="CY1089"/>
      <c r="CZ1089"/>
      <c r="DA1089"/>
      <c r="DB1089"/>
      <c r="DC1089"/>
      <c r="DD1089"/>
      <c r="DE1089"/>
      <c r="DF1089"/>
      <c r="DG1089"/>
      <c r="DH1089"/>
      <c r="DI1089"/>
      <c r="DJ1089"/>
      <c r="DK1089"/>
      <c r="DL1089"/>
      <c r="DM1089"/>
      <c r="DN1089"/>
      <c r="DO1089"/>
      <c r="DP1089"/>
      <c r="DQ1089"/>
      <c r="DR1089"/>
      <c r="DS1089"/>
      <c r="DT1089"/>
      <c r="DU1089"/>
      <c r="DV1089"/>
      <c r="DW1089"/>
      <c r="DX1089"/>
      <c r="DY1089"/>
      <c r="DZ1089"/>
      <c r="EA1089"/>
      <c r="EB1089"/>
      <c r="EC1089"/>
      <c r="ED1089"/>
      <c r="EE1089"/>
      <c r="EF1089"/>
      <c r="EG1089"/>
      <c r="EH1089"/>
      <c r="EI1089"/>
      <c r="EJ1089"/>
      <c r="EK1089"/>
      <c r="EL1089"/>
      <c r="EM1089"/>
      <c r="EN1089"/>
      <c r="EO1089"/>
      <c r="EP1089"/>
      <c r="EQ1089"/>
    </row>
    <row r="1090" spans="1:147" ht="16.5" customHeight="1" x14ac:dyDescent="0.25">
      <c r="A1090" s="113">
        <f>$A$1065+24</f>
        <v>262</v>
      </c>
      <c r="B1090" s="113" t="s">
        <v>1022</v>
      </c>
      <c r="C1090" s="113" t="s">
        <v>92</v>
      </c>
      <c r="D1090" s="113"/>
      <c r="E1090" s="113"/>
      <c r="F1090" s="113" t="s">
        <v>576</v>
      </c>
      <c r="G1090" s="113" t="s">
        <v>406</v>
      </c>
      <c r="H1090" s="113"/>
      <c r="I1090" s="113"/>
      <c r="J1090" s="113" t="b">
        <f t="shared" si="161"/>
        <v>1</v>
      </c>
      <c r="K1090" s="113" t="b">
        <v>1</v>
      </c>
      <c r="L1090" s="113"/>
      <c r="M1090" s="113"/>
      <c r="N1090" s="113"/>
      <c r="O1090" s="113" t="str">
        <f t="shared" si="177"/>
        <v>$B$262</v>
      </c>
      <c r="P1090" s="113" t="str">
        <f t="shared" si="178"/>
        <v>$BK$262</v>
      </c>
      <c r="Q1090" s="113"/>
      <c r="R1090" s="113"/>
      <c r="S1090" s="113"/>
      <c r="T1090" s="113"/>
      <c r="U1090" s="113"/>
      <c r="V1090" s="113" t="s">
        <v>1342</v>
      </c>
      <c r="W1090" s="113"/>
      <c r="X1090" s="113"/>
      <c r="Y1090" s="113"/>
      <c r="Z1090" s="113"/>
      <c r="AA1090" s="113"/>
      <c r="AB1090" s="113"/>
      <c r="AC1090" s="113"/>
      <c r="AD1090" s="113"/>
      <c r="AE1090" s="113"/>
      <c r="AF1090" s="113"/>
      <c r="AG1090" s="113"/>
      <c r="AH1090" s="113"/>
      <c r="AI1090" s="113"/>
      <c r="AJ1090" s="113"/>
      <c r="AK1090" s="113"/>
      <c r="AL1090" s="113">
        <v>1</v>
      </c>
      <c r="AM1090" s="113"/>
      <c r="AN1090" s="113"/>
      <c r="AO1090" s="113"/>
      <c r="AP1090" s="113" t="b">
        <v>1</v>
      </c>
      <c r="AQ1090" s="161"/>
      <c r="AR1090" s="80"/>
      <c r="AS1090" s="191"/>
      <c r="AT1090" s="274"/>
      <c r="AU1090" s="191"/>
      <c r="AV1090" s="191"/>
      <c r="AW1090"/>
      <c r="AX1090"/>
      <c r="AY1090"/>
      <c r="AZ1090"/>
      <c r="BA1090"/>
      <c r="BB1090"/>
      <c r="BC1090"/>
      <c r="BD1090"/>
      <c r="BE1090"/>
      <c r="BF1090"/>
      <c r="BG1090"/>
      <c r="BH1090"/>
      <c r="BI1090"/>
      <c r="BJ1090"/>
      <c r="BK1090"/>
      <c r="BL1090"/>
      <c r="BM1090"/>
      <c r="BN1090"/>
      <c r="BO1090"/>
      <c r="BP1090"/>
      <c r="BQ1090"/>
      <c r="BR1090"/>
      <c r="BS1090"/>
      <c r="BT1090"/>
      <c r="BU1090"/>
      <c r="BV1090"/>
      <c r="BW1090"/>
      <c r="BX1090"/>
      <c r="BY1090"/>
      <c r="BZ1090"/>
      <c r="CA1090"/>
      <c r="CB1090"/>
      <c r="CC1090"/>
      <c r="CD1090"/>
      <c r="CE1090"/>
      <c r="CF1090"/>
      <c r="CG1090"/>
      <c r="CH1090"/>
      <c r="CI1090"/>
      <c r="CJ1090"/>
      <c r="CK1090"/>
      <c r="CL1090"/>
      <c r="CM1090"/>
      <c r="CN1090"/>
      <c r="CO1090"/>
      <c r="CP1090"/>
      <c r="CQ1090"/>
      <c r="CR1090"/>
      <c r="CS1090"/>
      <c r="CT1090"/>
      <c r="CU1090"/>
      <c r="CV1090"/>
      <c r="CW1090"/>
      <c r="CX1090"/>
      <c r="CY1090"/>
      <c r="CZ1090"/>
      <c r="DA1090"/>
      <c r="DB1090"/>
      <c r="DC1090"/>
      <c r="DD1090"/>
      <c r="DE1090"/>
      <c r="DF1090"/>
      <c r="DG1090"/>
      <c r="DH1090"/>
      <c r="DI1090"/>
      <c r="DJ1090"/>
      <c r="DK1090"/>
      <c r="DL1090"/>
      <c r="DM1090"/>
      <c r="DN1090"/>
      <c r="DO1090"/>
      <c r="DP1090"/>
      <c r="DQ1090"/>
      <c r="DR1090"/>
      <c r="DS1090"/>
      <c r="DT1090"/>
      <c r="DU1090"/>
      <c r="DV1090"/>
      <c r="DW1090"/>
      <c r="DX1090"/>
      <c r="DY1090"/>
      <c r="DZ1090"/>
      <c r="EA1090"/>
      <c r="EB1090"/>
      <c r="EC1090"/>
      <c r="ED1090"/>
      <c r="EE1090"/>
      <c r="EF1090"/>
      <c r="EG1090"/>
      <c r="EH1090"/>
      <c r="EI1090"/>
      <c r="EJ1090"/>
      <c r="EK1090"/>
      <c r="EL1090"/>
      <c r="EM1090"/>
      <c r="EN1090"/>
      <c r="EO1090"/>
      <c r="EP1090"/>
      <c r="EQ1090"/>
    </row>
    <row r="1091" spans="1:147" ht="16.5" customHeight="1" x14ac:dyDescent="0.25">
      <c r="A1091" s="113">
        <f>$A$1065+25</f>
        <v>263</v>
      </c>
      <c r="B1091" s="113" t="s">
        <v>1023</v>
      </c>
      <c r="C1091" s="113" t="s">
        <v>92</v>
      </c>
      <c r="D1091" s="113"/>
      <c r="E1091" s="113"/>
      <c r="F1091" s="113" t="s">
        <v>576</v>
      </c>
      <c r="G1091" s="113" t="s">
        <v>406</v>
      </c>
      <c r="H1091" s="113"/>
      <c r="I1091" s="113"/>
      <c r="J1091" s="113" t="b">
        <f t="shared" ref="J1091:J1154" si="185">$H$5</f>
        <v>1</v>
      </c>
      <c r="K1091" s="113" t="b">
        <v>1</v>
      </c>
      <c r="L1091" s="113"/>
      <c r="M1091" s="113"/>
      <c r="N1091" s="113"/>
      <c r="O1091" s="113" t="str">
        <f t="shared" si="177"/>
        <v>$B$263</v>
      </c>
      <c r="P1091" s="113" t="str">
        <f t="shared" si="178"/>
        <v>$BK$263</v>
      </c>
      <c r="Q1091" s="113"/>
      <c r="R1091" s="113"/>
      <c r="S1091" s="113"/>
      <c r="T1091" s="113"/>
      <c r="U1091" s="113"/>
      <c r="V1091" s="113" t="s">
        <v>1342</v>
      </c>
      <c r="W1091" s="113"/>
      <c r="X1091" s="113"/>
      <c r="Y1091" s="113"/>
      <c r="Z1091" s="113"/>
      <c r="AA1091" s="113"/>
      <c r="AB1091" s="113"/>
      <c r="AC1091" s="113"/>
      <c r="AD1091" s="113"/>
      <c r="AE1091" s="113"/>
      <c r="AF1091" s="113"/>
      <c r="AG1091" s="113"/>
      <c r="AH1091" s="113"/>
      <c r="AI1091" s="113"/>
      <c r="AJ1091" s="113"/>
      <c r="AK1091" s="113"/>
      <c r="AL1091" s="113">
        <v>1</v>
      </c>
      <c r="AM1091" s="113"/>
      <c r="AN1091" s="113"/>
      <c r="AO1091" s="113"/>
      <c r="AP1091" s="113" t="b">
        <v>1</v>
      </c>
      <c r="AQ1091" s="161" t="s">
        <v>458</v>
      </c>
      <c r="AR1091" s="80"/>
      <c r="AS1091" s="191">
        <f ca="1">SUM(AU1091:CZ1091)</f>
        <v>0</v>
      </c>
      <c r="AT1091" s="274" t="str">
        <f ca="1">IFERROR(AS1100/AS1104,"-")</f>
        <v>-</v>
      </c>
      <c r="AU1091" s="191">
        <f ca="1">SUM(AU1092:AU1094)</f>
        <v>0</v>
      </c>
      <c r="AV1091" s="191">
        <f t="shared" ref="AV1091" ca="1" si="186">SUM(AV1092:AV1094)</f>
        <v>0</v>
      </c>
      <c r="AW1091"/>
      <c r="AX1091"/>
      <c r="AY1091"/>
      <c r="AZ1091"/>
      <c r="BA1091"/>
      <c r="BB1091"/>
      <c r="BC1091"/>
      <c r="BD1091"/>
      <c r="BE1091"/>
      <c r="BF1091"/>
      <c r="BG1091"/>
      <c r="BH1091"/>
      <c r="BI1091"/>
      <c r="BJ1091"/>
      <c r="BK1091"/>
      <c r="BL1091"/>
      <c r="BM1091"/>
      <c r="BN1091"/>
      <c r="BO1091"/>
      <c r="BP1091"/>
      <c r="BQ1091"/>
      <c r="BR1091"/>
      <c r="BS1091"/>
      <c r="BT1091"/>
      <c r="BU1091"/>
      <c r="BV1091"/>
      <c r="BW1091"/>
      <c r="BX1091"/>
      <c r="BY1091"/>
      <c r="BZ1091"/>
      <c r="CA1091"/>
      <c r="CB1091"/>
      <c r="CC1091"/>
      <c r="CD1091"/>
      <c r="CE1091"/>
      <c r="CF1091"/>
      <c r="CG1091"/>
      <c r="CH1091"/>
      <c r="CI1091"/>
      <c r="CJ1091"/>
      <c r="CK1091"/>
      <c r="CL1091"/>
      <c r="CM1091"/>
      <c r="CN1091"/>
      <c r="CO1091"/>
      <c r="CP1091"/>
      <c r="CQ1091"/>
      <c r="CR1091"/>
      <c r="CS1091"/>
      <c r="CT1091"/>
      <c r="CU1091"/>
      <c r="CV1091"/>
      <c r="CW1091"/>
      <c r="CX1091"/>
      <c r="CY1091"/>
      <c r="CZ1091"/>
      <c r="DA1091"/>
      <c r="DB1091"/>
      <c r="DC1091"/>
      <c r="DD1091"/>
      <c r="DE1091"/>
      <c r="DF1091"/>
      <c r="DG1091"/>
      <c r="DH1091"/>
      <c r="DI1091"/>
      <c r="DJ1091"/>
      <c r="DK1091"/>
      <c r="DL1091"/>
      <c r="DM1091"/>
      <c r="DN1091"/>
      <c r="DO1091"/>
      <c r="DP1091"/>
      <c r="DQ1091"/>
      <c r="DR1091"/>
      <c r="DS1091"/>
      <c r="DT1091"/>
      <c r="DU1091"/>
      <c r="DV1091"/>
      <c r="DW1091"/>
      <c r="DX1091"/>
      <c r="DY1091"/>
      <c r="DZ1091"/>
      <c r="EA1091"/>
      <c r="EB1091"/>
      <c r="EC1091"/>
      <c r="ED1091"/>
      <c r="EE1091"/>
      <c r="EF1091"/>
      <c r="EG1091"/>
      <c r="EH1091"/>
      <c r="EI1091"/>
      <c r="EJ1091"/>
      <c r="EK1091"/>
      <c r="EL1091"/>
      <c r="EM1091"/>
      <c r="EN1091"/>
      <c r="EO1091"/>
      <c r="EP1091"/>
      <c r="EQ1091"/>
    </row>
    <row r="1092" spans="1:147" ht="16.5" customHeight="1" x14ac:dyDescent="0.25">
      <c r="A1092" s="113">
        <f>$A$1065+26</f>
        <v>264</v>
      </c>
      <c r="B1092" s="113" t="s">
        <v>1024</v>
      </c>
      <c r="C1092" s="113" t="s">
        <v>92</v>
      </c>
      <c r="D1092" s="113"/>
      <c r="E1092" s="113"/>
      <c r="F1092" s="113" t="s">
        <v>576</v>
      </c>
      <c r="G1092" s="113" t="s">
        <v>406</v>
      </c>
      <c r="H1092" s="113"/>
      <c r="I1092" s="113"/>
      <c r="J1092" s="113" t="b">
        <f t="shared" si="185"/>
        <v>1</v>
      </c>
      <c r="K1092" s="113" t="b">
        <v>1</v>
      </c>
      <c r="L1092" s="113"/>
      <c r="M1092" s="113"/>
      <c r="N1092" s="113"/>
      <c r="O1092" s="113" t="str">
        <f t="shared" si="177"/>
        <v>$B$264</v>
      </c>
      <c r="P1092" s="113" t="str">
        <f t="shared" si="178"/>
        <v>$BK$264</v>
      </c>
      <c r="Q1092" s="113"/>
      <c r="R1092" s="113"/>
      <c r="S1092" s="113"/>
      <c r="T1092" s="113"/>
      <c r="U1092" s="113"/>
      <c r="V1092" s="113" t="s">
        <v>1342</v>
      </c>
      <c r="W1092" s="113"/>
      <c r="X1092" s="113"/>
      <c r="Y1092" s="113"/>
      <c r="Z1092" s="113"/>
      <c r="AA1092" s="113"/>
      <c r="AB1092" s="113"/>
      <c r="AC1092" s="113"/>
      <c r="AD1092" s="113"/>
      <c r="AE1092" s="113"/>
      <c r="AF1092" s="113"/>
      <c r="AG1092" s="113"/>
      <c r="AH1092" s="113"/>
      <c r="AI1092" s="113"/>
      <c r="AJ1092" s="113"/>
      <c r="AK1092" s="113"/>
      <c r="AL1092" s="113">
        <v>1</v>
      </c>
      <c r="AM1092" s="113"/>
      <c r="AN1092" s="113"/>
      <c r="AO1092" s="113"/>
      <c r="AP1092" s="113" t="b">
        <v>1</v>
      </c>
      <c r="AQ1092" s="132" t="s">
        <v>459</v>
      </c>
      <c r="AR1092" s="79" t="s">
        <v>1179</v>
      </c>
      <c r="AS1092" s="191">
        <f ca="1">SUM(AU1092:CZ1092)</f>
        <v>0</v>
      </c>
      <c r="AT1092" s="274" t="str">
        <f ca="1">IFERROR(AS1100/AS1105,"-")</f>
        <v>-</v>
      </c>
      <c r="AU1092" s="191">
        <f ca="1">SUMIFS(IF(MasterSheet_f_FP_CfgGroup1R3_VS,IF(MasterSheet_f_FP_CfgGroup2R2_VS,ProgramudgifterC!$P:$P,ProgramudgifterC!$O:$O),IF(MasterSheet_f_FP_CfgGroup2R2_VS,ProjektudgifterC!$P:$P,ProjektudgifterC!$O:$O)),IF(MasterSheet_f_FP_CfgGroup1R3_VS,ProgramudgifterC!$E:$E,ProjektudgifterC!$E:$E),OFFSET(Businesscasen_f_BCM_subcat16_Table1_start,0,COLUMN()-COLUMN(Businesscasen_f_BCM_subcat16_Table1_start)),IF(MasterSheet_f_FP_CfgGroup1R3_VS,ProgramudgifterC!$C:$C,ProjektudgifterC!$C:$C),OFFSET(Businesscasen_f_BCM_subcat16_Table1_start,ROW()-ROW(Businesscasen_f_BCM_subcat16_Table1_start),1))/1000</f>
        <v>0</v>
      </c>
      <c r="AV1092" s="191">
        <f ca="1">SUMIFS(IF(MasterSheet_f_FP_CfgGroup1R3_VS,IF(MasterSheet_f_FP_CfgGroup2R2_VS,ProgramudgifterC!$P:$P,ProgramudgifterC!$O:$O),IF(MasterSheet_f_FP_CfgGroup2R2_VS,ProjektudgifterC!$P:$P,ProjektudgifterC!$O:$O)),IF(MasterSheet_f_FP_CfgGroup1R3_VS,ProgramudgifterC!$E:$E,ProjektudgifterC!$E:$E),OFFSET(Businesscasen_f_BCM_subcat16_Table1_start,0,COLUMN()-COLUMN(Businesscasen_f_BCM_subcat16_Table1_start)),IF(MasterSheet_f_FP_CfgGroup1R3_VS,ProgramudgifterC!$C:$C,ProjektudgifterC!$C:$C),OFFSET(Businesscasen_f_BCM_subcat16_Table1_start,ROW()-ROW(Businesscasen_f_BCM_subcat16_Table1_start),1))/1000</f>
        <v>0</v>
      </c>
      <c r="AW1092"/>
      <c r="AX1092"/>
      <c r="AY1092"/>
      <c r="AZ1092"/>
      <c r="BA1092"/>
      <c r="BB1092"/>
      <c r="BC1092"/>
      <c r="BD1092"/>
      <c r="BE1092"/>
      <c r="BF1092"/>
      <c r="BG1092"/>
      <c r="BH1092"/>
      <c r="BI1092"/>
      <c r="BJ1092"/>
      <c r="BK1092"/>
      <c r="BL1092"/>
      <c r="BM1092"/>
      <c r="BN1092"/>
      <c r="BO1092"/>
      <c r="BP1092"/>
      <c r="BQ1092"/>
      <c r="BR1092"/>
      <c r="BS1092"/>
      <c r="BT1092"/>
      <c r="BU1092"/>
      <c r="BV1092"/>
      <c r="BW1092"/>
      <c r="BX1092"/>
      <c r="BY1092"/>
      <c r="BZ1092"/>
      <c r="CA1092"/>
      <c r="CB1092"/>
      <c r="CC1092"/>
      <c r="CD1092"/>
      <c r="CE1092"/>
      <c r="CF1092"/>
      <c r="CG1092"/>
      <c r="CH1092"/>
      <c r="CI1092"/>
      <c r="CJ1092"/>
      <c r="CK1092"/>
      <c r="CL1092"/>
      <c r="CM1092"/>
      <c r="CN1092"/>
      <c r="CO1092"/>
      <c r="CP1092"/>
      <c r="CQ1092"/>
      <c r="CR1092"/>
      <c r="CS1092"/>
      <c r="CT1092"/>
      <c r="CU1092"/>
      <c r="CV1092"/>
      <c r="CW1092"/>
      <c r="CX1092"/>
      <c r="CY1092"/>
      <c r="CZ1092"/>
      <c r="DA1092"/>
      <c r="DB1092"/>
      <c r="DC1092"/>
      <c r="DD1092"/>
      <c r="DE1092"/>
      <c r="DF1092"/>
      <c r="DG1092"/>
      <c r="DH1092"/>
      <c r="DI1092"/>
      <c r="DJ1092"/>
      <c r="DK1092"/>
      <c r="DL1092"/>
      <c r="DM1092"/>
      <c r="DN1092"/>
      <c r="DO1092"/>
      <c r="DP1092"/>
      <c r="DQ1092"/>
      <c r="DR1092"/>
      <c r="DS1092"/>
      <c r="DT1092"/>
      <c r="DU1092"/>
      <c r="DV1092"/>
      <c r="DW1092"/>
      <c r="DX1092"/>
      <c r="DY1092"/>
      <c r="DZ1092"/>
      <c r="EA1092"/>
      <c r="EB1092"/>
      <c r="EC1092"/>
      <c r="ED1092"/>
      <c r="EE1092"/>
      <c r="EF1092"/>
      <c r="EG1092"/>
      <c r="EH1092"/>
      <c r="EI1092"/>
      <c r="EJ1092"/>
      <c r="EK1092"/>
      <c r="EL1092"/>
      <c r="EM1092"/>
      <c r="EN1092"/>
      <c r="EO1092"/>
      <c r="EP1092"/>
      <c r="EQ1092"/>
    </row>
    <row r="1093" spans="1:147" ht="16.5" customHeight="1" x14ac:dyDescent="0.25">
      <c r="A1093" s="113">
        <f>$A$1065+27</f>
        <v>265</v>
      </c>
      <c r="B1093" s="113" t="s">
        <v>1025</v>
      </c>
      <c r="C1093" s="113" t="s">
        <v>92</v>
      </c>
      <c r="D1093" s="113"/>
      <c r="E1093" s="113"/>
      <c r="F1093" s="113" t="s">
        <v>576</v>
      </c>
      <c r="G1093" s="113" t="s">
        <v>406</v>
      </c>
      <c r="H1093" s="113"/>
      <c r="I1093" s="113"/>
      <c r="J1093" s="113" t="b">
        <f t="shared" si="185"/>
        <v>1</v>
      </c>
      <c r="K1093" s="113" t="b">
        <v>1</v>
      </c>
      <c r="L1093" s="113"/>
      <c r="M1093" s="113"/>
      <c r="N1093" s="113"/>
      <c r="O1093" s="113" t="str">
        <f t="shared" si="177"/>
        <v>$B$265</v>
      </c>
      <c r="P1093" s="113" t="str">
        <f t="shared" si="178"/>
        <v>$BK$265</v>
      </c>
      <c r="Q1093" s="113"/>
      <c r="R1093" s="113"/>
      <c r="S1093" s="113"/>
      <c r="T1093" s="113"/>
      <c r="U1093" s="113"/>
      <c r="V1093" s="113" t="s">
        <v>1342</v>
      </c>
      <c r="W1093" s="113"/>
      <c r="X1093" s="113"/>
      <c r="Y1093" s="113"/>
      <c r="Z1093" s="113"/>
      <c r="AA1093" s="113"/>
      <c r="AB1093" s="113"/>
      <c r="AC1093" s="113"/>
      <c r="AD1093" s="113"/>
      <c r="AE1093" s="113"/>
      <c r="AF1093" s="113"/>
      <c r="AG1093" s="113"/>
      <c r="AH1093" s="113"/>
      <c r="AI1093" s="113"/>
      <c r="AJ1093" s="113"/>
      <c r="AK1093" s="113"/>
      <c r="AL1093" s="113">
        <v>1</v>
      </c>
      <c r="AM1093" s="113"/>
      <c r="AN1093" s="113"/>
      <c r="AO1093" s="113"/>
      <c r="AP1093" s="113" t="b">
        <v>1</v>
      </c>
      <c r="AQ1093" s="132" t="s">
        <v>460</v>
      </c>
      <c r="AR1093" s="79" t="s">
        <v>1182</v>
      </c>
      <c r="AS1093" s="191">
        <f ca="1">SUM(AU1093:CZ1093)</f>
        <v>0</v>
      </c>
      <c r="AT1093" s="274" t="str">
        <f ca="1">IFERROR(AS1100/AS1106,"-")</f>
        <v>-</v>
      </c>
      <c r="AU1093" s="191">
        <f ca="1">SUMIFS(IF(MasterSheet_f_FP_CfgGroup1R3_VS,IF(MasterSheet_f_FP_CfgGroup2R2_VS,ProgramudgifterC!$P:$P,ProgramudgifterC!$O:$O),IF(MasterSheet_f_FP_CfgGroup2R2_VS,ProjektudgifterC!$P:$P,ProjektudgifterC!$O:$O)),IF(MasterSheet_f_FP_CfgGroup1R3_VS,ProgramudgifterC!$E:$E,ProjektudgifterC!$E:$E),OFFSET(Businesscasen_f_BCM_subcat16_Table1_start,0,COLUMN()-COLUMN(Businesscasen_f_BCM_subcat16_Table1_start)),IF(MasterSheet_f_FP_CfgGroup1R3_VS,ProgramudgifterC!$C:$C,ProjektudgifterC!$C:$C),OFFSET(Businesscasen_f_BCM_subcat16_Table1_start,ROW()-ROW(Businesscasen_f_BCM_subcat16_Table1_start),1))/1000</f>
        <v>0</v>
      </c>
      <c r="AV1093" s="191">
        <f ca="1">SUMIFS(IF(MasterSheet_f_FP_CfgGroup1R3_VS,IF(MasterSheet_f_FP_CfgGroup2R2_VS,ProgramudgifterC!$P:$P,ProgramudgifterC!$O:$O),IF(MasterSheet_f_FP_CfgGroup2R2_VS,ProjektudgifterC!$P:$P,ProjektudgifterC!$O:$O)),IF(MasterSheet_f_FP_CfgGroup1R3_VS,ProgramudgifterC!$E:$E,ProjektudgifterC!$E:$E),OFFSET(Businesscasen_f_BCM_subcat16_Table1_start,0,COLUMN()-COLUMN(Businesscasen_f_BCM_subcat16_Table1_start)),IF(MasterSheet_f_FP_CfgGroup1R3_VS,ProgramudgifterC!$C:$C,ProjektudgifterC!$C:$C),OFFSET(Businesscasen_f_BCM_subcat16_Table1_start,ROW()-ROW(Businesscasen_f_BCM_subcat16_Table1_start),1))/1000</f>
        <v>0</v>
      </c>
      <c r="AW1093"/>
      <c r="AX1093"/>
      <c r="AY1093"/>
      <c r="AZ1093"/>
      <c r="BA1093"/>
      <c r="BB1093"/>
      <c r="BC1093"/>
      <c r="BD1093"/>
      <c r="BE1093"/>
      <c r="BF1093"/>
      <c r="BG1093"/>
      <c r="BH1093"/>
      <c r="BI1093"/>
      <c r="BJ1093"/>
      <c r="BK1093"/>
      <c r="BL1093"/>
      <c r="BM1093"/>
      <c r="BN1093"/>
      <c r="BO1093"/>
      <c r="BP1093"/>
      <c r="BQ1093"/>
      <c r="BR1093"/>
      <c r="BS1093"/>
      <c r="BT1093"/>
      <c r="BU1093"/>
      <c r="BV1093"/>
      <c r="BW1093"/>
      <c r="BX1093"/>
      <c r="BY1093"/>
      <c r="BZ1093"/>
      <c r="CA1093"/>
      <c r="CB1093"/>
      <c r="CC1093"/>
      <c r="CD1093"/>
      <c r="CE1093"/>
      <c r="CF1093"/>
      <c r="CG1093"/>
      <c r="CH1093"/>
      <c r="CI1093"/>
      <c r="CJ1093"/>
      <c r="CK1093"/>
      <c r="CL1093"/>
      <c r="CM1093"/>
      <c r="CN1093"/>
      <c r="CO1093"/>
      <c r="CP1093"/>
      <c r="CQ1093"/>
      <c r="CR1093"/>
      <c r="CS1093"/>
      <c r="CT1093"/>
      <c r="CU1093"/>
      <c r="CV1093"/>
      <c r="CW1093"/>
      <c r="CX1093"/>
      <c r="CY1093"/>
      <c r="CZ1093"/>
      <c r="DA1093"/>
      <c r="DB1093"/>
      <c r="DC1093"/>
      <c r="DD1093"/>
      <c r="DE1093"/>
      <c r="DF1093"/>
      <c r="DG1093"/>
      <c r="DH1093"/>
      <c r="DI1093"/>
      <c r="DJ1093"/>
      <c r="DK1093"/>
      <c r="DL1093"/>
      <c r="DM1093"/>
      <c r="DN1093"/>
      <c r="DO1093"/>
      <c r="DP1093"/>
      <c r="DQ1093"/>
      <c r="DR1093"/>
      <c r="DS1093"/>
      <c r="DT1093"/>
      <c r="DU1093"/>
      <c r="DV1093"/>
      <c r="DW1093"/>
      <c r="DX1093"/>
      <c r="DY1093"/>
      <c r="DZ1093"/>
      <c r="EA1093"/>
      <c r="EB1093"/>
      <c r="EC1093"/>
      <c r="ED1093"/>
      <c r="EE1093"/>
      <c r="EF1093"/>
      <c r="EG1093"/>
      <c r="EH1093"/>
      <c r="EI1093"/>
      <c r="EJ1093"/>
      <c r="EK1093"/>
      <c r="EL1093"/>
      <c r="EM1093"/>
      <c r="EN1093"/>
      <c r="EO1093"/>
      <c r="EP1093"/>
      <c r="EQ1093"/>
    </row>
    <row r="1094" spans="1:147" ht="16.5" customHeight="1" x14ac:dyDescent="0.25">
      <c r="A1094" s="113">
        <f>$A$1065+28</f>
        <v>266</v>
      </c>
      <c r="B1094" s="113" t="s">
        <v>1026</v>
      </c>
      <c r="C1094" s="113" t="s">
        <v>92</v>
      </c>
      <c r="D1094" s="113"/>
      <c r="E1094" s="113"/>
      <c r="F1094" s="113" t="s">
        <v>576</v>
      </c>
      <c r="G1094" s="113" t="s">
        <v>406</v>
      </c>
      <c r="H1094" s="113"/>
      <c r="I1094" s="113"/>
      <c r="J1094" s="113" t="b">
        <f t="shared" si="185"/>
        <v>1</v>
      </c>
      <c r="K1094" s="113" t="b">
        <v>1</v>
      </c>
      <c r="L1094" s="113"/>
      <c r="M1094" s="113"/>
      <c r="N1094" s="113"/>
      <c r="O1094" s="113" t="str">
        <f t="shared" si="177"/>
        <v>$B$266</v>
      </c>
      <c r="P1094" s="113" t="str">
        <f t="shared" si="178"/>
        <v>$BK$266</v>
      </c>
      <c r="Q1094" s="113"/>
      <c r="R1094" s="113"/>
      <c r="S1094" s="113"/>
      <c r="T1094" s="113"/>
      <c r="U1094" s="113"/>
      <c r="V1094" s="113" t="s">
        <v>1342</v>
      </c>
      <c r="W1094" s="113"/>
      <c r="X1094" s="113"/>
      <c r="Y1094" s="113"/>
      <c r="Z1094" s="113"/>
      <c r="AA1094" s="113"/>
      <c r="AB1094" s="113"/>
      <c r="AC1094" s="113"/>
      <c r="AD1094" s="113"/>
      <c r="AE1094" s="113"/>
      <c r="AF1094" s="113"/>
      <c r="AG1094" s="113"/>
      <c r="AH1094" s="113"/>
      <c r="AI1094" s="113"/>
      <c r="AJ1094" s="113"/>
      <c r="AK1094" s="113"/>
      <c r="AL1094" s="113">
        <v>1</v>
      </c>
      <c r="AM1094" s="113"/>
      <c r="AN1094" s="113"/>
      <c r="AO1094" s="113"/>
      <c r="AP1094" s="113" t="b">
        <v>1</v>
      </c>
      <c r="AQ1094" s="132" t="s">
        <v>461</v>
      </c>
      <c r="AR1094" s="79" t="s">
        <v>1486</v>
      </c>
      <c r="AS1094" s="191">
        <f ca="1">SUM(AU1094:CZ1094)</f>
        <v>0</v>
      </c>
      <c r="AT1094" s="274" t="str">
        <f ca="1">IFERROR(AS1100/AS1107,"-")</f>
        <v>-</v>
      </c>
      <c r="AU1094" s="191">
        <f ca="1">SUMIFS(IF(MasterSheet_f_FP_CfgGroup1R3_VS,IF(MasterSheet_f_FP_CfgGroup2R2_VS,ProgramudgifterC!$P:$P,ProgramudgifterC!$O:$O),IF(MasterSheet_f_FP_CfgGroup2R2_VS,ProjektudgifterC!$P:$P,ProjektudgifterC!$O:$O)),IF(MasterSheet_f_FP_CfgGroup1R3_VS,ProgramudgifterC!$E:$E,ProjektudgifterC!$E:$E),OFFSET(Businesscasen_f_BCM_subcat16_Table1_start,0,COLUMN()-COLUMN(Businesscasen_f_BCM_subcat16_Table1_start)),IF(MasterSheet_f_FP_CfgGroup1R3_VS,ProgramudgifterC!$C:$C,ProjektudgifterC!$C:$C),OFFSET(Businesscasen_f_BCM_subcat16_Table1_start,ROW()-ROW(Businesscasen_f_BCM_subcat16_Table1_start),1))/1000</f>
        <v>0</v>
      </c>
      <c r="AV1094" s="191">
        <f ca="1">SUMIFS(IF(MasterSheet_f_FP_CfgGroup1R3_VS,IF(MasterSheet_f_FP_CfgGroup2R2_VS,ProgramudgifterC!$P:$P,ProgramudgifterC!$O:$O),IF(MasterSheet_f_FP_CfgGroup2R2_VS,ProjektudgifterC!$P:$P,ProjektudgifterC!$O:$O)),IF(MasterSheet_f_FP_CfgGroup1R3_VS,ProgramudgifterC!$E:$E,ProjektudgifterC!$E:$E),OFFSET(Businesscasen_f_BCM_subcat16_Table1_start,0,COLUMN()-COLUMN(Businesscasen_f_BCM_subcat16_Table1_start)),IF(MasterSheet_f_FP_CfgGroup1R3_VS,ProgramudgifterC!$C:$C,ProjektudgifterC!$C:$C),OFFSET(Businesscasen_f_BCM_subcat16_Table1_start,ROW()-ROW(Businesscasen_f_BCM_subcat16_Table1_start),1))/1000</f>
        <v>0</v>
      </c>
      <c r="AW1094"/>
      <c r="AX1094"/>
      <c r="AY1094"/>
      <c r="AZ1094"/>
      <c r="BA1094"/>
      <c r="BB1094"/>
      <c r="BC1094"/>
      <c r="BD1094"/>
      <c r="BE1094"/>
      <c r="BF1094"/>
      <c r="BG1094"/>
      <c r="BH1094"/>
      <c r="BI1094"/>
      <c r="BJ1094"/>
      <c r="BK1094"/>
      <c r="BL1094"/>
      <c r="BM1094"/>
      <c r="BN1094"/>
      <c r="BO1094"/>
      <c r="BP1094"/>
      <c r="BQ1094"/>
      <c r="BR1094"/>
      <c r="BS1094"/>
      <c r="BT1094"/>
      <c r="BU1094"/>
      <c r="BV1094"/>
      <c r="BW1094"/>
      <c r="BX1094"/>
      <c r="BY1094"/>
      <c r="BZ1094"/>
      <c r="CA1094"/>
      <c r="CB1094"/>
      <c r="CC1094"/>
      <c r="CD1094"/>
      <c r="CE1094"/>
      <c r="CF1094"/>
      <c r="CG1094"/>
      <c r="CH1094"/>
      <c r="CI1094"/>
      <c r="CJ1094"/>
      <c r="CK1094"/>
      <c r="CL1094"/>
      <c r="CM1094"/>
      <c r="CN1094"/>
      <c r="CO1094"/>
      <c r="CP1094"/>
      <c r="CQ1094"/>
      <c r="CR1094"/>
      <c r="CS1094"/>
      <c r="CT1094"/>
      <c r="CU1094"/>
      <c r="CV1094"/>
      <c r="CW1094"/>
      <c r="CX1094"/>
      <c r="CY1094"/>
      <c r="CZ1094"/>
      <c r="DA1094"/>
      <c r="DB1094"/>
      <c r="DC1094"/>
      <c r="DD1094"/>
      <c r="DE1094"/>
      <c r="DF1094"/>
      <c r="DG1094"/>
      <c r="DH1094"/>
      <c r="DI1094"/>
      <c r="DJ1094"/>
      <c r="DK1094"/>
      <c r="DL1094"/>
      <c r="DM1094"/>
      <c r="DN1094"/>
      <c r="DO1094"/>
      <c r="DP1094"/>
      <c r="DQ1094"/>
      <c r="DR1094"/>
      <c r="DS1094"/>
      <c r="DT1094"/>
      <c r="DU1094"/>
      <c r="DV1094"/>
      <c r="DW1094"/>
      <c r="DX1094"/>
      <c r="DY1094"/>
      <c r="DZ1094"/>
      <c r="EA1094"/>
      <c r="EB1094"/>
      <c r="EC1094"/>
      <c r="ED1094"/>
      <c r="EE1094"/>
      <c r="EF1094"/>
      <c r="EG1094"/>
      <c r="EH1094"/>
      <c r="EI1094"/>
      <c r="EJ1094"/>
      <c r="EK1094"/>
      <c r="EL1094"/>
      <c r="EM1094"/>
      <c r="EN1094"/>
      <c r="EO1094"/>
      <c r="EP1094"/>
      <c r="EQ1094"/>
    </row>
    <row r="1095" spans="1:147" ht="16.5" customHeight="1" x14ac:dyDescent="0.25">
      <c r="A1095" s="113">
        <f>$A$1065+29</f>
        <v>267</v>
      </c>
      <c r="B1095" s="113" t="s">
        <v>1027</v>
      </c>
      <c r="C1095" s="113" t="s">
        <v>92</v>
      </c>
      <c r="D1095" s="113"/>
      <c r="E1095" s="113"/>
      <c r="F1095" s="113" t="s">
        <v>576</v>
      </c>
      <c r="G1095" s="113" t="s">
        <v>406</v>
      </c>
      <c r="H1095" s="113"/>
      <c r="I1095" s="113"/>
      <c r="J1095" s="113" t="b">
        <f t="shared" si="185"/>
        <v>1</v>
      </c>
      <c r="K1095" s="113" t="b">
        <v>1</v>
      </c>
      <c r="L1095" s="113"/>
      <c r="M1095" s="113"/>
      <c r="N1095" s="113"/>
      <c r="O1095" s="113" t="str">
        <f t="shared" si="177"/>
        <v>$B$267</v>
      </c>
      <c r="P1095" s="113" t="str">
        <f t="shared" si="178"/>
        <v>$BK$267</v>
      </c>
      <c r="Q1095" s="113"/>
      <c r="R1095" s="113"/>
      <c r="S1095" s="113"/>
      <c r="T1095" s="113"/>
      <c r="U1095" s="113"/>
      <c r="V1095" s="113" t="s">
        <v>1342</v>
      </c>
      <c r="W1095" s="113"/>
      <c r="X1095" s="113"/>
      <c r="Y1095" s="113"/>
      <c r="Z1095" s="113"/>
      <c r="AA1095" s="113"/>
      <c r="AB1095" s="113"/>
      <c r="AC1095" s="113"/>
      <c r="AD1095" s="113"/>
      <c r="AE1095" s="113"/>
      <c r="AF1095" s="113"/>
      <c r="AG1095" s="113"/>
      <c r="AH1095" s="113"/>
      <c r="AI1095" s="113"/>
      <c r="AJ1095" s="113"/>
      <c r="AK1095" s="113"/>
      <c r="AL1095" s="113">
        <v>1</v>
      </c>
      <c r="AM1095" s="113"/>
      <c r="AN1095" s="113"/>
      <c r="AO1095" s="113"/>
      <c r="AP1095" s="113" t="b">
        <v>1</v>
      </c>
      <c r="AQ1095" s="132"/>
      <c r="AR1095" s="79"/>
      <c r="AS1095" s="191"/>
      <c r="AT1095" s="274"/>
      <c r="AU1095" s="191"/>
      <c r="AV1095" s="191"/>
      <c r="AW1095"/>
      <c r="AX1095"/>
      <c r="AY1095"/>
      <c r="AZ1095"/>
      <c r="BA1095"/>
      <c r="BB1095"/>
      <c r="BC1095"/>
      <c r="BD1095"/>
      <c r="BE1095"/>
      <c r="BF1095"/>
      <c r="BG1095"/>
      <c r="BH1095"/>
      <c r="BI1095"/>
      <c r="BJ1095"/>
      <c r="BK1095"/>
      <c r="BL1095"/>
      <c r="BM1095"/>
      <c r="BN1095"/>
      <c r="BO1095"/>
      <c r="BP1095"/>
      <c r="BQ1095"/>
      <c r="BR1095"/>
      <c r="BS1095"/>
      <c r="BT1095"/>
      <c r="BU1095"/>
      <c r="BV1095"/>
      <c r="BW1095"/>
      <c r="BX1095"/>
      <c r="BY1095"/>
      <c r="BZ1095"/>
      <c r="CA1095"/>
      <c r="CB1095"/>
      <c r="CC1095"/>
      <c r="CD1095"/>
      <c r="CE1095"/>
      <c r="CF1095"/>
      <c r="CG1095"/>
      <c r="CH1095"/>
      <c r="CI1095"/>
      <c r="CJ1095"/>
      <c r="CK1095"/>
      <c r="CL1095"/>
      <c r="CM1095"/>
      <c r="CN1095"/>
      <c r="CO1095"/>
      <c r="CP1095"/>
      <c r="CQ1095"/>
      <c r="CR1095"/>
      <c r="CS1095"/>
      <c r="CT1095"/>
      <c r="CU1095"/>
      <c r="CV1095"/>
      <c r="CW1095"/>
      <c r="CX1095"/>
      <c r="CY1095"/>
      <c r="CZ1095"/>
      <c r="DA1095"/>
      <c r="DB1095"/>
      <c r="DC1095"/>
      <c r="DD1095"/>
      <c r="DE1095"/>
      <c r="DF1095"/>
      <c r="DG1095"/>
      <c r="DH1095"/>
      <c r="DI1095"/>
      <c r="DJ1095"/>
      <c r="DK1095"/>
      <c r="DL1095"/>
      <c r="DM1095"/>
      <c r="DN1095"/>
      <c r="DO1095"/>
      <c r="DP1095"/>
      <c r="DQ1095"/>
      <c r="DR1095"/>
      <c r="DS1095"/>
      <c r="DT1095"/>
      <c r="DU1095"/>
      <c r="DV1095"/>
      <c r="DW1095"/>
      <c r="DX1095"/>
      <c r="DY1095"/>
      <c r="DZ1095"/>
      <c r="EA1095"/>
      <c r="EB1095"/>
      <c r="EC1095"/>
      <c r="ED1095"/>
      <c r="EE1095"/>
      <c r="EF1095"/>
      <c r="EG1095"/>
      <c r="EH1095"/>
      <c r="EI1095"/>
      <c r="EJ1095"/>
      <c r="EK1095"/>
      <c r="EL1095"/>
      <c r="EM1095"/>
      <c r="EN1095"/>
      <c r="EO1095"/>
      <c r="EP1095"/>
      <c r="EQ1095"/>
    </row>
    <row r="1096" spans="1:147" ht="16.5" customHeight="1" x14ac:dyDescent="0.25">
      <c r="A1096" s="113">
        <f>$A$1065+30</f>
        <v>268</v>
      </c>
      <c r="B1096" s="113" t="s">
        <v>1028</v>
      </c>
      <c r="C1096" s="113" t="s">
        <v>92</v>
      </c>
      <c r="D1096" s="113"/>
      <c r="E1096" s="113"/>
      <c r="F1096" s="113" t="s">
        <v>576</v>
      </c>
      <c r="G1096" s="113" t="s">
        <v>406</v>
      </c>
      <c r="H1096" s="113"/>
      <c r="I1096" s="113"/>
      <c r="J1096" s="113" t="b">
        <f t="shared" si="185"/>
        <v>1</v>
      </c>
      <c r="K1096" s="113" t="b">
        <v>1</v>
      </c>
      <c r="L1096" s="113"/>
      <c r="M1096" s="113"/>
      <c r="N1096" s="113"/>
      <c r="O1096" s="113" t="str">
        <f t="shared" si="177"/>
        <v>$B$268</v>
      </c>
      <c r="P1096" s="113" t="str">
        <f t="shared" si="178"/>
        <v>$BK$268</v>
      </c>
      <c r="Q1096" s="113"/>
      <c r="R1096" s="113"/>
      <c r="S1096" s="113"/>
      <c r="T1096" s="113"/>
      <c r="U1096" s="113"/>
      <c r="V1096" s="113" t="s">
        <v>1342</v>
      </c>
      <c r="W1096" s="113"/>
      <c r="X1096" s="113"/>
      <c r="Y1096" s="113"/>
      <c r="Z1096" s="113"/>
      <c r="AA1096" s="113"/>
      <c r="AB1096" s="113"/>
      <c r="AC1096" s="113"/>
      <c r="AD1096" s="113"/>
      <c r="AE1096" s="113"/>
      <c r="AF1096" s="113"/>
      <c r="AG1096" s="113"/>
      <c r="AH1096" s="113"/>
      <c r="AI1096" s="113"/>
      <c r="AJ1096" s="113"/>
      <c r="AK1096" s="113"/>
      <c r="AL1096" s="113">
        <v>1</v>
      </c>
      <c r="AM1096" s="113"/>
      <c r="AN1096" s="113"/>
      <c r="AO1096" s="113"/>
      <c r="AP1096" s="113" t="b">
        <v>1</v>
      </c>
      <c r="AQ1096" s="161" t="s">
        <v>462</v>
      </c>
      <c r="AR1096" s="80"/>
      <c r="AS1096" s="191">
        <f ca="1">SUM(AU1096:CZ1096)</f>
        <v>0</v>
      </c>
      <c r="AT1096" s="274" t="str">
        <f ca="1">IFERROR(AS1100/AS1109,"-")</f>
        <v>-</v>
      </c>
      <c r="AU1096" s="191">
        <f ca="1">SUM(AU1097:AU1098)</f>
        <v>0</v>
      </c>
      <c r="AV1096" s="191">
        <f t="shared" ref="AV1096" ca="1" si="187">SUM(AV1097:AV1098)</f>
        <v>0</v>
      </c>
      <c r="AW1096"/>
      <c r="AX1096"/>
      <c r="AY1096"/>
      <c r="AZ1096"/>
      <c r="BA1096"/>
      <c r="BB1096"/>
      <c r="BC1096"/>
      <c r="BD1096"/>
      <c r="BE1096"/>
      <c r="BF1096"/>
      <c r="BG1096"/>
      <c r="BH1096"/>
      <c r="BI1096"/>
      <c r="BJ1096"/>
      <c r="BK1096"/>
      <c r="BL1096"/>
      <c r="BM1096"/>
      <c r="BN1096"/>
      <c r="BO1096"/>
      <c r="BP1096"/>
      <c r="BQ1096"/>
      <c r="BR1096"/>
      <c r="BS1096"/>
      <c r="BT1096"/>
      <c r="BU1096"/>
      <c r="BV1096"/>
      <c r="BW1096"/>
      <c r="BX1096"/>
      <c r="BY1096"/>
      <c r="BZ1096"/>
      <c r="CA1096"/>
      <c r="CB1096"/>
      <c r="CC1096"/>
      <c r="CD1096"/>
      <c r="CE1096"/>
      <c r="CF1096"/>
      <c r="CG1096"/>
      <c r="CH1096"/>
      <c r="CI1096"/>
      <c r="CJ1096"/>
      <c r="CK1096"/>
      <c r="CL1096"/>
      <c r="CM1096"/>
      <c r="CN1096"/>
      <c r="CO1096"/>
      <c r="CP1096"/>
      <c r="CQ1096"/>
      <c r="CR1096"/>
      <c r="CS1096"/>
      <c r="CT1096"/>
      <c r="CU1096"/>
      <c r="CV1096"/>
      <c r="CW1096"/>
      <c r="CX1096"/>
      <c r="CY1096"/>
      <c r="CZ1096"/>
      <c r="DA1096"/>
      <c r="DB1096"/>
      <c r="DC1096"/>
      <c r="DD1096"/>
      <c r="DE1096"/>
      <c r="DF1096"/>
      <c r="DG1096"/>
      <c r="DH1096"/>
      <c r="DI1096"/>
      <c r="DJ1096"/>
      <c r="DK1096"/>
      <c r="DL1096"/>
      <c r="DM1096"/>
      <c r="DN1096"/>
      <c r="DO1096"/>
      <c r="DP1096"/>
      <c r="DQ1096"/>
      <c r="DR1096"/>
      <c r="DS1096"/>
      <c r="DT1096"/>
      <c r="DU1096"/>
      <c r="DV1096"/>
      <c r="DW1096"/>
      <c r="DX1096"/>
      <c r="DY1096"/>
      <c r="DZ1096"/>
      <c r="EA1096"/>
      <c r="EB1096"/>
      <c r="EC1096"/>
      <c r="ED1096"/>
      <c r="EE1096"/>
      <c r="EF1096"/>
      <c r="EG1096"/>
      <c r="EH1096"/>
      <c r="EI1096"/>
      <c r="EJ1096"/>
      <c r="EK1096"/>
      <c r="EL1096"/>
      <c r="EM1096"/>
      <c r="EN1096"/>
      <c r="EO1096"/>
      <c r="EP1096"/>
      <c r="EQ1096"/>
    </row>
    <row r="1097" spans="1:147" ht="16.5" customHeight="1" x14ac:dyDescent="0.25">
      <c r="A1097" s="113">
        <f>$A$1065+31</f>
        <v>269</v>
      </c>
      <c r="B1097" s="113" t="s">
        <v>1029</v>
      </c>
      <c r="C1097" s="113" t="s">
        <v>92</v>
      </c>
      <c r="D1097" s="113"/>
      <c r="E1097" s="113"/>
      <c r="F1097" s="113" t="s">
        <v>576</v>
      </c>
      <c r="G1097" s="113" t="s">
        <v>406</v>
      </c>
      <c r="H1097" s="113"/>
      <c r="I1097" s="113"/>
      <c r="J1097" s="113" t="b">
        <f t="shared" si="185"/>
        <v>1</v>
      </c>
      <c r="K1097" s="113" t="b">
        <v>1</v>
      </c>
      <c r="L1097" s="113"/>
      <c r="M1097" s="113"/>
      <c r="N1097" s="113"/>
      <c r="O1097" s="113" t="str">
        <f t="shared" si="177"/>
        <v>$B$269</v>
      </c>
      <c r="P1097" s="113" t="str">
        <f t="shared" si="178"/>
        <v>$BK$269</v>
      </c>
      <c r="Q1097" s="113"/>
      <c r="R1097" s="113"/>
      <c r="S1097" s="113"/>
      <c r="T1097" s="113"/>
      <c r="U1097" s="113"/>
      <c r="V1097" s="113" t="s">
        <v>1342</v>
      </c>
      <c r="W1097" s="113"/>
      <c r="X1097" s="113"/>
      <c r="Y1097" s="113"/>
      <c r="Z1097" s="113"/>
      <c r="AA1097" s="113"/>
      <c r="AB1097" s="113"/>
      <c r="AC1097" s="113"/>
      <c r="AD1097" s="113"/>
      <c r="AE1097" s="113"/>
      <c r="AF1097" s="113"/>
      <c r="AG1097" s="113"/>
      <c r="AH1097" s="113"/>
      <c r="AI1097" s="113"/>
      <c r="AJ1097" s="113"/>
      <c r="AK1097" s="113"/>
      <c r="AL1097" s="113">
        <v>1</v>
      </c>
      <c r="AM1097" s="113"/>
      <c r="AN1097" s="113"/>
      <c r="AO1097" s="113"/>
      <c r="AP1097" s="113" t="b">
        <v>1</v>
      </c>
      <c r="AQ1097" s="132" t="s">
        <v>84</v>
      </c>
      <c r="AR1097" s="79" t="s">
        <v>84</v>
      </c>
      <c r="AS1097" s="191">
        <f ca="1">SUM(AU1097:CZ1097)</f>
        <v>0</v>
      </c>
      <c r="AT1097" s="274" t="str">
        <f ca="1">IFERROR(AS1100/AS1110,"-")</f>
        <v>-</v>
      </c>
      <c r="AU1097" s="191">
        <f ca="1">SUMIFS(IF(MasterSheet_f_FP_CfgGroup1R3_VS,IF(MasterSheet_f_FP_CfgGroup2R2_VS,ProgramudgifterC!$P:$P,ProgramudgifterC!$O:$O),IF(MasterSheet_f_FP_CfgGroup2R2_VS,ProjektudgifterC!$P:$P,ProjektudgifterC!$O:$O)),IF(MasterSheet_f_FP_CfgGroup1R3_VS,ProgramudgifterC!$E:$E,ProjektudgifterC!$E:$E),OFFSET(Businesscasen_f_BCM_subcat16_Table1_start,0,COLUMN()-COLUMN(Businesscasen_f_BCM_subcat16_Table1_start)),IF(MasterSheet_f_FP_CfgGroup1R3_VS,ProgramudgifterC!$C:$C,ProjektudgifterC!$C:$C),OFFSET(Businesscasen_f_BCM_subcat16_Table1_start,ROW()-ROW(Businesscasen_f_BCM_subcat16_Table1_start),1))/1000</f>
        <v>0</v>
      </c>
      <c r="AV1097" s="191">
        <f ca="1">SUMIFS(IF(MasterSheet_f_FP_CfgGroup1R3_VS,IF(MasterSheet_f_FP_CfgGroup2R2_VS,ProgramudgifterC!$P:$P,ProgramudgifterC!$O:$O),IF(MasterSheet_f_FP_CfgGroup2R2_VS,ProjektudgifterC!$P:$P,ProjektudgifterC!$O:$O)),IF(MasterSheet_f_FP_CfgGroup1R3_VS,ProgramudgifterC!$E:$E,ProjektudgifterC!$E:$E),OFFSET(Businesscasen_f_BCM_subcat16_Table1_start,0,COLUMN()-COLUMN(Businesscasen_f_BCM_subcat16_Table1_start)),IF(MasterSheet_f_FP_CfgGroup1R3_VS,ProgramudgifterC!$C:$C,ProjektudgifterC!$C:$C),OFFSET(Businesscasen_f_BCM_subcat16_Table1_start,ROW()-ROW(Businesscasen_f_BCM_subcat16_Table1_start),1))/1000</f>
        <v>0</v>
      </c>
      <c r="AW1097"/>
      <c r="AX1097"/>
      <c r="AY1097"/>
      <c r="AZ1097"/>
      <c r="BA1097"/>
      <c r="BB1097"/>
      <c r="BC1097"/>
      <c r="BD1097"/>
      <c r="BE1097"/>
      <c r="BF1097"/>
      <c r="BG1097"/>
      <c r="BH1097"/>
      <c r="BI1097"/>
      <c r="BJ1097"/>
      <c r="BK1097"/>
      <c r="BL1097"/>
      <c r="BM1097"/>
      <c r="BN1097"/>
      <c r="BO1097"/>
      <c r="BP1097"/>
      <c r="BQ1097"/>
      <c r="BR1097"/>
      <c r="BS1097"/>
      <c r="BT1097"/>
      <c r="BU1097"/>
      <c r="BV1097"/>
      <c r="BW1097"/>
      <c r="BX1097"/>
      <c r="BY1097"/>
      <c r="BZ1097"/>
      <c r="CA1097"/>
      <c r="CB1097"/>
      <c r="CC1097"/>
      <c r="CD1097"/>
      <c r="CE1097"/>
      <c r="CF1097"/>
      <c r="CG1097"/>
      <c r="CH1097"/>
      <c r="CI1097"/>
      <c r="CJ1097"/>
      <c r="CK1097"/>
      <c r="CL1097"/>
      <c r="CM1097"/>
      <c r="CN1097"/>
      <c r="CO1097"/>
      <c r="CP1097"/>
      <c r="CQ1097"/>
      <c r="CR1097"/>
      <c r="CS1097"/>
      <c r="CT1097"/>
      <c r="CU1097"/>
      <c r="CV1097"/>
      <c r="CW1097"/>
      <c r="CX1097"/>
      <c r="CY1097"/>
      <c r="CZ1097"/>
      <c r="DA1097"/>
      <c r="DB1097"/>
      <c r="DC1097"/>
      <c r="DD1097"/>
      <c r="DE1097"/>
      <c r="DF1097"/>
      <c r="DG1097"/>
      <c r="DH1097"/>
      <c r="DI1097"/>
      <c r="DJ1097"/>
      <c r="DK1097"/>
      <c r="DL1097"/>
      <c r="DM1097"/>
      <c r="DN1097"/>
      <c r="DO1097"/>
      <c r="DP1097"/>
      <c r="DQ1097"/>
      <c r="DR1097"/>
      <c r="DS1097"/>
      <c r="DT1097"/>
      <c r="DU1097"/>
      <c r="DV1097"/>
      <c r="DW1097"/>
      <c r="DX1097"/>
      <c r="DY1097"/>
      <c r="DZ1097"/>
      <c r="EA1097"/>
      <c r="EB1097"/>
      <c r="EC1097"/>
      <c r="ED1097"/>
      <c r="EE1097"/>
      <c r="EF1097"/>
      <c r="EG1097"/>
      <c r="EH1097"/>
      <c r="EI1097"/>
      <c r="EJ1097"/>
      <c r="EK1097"/>
      <c r="EL1097"/>
      <c r="EM1097"/>
      <c r="EN1097"/>
      <c r="EO1097"/>
      <c r="EP1097"/>
      <c r="EQ1097"/>
    </row>
    <row r="1098" spans="1:147" ht="16.5" customHeight="1" x14ac:dyDescent="0.25">
      <c r="A1098" s="113">
        <f>$A$1065+32</f>
        <v>270</v>
      </c>
      <c r="B1098" s="113" t="s">
        <v>1030</v>
      </c>
      <c r="C1098" s="113" t="s">
        <v>92</v>
      </c>
      <c r="D1098" s="113"/>
      <c r="E1098" s="113"/>
      <c r="F1098" s="113" t="s">
        <v>576</v>
      </c>
      <c r="G1098" s="113" t="s">
        <v>406</v>
      </c>
      <c r="H1098" s="113"/>
      <c r="I1098" s="113"/>
      <c r="J1098" s="113" t="b">
        <f t="shared" si="185"/>
        <v>1</v>
      </c>
      <c r="K1098" s="113" t="b">
        <v>1</v>
      </c>
      <c r="L1098" s="113"/>
      <c r="M1098" s="113"/>
      <c r="N1098" s="113"/>
      <c r="O1098" s="113" t="str">
        <f t="shared" si="177"/>
        <v>$B$270</v>
      </c>
      <c r="P1098" s="113" t="str">
        <f t="shared" si="178"/>
        <v>$BK$270</v>
      </c>
      <c r="Q1098" s="113"/>
      <c r="R1098" s="113"/>
      <c r="S1098" s="113"/>
      <c r="T1098" s="113"/>
      <c r="U1098" s="113"/>
      <c r="V1098" s="113" t="s">
        <v>1342</v>
      </c>
      <c r="W1098" s="113"/>
      <c r="X1098" s="113"/>
      <c r="Y1098" s="113"/>
      <c r="Z1098" s="113"/>
      <c r="AA1098" s="113"/>
      <c r="AB1098" s="113"/>
      <c r="AC1098" s="113"/>
      <c r="AD1098" s="113"/>
      <c r="AE1098" s="113"/>
      <c r="AF1098" s="113"/>
      <c r="AG1098" s="113"/>
      <c r="AH1098" s="113"/>
      <c r="AI1098" s="113"/>
      <c r="AJ1098" s="113"/>
      <c r="AK1098" s="113"/>
      <c r="AL1098" s="113">
        <v>1</v>
      </c>
      <c r="AM1098" s="113"/>
      <c r="AN1098" s="113"/>
      <c r="AO1098" s="113"/>
      <c r="AP1098" s="113" t="b">
        <v>1</v>
      </c>
      <c r="AQ1098" s="132" t="s">
        <v>463</v>
      </c>
      <c r="AR1098" s="79" t="s">
        <v>85</v>
      </c>
      <c r="AS1098" s="191">
        <f ca="1">SUM(AU1098:CZ1098)</f>
        <v>0</v>
      </c>
      <c r="AT1098" s="274" t="str">
        <f ca="1">IFERROR(AS1100/AS1111,"-")</f>
        <v>-</v>
      </c>
      <c r="AU1098" s="191">
        <f ca="1">SUMIFS(IF(MasterSheet_f_FP_CfgGroup1R3_VS,IF(MasterSheet_f_FP_CfgGroup2R2_VS,ProgramudgifterC!$P:$P,ProgramudgifterC!$O:$O),IF(MasterSheet_f_FP_CfgGroup2R2_VS,ProjektudgifterC!$P:$P,ProjektudgifterC!$O:$O)),IF(MasterSheet_f_FP_CfgGroup1R3_VS,ProgramudgifterC!$E:$E,ProjektudgifterC!$E:$E),OFFSET(Businesscasen_f_BCM_subcat16_Table1_start,0,COLUMN()-COLUMN(Businesscasen_f_BCM_subcat16_Table1_start)),IF(MasterSheet_f_FP_CfgGroup1R3_VS,ProgramudgifterC!$C:$C,ProjektudgifterC!$C:$C),OFFSET(Businesscasen_f_BCM_subcat16_Table1_start,ROW()-ROW(Businesscasen_f_BCM_subcat16_Table1_start),1))/1000</f>
        <v>0</v>
      </c>
      <c r="AV1098" s="191">
        <f ca="1">SUMIFS(IF(MasterSheet_f_FP_CfgGroup1R3_VS,IF(MasterSheet_f_FP_CfgGroup2R2_VS,ProgramudgifterC!$P:$P,ProgramudgifterC!$O:$O),IF(MasterSheet_f_FP_CfgGroup2R2_VS,ProjektudgifterC!$P:$P,ProjektudgifterC!$O:$O)),IF(MasterSheet_f_FP_CfgGroup1R3_VS,ProgramudgifterC!$E:$E,ProjektudgifterC!$E:$E),OFFSET(Businesscasen_f_BCM_subcat16_Table1_start,0,COLUMN()-COLUMN(Businesscasen_f_BCM_subcat16_Table1_start)),IF(MasterSheet_f_FP_CfgGroup1R3_VS,ProgramudgifterC!$C:$C,ProjektudgifterC!$C:$C),OFFSET(Businesscasen_f_BCM_subcat16_Table1_start,ROW()-ROW(Businesscasen_f_BCM_subcat16_Table1_start),1))/1000</f>
        <v>0</v>
      </c>
      <c r="AW1098"/>
      <c r="AX1098"/>
      <c r="AY1098"/>
      <c r="AZ1098"/>
      <c r="BA1098"/>
      <c r="BB1098"/>
      <c r="BC1098"/>
      <c r="BD1098"/>
      <c r="BE1098"/>
      <c r="BF1098"/>
      <c r="BG1098"/>
      <c r="BH1098"/>
      <c r="BI1098"/>
      <c r="BJ1098"/>
      <c r="BK1098"/>
      <c r="BL1098"/>
      <c r="BM1098"/>
      <c r="BN1098"/>
      <c r="BO1098"/>
      <c r="BP1098"/>
      <c r="BQ1098"/>
      <c r="BR1098"/>
      <c r="BS1098"/>
      <c r="BT1098"/>
      <c r="BU1098"/>
      <c r="BV1098"/>
      <c r="BW1098"/>
      <c r="BX1098"/>
      <c r="BY1098"/>
      <c r="BZ1098"/>
      <c r="CA1098"/>
      <c r="CB1098"/>
      <c r="CC1098"/>
      <c r="CD1098"/>
      <c r="CE1098"/>
      <c r="CF1098"/>
      <c r="CG1098"/>
      <c r="CH1098"/>
      <c r="CI1098"/>
      <c r="CJ1098"/>
      <c r="CK1098"/>
      <c r="CL1098"/>
      <c r="CM1098"/>
      <c r="CN1098"/>
      <c r="CO1098"/>
      <c r="CP1098"/>
      <c r="CQ1098"/>
      <c r="CR1098"/>
      <c r="CS1098"/>
      <c r="CT1098"/>
      <c r="CU1098"/>
      <c r="CV1098"/>
      <c r="CW1098"/>
      <c r="CX1098"/>
      <c r="CY1098"/>
      <c r="CZ1098"/>
      <c r="DA1098"/>
      <c r="DB1098"/>
      <c r="DC1098"/>
      <c r="DD1098"/>
      <c r="DE1098"/>
      <c r="DF1098"/>
      <c r="DG1098"/>
      <c r="DH1098"/>
      <c r="DI1098"/>
      <c r="DJ1098"/>
      <c r="DK1098"/>
      <c r="DL1098"/>
      <c r="DM1098"/>
      <c r="DN1098"/>
      <c r="DO1098"/>
      <c r="DP1098"/>
      <c r="DQ1098"/>
      <c r="DR1098"/>
      <c r="DS1098"/>
      <c r="DT1098"/>
      <c r="DU1098"/>
      <c r="DV1098"/>
      <c r="DW1098"/>
      <c r="DX1098"/>
      <c r="DY1098"/>
      <c r="DZ1098"/>
      <c r="EA1098"/>
      <c r="EB1098"/>
      <c r="EC1098"/>
      <c r="ED1098"/>
      <c r="EE1098"/>
      <c r="EF1098"/>
      <c r="EG1098"/>
      <c r="EH1098"/>
      <c r="EI1098"/>
      <c r="EJ1098"/>
      <c r="EK1098"/>
      <c r="EL1098"/>
      <c r="EM1098"/>
      <c r="EN1098"/>
      <c r="EO1098"/>
      <c r="EP1098"/>
      <c r="EQ1098"/>
    </row>
    <row r="1099" spans="1:147" ht="16.5" customHeight="1" x14ac:dyDescent="0.25">
      <c r="A1099" s="113">
        <f>$A$1065+33</f>
        <v>271</v>
      </c>
      <c r="B1099" s="113" t="s">
        <v>1031</v>
      </c>
      <c r="C1099" s="113" t="s">
        <v>92</v>
      </c>
      <c r="D1099" s="113"/>
      <c r="E1099" s="113"/>
      <c r="F1099" s="113" t="s">
        <v>576</v>
      </c>
      <c r="G1099" s="113" t="s">
        <v>406</v>
      </c>
      <c r="H1099" s="113"/>
      <c r="I1099" s="113"/>
      <c r="J1099" s="113" t="b">
        <f t="shared" si="185"/>
        <v>1</v>
      </c>
      <c r="K1099" s="113" t="b">
        <v>1</v>
      </c>
      <c r="L1099" s="113"/>
      <c r="M1099" s="113"/>
      <c r="N1099" s="113"/>
      <c r="O1099" s="113" t="str">
        <f t="shared" si="177"/>
        <v>$B$271</v>
      </c>
      <c r="P1099" s="113" t="str">
        <f t="shared" si="178"/>
        <v>$BK$271</v>
      </c>
      <c r="Q1099" s="113"/>
      <c r="R1099" s="113"/>
      <c r="S1099" s="113"/>
      <c r="T1099" s="113"/>
      <c r="U1099" s="113"/>
      <c r="V1099" s="113" t="s">
        <v>1342</v>
      </c>
      <c r="W1099" s="113"/>
      <c r="X1099" s="113"/>
      <c r="Y1099" s="113"/>
      <c r="Z1099" s="113"/>
      <c r="AA1099" s="113"/>
      <c r="AB1099" s="113"/>
      <c r="AC1099" s="113"/>
      <c r="AD1099" s="113"/>
      <c r="AE1099" s="113"/>
      <c r="AF1099" s="113"/>
      <c r="AG1099" s="113"/>
      <c r="AH1099" s="113"/>
      <c r="AI1099" s="113"/>
      <c r="AJ1099" s="113"/>
      <c r="AK1099" s="113"/>
      <c r="AL1099" s="113">
        <v>1</v>
      </c>
      <c r="AM1099" s="113"/>
      <c r="AN1099" s="113"/>
      <c r="AO1099" s="113"/>
      <c r="AP1099" s="113" t="b">
        <v>1</v>
      </c>
      <c r="AQ1099" s="132"/>
      <c r="AR1099" s="133"/>
      <c r="AS1099" s="191"/>
      <c r="AT1099" s="274"/>
      <c r="AU1099" s="191"/>
      <c r="AV1099" s="191"/>
      <c r="AW1099"/>
      <c r="AX1099"/>
      <c r="AY1099"/>
      <c r="AZ1099"/>
      <c r="BA1099"/>
      <c r="BB1099"/>
      <c r="BC1099"/>
      <c r="BD1099"/>
      <c r="BE1099"/>
      <c r="BF1099"/>
      <c r="BG1099"/>
      <c r="BH1099"/>
      <c r="BI1099"/>
      <c r="BJ1099"/>
      <c r="BK1099"/>
      <c r="BL1099"/>
      <c r="BM1099"/>
      <c r="BN1099"/>
      <c r="BO1099"/>
      <c r="BP1099"/>
      <c r="BQ1099"/>
      <c r="BR1099"/>
      <c r="BS1099"/>
      <c r="BT1099"/>
      <c r="BU1099"/>
      <c r="BV1099"/>
      <c r="BW1099"/>
      <c r="BX1099"/>
      <c r="BY1099"/>
      <c r="BZ1099"/>
      <c r="CA1099"/>
      <c r="CB1099"/>
      <c r="CC1099"/>
      <c r="CD1099"/>
      <c r="CE1099"/>
      <c r="CF1099"/>
      <c r="CG1099"/>
      <c r="CH1099"/>
      <c r="CI1099"/>
      <c r="CJ1099"/>
      <c r="CK1099"/>
      <c r="CL1099"/>
      <c r="CM1099"/>
      <c r="CN1099"/>
      <c r="CO1099"/>
      <c r="CP1099"/>
      <c r="CQ1099"/>
      <c r="CR1099"/>
      <c r="CS1099"/>
      <c r="CT1099"/>
      <c r="CU1099"/>
      <c r="CV1099"/>
      <c r="CW1099"/>
      <c r="CX1099"/>
      <c r="CY1099"/>
      <c r="CZ1099"/>
      <c r="DA1099"/>
      <c r="DB1099"/>
      <c r="DC1099"/>
      <c r="DD1099"/>
      <c r="DE1099"/>
      <c r="DF1099"/>
      <c r="DG1099"/>
      <c r="DH1099"/>
      <c r="DI1099"/>
      <c r="DJ1099"/>
      <c r="DK1099"/>
      <c r="DL1099"/>
      <c r="DM1099"/>
      <c r="DN1099"/>
      <c r="DO1099"/>
      <c r="DP1099"/>
      <c r="DQ1099"/>
      <c r="DR1099"/>
      <c r="DS1099"/>
      <c r="DT1099"/>
      <c r="DU1099"/>
      <c r="DV1099"/>
      <c r="DW1099"/>
      <c r="DX1099"/>
      <c r="DY1099"/>
      <c r="DZ1099"/>
      <c r="EA1099"/>
      <c r="EB1099"/>
      <c r="EC1099"/>
      <c r="ED1099"/>
      <c r="EE1099"/>
      <c r="EF1099"/>
      <c r="EG1099"/>
      <c r="EH1099"/>
      <c r="EI1099"/>
      <c r="EJ1099"/>
      <c r="EK1099"/>
      <c r="EL1099"/>
      <c r="EM1099"/>
      <c r="EN1099"/>
      <c r="EO1099"/>
      <c r="EP1099"/>
      <c r="EQ1099"/>
    </row>
    <row r="1100" spans="1:147" ht="16.5" customHeight="1" x14ac:dyDescent="0.25">
      <c r="A1100" s="113">
        <f>$A$1065+34</f>
        <v>272</v>
      </c>
      <c r="B1100" s="113" t="s">
        <v>1032</v>
      </c>
      <c r="C1100" s="113" t="s">
        <v>92</v>
      </c>
      <c r="D1100" s="113"/>
      <c r="E1100" s="113"/>
      <c r="F1100" s="113" t="s">
        <v>576</v>
      </c>
      <c r="G1100" s="113" t="s">
        <v>406</v>
      </c>
      <c r="H1100" s="113"/>
      <c r="I1100" s="113"/>
      <c r="J1100" s="113" t="b">
        <f t="shared" si="185"/>
        <v>1</v>
      </c>
      <c r="K1100" s="113" t="b">
        <v>1</v>
      </c>
      <c r="L1100" s="113"/>
      <c r="M1100" s="113"/>
      <c r="N1100" s="113"/>
      <c r="O1100" s="113" t="str">
        <f t="shared" si="177"/>
        <v>$B$272</v>
      </c>
      <c r="P1100" s="113" t="str">
        <f t="shared" si="178"/>
        <v>$BK$272</v>
      </c>
      <c r="Q1100" s="113"/>
      <c r="R1100" s="113"/>
      <c r="S1100" s="113"/>
      <c r="T1100" s="113"/>
      <c r="U1100" s="113"/>
      <c r="V1100" s="113" t="s">
        <v>1342</v>
      </c>
      <c r="W1100" s="113"/>
      <c r="X1100" s="113"/>
      <c r="Y1100" s="113"/>
      <c r="Z1100" s="113"/>
      <c r="AA1100" s="113"/>
      <c r="AB1100" s="113"/>
      <c r="AC1100" s="113"/>
      <c r="AD1100" s="113"/>
      <c r="AE1100" s="113"/>
      <c r="AF1100" s="113"/>
      <c r="AG1100" s="113"/>
      <c r="AH1100" s="113"/>
      <c r="AI1100" s="113"/>
      <c r="AJ1100" s="113"/>
      <c r="AK1100" s="113"/>
      <c r="AL1100" s="113">
        <v>1</v>
      </c>
      <c r="AM1100" s="113"/>
      <c r="AN1100" s="113"/>
      <c r="AO1100" s="113"/>
      <c r="AP1100" s="113" t="b">
        <v>1</v>
      </c>
      <c r="AQ1100" s="161" t="s">
        <v>453</v>
      </c>
      <c r="AR1100" s="168"/>
      <c r="AS1100" s="191">
        <f ca="1">SUM(AU1100:CZ1100)</f>
        <v>0</v>
      </c>
      <c r="AT1100" s="274" t="str">
        <f ca="1">IFERROR(AS1100/AS1100,"-")</f>
        <v>-</v>
      </c>
      <c r="AU1100" s="191">
        <f ca="1">AU1096+AU1091</f>
        <v>0</v>
      </c>
      <c r="AV1100" s="191">
        <f t="shared" ref="AV1100" ca="1" si="188">AV1096+AV1091</f>
        <v>0</v>
      </c>
      <c r="AW1100"/>
      <c r="AX1100"/>
      <c r="AY1100"/>
      <c r="AZ1100"/>
      <c r="BA1100"/>
      <c r="BB1100"/>
      <c r="BC1100"/>
      <c r="BD1100"/>
      <c r="BE1100"/>
      <c r="BF1100"/>
      <c r="BG1100"/>
      <c r="BH1100"/>
      <c r="BI1100"/>
      <c r="BJ1100"/>
      <c r="BK1100"/>
      <c r="BL1100"/>
      <c r="BM1100"/>
      <c r="BN1100"/>
      <c r="BO1100"/>
      <c r="BP1100"/>
      <c r="BQ1100"/>
      <c r="BR1100"/>
      <c r="BS1100"/>
      <c r="BT1100"/>
      <c r="BU1100"/>
      <c r="BV1100"/>
      <c r="BW1100"/>
      <c r="BX1100"/>
      <c r="BY1100"/>
      <c r="BZ1100"/>
      <c r="CA1100"/>
      <c r="CB1100"/>
      <c r="CC1100"/>
      <c r="CD1100"/>
      <c r="CE1100"/>
      <c r="CF1100"/>
      <c r="CG1100"/>
      <c r="CH1100"/>
      <c r="CI1100"/>
      <c r="CJ1100"/>
      <c r="CK1100"/>
      <c r="CL1100"/>
      <c r="CM1100"/>
      <c r="CN1100"/>
      <c r="CO1100"/>
      <c r="CP1100"/>
      <c r="CQ1100"/>
      <c r="CR1100"/>
      <c r="CS1100"/>
      <c r="CT1100"/>
      <c r="CU1100"/>
      <c r="CV1100"/>
      <c r="CW1100"/>
      <c r="CX1100"/>
      <c r="CY1100"/>
      <c r="CZ1100"/>
      <c r="DA1100"/>
      <c r="DB1100"/>
      <c r="DC1100"/>
      <c r="DD1100"/>
      <c r="DE1100"/>
      <c r="DF1100"/>
      <c r="DG1100"/>
      <c r="DH1100"/>
      <c r="DI1100"/>
      <c r="DJ1100"/>
      <c r="DK1100"/>
      <c r="DL1100"/>
      <c r="DM1100"/>
      <c r="DN1100"/>
      <c r="DO1100"/>
      <c r="DP1100"/>
      <c r="DQ1100"/>
      <c r="DR1100"/>
      <c r="DS1100"/>
      <c r="DT1100"/>
      <c r="DU1100"/>
      <c r="DV1100"/>
      <c r="DW1100"/>
      <c r="DX1100"/>
      <c r="DY1100"/>
      <c r="DZ1100"/>
      <c r="EA1100"/>
      <c r="EB1100"/>
      <c r="EC1100"/>
      <c r="ED1100"/>
      <c r="EE1100"/>
      <c r="EF1100"/>
      <c r="EG1100"/>
      <c r="EH1100"/>
      <c r="EI1100"/>
      <c r="EJ1100"/>
      <c r="EK1100"/>
      <c r="EL1100"/>
      <c r="EM1100"/>
      <c r="EN1100"/>
      <c r="EO1100"/>
      <c r="EP1100"/>
      <c r="EQ1100"/>
    </row>
    <row r="1101" spans="1:147" ht="16.5" customHeight="1" x14ac:dyDescent="0.25">
      <c r="A1101" s="113">
        <f>$A$1065+35</f>
        <v>273</v>
      </c>
      <c r="B1101" s="113" t="s">
        <v>1033</v>
      </c>
      <c r="C1101" s="113" t="s">
        <v>92</v>
      </c>
      <c r="D1101" s="113"/>
      <c r="E1101" s="113"/>
      <c r="F1101" s="113" t="s">
        <v>576</v>
      </c>
      <c r="G1101" s="113" t="s">
        <v>406</v>
      </c>
      <c r="H1101" s="113"/>
      <c r="I1101" s="113"/>
      <c r="J1101" s="113" t="b">
        <f t="shared" si="185"/>
        <v>1</v>
      </c>
      <c r="K1101" s="113" t="b">
        <v>1</v>
      </c>
      <c r="L1101" s="113"/>
      <c r="M1101" s="113"/>
      <c r="N1101" s="113"/>
      <c r="O1101" s="113" t="str">
        <f t="shared" si="177"/>
        <v>$B$273</v>
      </c>
      <c r="P1101" s="113" t="str">
        <f t="shared" si="178"/>
        <v>$BK$273</v>
      </c>
      <c r="Q1101" s="113"/>
      <c r="R1101" s="113"/>
      <c r="S1101" s="113"/>
      <c r="T1101" s="113"/>
      <c r="U1101" s="113"/>
      <c r="V1101" s="113" t="s">
        <v>1342</v>
      </c>
      <c r="W1101" s="113"/>
      <c r="X1101" s="113"/>
      <c r="Y1101" s="113"/>
      <c r="Z1101" s="113"/>
      <c r="AA1101" s="113"/>
      <c r="AB1101" s="113"/>
      <c r="AC1101" s="113"/>
      <c r="AD1101" s="113"/>
      <c r="AE1101" s="113"/>
      <c r="AF1101" s="113"/>
      <c r="AG1101" s="113"/>
      <c r="AH1101" s="113"/>
      <c r="AI1101" s="113"/>
      <c r="AJ1101" s="113"/>
      <c r="AK1101" s="113"/>
      <c r="AL1101" s="113">
        <v>1</v>
      </c>
      <c r="AM1101" s="113"/>
      <c r="AN1101" s="113"/>
      <c r="AO1101" s="113"/>
      <c r="AP1101" s="113" t="b">
        <v>1</v>
      </c>
      <c r="AQ1101" s="132" t="s">
        <v>298</v>
      </c>
      <c r="AR1101" s="133"/>
      <c r="AS1101" s="191">
        <f ca="1">SUM(AU1101:CZ1101)</f>
        <v>0</v>
      </c>
      <c r="AT1101" s="274"/>
      <c r="AU1101" s="191">
        <f t="shared" ref="AU1101:AV1101" ca="1" si="189">OFFSET(Businesscasen_f_BCM_subcat18_Table1_start,15,COLUMN()-COLUMN(Businesscasen_f_BCM_subcat18_Table1_start))/1000</f>
        <v>0</v>
      </c>
      <c r="AV1101" s="191">
        <f t="shared" ca="1" si="189"/>
        <v>0</v>
      </c>
      <c r="AW1101"/>
      <c r="AX1101"/>
      <c r="AY1101"/>
      <c r="AZ1101"/>
      <c r="BA1101"/>
      <c r="BB1101"/>
      <c r="BC1101"/>
      <c r="BD1101"/>
      <c r="BE1101"/>
      <c r="BF1101"/>
      <c r="BG1101"/>
      <c r="BH1101"/>
      <c r="BI1101"/>
      <c r="BJ1101"/>
      <c r="BK1101"/>
      <c r="BL1101"/>
      <c r="BM1101"/>
      <c r="BN1101"/>
      <c r="BO1101"/>
      <c r="BP1101"/>
      <c r="BQ1101"/>
      <c r="BR1101"/>
      <c r="BS1101"/>
      <c r="BT1101"/>
      <c r="BU1101"/>
      <c r="BV1101"/>
      <c r="BW1101"/>
      <c r="BX1101"/>
      <c r="BY1101"/>
      <c r="BZ1101"/>
      <c r="CA1101"/>
      <c r="CB1101"/>
      <c r="CC1101"/>
      <c r="CD1101"/>
      <c r="CE1101"/>
      <c r="CF1101"/>
      <c r="CG1101"/>
      <c r="CH1101"/>
      <c r="CI1101"/>
      <c r="CJ1101"/>
      <c r="CK1101"/>
      <c r="CL1101"/>
      <c r="CM1101"/>
      <c r="CN1101"/>
      <c r="CO1101"/>
      <c r="CP1101"/>
      <c r="CQ1101"/>
      <c r="CR1101"/>
      <c r="CS1101"/>
      <c r="CT1101"/>
      <c r="CU1101"/>
      <c r="CV1101"/>
      <c r="CW1101"/>
      <c r="CX1101"/>
      <c r="CY1101"/>
      <c r="CZ1101"/>
      <c r="DA1101"/>
      <c r="DB1101"/>
      <c r="DC1101"/>
      <c r="DD1101"/>
      <c r="DE1101"/>
      <c r="DF1101"/>
      <c r="DG1101"/>
      <c r="DH1101"/>
      <c r="DI1101"/>
      <c r="DJ1101"/>
      <c r="DK1101"/>
      <c r="DL1101"/>
      <c r="DM1101"/>
      <c r="DN1101"/>
      <c r="DO1101"/>
      <c r="DP1101"/>
      <c r="DQ1101"/>
      <c r="DR1101"/>
      <c r="DS1101"/>
      <c r="DT1101"/>
      <c r="DU1101"/>
      <c r="DV1101"/>
      <c r="DW1101"/>
      <c r="DX1101"/>
      <c r="DY1101"/>
      <c r="DZ1101"/>
      <c r="EA1101"/>
      <c r="EB1101"/>
      <c r="EC1101"/>
      <c r="ED1101"/>
      <c r="EE1101"/>
      <c r="EF1101"/>
      <c r="EG1101"/>
      <c r="EH1101"/>
      <c r="EI1101"/>
      <c r="EJ1101"/>
      <c r="EK1101"/>
      <c r="EL1101"/>
      <c r="EM1101"/>
      <c r="EN1101"/>
      <c r="EO1101"/>
      <c r="EP1101"/>
      <c r="EQ1101"/>
    </row>
    <row r="1102" spans="1:147" ht="16.5" customHeight="1" x14ac:dyDescent="0.25">
      <c r="A1102" s="113">
        <f>$A$1065+36</f>
        <v>274</v>
      </c>
      <c r="B1102" s="113" t="s">
        <v>1034</v>
      </c>
      <c r="C1102" s="113" t="s">
        <v>92</v>
      </c>
      <c r="D1102" s="113"/>
      <c r="E1102" s="113"/>
      <c r="F1102" s="113" t="s">
        <v>576</v>
      </c>
      <c r="G1102" s="113" t="s">
        <v>406</v>
      </c>
      <c r="H1102" s="113"/>
      <c r="I1102" s="113"/>
      <c r="J1102" s="113" t="b">
        <f t="shared" si="185"/>
        <v>1</v>
      </c>
      <c r="K1102" s="113" t="b">
        <v>1</v>
      </c>
      <c r="L1102" s="113"/>
      <c r="M1102" s="113"/>
      <c r="N1102" s="113"/>
      <c r="O1102" s="113" t="str">
        <f t="shared" si="177"/>
        <v>$B$274</v>
      </c>
      <c r="P1102" s="113" t="str">
        <f t="shared" si="178"/>
        <v>$BK$274</v>
      </c>
      <c r="Q1102" s="113"/>
      <c r="R1102" s="113"/>
      <c r="S1102" s="113"/>
      <c r="T1102" s="113"/>
      <c r="U1102" s="113"/>
      <c r="V1102" s="113" t="s">
        <v>1342</v>
      </c>
      <c r="W1102" s="113"/>
      <c r="X1102" s="113"/>
      <c r="Y1102" s="113"/>
      <c r="Z1102" s="113"/>
      <c r="AA1102" s="113"/>
      <c r="AB1102" s="113"/>
      <c r="AC1102" s="113"/>
      <c r="AD1102" s="113"/>
      <c r="AE1102" s="113"/>
      <c r="AF1102" s="113"/>
      <c r="AG1102" s="113"/>
      <c r="AH1102" s="113"/>
      <c r="AI1102" s="113"/>
      <c r="AJ1102" s="113"/>
      <c r="AK1102" s="113"/>
      <c r="AL1102" s="113">
        <v>1</v>
      </c>
      <c r="AM1102" s="113"/>
      <c r="AN1102" s="113"/>
      <c r="AO1102" s="113"/>
      <c r="AP1102" s="113" t="b">
        <v>1</v>
      </c>
      <c r="AQ1102" s="132" t="s">
        <v>464</v>
      </c>
      <c r="AR1102" s="133"/>
      <c r="AS1102" s="191">
        <f ca="1">SUM(AU1102:CZ1102)</f>
        <v>0</v>
      </c>
      <c r="AT1102" s="274" t="str">
        <f ca="1">IFERROR(AS1102/AS1100,"-")</f>
        <v>-</v>
      </c>
      <c r="AU1102" s="191">
        <f ca="1">AU1100-AU1101</f>
        <v>0</v>
      </c>
      <c r="AV1102" s="191">
        <f t="shared" ref="AV1102" ca="1" si="190">AV1100-AV1101</f>
        <v>0</v>
      </c>
      <c r="AW1102"/>
      <c r="AX1102"/>
      <c r="AY1102"/>
      <c r="AZ1102"/>
      <c r="BA1102"/>
      <c r="BB1102"/>
      <c r="BC1102"/>
      <c r="BD1102"/>
      <c r="BE1102"/>
      <c r="BF1102"/>
      <c r="BG1102"/>
      <c r="BH1102"/>
      <c r="BI1102"/>
      <c r="BJ1102"/>
      <c r="BK1102"/>
      <c r="BL1102"/>
      <c r="BM1102"/>
      <c r="BN1102"/>
      <c r="BO1102"/>
      <c r="BP1102"/>
      <c r="BQ1102"/>
      <c r="BR1102"/>
      <c r="BS1102"/>
      <c r="BT1102"/>
      <c r="BU1102"/>
      <c r="BV1102"/>
      <c r="BW1102"/>
      <c r="BX1102"/>
      <c r="BY1102"/>
      <c r="BZ1102"/>
      <c r="CA1102"/>
      <c r="CB1102"/>
      <c r="CC1102"/>
      <c r="CD1102"/>
      <c r="CE1102"/>
      <c r="CF1102"/>
      <c r="CG1102"/>
      <c r="CH1102"/>
      <c r="CI1102"/>
      <c r="CJ1102"/>
      <c r="CK1102"/>
      <c r="CL1102"/>
      <c r="CM1102"/>
      <c r="CN1102"/>
      <c r="CO1102"/>
      <c r="CP1102"/>
      <c r="CQ1102"/>
      <c r="CR1102"/>
      <c r="CS1102"/>
      <c r="CT1102"/>
      <c r="CU1102"/>
      <c r="CV1102"/>
      <c r="CW1102"/>
      <c r="CX1102"/>
      <c r="CY1102"/>
      <c r="CZ1102"/>
      <c r="DA1102"/>
      <c r="DB1102"/>
      <c r="DC1102"/>
      <c r="DD1102"/>
      <c r="DE1102"/>
      <c r="DF1102"/>
      <c r="DG1102"/>
      <c r="DH1102"/>
      <c r="DI1102"/>
      <c r="DJ1102"/>
      <c r="DK1102"/>
      <c r="DL1102"/>
      <c r="DM1102"/>
      <c r="DN1102"/>
      <c r="DO1102"/>
      <c r="DP1102"/>
      <c r="DQ1102"/>
      <c r="DR1102"/>
      <c r="DS1102"/>
      <c r="DT1102"/>
      <c r="DU1102"/>
      <c r="DV1102"/>
      <c r="DW1102"/>
      <c r="DX1102"/>
      <c r="DY1102"/>
      <c r="DZ1102"/>
      <c r="EA1102"/>
      <c r="EB1102"/>
      <c r="EC1102"/>
      <c r="ED1102"/>
      <c r="EE1102"/>
      <c r="EF1102"/>
      <c r="EG1102"/>
      <c r="EH1102"/>
      <c r="EI1102"/>
      <c r="EJ1102"/>
      <c r="EK1102"/>
      <c r="EL1102"/>
      <c r="EM1102"/>
      <c r="EN1102"/>
      <c r="EO1102"/>
      <c r="EP1102"/>
      <c r="EQ1102"/>
    </row>
    <row r="1103" spans="1:147" ht="16.5" customHeight="1" x14ac:dyDescent="0.25">
      <c r="A1103" s="113">
        <f>$A$1065+37</f>
        <v>275</v>
      </c>
      <c r="B1103" s="113" t="s">
        <v>1035</v>
      </c>
      <c r="C1103" s="113" t="s">
        <v>92</v>
      </c>
      <c r="D1103" s="113"/>
      <c r="E1103" s="113"/>
      <c r="F1103" s="113" t="s">
        <v>576</v>
      </c>
      <c r="G1103" s="113" t="s">
        <v>406</v>
      </c>
      <c r="H1103" s="113"/>
      <c r="I1103" s="113"/>
      <c r="J1103" s="113" t="b">
        <f t="shared" si="185"/>
        <v>1</v>
      </c>
      <c r="K1103" s="113" t="b">
        <v>1</v>
      </c>
      <c r="L1103" s="113"/>
      <c r="M1103" s="113"/>
      <c r="N1103" s="113"/>
      <c r="O1103" s="113" t="str">
        <f t="shared" si="177"/>
        <v>$B$275</v>
      </c>
      <c r="P1103" s="113" t="str">
        <f t="shared" si="178"/>
        <v>$BK$275</v>
      </c>
      <c r="Q1103" s="113"/>
      <c r="R1103" s="113"/>
      <c r="S1103" s="113"/>
      <c r="T1103" s="113"/>
      <c r="U1103" s="113"/>
      <c r="V1103" s="113" t="s">
        <v>1342</v>
      </c>
      <c r="W1103" s="113"/>
      <c r="X1103" s="113"/>
      <c r="Y1103" s="113"/>
      <c r="Z1103" s="113"/>
      <c r="AA1103" s="113"/>
      <c r="AB1103" s="113"/>
      <c r="AC1103" s="113"/>
      <c r="AD1103" s="113"/>
      <c r="AE1103" s="113"/>
      <c r="AF1103" s="113"/>
      <c r="AG1103" s="113"/>
      <c r="AH1103" s="113"/>
      <c r="AI1103" s="113"/>
      <c r="AJ1103" s="113"/>
      <c r="AK1103" s="113"/>
      <c r="AL1103" s="113">
        <v>1</v>
      </c>
      <c r="AM1103" s="113"/>
      <c r="AN1103" s="113"/>
      <c r="AO1103" s="113"/>
      <c r="AP1103" s="113" t="b">
        <v>1</v>
      </c>
      <c r="AQ1103" s="132" t="s">
        <v>465</v>
      </c>
      <c r="AR1103" s="133"/>
      <c r="AS1103" s="191">
        <f ca="1">SUM(AU1103:CZ1103)</f>
        <v>0</v>
      </c>
      <c r="AT1103" s="274"/>
      <c r="AU1103" s="191">
        <f t="shared" ref="AU1103:AV1103" ca="1" si="191">OFFSET(Businesscasen_f_BCM_subcat18_Table1_start,17,COLUMN()-COLUMN(Businesscasen_f_BCM_subcat18_Table1_start))/1000</f>
        <v>0</v>
      </c>
      <c r="AV1103" s="191">
        <f t="shared" ca="1" si="191"/>
        <v>0</v>
      </c>
      <c r="AW1103"/>
      <c r="AX1103"/>
      <c r="AY1103"/>
      <c r="AZ1103"/>
      <c r="BA1103"/>
      <c r="BB1103"/>
      <c r="BC1103"/>
      <c r="BD1103"/>
      <c r="BE1103"/>
      <c r="BF1103"/>
      <c r="BG1103"/>
      <c r="BH1103"/>
      <c r="BI1103"/>
      <c r="BJ1103"/>
      <c r="BK1103"/>
      <c r="BL1103"/>
      <c r="BM1103"/>
      <c r="BN1103"/>
      <c r="BO1103"/>
      <c r="BP1103"/>
      <c r="BQ1103"/>
      <c r="BR1103"/>
      <c r="BS1103"/>
      <c r="BT1103"/>
      <c r="BU1103"/>
      <c r="BV1103"/>
      <c r="BW1103"/>
      <c r="BX1103"/>
      <c r="BY1103"/>
      <c r="BZ1103"/>
      <c r="CA1103"/>
      <c r="CB1103"/>
      <c r="CC1103"/>
      <c r="CD1103"/>
      <c r="CE1103"/>
      <c r="CF1103"/>
      <c r="CG1103"/>
      <c r="CH1103"/>
      <c r="CI1103"/>
      <c r="CJ1103"/>
      <c r="CK1103"/>
      <c r="CL1103"/>
      <c r="CM1103"/>
      <c r="CN1103"/>
      <c r="CO1103"/>
      <c r="CP1103"/>
      <c r="CQ1103"/>
      <c r="CR1103"/>
      <c r="CS1103"/>
      <c r="CT1103"/>
      <c r="CU1103"/>
      <c r="CV1103"/>
      <c r="CW1103"/>
      <c r="CX1103"/>
      <c r="CY1103"/>
      <c r="CZ1103"/>
      <c r="DA1103"/>
      <c r="DB1103"/>
      <c r="DC1103"/>
      <c r="DD1103"/>
      <c r="DE1103"/>
      <c r="DF1103"/>
      <c r="DG1103"/>
      <c r="DH1103"/>
      <c r="DI1103"/>
      <c r="DJ1103"/>
      <c r="DK1103"/>
      <c r="DL1103"/>
      <c r="DM1103"/>
      <c r="DN1103"/>
      <c r="DO1103"/>
      <c r="DP1103"/>
      <c r="DQ1103"/>
      <c r="DR1103"/>
      <c r="DS1103"/>
      <c r="DT1103"/>
      <c r="DU1103"/>
      <c r="DV1103"/>
      <c r="DW1103"/>
      <c r="DX1103"/>
      <c r="DY1103"/>
      <c r="DZ1103"/>
      <c r="EA1103"/>
      <c r="EB1103"/>
      <c r="EC1103"/>
      <c r="ED1103"/>
      <c r="EE1103"/>
      <c r="EF1103"/>
      <c r="EG1103"/>
      <c r="EH1103"/>
      <c r="EI1103"/>
      <c r="EJ1103"/>
      <c r="EK1103"/>
      <c r="EL1103"/>
      <c r="EM1103"/>
      <c r="EN1103"/>
      <c r="EO1103"/>
      <c r="EP1103"/>
      <c r="EQ1103"/>
    </row>
    <row r="1104" spans="1:147" ht="16.5" customHeight="1" x14ac:dyDescent="0.25">
      <c r="A1104" s="113">
        <f>$A$1065+38</f>
        <v>276</v>
      </c>
      <c r="B1104" s="113" t="s">
        <v>1036</v>
      </c>
      <c r="C1104" s="113" t="s">
        <v>92</v>
      </c>
      <c r="D1104" s="113"/>
      <c r="E1104" s="113"/>
      <c r="F1104" s="113" t="s">
        <v>576</v>
      </c>
      <c r="G1104" s="113" t="s">
        <v>406</v>
      </c>
      <c r="H1104" s="113"/>
      <c r="I1104" s="113"/>
      <c r="J1104" s="113" t="b">
        <f t="shared" si="185"/>
        <v>1</v>
      </c>
      <c r="K1104" s="113" t="b">
        <v>1</v>
      </c>
      <c r="L1104" s="113"/>
      <c r="M1104" s="113"/>
      <c r="N1104" s="113"/>
      <c r="O1104" s="113" t="str">
        <f t="shared" si="177"/>
        <v>$B$276</v>
      </c>
      <c r="P1104" s="113" t="str">
        <f t="shared" si="178"/>
        <v>$BK$276</v>
      </c>
      <c r="Q1104" s="113"/>
      <c r="R1104" s="113"/>
      <c r="S1104" s="113"/>
      <c r="T1104" s="113"/>
      <c r="U1104" s="113"/>
      <c r="V1104" s="113" t="s">
        <v>1342</v>
      </c>
      <c r="W1104" s="113"/>
      <c r="X1104" s="113"/>
      <c r="Y1104" s="113"/>
      <c r="Z1104" s="113"/>
      <c r="AA1104" s="113"/>
      <c r="AB1104" s="113"/>
      <c r="AC1104" s="113"/>
      <c r="AD1104" s="113"/>
      <c r="AE1104" s="113"/>
      <c r="AF1104" s="113"/>
      <c r="AG1104" s="113"/>
      <c r="AH1104" s="113"/>
      <c r="AI1104" s="113"/>
      <c r="AJ1104" s="113"/>
      <c r="AK1104" s="113"/>
      <c r="AL1104" s="113">
        <v>1</v>
      </c>
      <c r="AM1104" s="113"/>
      <c r="AN1104" s="113"/>
      <c r="AO1104" s="113"/>
      <c r="AP1104" s="113" t="b">
        <v>1</v>
      </c>
      <c r="AQ1104" s="132" t="s">
        <v>466</v>
      </c>
      <c r="AR1104" s="133"/>
      <c r="AS1104" s="191">
        <f ca="1">SUM(AU1104:CZ1104)</f>
        <v>0</v>
      </c>
      <c r="AT1104" s="274"/>
      <c r="AU1104" s="191">
        <f t="shared" ref="AU1104:AV1104" ca="1" si="192">(OFFSET(Businesscasen_f_BCM_subcat18_Table1_start,16,COLUMN(AU1104)-COLUMN(Businesscasen_f_BCM_subcat18_Table1_start)))/1000</f>
        <v>0</v>
      </c>
      <c r="AV1104" s="191">
        <f t="shared" ca="1" si="192"/>
        <v>0</v>
      </c>
      <c r="AW1104"/>
      <c r="AX1104"/>
      <c r="AY1104"/>
      <c r="AZ1104"/>
      <c r="BA1104"/>
      <c r="BB1104"/>
      <c r="BC1104"/>
      <c r="BD1104"/>
      <c r="BE1104"/>
      <c r="BF1104"/>
      <c r="BG1104"/>
      <c r="BH1104"/>
      <c r="BI1104"/>
      <c r="BJ1104"/>
      <c r="BK1104"/>
      <c r="BL1104"/>
      <c r="BM1104"/>
      <c r="BN1104"/>
      <c r="BO1104"/>
      <c r="BP1104"/>
      <c r="BQ1104"/>
      <c r="BR1104"/>
      <c r="BS1104"/>
      <c r="BT1104"/>
      <c r="BU1104"/>
      <c r="BV1104"/>
      <c r="BW1104"/>
      <c r="BX1104"/>
      <c r="BY1104"/>
      <c r="BZ1104"/>
      <c r="CA1104"/>
      <c r="CB1104"/>
      <c r="CC1104"/>
      <c r="CD1104"/>
      <c r="CE1104"/>
      <c r="CF1104"/>
      <c r="CG1104"/>
      <c r="CH1104"/>
      <c r="CI1104"/>
      <c r="CJ1104"/>
      <c r="CK1104"/>
      <c r="CL1104"/>
      <c r="CM1104"/>
      <c r="CN1104"/>
      <c r="CO1104"/>
      <c r="CP1104"/>
      <c r="CQ1104"/>
      <c r="CR1104"/>
      <c r="CS1104"/>
      <c r="CT1104"/>
      <c r="CU1104"/>
      <c r="CV1104"/>
      <c r="CW1104"/>
      <c r="CX1104"/>
      <c r="CY1104"/>
      <c r="CZ1104"/>
      <c r="DA1104"/>
      <c r="DB1104"/>
      <c r="DC1104"/>
      <c r="DD1104"/>
      <c r="DE1104"/>
      <c r="DF1104"/>
      <c r="DG1104"/>
      <c r="DH1104"/>
      <c r="DI1104"/>
      <c r="DJ1104"/>
      <c r="DK1104"/>
      <c r="DL1104"/>
      <c r="DM1104"/>
      <c r="DN1104"/>
      <c r="DO1104"/>
      <c r="DP1104"/>
      <c r="DQ1104"/>
      <c r="DR1104"/>
      <c r="DS1104"/>
      <c r="DT1104"/>
      <c r="DU1104"/>
      <c r="DV1104"/>
      <c r="DW1104"/>
      <c r="DX1104"/>
      <c r="DY1104"/>
      <c r="DZ1104"/>
      <c r="EA1104"/>
      <c r="EB1104"/>
      <c r="EC1104"/>
      <c r="ED1104"/>
      <c r="EE1104"/>
      <c r="EF1104"/>
      <c r="EG1104"/>
      <c r="EH1104"/>
      <c r="EI1104"/>
      <c r="EJ1104"/>
      <c r="EK1104"/>
      <c r="EL1104"/>
      <c r="EM1104"/>
      <c r="EN1104"/>
      <c r="EO1104"/>
      <c r="EP1104"/>
      <c r="EQ1104"/>
    </row>
    <row r="1105" spans="1:147" ht="16.5" customHeight="1" x14ac:dyDescent="0.25">
      <c r="A1105" s="113">
        <f>$A$1065+39</f>
        <v>277</v>
      </c>
      <c r="B1105" s="113" t="s">
        <v>1037</v>
      </c>
      <c r="C1105" s="113" t="s">
        <v>92</v>
      </c>
      <c r="D1105" s="113"/>
      <c r="E1105" s="113"/>
      <c r="F1105" s="113" t="s">
        <v>576</v>
      </c>
      <c r="G1105" s="113" t="s">
        <v>406</v>
      </c>
      <c r="H1105" s="113"/>
      <c r="I1105" s="113"/>
      <c r="J1105" s="113" t="b">
        <f t="shared" si="185"/>
        <v>1</v>
      </c>
      <c r="K1105" s="113" t="b">
        <v>1</v>
      </c>
      <c r="L1105" s="113"/>
      <c r="M1105" s="113"/>
      <c r="N1105" s="113"/>
      <c r="O1105" s="113" t="str">
        <f t="shared" si="177"/>
        <v>$B$277</v>
      </c>
      <c r="P1105" s="113" t="str">
        <f t="shared" si="178"/>
        <v>$BK$277</v>
      </c>
      <c r="Q1105" s="113"/>
      <c r="R1105" s="113"/>
      <c r="S1105" s="113"/>
      <c r="T1105" s="113"/>
      <c r="U1105" s="113"/>
      <c r="V1105" s="113" t="s">
        <v>1342</v>
      </c>
      <c r="W1105" s="113"/>
      <c r="X1105" s="113"/>
      <c r="Y1105" s="113"/>
      <c r="Z1105" s="113"/>
      <c r="AA1105" s="113"/>
      <c r="AB1105" s="113"/>
      <c r="AC1105" s="113"/>
      <c r="AD1105" s="113"/>
      <c r="AE1105" s="113"/>
      <c r="AF1105" s="113"/>
      <c r="AG1105" s="113"/>
      <c r="AH1105" s="113"/>
      <c r="AI1105" s="113"/>
      <c r="AJ1105" s="113"/>
      <c r="AK1105" s="113"/>
      <c r="AL1105" s="113">
        <v>1</v>
      </c>
      <c r="AM1105" s="113"/>
      <c r="AN1105" s="113"/>
      <c r="AO1105" s="113"/>
      <c r="AP1105" s="113" t="b">
        <v>1</v>
      </c>
      <c r="AQ1105" s="132"/>
      <c r="AR1105" s="133"/>
      <c r="AS1105" s="191"/>
      <c r="AT1105" s="274"/>
      <c r="AU1105" s="191"/>
      <c r="AV1105" s="191"/>
      <c r="AW1105"/>
      <c r="AX1105"/>
      <c r="AY1105"/>
      <c r="AZ1105"/>
      <c r="BA1105"/>
      <c r="BB1105"/>
      <c r="BC1105"/>
      <c r="BD1105"/>
      <c r="BE1105"/>
      <c r="BF1105"/>
      <c r="BG1105"/>
      <c r="BH1105"/>
      <c r="BI1105"/>
      <c r="BJ1105"/>
      <c r="BK1105"/>
      <c r="BL1105"/>
      <c r="BM1105"/>
      <c r="BN1105"/>
      <c r="BO1105"/>
      <c r="BP1105"/>
      <c r="BQ1105"/>
      <c r="BR1105"/>
      <c r="BS1105"/>
      <c r="BT1105"/>
      <c r="BU1105"/>
      <c r="BV1105"/>
      <c r="BW1105"/>
      <c r="BX1105"/>
      <c r="BY1105"/>
      <c r="BZ1105"/>
      <c r="CA1105"/>
      <c r="CB1105"/>
      <c r="CC1105"/>
      <c r="CD1105"/>
      <c r="CE1105"/>
      <c r="CF1105"/>
      <c r="CG1105"/>
      <c r="CH1105"/>
      <c r="CI1105"/>
      <c r="CJ1105"/>
      <c r="CK1105"/>
      <c r="CL1105"/>
      <c r="CM1105"/>
      <c r="CN1105"/>
      <c r="CO1105"/>
      <c r="CP1105"/>
      <c r="CQ1105"/>
      <c r="CR1105"/>
      <c r="CS1105"/>
      <c r="CT1105"/>
      <c r="CU1105"/>
      <c r="CV1105"/>
      <c r="CW1105"/>
      <c r="CX1105"/>
      <c r="CY1105"/>
      <c r="CZ1105"/>
      <c r="DA1105"/>
      <c r="DB1105"/>
      <c r="DC1105"/>
      <c r="DD1105"/>
      <c r="DE1105"/>
      <c r="DF1105"/>
      <c r="DG1105"/>
      <c r="DH1105"/>
      <c r="DI1105"/>
      <c r="DJ1105"/>
      <c r="DK1105"/>
      <c r="DL1105"/>
      <c r="DM1105"/>
      <c r="DN1105"/>
      <c r="DO1105"/>
      <c r="DP1105"/>
      <c r="DQ1105"/>
      <c r="DR1105"/>
      <c r="DS1105"/>
      <c r="DT1105"/>
      <c r="DU1105"/>
      <c r="DV1105"/>
      <c r="DW1105"/>
      <c r="DX1105"/>
      <c r="DY1105"/>
      <c r="DZ1105"/>
      <c r="EA1105"/>
      <c r="EB1105"/>
      <c r="EC1105"/>
      <c r="ED1105"/>
      <c r="EE1105"/>
      <c r="EF1105"/>
      <c r="EG1105"/>
      <c r="EH1105"/>
      <c r="EI1105"/>
      <c r="EJ1105"/>
      <c r="EK1105"/>
      <c r="EL1105"/>
      <c r="EM1105"/>
      <c r="EN1105"/>
      <c r="EO1105"/>
      <c r="EP1105"/>
      <c r="EQ1105"/>
    </row>
    <row r="1106" spans="1:147" ht="16.5" customHeight="1" x14ac:dyDescent="0.25">
      <c r="A1106" s="113">
        <f>$A$1065+40</f>
        <v>278</v>
      </c>
      <c r="B1106" s="113" t="s">
        <v>1038</v>
      </c>
      <c r="C1106" s="113" t="s">
        <v>92</v>
      </c>
      <c r="D1106" s="113"/>
      <c r="E1106" s="113"/>
      <c r="F1106" s="113" t="s">
        <v>576</v>
      </c>
      <c r="G1106" s="113" t="s">
        <v>406</v>
      </c>
      <c r="H1106" s="113"/>
      <c r="I1106" s="113"/>
      <c r="J1106" s="113" t="b">
        <f t="shared" si="185"/>
        <v>1</v>
      </c>
      <c r="K1106" s="113" t="b">
        <v>1</v>
      </c>
      <c r="L1106" s="113"/>
      <c r="M1106" s="113"/>
      <c r="N1106" s="113"/>
      <c r="O1106" s="113" t="str">
        <f t="shared" si="177"/>
        <v>$B$278</v>
      </c>
      <c r="P1106" s="113" t="str">
        <f t="shared" si="178"/>
        <v>$BK$278</v>
      </c>
      <c r="Q1106" s="113"/>
      <c r="R1106" s="113"/>
      <c r="S1106" s="113"/>
      <c r="T1106" s="113"/>
      <c r="U1106" s="113"/>
      <c r="V1106" s="113" t="s">
        <v>1342</v>
      </c>
      <c r="W1106" s="113"/>
      <c r="X1106" s="113"/>
      <c r="Y1106" s="113"/>
      <c r="Z1106" s="113"/>
      <c r="AA1106" s="113"/>
      <c r="AB1106" s="113"/>
      <c r="AC1106" s="113"/>
      <c r="AD1106" s="113"/>
      <c r="AE1106" s="113"/>
      <c r="AF1106" s="113"/>
      <c r="AG1106" s="113"/>
      <c r="AH1106" s="113"/>
      <c r="AI1106" s="113"/>
      <c r="AJ1106" s="113"/>
      <c r="AK1106" s="113"/>
      <c r="AL1106" s="113">
        <v>1</v>
      </c>
      <c r="AM1106" s="113"/>
      <c r="AN1106" s="113"/>
      <c r="AO1106" s="113"/>
      <c r="AP1106" s="113" t="b">
        <v>1</v>
      </c>
      <c r="AQ1106" s="161" t="s">
        <v>636</v>
      </c>
      <c r="AR1106" s="168"/>
      <c r="AS1106" s="191"/>
      <c r="AT1106" s="274"/>
      <c r="AU1106" s="191"/>
      <c r="AV1106" s="191"/>
      <c r="AW1106"/>
      <c r="AX1106"/>
      <c r="AY1106"/>
      <c r="AZ1106"/>
      <c r="BA1106"/>
      <c r="BB1106"/>
      <c r="BC1106"/>
      <c r="BD1106"/>
      <c r="BE1106"/>
      <c r="BF1106"/>
      <c r="BG1106"/>
      <c r="BH1106"/>
      <c r="BI1106"/>
      <c r="BJ1106"/>
      <c r="BK1106"/>
      <c r="BL1106"/>
      <c r="BM1106"/>
      <c r="BN1106"/>
      <c r="BO1106"/>
      <c r="BP1106"/>
      <c r="BQ1106"/>
      <c r="BR1106"/>
      <c r="BS1106"/>
      <c r="BT1106"/>
      <c r="BU1106"/>
      <c r="BV1106"/>
      <c r="BW1106"/>
      <c r="BX1106"/>
      <c r="BY1106"/>
      <c r="BZ1106"/>
      <c r="CA1106"/>
      <c r="CB1106"/>
      <c r="CC1106"/>
      <c r="CD1106"/>
      <c r="CE1106"/>
      <c r="CF1106"/>
      <c r="CG1106"/>
      <c r="CH1106"/>
      <c r="CI1106"/>
      <c r="CJ1106"/>
      <c r="CK1106"/>
      <c r="CL1106"/>
      <c r="CM1106"/>
      <c r="CN1106"/>
      <c r="CO1106"/>
      <c r="CP1106"/>
      <c r="CQ1106"/>
      <c r="CR1106"/>
      <c r="CS1106"/>
      <c r="CT1106"/>
      <c r="CU1106"/>
      <c r="CV1106"/>
      <c r="CW1106"/>
      <c r="CX1106"/>
      <c r="CY1106"/>
      <c r="CZ1106"/>
      <c r="DA1106"/>
      <c r="DB1106"/>
      <c r="DC1106"/>
      <c r="DD1106"/>
      <c r="DE1106"/>
      <c r="DF1106"/>
      <c r="DG1106"/>
      <c r="DH1106"/>
      <c r="DI1106"/>
      <c r="DJ1106"/>
      <c r="DK1106"/>
      <c r="DL1106"/>
      <c r="DM1106"/>
      <c r="DN1106"/>
      <c r="DO1106"/>
      <c r="DP1106"/>
      <c r="DQ1106"/>
      <c r="DR1106"/>
      <c r="DS1106"/>
      <c r="DT1106"/>
      <c r="DU1106"/>
      <c r="DV1106"/>
      <c r="DW1106"/>
      <c r="DX1106"/>
      <c r="DY1106"/>
      <c r="DZ1106"/>
      <c r="EA1106"/>
      <c r="EB1106"/>
      <c r="EC1106"/>
      <c r="ED1106"/>
      <c r="EE1106"/>
      <c r="EF1106"/>
      <c r="EG1106"/>
      <c r="EH1106"/>
      <c r="EI1106"/>
      <c r="EJ1106"/>
      <c r="EK1106"/>
      <c r="EL1106"/>
      <c r="EM1106"/>
      <c r="EN1106"/>
      <c r="EO1106"/>
      <c r="EP1106"/>
      <c r="EQ1106"/>
    </row>
    <row r="1107" spans="1:147" ht="16.5" customHeight="1" x14ac:dyDescent="0.25">
      <c r="A1107" s="113">
        <f>$A$1065+41</f>
        <v>279</v>
      </c>
      <c r="B1107" s="113" t="s">
        <v>1039</v>
      </c>
      <c r="C1107" s="113" t="s">
        <v>92</v>
      </c>
      <c r="D1107" s="113"/>
      <c r="E1107" s="113"/>
      <c r="F1107" s="113" t="s">
        <v>576</v>
      </c>
      <c r="G1107" s="113" t="s">
        <v>406</v>
      </c>
      <c r="H1107" s="113"/>
      <c r="I1107" s="113"/>
      <c r="J1107" s="113" t="b">
        <f t="shared" si="185"/>
        <v>1</v>
      </c>
      <c r="K1107" s="113" t="b">
        <v>1</v>
      </c>
      <c r="L1107" s="113"/>
      <c r="M1107" s="113"/>
      <c r="N1107" s="113"/>
      <c r="O1107" s="113" t="str">
        <f t="shared" si="177"/>
        <v>$B$279</v>
      </c>
      <c r="P1107" s="113" t="str">
        <f t="shared" si="178"/>
        <v>$BK$279</v>
      </c>
      <c r="Q1107" s="113"/>
      <c r="R1107" s="113"/>
      <c r="S1107" s="113"/>
      <c r="T1107" s="113"/>
      <c r="U1107" s="113"/>
      <c r="V1107" s="113" t="s">
        <v>1342</v>
      </c>
      <c r="W1107" s="113"/>
      <c r="X1107" s="113"/>
      <c r="Y1107" s="113"/>
      <c r="Z1107" s="113"/>
      <c r="AA1107" s="113"/>
      <c r="AB1107" s="113"/>
      <c r="AC1107" s="113"/>
      <c r="AD1107" s="113"/>
      <c r="AE1107" s="113"/>
      <c r="AF1107" s="113"/>
      <c r="AG1107" s="113"/>
      <c r="AH1107" s="113"/>
      <c r="AI1107" s="113"/>
      <c r="AJ1107" s="113"/>
      <c r="AK1107" s="113"/>
      <c r="AL1107" s="113">
        <v>1</v>
      </c>
      <c r="AM1107" s="113"/>
      <c r="AN1107" s="113"/>
      <c r="AO1107" s="113"/>
      <c r="AP1107" s="113" t="b">
        <v>1</v>
      </c>
      <c r="AQ1107" s="161"/>
      <c r="AR1107" s="168"/>
      <c r="AS1107" s="191"/>
      <c r="AT1107" s="274"/>
      <c r="AU1107" s="191"/>
      <c r="AV1107" s="191"/>
      <c r="AW1107"/>
      <c r="AX1107"/>
      <c r="AY1107"/>
      <c r="AZ1107"/>
      <c r="BA1107"/>
      <c r="BB1107"/>
      <c r="BC1107"/>
      <c r="BD1107"/>
      <c r="BE1107"/>
      <c r="BF1107"/>
      <c r="BG1107"/>
      <c r="BH1107"/>
      <c r="BI1107"/>
      <c r="BJ1107"/>
      <c r="BK1107"/>
      <c r="BL1107"/>
      <c r="BM1107"/>
      <c r="BN1107"/>
      <c r="BO1107"/>
      <c r="BP1107"/>
      <c r="BQ1107"/>
      <c r="BR1107"/>
      <c r="BS1107"/>
      <c r="BT1107"/>
      <c r="BU1107"/>
      <c r="BV1107"/>
      <c r="BW1107"/>
      <c r="BX1107"/>
      <c r="BY1107"/>
      <c r="BZ1107"/>
      <c r="CA1107"/>
      <c r="CB1107"/>
      <c r="CC1107"/>
      <c r="CD1107"/>
      <c r="CE1107"/>
      <c r="CF1107"/>
      <c r="CG1107"/>
      <c r="CH1107"/>
      <c r="CI1107"/>
      <c r="CJ1107"/>
      <c r="CK1107"/>
      <c r="CL1107"/>
      <c r="CM1107"/>
      <c r="CN1107"/>
      <c r="CO1107"/>
      <c r="CP1107"/>
      <c r="CQ1107"/>
      <c r="CR1107"/>
      <c r="CS1107"/>
      <c r="CT1107"/>
      <c r="CU1107"/>
      <c r="CV1107"/>
      <c r="CW1107"/>
      <c r="CX1107"/>
      <c r="CY1107"/>
      <c r="CZ1107"/>
      <c r="DA1107"/>
      <c r="DB1107"/>
      <c r="DC1107"/>
      <c r="DD1107"/>
      <c r="DE1107"/>
      <c r="DF1107"/>
      <c r="DG1107"/>
      <c r="DH1107"/>
      <c r="DI1107"/>
      <c r="DJ1107"/>
      <c r="DK1107"/>
      <c r="DL1107"/>
      <c r="DM1107"/>
      <c r="DN1107"/>
      <c r="DO1107"/>
      <c r="DP1107"/>
      <c r="DQ1107"/>
      <c r="DR1107"/>
      <c r="DS1107"/>
      <c r="DT1107"/>
      <c r="DU1107"/>
      <c r="DV1107"/>
      <c r="DW1107"/>
      <c r="DX1107"/>
      <c r="DY1107"/>
      <c r="DZ1107"/>
      <c r="EA1107"/>
      <c r="EB1107"/>
      <c r="EC1107"/>
      <c r="ED1107"/>
      <c r="EE1107"/>
      <c r="EF1107"/>
      <c r="EG1107"/>
      <c r="EH1107"/>
      <c r="EI1107"/>
      <c r="EJ1107"/>
      <c r="EK1107"/>
      <c r="EL1107"/>
      <c r="EM1107"/>
      <c r="EN1107"/>
      <c r="EO1107"/>
      <c r="EP1107"/>
      <c r="EQ1107"/>
    </row>
    <row r="1108" spans="1:147" ht="16.5" customHeight="1" x14ac:dyDescent="0.25">
      <c r="A1108" s="113">
        <f>$A$1065+42</f>
        <v>280</v>
      </c>
      <c r="B1108" s="113" t="s">
        <v>1040</v>
      </c>
      <c r="C1108" s="113" t="s">
        <v>92</v>
      </c>
      <c r="D1108" s="113"/>
      <c r="E1108" s="113"/>
      <c r="F1108" s="113" t="s">
        <v>576</v>
      </c>
      <c r="G1108" s="113" t="s">
        <v>406</v>
      </c>
      <c r="H1108" s="113"/>
      <c r="I1108" s="113"/>
      <c r="J1108" s="113" t="b">
        <f t="shared" si="185"/>
        <v>1</v>
      </c>
      <c r="K1108" s="113" t="b">
        <v>1</v>
      </c>
      <c r="L1108" s="113"/>
      <c r="M1108" s="113"/>
      <c r="N1108" s="113"/>
      <c r="O1108" s="113" t="str">
        <f t="shared" si="177"/>
        <v>$B$280</v>
      </c>
      <c r="P1108" s="113" t="str">
        <f t="shared" si="178"/>
        <v>$BK$280</v>
      </c>
      <c r="Q1108" s="113"/>
      <c r="R1108" s="113"/>
      <c r="S1108" s="113"/>
      <c r="T1108" s="113"/>
      <c r="U1108" s="113"/>
      <c r="V1108" s="113" t="s">
        <v>1342</v>
      </c>
      <c r="W1108" s="113"/>
      <c r="X1108" s="113"/>
      <c r="Y1108" s="113"/>
      <c r="Z1108" s="113"/>
      <c r="AA1108" s="113"/>
      <c r="AB1108" s="113"/>
      <c r="AC1108" s="113"/>
      <c r="AD1108" s="113"/>
      <c r="AE1108" s="113"/>
      <c r="AF1108" s="113"/>
      <c r="AG1108" s="113"/>
      <c r="AH1108" s="113"/>
      <c r="AI1108" s="113"/>
      <c r="AJ1108" s="113"/>
      <c r="AK1108" s="113"/>
      <c r="AL1108" s="113">
        <v>1</v>
      </c>
      <c r="AM1108" s="113"/>
      <c r="AN1108" s="113"/>
      <c r="AO1108" s="113"/>
      <c r="AP1108" s="113" t="b">
        <v>1</v>
      </c>
      <c r="AQ1108" s="161" t="s">
        <v>453</v>
      </c>
      <c r="AR1108" s="168"/>
      <c r="AS1108" s="191">
        <f ca="1">SUM(AU1108:CZ1108)</f>
        <v>0</v>
      </c>
      <c r="AT1108" s="274" t="str">
        <f ca="1">IFERROR(AS1108/AS1108,"-")</f>
        <v>-</v>
      </c>
      <c r="AU1108" s="191">
        <f ca="1">AU1100-AU1083</f>
        <v>0</v>
      </c>
      <c r="AV1108" s="191">
        <f t="shared" ref="AV1108" ca="1" si="193">AV1100-AV1083</f>
        <v>0</v>
      </c>
      <c r="AW1108"/>
      <c r="AX1108"/>
      <c r="AY1108"/>
      <c r="AZ1108"/>
      <c r="BA1108"/>
      <c r="BB1108"/>
      <c r="BC1108"/>
      <c r="BD1108"/>
      <c r="BE1108"/>
      <c r="BF1108"/>
      <c r="BG1108"/>
      <c r="BH1108"/>
      <c r="BI1108"/>
      <c r="BJ1108"/>
      <c r="BK1108"/>
      <c r="BL1108"/>
      <c r="BM1108"/>
      <c r="BN1108"/>
      <c r="BO1108"/>
      <c r="BP1108"/>
      <c r="BQ1108"/>
      <c r="BR1108"/>
      <c r="BS1108"/>
      <c r="BT1108"/>
      <c r="BU1108"/>
      <c r="BV1108"/>
      <c r="BW1108"/>
      <c r="BX1108"/>
      <c r="BY1108"/>
      <c r="BZ1108"/>
      <c r="CA1108"/>
      <c r="CB1108"/>
      <c r="CC1108"/>
      <c r="CD1108"/>
      <c r="CE1108"/>
      <c r="CF1108"/>
      <c r="CG1108"/>
      <c r="CH1108"/>
      <c r="CI1108"/>
      <c r="CJ1108"/>
      <c r="CK1108"/>
      <c r="CL1108"/>
      <c r="CM1108"/>
      <c r="CN1108"/>
      <c r="CO1108"/>
      <c r="CP1108"/>
      <c r="CQ1108"/>
      <c r="CR1108"/>
      <c r="CS1108"/>
      <c r="CT1108"/>
      <c r="CU1108"/>
      <c r="CV1108"/>
      <c r="CW1108"/>
      <c r="CX1108"/>
      <c r="CY1108"/>
      <c r="CZ1108"/>
      <c r="DA1108"/>
      <c r="DB1108"/>
      <c r="DC1108"/>
      <c r="DD1108"/>
      <c r="DE1108"/>
      <c r="DF1108"/>
      <c r="DG1108"/>
      <c r="DH1108"/>
      <c r="DI1108"/>
      <c r="DJ1108"/>
      <c r="DK1108"/>
      <c r="DL1108"/>
      <c r="DM1108"/>
      <c r="DN1108"/>
      <c r="DO1108"/>
      <c r="DP1108"/>
      <c r="DQ1108"/>
      <c r="DR1108"/>
      <c r="DS1108"/>
      <c r="DT1108"/>
      <c r="DU1108"/>
      <c r="DV1108"/>
      <c r="DW1108"/>
      <c r="DX1108"/>
      <c r="DY1108"/>
      <c r="DZ1108"/>
      <c r="EA1108"/>
      <c r="EB1108"/>
      <c r="EC1108"/>
      <c r="ED1108"/>
      <c r="EE1108"/>
      <c r="EF1108"/>
      <c r="EG1108"/>
      <c r="EH1108"/>
      <c r="EI1108"/>
      <c r="EJ1108"/>
      <c r="EK1108"/>
      <c r="EL1108"/>
      <c r="EM1108"/>
      <c r="EN1108"/>
      <c r="EO1108"/>
      <c r="EP1108"/>
      <c r="EQ1108"/>
    </row>
    <row r="1109" spans="1:147" ht="16.5" customHeight="1" x14ac:dyDescent="0.25">
      <c r="A1109" s="113">
        <f>$A$1065+43</f>
        <v>281</v>
      </c>
      <c r="B1109" s="113" t="s">
        <v>1041</v>
      </c>
      <c r="C1109" s="113" t="s">
        <v>92</v>
      </c>
      <c r="D1109" s="113"/>
      <c r="E1109" s="113"/>
      <c r="F1109" s="113" t="s">
        <v>576</v>
      </c>
      <c r="G1109" s="113" t="s">
        <v>406</v>
      </c>
      <c r="H1109" s="113"/>
      <c r="I1109" s="113"/>
      <c r="J1109" s="113" t="b">
        <f t="shared" si="185"/>
        <v>1</v>
      </c>
      <c r="K1109" s="113" t="b">
        <v>1</v>
      </c>
      <c r="L1109" s="113"/>
      <c r="M1109" s="113"/>
      <c r="N1109" s="113"/>
      <c r="O1109" s="113" t="str">
        <f t="shared" si="177"/>
        <v>$B$281</v>
      </c>
      <c r="P1109" s="113" t="str">
        <f t="shared" si="178"/>
        <v>$BK$281</v>
      </c>
      <c r="Q1109" s="113"/>
      <c r="R1109" s="113"/>
      <c r="S1109" s="113"/>
      <c r="T1109" s="113"/>
      <c r="U1109" s="113"/>
      <c r="V1109" s="113" t="s">
        <v>1342</v>
      </c>
      <c r="W1109" s="113"/>
      <c r="X1109" s="113"/>
      <c r="Y1109" s="113"/>
      <c r="Z1109" s="113"/>
      <c r="AA1109" s="113"/>
      <c r="AB1109" s="113"/>
      <c r="AC1109" s="113"/>
      <c r="AD1109" s="113"/>
      <c r="AE1109" s="113"/>
      <c r="AF1109" s="113"/>
      <c r="AG1109" s="113"/>
      <c r="AH1109" s="113"/>
      <c r="AI1109" s="113"/>
      <c r="AJ1109" s="113"/>
      <c r="AK1109" s="113"/>
      <c r="AL1109" s="113">
        <v>1</v>
      </c>
      <c r="AM1109" s="113"/>
      <c r="AN1109" s="113"/>
      <c r="AO1109" s="113"/>
      <c r="AP1109" s="113" t="b">
        <v>1</v>
      </c>
      <c r="AQ1109" s="132" t="s">
        <v>298</v>
      </c>
      <c r="AR1109" s="133"/>
      <c r="AS1109" s="191">
        <f ca="1">SUM(AU1109:CZ1109)</f>
        <v>0</v>
      </c>
      <c r="AT1109" s="274"/>
      <c r="AU1109" s="191">
        <f t="shared" ref="AU1109:AV1112" ca="1" si="194">AU1101-AU1084</f>
        <v>0</v>
      </c>
      <c r="AV1109" s="191">
        <f t="shared" ca="1" si="194"/>
        <v>0</v>
      </c>
      <c r="AW1109"/>
      <c r="AX1109"/>
      <c r="AY1109"/>
      <c r="AZ1109"/>
      <c r="BA1109"/>
      <c r="BB1109"/>
      <c r="BC1109"/>
      <c r="BD1109"/>
      <c r="BE1109"/>
      <c r="BF1109"/>
      <c r="BG1109"/>
      <c r="BH1109"/>
      <c r="BI1109"/>
      <c r="BJ1109"/>
      <c r="BK1109"/>
      <c r="BL1109"/>
      <c r="BM1109"/>
      <c r="BN1109"/>
      <c r="BO1109"/>
      <c r="BP1109"/>
      <c r="BQ1109"/>
      <c r="BR1109"/>
      <c r="BS1109"/>
      <c r="BT1109"/>
      <c r="BU1109"/>
      <c r="BV1109"/>
      <c r="BW1109"/>
      <c r="BX1109"/>
      <c r="BY1109"/>
      <c r="BZ1109"/>
      <c r="CA1109"/>
      <c r="CB1109"/>
      <c r="CC1109"/>
      <c r="CD1109"/>
      <c r="CE1109"/>
      <c r="CF1109"/>
      <c r="CG1109"/>
      <c r="CH1109"/>
      <c r="CI1109"/>
      <c r="CJ1109"/>
      <c r="CK1109"/>
      <c r="CL1109"/>
      <c r="CM1109"/>
      <c r="CN1109"/>
      <c r="CO1109"/>
      <c r="CP1109"/>
      <c r="CQ1109"/>
      <c r="CR1109"/>
      <c r="CS1109"/>
      <c r="CT1109"/>
      <c r="CU1109"/>
      <c r="CV1109"/>
      <c r="CW1109"/>
      <c r="CX1109"/>
      <c r="CY1109"/>
      <c r="CZ1109"/>
      <c r="DA1109"/>
      <c r="DB1109"/>
      <c r="DC1109"/>
      <c r="DD1109"/>
      <c r="DE1109"/>
      <c r="DF1109"/>
      <c r="DG1109"/>
      <c r="DH1109"/>
      <c r="DI1109"/>
      <c r="DJ1109"/>
      <c r="DK1109"/>
      <c r="DL1109"/>
      <c r="DM1109"/>
      <c r="DN1109"/>
      <c r="DO1109"/>
      <c r="DP1109"/>
      <c r="DQ1109"/>
      <c r="DR1109"/>
      <c r="DS1109"/>
      <c r="DT1109"/>
      <c r="DU1109"/>
      <c r="DV1109"/>
      <c r="DW1109"/>
      <c r="DX1109"/>
      <c r="DY1109"/>
      <c r="DZ1109"/>
      <c r="EA1109"/>
      <c r="EB1109"/>
      <c r="EC1109"/>
      <c r="ED1109"/>
      <c r="EE1109"/>
      <c r="EF1109"/>
      <c r="EG1109"/>
      <c r="EH1109"/>
      <c r="EI1109"/>
      <c r="EJ1109"/>
      <c r="EK1109"/>
      <c r="EL1109"/>
      <c r="EM1109"/>
      <c r="EN1109"/>
      <c r="EO1109"/>
      <c r="EP1109"/>
      <c r="EQ1109"/>
    </row>
    <row r="1110" spans="1:147" ht="16.5" customHeight="1" x14ac:dyDescent="0.25">
      <c r="A1110" s="113">
        <f>$A$1065+44</f>
        <v>282</v>
      </c>
      <c r="B1110" s="113" t="s">
        <v>1042</v>
      </c>
      <c r="C1110" s="113" t="s">
        <v>92</v>
      </c>
      <c r="D1110" s="113"/>
      <c r="E1110" s="113"/>
      <c r="F1110" s="113" t="s">
        <v>576</v>
      </c>
      <c r="G1110" s="113" t="s">
        <v>406</v>
      </c>
      <c r="H1110" s="113"/>
      <c r="I1110" s="113"/>
      <c r="J1110" s="113" t="b">
        <f t="shared" si="185"/>
        <v>1</v>
      </c>
      <c r="K1110" s="113" t="b">
        <v>1</v>
      </c>
      <c r="L1110" s="113"/>
      <c r="M1110" s="113"/>
      <c r="N1110" s="113"/>
      <c r="O1110" s="113" t="str">
        <f t="shared" si="177"/>
        <v>$B$282</v>
      </c>
      <c r="P1110" s="113" t="str">
        <f t="shared" si="178"/>
        <v>$BK$282</v>
      </c>
      <c r="Q1110" s="113"/>
      <c r="R1110" s="113"/>
      <c r="S1110" s="113"/>
      <c r="T1110" s="113"/>
      <c r="U1110" s="113"/>
      <c r="V1110" s="113" t="s">
        <v>1342</v>
      </c>
      <c r="W1110" s="113"/>
      <c r="X1110" s="113"/>
      <c r="Y1110" s="113"/>
      <c r="Z1110" s="113"/>
      <c r="AA1110" s="113"/>
      <c r="AB1110" s="113"/>
      <c r="AC1110" s="113"/>
      <c r="AD1110" s="113"/>
      <c r="AE1110" s="113"/>
      <c r="AF1110" s="113"/>
      <c r="AG1110" s="113"/>
      <c r="AH1110" s="113"/>
      <c r="AI1110" s="113"/>
      <c r="AJ1110" s="113"/>
      <c r="AK1110" s="113"/>
      <c r="AL1110" s="113">
        <v>1</v>
      </c>
      <c r="AM1110" s="113"/>
      <c r="AN1110" s="113"/>
      <c r="AO1110" s="113"/>
      <c r="AP1110" s="113" t="b">
        <v>1</v>
      </c>
      <c r="AQ1110" s="132" t="s">
        <v>464</v>
      </c>
      <c r="AR1110" s="133"/>
      <c r="AS1110" s="191">
        <f ca="1">SUM(AU1110:CZ1110)</f>
        <v>0</v>
      </c>
      <c r="AT1110" s="274" t="str">
        <f ca="1">IFERROR(AS1110/AS1108,"-")</f>
        <v>-</v>
      </c>
      <c r="AU1110" s="191">
        <f t="shared" ca="1" si="194"/>
        <v>0</v>
      </c>
      <c r="AV1110" s="191">
        <f t="shared" ca="1" si="194"/>
        <v>0</v>
      </c>
      <c r="AW1110"/>
      <c r="AX1110"/>
      <c r="AY1110"/>
      <c r="AZ1110"/>
      <c r="BA1110"/>
      <c r="BB1110"/>
      <c r="BC1110"/>
      <c r="BD1110"/>
      <c r="BE1110"/>
      <c r="BF1110"/>
      <c r="BG1110"/>
      <c r="BH1110"/>
      <c r="BI1110"/>
      <c r="BJ1110"/>
      <c r="BK1110"/>
      <c r="BL1110"/>
      <c r="BM1110"/>
      <c r="BN1110"/>
      <c r="BO1110"/>
      <c r="BP1110"/>
      <c r="BQ1110"/>
      <c r="BR1110"/>
      <c r="BS1110"/>
      <c r="BT1110"/>
      <c r="BU1110"/>
      <c r="BV1110"/>
      <c r="BW1110"/>
      <c r="BX1110"/>
      <c r="BY1110"/>
      <c r="BZ1110"/>
      <c r="CA1110"/>
      <c r="CB1110"/>
      <c r="CC1110"/>
      <c r="CD1110"/>
      <c r="CE1110"/>
      <c r="CF1110"/>
      <c r="CG1110"/>
      <c r="CH1110"/>
      <c r="CI1110"/>
      <c r="CJ1110"/>
      <c r="CK1110"/>
      <c r="CL1110"/>
      <c r="CM1110"/>
      <c r="CN1110"/>
      <c r="CO1110"/>
      <c r="CP1110"/>
      <c r="CQ1110"/>
      <c r="CR1110"/>
      <c r="CS1110"/>
      <c r="CT1110"/>
      <c r="CU1110"/>
      <c r="CV1110"/>
      <c r="CW1110"/>
      <c r="CX1110"/>
      <c r="CY1110"/>
      <c r="CZ1110"/>
      <c r="DA1110"/>
      <c r="DB1110"/>
      <c r="DC1110"/>
      <c r="DD1110"/>
      <c r="DE1110"/>
      <c r="DF1110"/>
      <c r="DG1110"/>
      <c r="DH1110"/>
      <c r="DI1110"/>
      <c r="DJ1110"/>
      <c r="DK1110"/>
      <c r="DL1110"/>
      <c r="DM1110"/>
      <c r="DN1110"/>
      <c r="DO1110"/>
      <c r="DP1110"/>
      <c r="DQ1110"/>
      <c r="DR1110"/>
      <c r="DS1110"/>
      <c r="DT1110"/>
      <c r="DU1110"/>
      <c r="DV1110"/>
      <c r="DW1110"/>
      <c r="DX1110"/>
      <c r="DY1110"/>
      <c r="DZ1110"/>
      <c r="EA1110"/>
      <c r="EB1110"/>
      <c r="EC1110"/>
      <c r="ED1110"/>
      <c r="EE1110"/>
      <c r="EF1110"/>
      <c r="EG1110"/>
      <c r="EH1110"/>
      <c r="EI1110"/>
      <c r="EJ1110"/>
      <c r="EK1110"/>
      <c r="EL1110"/>
      <c r="EM1110"/>
      <c r="EN1110"/>
      <c r="EO1110"/>
      <c r="EP1110"/>
      <c r="EQ1110"/>
    </row>
    <row r="1111" spans="1:147" ht="16.5" customHeight="1" x14ac:dyDescent="0.25">
      <c r="A1111" s="113">
        <f>$A$1065+45</f>
        <v>283</v>
      </c>
      <c r="B1111" s="113" t="s">
        <v>1043</v>
      </c>
      <c r="C1111" s="113" t="s">
        <v>92</v>
      </c>
      <c r="D1111" s="113"/>
      <c r="E1111" s="113"/>
      <c r="F1111" s="113" t="s">
        <v>576</v>
      </c>
      <c r="G1111" s="113" t="s">
        <v>406</v>
      </c>
      <c r="H1111" s="113"/>
      <c r="I1111" s="113"/>
      <c r="J1111" s="113" t="b">
        <f t="shared" si="185"/>
        <v>1</v>
      </c>
      <c r="K1111" s="113" t="b">
        <v>1</v>
      </c>
      <c r="L1111" s="113"/>
      <c r="M1111" s="113"/>
      <c r="N1111" s="113"/>
      <c r="O1111" s="113" t="str">
        <f t="shared" si="177"/>
        <v>$B$283</v>
      </c>
      <c r="P1111" s="113" t="str">
        <f t="shared" si="178"/>
        <v>$BK$283</v>
      </c>
      <c r="Q1111" s="113"/>
      <c r="R1111" s="113"/>
      <c r="S1111" s="113"/>
      <c r="T1111" s="113"/>
      <c r="U1111" s="113"/>
      <c r="V1111" s="113" t="s">
        <v>1342</v>
      </c>
      <c r="W1111" s="113"/>
      <c r="X1111" s="113"/>
      <c r="Y1111" s="113"/>
      <c r="Z1111" s="113"/>
      <c r="AA1111" s="113"/>
      <c r="AB1111" s="113"/>
      <c r="AC1111" s="113"/>
      <c r="AD1111" s="113"/>
      <c r="AE1111" s="113"/>
      <c r="AF1111" s="113"/>
      <c r="AG1111" s="113"/>
      <c r="AH1111" s="113"/>
      <c r="AI1111" s="113"/>
      <c r="AJ1111" s="113"/>
      <c r="AK1111" s="113"/>
      <c r="AL1111" s="113">
        <v>1</v>
      </c>
      <c r="AM1111" s="113"/>
      <c r="AN1111" s="113"/>
      <c r="AO1111" s="113"/>
      <c r="AP1111" s="113" t="b">
        <v>1</v>
      </c>
      <c r="AQ1111" s="132" t="s">
        <v>467</v>
      </c>
      <c r="AR1111" s="133"/>
      <c r="AS1111" s="191">
        <f ca="1">SUM(AU1111:CZ1111)</f>
        <v>0</v>
      </c>
      <c r="AT1111" s="274"/>
      <c r="AU1111" s="191">
        <f t="shared" ca="1" si="194"/>
        <v>0</v>
      </c>
      <c r="AV1111" s="191">
        <f t="shared" ca="1" si="194"/>
        <v>0</v>
      </c>
      <c r="AW1111"/>
      <c r="AX1111"/>
      <c r="AY1111"/>
      <c r="AZ1111"/>
      <c r="BA1111"/>
      <c r="BB1111"/>
      <c r="BC1111"/>
      <c r="BD1111"/>
      <c r="BE1111"/>
      <c r="BF1111"/>
      <c r="BG1111"/>
      <c r="BH1111"/>
      <c r="BI1111"/>
      <c r="BJ1111"/>
      <c r="BK1111"/>
      <c r="BL1111"/>
      <c r="BM1111"/>
      <c r="BN1111"/>
      <c r="BO1111"/>
      <c r="BP1111"/>
      <c r="BQ1111"/>
      <c r="BR1111"/>
      <c r="BS1111"/>
      <c r="BT1111"/>
      <c r="BU1111"/>
      <c r="BV1111"/>
      <c r="BW1111"/>
      <c r="BX1111"/>
      <c r="BY1111"/>
      <c r="BZ1111"/>
      <c r="CA1111"/>
      <c r="CB1111"/>
      <c r="CC1111"/>
      <c r="CD1111"/>
      <c r="CE1111"/>
      <c r="CF1111"/>
      <c r="CG1111"/>
      <c r="CH1111"/>
      <c r="CI1111"/>
      <c r="CJ1111"/>
      <c r="CK1111"/>
      <c r="CL1111"/>
      <c r="CM1111"/>
      <c r="CN1111"/>
      <c r="CO1111"/>
      <c r="CP1111"/>
      <c r="CQ1111"/>
      <c r="CR1111"/>
      <c r="CS1111"/>
      <c r="CT1111"/>
      <c r="CU1111"/>
      <c r="CV1111"/>
      <c r="CW1111"/>
      <c r="CX1111"/>
      <c r="CY1111"/>
      <c r="CZ1111"/>
      <c r="DA1111"/>
      <c r="DB1111"/>
      <c r="DC1111"/>
      <c r="DD1111"/>
      <c r="DE1111"/>
      <c r="DF1111"/>
      <c r="DG1111"/>
      <c r="DH1111"/>
      <c r="DI1111"/>
      <c r="DJ1111"/>
      <c r="DK1111"/>
      <c r="DL1111"/>
      <c r="DM1111"/>
      <c r="DN1111"/>
      <c r="DO1111"/>
      <c r="DP1111"/>
      <c r="DQ1111"/>
      <c r="DR1111"/>
      <c r="DS1111"/>
      <c r="DT1111"/>
      <c r="DU1111"/>
      <c r="DV1111"/>
      <c r="DW1111"/>
      <c r="DX1111"/>
      <c r="DY1111"/>
      <c r="DZ1111"/>
      <c r="EA1111"/>
      <c r="EB1111"/>
      <c r="EC1111"/>
      <c r="ED1111"/>
      <c r="EE1111"/>
      <c r="EF1111"/>
      <c r="EG1111"/>
      <c r="EH1111"/>
      <c r="EI1111"/>
      <c r="EJ1111"/>
      <c r="EK1111"/>
      <c r="EL1111"/>
      <c r="EM1111"/>
      <c r="EN1111"/>
      <c r="EO1111"/>
      <c r="EP1111"/>
      <c r="EQ1111"/>
    </row>
    <row r="1112" spans="1:147" ht="16.5" customHeight="1" x14ac:dyDescent="0.25">
      <c r="A1112" s="113">
        <f>$A$1065+46</f>
        <v>284</v>
      </c>
      <c r="B1112" s="113" t="s">
        <v>1493</v>
      </c>
      <c r="C1112" s="113" t="s">
        <v>92</v>
      </c>
      <c r="D1112" s="113"/>
      <c r="E1112" s="113"/>
      <c r="F1112" s="113" t="s">
        <v>576</v>
      </c>
      <c r="G1112" s="113" t="s">
        <v>406</v>
      </c>
      <c r="H1112" s="113"/>
      <c r="I1112" s="113"/>
      <c r="J1112" s="113" t="b">
        <f t="shared" si="185"/>
        <v>1</v>
      </c>
      <c r="K1112" s="113" t="b">
        <v>1</v>
      </c>
      <c r="L1112" s="113"/>
      <c r="M1112" s="113"/>
      <c r="N1112" s="113"/>
      <c r="O1112" s="113" t="str">
        <f t="shared" si="177"/>
        <v>$B$284</v>
      </c>
      <c r="P1112" s="113" t="str">
        <f t="shared" si="178"/>
        <v>$BK$284</v>
      </c>
      <c r="Q1112" s="113"/>
      <c r="R1112" s="113"/>
      <c r="S1112" s="113"/>
      <c r="T1112" s="113"/>
      <c r="U1112" s="113"/>
      <c r="V1112" s="113" t="s">
        <v>1342</v>
      </c>
      <c r="W1112" s="113"/>
      <c r="X1112" s="113"/>
      <c r="Y1112" s="113"/>
      <c r="Z1112" s="113"/>
      <c r="AA1112" s="113"/>
      <c r="AB1112" s="113"/>
      <c r="AC1112" s="113"/>
      <c r="AD1112" s="113"/>
      <c r="AE1112" s="113"/>
      <c r="AF1112" s="113"/>
      <c r="AG1112" s="113"/>
      <c r="AH1112" s="113"/>
      <c r="AI1112" s="113"/>
      <c r="AJ1112" s="113"/>
      <c r="AK1112" s="113"/>
      <c r="AL1112" s="113">
        <v>1</v>
      </c>
      <c r="AM1112" s="113"/>
      <c r="AN1112" s="113"/>
      <c r="AO1112" s="113"/>
      <c r="AP1112" s="113" t="b">
        <v>1</v>
      </c>
      <c r="AQ1112" s="165" t="s">
        <v>468</v>
      </c>
      <c r="AR1112" s="239"/>
      <c r="AS1112" s="244">
        <f ca="1">SUM(AU1112:CZ1112)</f>
        <v>0</v>
      </c>
      <c r="AT1112" s="275"/>
      <c r="AU1112" s="244">
        <f t="shared" ca="1" si="194"/>
        <v>0</v>
      </c>
      <c r="AV1112" s="244">
        <f t="shared" ca="1" si="194"/>
        <v>0</v>
      </c>
      <c r="AW1112"/>
      <c r="AX1112"/>
      <c r="AY1112"/>
      <c r="AZ1112"/>
      <c r="BA1112"/>
      <c r="BB1112"/>
      <c r="BC1112"/>
      <c r="BD1112"/>
      <c r="BE1112"/>
      <c r="BF1112"/>
      <c r="BG1112"/>
      <c r="BH1112"/>
      <c r="BI1112"/>
      <c r="BJ1112"/>
      <c r="BK1112"/>
      <c r="BL1112"/>
      <c r="BM1112"/>
      <c r="BN1112"/>
      <c r="BO1112"/>
      <c r="BP1112"/>
      <c r="BQ1112"/>
      <c r="BR1112"/>
      <c r="BS1112"/>
      <c r="BT1112"/>
      <c r="BU1112"/>
      <c r="BV1112"/>
      <c r="BW1112"/>
      <c r="BX1112"/>
      <c r="BY1112"/>
      <c r="BZ1112"/>
      <c r="CA1112"/>
      <c r="CB1112"/>
      <c r="CC1112"/>
      <c r="CD1112"/>
      <c r="CE1112"/>
      <c r="CF1112"/>
      <c r="CG1112"/>
      <c r="CH1112"/>
      <c r="CI1112"/>
      <c r="CJ1112"/>
      <c r="CK1112"/>
      <c r="CL1112"/>
      <c r="CM1112"/>
      <c r="CN1112"/>
      <c r="CO1112"/>
      <c r="CP1112"/>
      <c r="CQ1112"/>
      <c r="CR1112"/>
      <c r="CS1112"/>
      <c r="CT1112"/>
      <c r="CU1112"/>
      <c r="CV1112"/>
      <c r="CW1112"/>
      <c r="CX1112"/>
      <c r="CY1112"/>
      <c r="CZ1112"/>
      <c r="DA1112"/>
      <c r="DB1112"/>
      <c r="DC1112"/>
      <c r="DD1112"/>
      <c r="DE1112"/>
      <c r="DF1112"/>
      <c r="DG1112"/>
      <c r="DH1112"/>
      <c r="DI1112"/>
      <c r="DJ1112"/>
      <c r="DK1112"/>
      <c r="DL1112"/>
      <c r="DM1112"/>
      <c r="DN1112"/>
      <c r="DO1112"/>
      <c r="DP1112"/>
      <c r="DQ1112"/>
      <c r="DR1112"/>
      <c r="DS1112"/>
      <c r="DT1112"/>
      <c r="DU1112"/>
      <c r="DV1112"/>
      <c r="DW1112"/>
      <c r="DX1112"/>
      <c r="DY1112"/>
      <c r="DZ1112"/>
      <c r="EA1112"/>
      <c r="EB1112"/>
      <c r="EC1112"/>
      <c r="ED1112"/>
      <c r="EE1112"/>
      <c r="EF1112"/>
      <c r="EG1112"/>
      <c r="EH1112"/>
      <c r="EI1112"/>
      <c r="EJ1112"/>
      <c r="EK1112"/>
      <c r="EL1112"/>
      <c r="EM1112"/>
      <c r="EN1112"/>
      <c r="EO1112"/>
      <c r="EP1112"/>
      <c r="EQ1112"/>
    </row>
    <row r="1113" spans="1:147" ht="16.5" customHeight="1" x14ac:dyDescent="0.2">
      <c r="A1113" s="103">
        <f>$A$1065+49</f>
        <v>287</v>
      </c>
      <c r="B1113" s="103" t="s">
        <v>509</v>
      </c>
      <c r="C1113" s="103" t="s">
        <v>654</v>
      </c>
      <c r="D1113" s="103"/>
      <c r="E1113" s="103"/>
      <c r="F1113" s="103"/>
      <c r="G1113" s="103" t="s">
        <v>406</v>
      </c>
      <c r="H1113" s="103"/>
      <c r="I1113" s="103" t="s">
        <v>469</v>
      </c>
      <c r="J1113" s="103" t="b">
        <f t="shared" si="185"/>
        <v>1</v>
      </c>
      <c r="K1113" s="103" t="b">
        <v>1</v>
      </c>
      <c r="L1113" s="103"/>
      <c r="M1113" s="103"/>
      <c r="N1113" s="103" t="s">
        <v>59</v>
      </c>
      <c r="O1113" s="103" t="str">
        <f t="shared" si="177"/>
        <v>$B$287</v>
      </c>
      <c r="P1113" s="103" t="str">
        <f>"$S$"&amp;A1118-1</f>
        <v>$S$303</v>
      </c>
      <c r="Q1113" s="103"/>
      <c r="R1113" s="103">
        <v>1</v>
      </c>
      <c r="S1113" s="103"/>
      <c r="T1113" s="103">
        <v>27</v>
      </c>
      <c r="U1113" s="103" t="b">
        <v>1</v>
      </c>
      <c r="V1113" s="103" t="s">
        <v>1352</v>
      </c>
      <c r="W1113" s="103" t="s">
        <v>1352</v>
      </c>
      <c r="X1113" s="103"/>
      <c r="Y1113" s="103"/>
      <c r="Z1113" s="103"/>
      <c r="AA1113" s="103"/>
      <c r="AB1113" s="103"/>
      <c r="AC1113" s="103">
        <v>7</v>
      </c>
      <c r="AD1113" s="103" t="s">
        <v>105</v>
      </c>
      <c r="AE1113" s="103">
        <v>20</v>
      </c>
      <c r="AF1113" s="103" t="b">
        <v>1</v>
      </c>
      <c r="AG1113" s="103" t="s">
        <v>1351</v>
      </c>
      <c r="AH1113" s="103" t="s">
        <v>29</v>
      </c>
      <c r="AI1113" s="103" t="s">
        <v>28</v>
      </c>
      <c r="AJ1113" s="103"/>
      <c r="AK1113" s="103"/>
      <c r="AL1113" s="103">
        <v>0</v>
      </c>
      <c r="AM1113" s="103"/>
      <c r="AN1113" s="103"/>
      <c r="AO1113" s="103"/>
      <c r="AP1113" s="103"/>
      <c r="AQ1113" s="149" t="s">
        <v>469</v>
      </c>
      <c r="AR1113" s="149"/>
      <c r="AS1113" s="149"/>
      <c r="AT1113" s="149"/>
      <c r="AU1113" s="149"/>
      <c r="AV1113" s="149"/>
      <c r="AW1113" s="149"/>
      <c r="AX1113" s="149"/>
      <c r="AY1113" s="149"/>
      <c r="AZ1113" s="149"/>
      <c r="BA1113" s="149"/>
      <c r="BB1113" s="149"/>
    </row>
    <row r="1114" spans="1:147" ht="16.5" customHeight="1" x14ac:dyDescent="0.2">
      <c r="A1114" s="81">
        <f>$A$1113+0</f>
        <v>287</v>
      </c>
      <c r="B1114" s="81" t="s">
        <v>1045</v>
      </c>
      <c r="C1114" s="81" t="s">
        <v>512</v>
      </c>
      <c r="D1114" s="81" t="s">
        <v>961</v>
      </c>
      <c r="E1114" s="81"/>
      <c r="F1114" s="81"/>
      <c r="G1114" s="81" t="s">
        <v>406</v>
      </c>
      <c r="H1114" s="81"/>
      <c r="I1114" s="81"/>
      <c r="J1114" s="81" t="b">
        <f t="shared" si="185"/>
        <v>1</v>
      </c>
      <c r="K1114" s="81" t="b">
        <v>1</v>
      </c>
      <c r="L1114" s="81" t="b">
        <v>0</v>
      </c>
      <c r="M1114" s="81"/>
      <c r="N1114" s="81" t="s">
        <v>59</v>
      </c>
      <c r="O1114" s="81" t="str">
        <f>"$U$"&amp;A1114</f>
        <v>$U$287</v>
      </c>
      <c r="P1114" s="81" t="str">
        <f>"$U$"&amp;A1118-1</f>
        <v>$U$303</v>
      </c>
      <c r="Q1114" s="81"/>
      <c r="R1114" s="81">
        <v>1</v>
      </c>
      <c r="S1114" s="81">
        <v>-20</v>
      </c>
      <c r="T1114" s="81"/>
      <c r="U1114" s="81" t="b">
        <f>$I$5</f>
        <v>0</v>
      </c>
      <c r="V1114" s="81" t="s">
        <v>1348</v>
      </c>
      <c r="W1114" s="81" t="s">
        <v>1348</v>
      </c>
      <c r="X1114" s="81"/>
      <c r="Y1114" s="81"/>
      <c r="Z1114" s="81"/>
      <c r="AA1114" s="81"/>
      <c r="AB1114" s="81"/>
      <c r="AC1114" s="81"/>
      <c r="AD1114" s="81"/>
      <c r="AE1114" s="81"/>
      <c r="AF1114" s="81"/>
      <c r="AG1114" s="81"/>
      <c r="AH1114" s="81"/>
      <c r="AI1114" s="81"/>
      <c r="AJ1114" s="81"/>
      <c r="AK1114" s="81"/>
      <c r="AL1114" s="81">
        <v>-10</v>
      </c>
      <c r="AM1114" s="81">
        <v>5</v>
      </c>
      <c r="AN1114" s="81"/>
      <c r="AO1114" s="81"/>
      <c r="AP1114" s="81"/>
    </row>
    <row r="1115" spans="1:147" ht="16.5" customHeight="1" x14ac:dyDescent="0.2">
      <c r="A1115" s="112">
        <f>$A$1113+2</f>
        <v>289</v>
      </c>
      <c r="B1115" s="112" t="s">
        <v>596</v>
      </c>
      <c r="C1115" s="112" t="s">
        <v>90</v>
      </c>
      <c r="D1115" s="112"/>
      <c r="E1115" s="112"/>
      <c r="F1115" s="112"/>
      <c r="G1115" s="112" t="s">
        <v>406</v>
      </c>
      <c r="H1115" s="112"/>
      <c r="I1115" s="112"/>
      <c r="J1115" s="112" t="b">
        <f t="shared" si="185"/>
        <v>1</v>
      </c>
      <c r="K1115" s="112" t="b">
        <v>1</v>
      </c>
      <c r="L1115" s="112"/>
      <c r="M1115" s="112"/>
      <c r="N1115" s="112"/>
      <c r="O1115" s="112" t="str">
        <f>"$B$"&amp;A1115</f>
        <v>$B$289</v>
      </c>
      <c r="P1115" s="112" t="str">
        <f>"$K$"&amp;A1115</f>
        <v>$K$289</v>
      </c>
      <c r="Q1115" s="112"/>
      <c r="R1115" s="112"/>
      <c r="S1115" s="112"/>
      <c r="T1115" s="112"/>
      <c r="U1115" s="112"/>
      <c r="V1115" s="112" t="s">
        <v>1342</v>
      </c>
      <c r="W1115" s="112"/>
      <c r="X1115" s="112"/>
      <c r="Y1115" s="112"/>
      <c r="Z1115" s="112"/>
      <c r="AA1115" s="112"/>
      <c r="AB1115" s="112"/>
      <c r="AC1115" s="112"/>
      <c r="AD1115" s="112" t="s">
        <v>105</v>
      </c>
      <c r="AE1115" s="112">
        <v>12</v>
      </c>
      <c r="AF1115" s="112" t="b">
        <v>1</v>
      </c>
      <c r="AG1115" s="112" t="s">
        <v>1355</v>
      </c>
      <c r="AH1115" s="112" t="s">
        <v>29</v>
      </c>
      <c r="AI1115" s="112" t="s">
        <v>28</v>
      </c>
      <c r="AJ1115" s="112"/>
      <c r="AK1115" s="112"/>
      <c r="AL1115" s="112"/>
      <c r="AM1115" s="112"/>
      <c r="AN1115" s="112"/>
      <c r="AO1115" s="112"/>
      <c r="AP1115" s="112"/>
    </row>
    <row r="1116" spans="1:147" ht="16.5" customHeight="1" x14ac:dyDescent="0.2">
      <c r="A1116" s="113">
        <f>$A$1115+0</f>
        <v>289</v>
      </c>
      <c r="B1116" s="113" t="s">
        <v>597</v>
      </c>
      <c r="C1116" s="113" t="s">
        <v>92</v>
      </c>
      <c r="D1116" s="113"/>
      <c r="E1116" s="113"/>
      <c r="F1116" s="113"/>
      <c r="G1116" s="113" t="s">
        <v>406</v>
      </c>
      <c r="H1116" s="113"/>
      <c r="I1116" s="113"/>
      <c r="J1116" s="113" t="b">
        <f t="shared" si="185"/>
        <v>1</v>
      </c>
      <c r="K1116" s="113" t="b">
        <v>1</v>
      </c>
      <c r="L1116" s="113"/>
      <c r="M1116" s="113"/>
      <c r="N1116" s="113"/>
      <c r="O1116" s="113" t="str">
        <f>"$B$"&amp;A1116</f>
        <v>$B$289</v>
      </c>
      <c r="P1116" s="113" t="str">
        <f>"$K$"&amp;A1116</f>
        <v>$K$289</v>
      </c>
      <c r="Q1116" s="113"/>
      <c r="R1116" s="113"/>
      <c r="S1116" s="113"/>
      <c r="T1116" s="113">
        <v>52</v>
      </c>
      <c r="U1116" s="113"/>
      <c r="V1116" s="113" t="s">
        <v>1342</v>
      </c>
      <c r="W1116" s="113"/>
      <c r="X1116" s="113"/>
      <c r="Y1116" s="113"/>
      <c r="Z1116" s="113"/>
      <c r="AA1116" s="113"/>
      <c r="AB1116" s="113"/>
      <c r="AC1116" s="113"/>
      <c r="AD1116" s="113"/>
      <c r="AE1116" s="113"/>
      <c r="AF1116" s="113"/>
      <c r="AG1116" s="113"/>
      <c r="AH1116" s="113"/>
      <c r="AI1116" s="113"/>
      <c r="AJ1116" s="113"/>
      <c r="AK1116" s="113"/>
      <c r="AL1116" s="113">
        <v>1</v>
      </c>
      <c r="AM1116" s="113"/>
      <c r="AN1116" s="113"/>
      <c r="AO1116" s="113"/>
      <c r="AP1116" s="113" t="b">
        <v>1</v>
      </c>
      <c r="AQ1116" s="372" t="s">
        <v>470</v>
      </c>
      <c r="AR1116" s="372"/>
      <c r="AS1116" s="372"/>
      <c r="AT1116" s="372"/>
      <c r="AU1116" s="124"/>
      <c r="AV1116" s="124"/>
      <c r="AW1116" s="124"/>
      <c r="AX1116" s="124"/>
      <c r="AY1116" s="124"/>
    </row>
    <row r="1117" spans="1:147" ht="16.5" customHeight="1" x14ac:dyDescent="0.2">
      <c r="A1117" s="108">
        <f>$A$1115+2</f>
        <v>291</v>
      </c>
      <c r="B1117" s="128" t="s">
        <v>1044</v>
      </c>
      <c r="C1117" s="128" t="s">
        <v>598</v>
      </c>
      <c r="D1117" s="128"/>
      <c r="E1117" s="128"/>
      <c r="F1117" s="128"/>
      <c r="G1117" s="128" t="s">
        <v>406</v>
      </c>
      <c r="H1117" s="128" t="s">
        <v>632</v>
      </c>
      <c r="I1117" s="128"/>
      <c r="J1117" s="128" t="b">
        <v>0</v>
      </c>
      <c r="K1117" s="128" t="b">
        <v>1</v>
      </c>
      <c r="L1117" s="128"/>
      <c r="M1117" s="128"/>
      <c r="N1117" s="128" t="s">
        <v>59</v>
      </c>
      <c r="O1117" s="128" t="str">
        <f>"$B$"&amp;A1117</f>
        <v>$B$291</v>
      </c>
      <c r="P1117" s="128" t="str">
        <f>"$F$"&amp;A1117+10</f>
        <v>$F$301</v>
      </c>
      <c r="Q1117" s="128">
        <v>1</v>
      </c>
      <c r="R1117" s="128">
        <v>1</v>
      </c>
      <c r="S1117" s="128"/>
      <c r="T1117" s="128"/>
      <c r="U1117" s="128"/>
      <c r="V1117" s="128"/>
      <c r="W1117" s="128"/>
      <c r="X1117" s="128"/>
      <c r="Y1117" s="128"/>
      <c r="Z1117" s="128"/>
      <c r="AA1117" s="128"/>
      <c r="AB1117" s="128"/>
      <c r="AC1117" s="128">
        <v>5</v>
      </c>
      <c r="AD1117" s="128"/>
      <c r="AE1117" s="128">
        <v>12</v>
      </c>
      <c r="AF1117" s="128" t="b">
        <v>0</v>
      </c>
      <c r="AG1117" s="128" t="s">
        <v>1355</v>
      </c>
      <c r="AH1117" s="128" t="s">
        <v>29</v>
      </c>
      <c r="AI1117" s="128" t="s">
        <v>28</v>
      </c>
      <c r="AJ1117" s="128"/>
      <c r="AK1117" s="128"/>
      <c r="AL1117" s="128"/>
      <c r="AM1117" s="128"/>
      <c r="AN1117" s="128">
        <v>5</v>
      </c>
      <c r="AO1117" s="128"/>
      <c r="AP1117" s="128"/>
    </row>
    <row r="1118" spans="1:147" ht="16.5" customHeight="1" x14ac:dyDescent="0.2">
      <c r="A1118" s="103">
        <f>$A$1115+15</f>
        <v>304</v>
      </c>
      <c r="B1118" s="103" t="s">
        <v>1047</v>
      </c>
      <c r="C1118" s="103" t="s">
        <v>654</v>
      </c>
      <c r="D1118" s="103"/>
      <c r="E1118" s="103"/>
      <c r="F1118" s="103"/>
      <c r="G1118" s="103" t="s">
        <v>406</v>
      </c>
      <c r="H1118" s="103"/>
      <c r="I1118" s="103" t="s">
        <v>471</v>
      </c>
      <c r="J1118" s="103" t="b">
        <f t="shared" si="185"/>
        <v>1</v>
      </c>
      <c r="K1118" s="103" t="b">
        <v>1</v>
      </c>
      <c r="L1118" s="103"/>
      <c r="M1118" s="103"/>
      <c r="N1118" s="103" t="s">
        <v>59</v>
      </c>
      <c r="O1118" s="103" t="str">
        <f>"$B$"&amp;A1118</f>
        <v>$B$304</v>
      </c>
      <c r="P1118" s="103" t="str">
        <f>"$S$"&amp;A1180-1</f>
        <v>$S$364</v>
      </c>
      <c r="Q1118" s="103"/>
      <c r="R1118" s="103">
        <v>1</v>
      </c>
      <c r="S1118" s="103"/>
      <c r="T1118" s="103">
        <v>27</v>
      </c>
      <c r="U1118" s="103" t="b">
        <v>1</v>
      </c>
      <c r="V1118" s="103" t="s">
        <v>1352</v>
      </c>
      <c r="W1118" s="103" t="s">
        <v>1352</v>
      </c>
      <c r="X1118" s="103"/>
      <c r="Y1118" s="103"/>
      <c r="Z1118" s="103"/>
      <c r="AA1118" s="103"/>
      <c r="AB1118" s="103"/>
      <c r="AC1118" s="103">
        <v>7</v>
      </c>
      <c r="AD1118" s="103" t="s">
        <v>105</v>
      </c>
      <c r="AE1118" s="103">
        <v>20</v>
      </c>
      <c r="AF1118" s="103" t="b">
        <v>1</v>
      </c>
      <c r="AG1118" s="103" t="s">
        <v>1351</v>
      </c>
      <c r="AH1118" s="103" t="s">
        <v>29</v>
      </c>
      <c r="AI1118" s="103" t="s">
        <v>28</v>
      </c>
      <c r="AJ1118" s="103"/>
      <c r="AK1118" s="103"/>
      <c r="AL1118" s="103">
        <v>0</v>
      </c>
      <c r="AM1118" s="103"/>
      <c r="AN1118" s="103"/>
      <c r="AO1118" s="103"/>
      <c r="AP1118" s="103"/>
      <c r="AQ1118" s="93" t="s">
        <v>471</v>
      </c>
    </row>
    <row r="1119" spans="1:147" ht="16.5" customHeight="1" x14ac:dyDescent="0.2">
      <c r="A1119" s="81">
        <f>$A$1118+0</f>
        <v>304</v>
      </c>
      <c r="B1119" s="81" t="s">
        <v>1046</v>
      </c>
      <c r="C1119" s="81" t="s">
        <v>512</v>
      </c>
      <c r="D1119" s="81" t="s">
        <v>961</v>
      </c>
      <c r="E1119" s="81"/>
      <c r="F1119" s="81"/>
      <c r="G1119" s="81" t="s">
        <v>406</v>
      </c>
      <c r="H1119" s="81"/>
      <c r="I1119" s="81"/>
      <c r="J1119" s="81" t="b">
        <f t="shared" si="185"/>
        <v>1</v>
      </c>
      <c r="K1119" s="81" t="b">
        <v>1</v>
      </c>
      <c r="L1119" s="81" t="b">
        <v>0</v>
      </c>
      <c r="M1119" s="81"/>
      <c r="N1119" s="81" t="s">
        <v>59</v>
      </c>
      <c r="O1119" s="81" t="str">
        <f>"$U$"&amp;A1119</f>
        <v>$U$304</v>
      </c>
      <c r="P1119" s="81" t="str">
        <f>"$U$"&amp;A1158</f>
        <v>$U$343</v>
      </c>
      <c r="Q1119" s="81"/>
      <c r="R1119" s="81">
        <v>1</v>
      </c>
      <c r="S1119" s="81">
        <v>-20</v>
      </c>
      <c r="T1119" s="81"/>
      <c r="U1119" s="81" t="b">
        <f>$I$5</f>
        <v>0</v>
      </c>
      <c r="V1119" s="81" t="s">
        <v>1348</v>
      </c>
      <c r="W1119" s="81" t="s">
        <v>1348</v>
      </c>
      <c r="X1119" s="81"/>
      <c r="Y1119" s="81"/>
      <c r="Z1119" s="81"/>
      <c r="AA1119" s="81"/>
      <c r="AB1119" s="81"/>
      <c r="AC1119" s="81"/>
      <c r="AD1119" s="81"/>
      <c r="AE1119" s="81"/>
      <c r="AF1119" s="81"/>
      <c r="AG1119" s="81"/>
      <c r="AH1119" s="81"/>
      <c r="AI1119" s="81"/>
      <c r="AJ1119" s="81"/>
      <c r="AK1119" s="81"/>
      <c r="AL1119" s="81">
        <v>-10</v>
      </c>
      <c r="AM1119" s="81">
        <v>5</v>
      </c>
      <c r="AN1119" s="81"/>
      <c r="AO1119" s="81"/>
      <c r="AP1119" s="81"/>
    </row>
    <row r="1120" spans="1:147" ht="16.5" customHeight="1" x14ac:dyDescent="0.2">
      <c r="A1120" s="112">
        <f>$A$1118+2</f>
        <v>306</v>
      </c>
      <c r="B1120" s="112" t="s">
        <v>1048</v>
      </c>
      <c r="C1120" s="112" t="s">
        <v>90</v>
      </c>
      <c r="D1120" s="112"/>
      <c r="E1120" s="112"/>
      <c r="F1120" s="112"/>
      <c r="G1120" s="112" t="s">
        <v>406</v>
      </c>
      <c r="H1120" s="112"/>
      <c r="I1120" s="112"/>
      <c r="J1120" s="112" t="b">
        <f t="shared" si="185"/>
        <v>1</v>
      </c>
      <c r="K1120" s="112" t="b">
        <v>1</v>
      </c>
      <c r="L1120" s="112"/>
      <c r="M1120" s="112"/>
      <c r="N1120" s="112"/>
      <c r="O1120" s="112" t="str">
        <f t="shared" ref="O1120:O1180" si="195">"$B$"&amp;A1120</f>
        <v>$B$306</v>
      </c>
      <c r="P1120" s="112" t="str">
        <f>"$BK$"&amp;A1179</f>
        <v>$BK$364</v>
      </c>
      <c r="Q1120" s="112"/>
      <c r="R1120" s="112"/>
      <c r="S1120" s="112"/>
      <c r="T1120" s="112"/>
      <c r="U1120" s="112"/>
      <c r="V1120" s="112" t="s">
        <v>1342</v>
      </c>
      <c r="W1120" s="112"/>
      <c r="X1120" s="112"/>
      <c r="Y1120" s="112"/>
      <c r="Z1120" s="112"/>
      <c r="AA1120" s="112"/>
      <c r="AB1120" s="112"/>
      <c r="AC1120" s="112"/>
      <c r="AD1120" s="112" t="s">
        <v>105</v>
      </c>
      <c r="AE1120" s="112">
        <v>12</v>
      </c>
      <c r="AF1120" s="112" t="b">
        <v>1</v>
      </c>
      <c r="AG1120" s="112" t="s">
        <v>1355</v>
      </c>
      <c r="AH1120" s="112" t="s">
        <v>29</v>
      </c>
      <c r="AI1120" s="112" t="s">
        <v>28</v>
      </c>
      <c r="AJ1120" s="112"/>
      <c r="AK1120" s="112"/>
      <c r="AL1120" s="112"/>
      <c r="AM1120" s="112"/>
      <c r="AN1120" s="112"/>
      <c r="AO1120" s="112"/>
      <c r="AP1120" s="112"/>
    </row>
    <row r="1121" spans="1:147" ht="16.5" customHeight="1" thickBot="1" x14ac:dyDescent="0.3">
      <c r="A1121" s="113">
        <f>$A$1120+0</f>
        <v>306</v>
      </c>
      <c r="B1121" s="113" t="s">
        <v>1049</v>
      </c>
      <c r="C1121" s="113" t="s">
        <v>92</v>
      </c>
      <c r="D1121" s="113"/>
      <c r="E1121" s="113"/>
      <c r="F1121" s="113" t="s">
        <v>1048</v>
      </c>
      <c r="G1121" s="113" t="s">
        <v>406</v>
      </c>
      <c r="H1121" s="113"/>
      <c r="I1121" s="113"/>
      <c r="J1121" s="113" t="b">
        <f t="shared" si="185"/>
        <v>1</v>
      </c>
      <c r="K1121" s="113" t="b">
        <v>1</v>
      </c>
      <c r="L1121" s="113"/>
      <c r="M1121" s="113"/>
      <c r="N1121" s="113"/>
      <c r="O1121" s="113" t="str">
        <f t="shared" si="195"/>
        <v>$B$306</v>
      </c>
      <c r="P1121" s="113" t="str">
        <f t="shared" ref="P1121:P1156" si="196">"$BK$"&amp;A1121</f>
        <v>$BK$306</v>
      </c>
      <c r="Q1121" s="113"/>
      <c r="R1121" s="113"/>
      <c r="S1121" s="113"/>
      <c r="T1121" s="113">
        <v>52</v>
      </c>
      <c r="U1121" s="113"/>
      <c r="V1121" s="113" t="s">
        <v>1342</v>
      </c>
      <c r="W1121" s="113"/>
      <c r="X1121" s="113"/>
      <c r="Y1121" s="113"/>
      <c r="Z1121" s="113"/>
      <c r="AA1121" s="113"/>
      <c r="AB1121" s="113"/>
      <c r="AC1121" s="113"/>
      <c r="AD1121" s="113"/>
      <c r="AE1121" s="113"/>
      <c r="AF1121" s="113"/>
      <c r="AG1121" s="113"/>
      <c r="AH1121" s="113" t="s">
        <v>29</v>
      </c>
      <c r="AI1121" s="113"/>
      <c r="AJ1121" s="113"/>
      <c r="AK1121" s="113"/>
      <c r="AL1121" s="113">
        <v>1</v>
      </c>
      <c r="AM1121" s="113"/>
      <c r="AN1121" s="113"/>
      <c r="AO1121" s="113"/>
      <c r="AP1121" s="113" t="b">
        <v>1</v>
      </c>
      <c r="AQ1121" s="360" t="str">
        <f>"Tabel 1.5: Samlet "&amp;IF(MasterSheet_f_FP_CfgGroup1R3_VS,"program","projekt")&amp;"økonomi, mio. kr."</f>
        <v>Tabel 1.5: Samlet projektøkonomi, mio. kr.</v>
      </c>
      <c r="AR1121" s="360"/>
      <c r="AS1121" s="361"/>
      <c r="AT1121" s="175" t="s">
        <v>413</v>
      </c>
      <c r="AU1121" s="175">
        <v>2013</v>
      </c>
      <c r="AV1121" s="175">
        <v>2014</v>
      </c>
      <c r="AW1121"/>
      <c r="AX1121"/>
      <c r="AY1121"/>
      <c r="AZ1121"/>
      <c r="BA1121"/>
      <c r="BB1121"/>
      <c r="BC1121"/>
      <c r="BD1121"/>
      <c r="BE1121"/>
      <c r="BF1121"/>
      <c r="BG1121"/>
      <c r="BH1121"/>
      <c r="BI1121"/>
      <c r="BJ1121"/>
      <c r="BK1121"/>
      <c r="BL1121"/>
      <c r="BM1121"/>
      <c r="BN1121"/>
      <c r="BO1121"/>
      <c r="BP1121"/>
      <c r="BQ1121"/>
      <c r="BR1121"/>
      <c r="BS1121"/>
      <c r="BT1121"/>
      <c r="BU1121"/>
      <c r="BV1121"/>
      <c r="BW1121"/>
      <c r="BX1121"/>
      <c r="BY1121"/>
      <c r="BZ1121"/>
      <c r="CA1121"/>
      <c r="CB1121"/>
      <c r="CC1121"/>
      <c r="CD1121"/>
      <c r="CE1121"/>
      <c r="CF1121"/>
      <c r="CG1121"/>
      <c r="CH1121"/>
      <c r="CI1121"/>
      <c r="CJ1121"/>
      <c r="CK1121"/>
      <c r="CL1121"/>
      <c r="CM1121"/>
      <c r="CN1121"/>
      <c r="CO1121"/>
      <c r="CP1121"/>
      <c r="CQ1121"/>
      <c r="CR1121"/>
      <c r="CS1121"/>
      <c r="CT1121"/>
      <c r="CU1121"/>
      <c r="CV1121"/>
      <c r="CW1121"/>
      <c r="CX1121"/>
      <c r="CY1121"/>
      <c r="CZ1121"/>
      <c r="DA1121"/>
      <c r="DB1121"/>
      <c r="DC1121"/>
      <c r="DD1121"/>
      <c r="DE1121"/>
      <c r="DF1121"/>
      <c r="DG1121"/>
      <c r="DH1121"/>
      <c r="DI1121"/>
      <c r="DJ1121"/>
      <c r="DK1121"/>
      <c r="DL1121"/>
      <c r="DM1121"/>
      <c r="DN1121"/>
      <c r="DO1121"/>
      <c r="DP1121"/>
      <c r="DQ1121"/>
      <c r="DR1121"/>
      <c r="DS1121"/>
      <c r="DT1121"/>
      <c r="DU1121"/>
      <c r="DV1121"/>
      <c r="DW1121"/>
      <c r="DX1121"/>
      <c r="DY1121"/>
      <c r="DZ1121"/>
      <c r="EA1121"/>
      <c r="EB1121"/>
      <c r="EC1121"/>
      <c r="ED1121"/>
      <c r="EE1121"/>
      <c r="EF1121"/>
      <c r="EG1121"/>
      <c r="EH1121"/>
      <c r="EI1121"/>
      <c r="EJ1121"/>
      <c r="EK1121"/>
      <c r="EL1121"/>
      <c r="EM1121"/>
      <c r="EN1121"/>
      <c r="EO1121"/>
      <c r="EP1121"/>
      <c r="EQ1121"/>
    </row>
    <row r="1122" spans="1:147" ht="16.5" customHeight="1" x14ac:dyDescent="0.25">
      <c r="A1122" s="113">
        <f>$A$1120+1</f>
        <v>307</v>
      </c>
      <c r="B1122" s="113" t="s">
        <v>1050</v>
      </c>
      <c r="C1122" s="113" t="s">
        <v>92</v>
      </c>
      <c r="D1122" s="113"/>
      <c r="E1122" s="113"/>
      <c r="F1122" s="113" t="s">
        <v>1048</v>
      </c>
      <c r="G1122" s="113" t="s">
        <v>406</v>
      </c>
      <c r="H1122" s="113"/>
      <c r="I1122" s="113"/>
      <c r="J1122" s="113" t="b">
        <f t="shared" si="185"/>
        <v>1</v>
      </c>
      <c r="K1122" s="113" t="b">
        <v>1</v>
      </c>
      <c r="L1122" s="113"/>
      <c r="M1122" s="113"/>
      <c r="N1122" s="113"/>
      <c r="O1122" s="113" t="str">
        <f t="shared" si="195"/>
        <v>$B$307</v>
      </c>
      <c r="P1122" s="113" t="str">
        <f t="shared" si="196"/>
        <v>$BK$307</v>
      </c>
      <c r="Q1122" s="113"/>
      <c r="R1122" s="113"/>
      <c r="S1122" s="113"/>
      <c r="T1122" s="113"/>
      <c r="U1122" s="113"/>
      <c r="V1122" s="113" t="s">
        <v>1342</v>
      </c>
      <c r="W1122" s="113"/>
      <c r="X1122" s="113"/>
      <c r="Y1122" s="113"/>
      <c r="Z1122" s="113"/>
      <c r="AA1122" s="113"/>
      <c r="AB1122" s="113"/>
      <c r="AC1122" s="113"/>
      <c r="AD1122" s="113"/>
      <c r="AE1122" s="113"/>
      <c r="AF1122" s="113"/>
      <c r="AG1122" s="113"/>
      <c r="AH1122" s="113"/>
      <c r="AI1122" s="113"/>
      <c r="AJ1122" s="113"/>
      <c r="AK1122" s="113"/>
      <c r="AL1122" s="113">
        <v>1</v>
      </c>
      <c r="AM1122" s="113"/>
      <c r="AN1122" s="113"/>
      <c r="AO1122" s="113"/>
      <c r="AP1122" s="113" t="b">
        <v>1</v>
      </c>
      <c r="AQ1122" s="159" t="str">
        <f>"Drift - fremtidig uden "&amp;IF(MasterSheet_f_FP_CfgGroup1R3_VS,"program","projekt")</f>
        <v>Drift - fremtidig uden projekt</v>
      </c>
      <c r="AR1122" s="159"/>
      <c r="AS1122" s="141"/>
      <c r="AT1122" s="223"/>
      <c r="AU1122" s="242"/>
      <c r="AV1122" s="242"/>
      <c r="AW1122"/>
      <c r="AX1122"/>
      <c r="AY1122"/>
      <c r="AZ1122"/>
      <c r="BA1122"/>
      <c r="BB1122"/>
      <c r="BC1122"/>
      <c r="BD1122"/>
      <c r="BE1122"/>
      <c r="BF1122"/>
      <c r="BG1122"/>
      <c r="BH1122"/>
      <c r="BI1122"/>
      <c r="BJ1122"/>
      <c r="BK1122"/>
      <c r="BL1122"/>
      <c r="BM1122"/>
      <c r="BN1122"/>
      <c r="BO1122"/>
      <c r="BP1122"/>
      <c r="BQ1122"/>
      <c r="BR1122"/>
      <c r="BS1122"/>
      <c r="BT1122"/>
      <c r="BU1122"/>
      <c r="BV1122"/>
      <c r="BW1122"/>
      <c r="BX1122"/>
      <c r="BY1122"/>
      <c r="BZ1122"/>
      <c r="CA1122"/>
      <c r="CB1122"/>
      <c r="CC1122"/>
      <c r="CD1122"/>
      <c r="CE1122"/>
      <c r="CF1122"/>
      <c r="CG1122"/>
      <c r="CH1122"/>
      <c r="CI1122"/>
      <c r="CJ1122"/>
      <c r="CK1122"/>
      <c r="CL1122"/>
      <c r="CM1122"/>
      <c r="CN1122"/>
      <c r="CO1122"/>
      <c r="CP1122"/>
      <c r="CQ1122"/>
      <c r="CR1122"/>
      <c r="CS1122"/>
      <c r="CT1122"/>
      <c r="CU1122"/>
      <c r="CV1122"/>
      <c r="CW1122"/>
      <c r="CX1122"/>
      <c r="CY1122"/>
      <c r="CZ1122"/>
      <c r="DA1122"/>
      <c r="DB1122"/>
      <c r="DC1122"/>
      <c r="DD1122"/>
      <c r="DE1122"/>
      <c r="DF1122"/>
      <c r="DG1122"/>
      <c r="DH1122"/>
      <c r="DI1122"/>
      <c r="DJ1122"/>
      <c r="DK1122"/>
      <c r="DL1122"/>
      <c r="DM1122"/>
      <c r="DN1122"/>
      <c r="DO1122"/>
      <c r="DP1122"/>
      <c r="DQ1122"/>
      <c r="DR1122"/>
      <c r="DS1122"/>
      <c r="DT1122"/>
      <c r="DU1122"/>
      <c r="DV1122"/>
      <c r="DW1122"/>
      <c r="DX1122"/>
      <c r="DY1122"/>
      <c r="DZ1122"/>
      <c r="EA1122"/>
      <c r="EB1122"/>
      <c r="EC1122"/>
      <c r="ED1122"/>
      <c r="EE1122"/>
      <c r="EF1122"/>
      <c r="EG1122"/>
      <c r="EH1122"/>
      <c r="EI1122"/>
      <c r="EJ1122"/>
      <c r="EK1122"/>
      <c r="EL1122"/>
      <c r="EM1122"/>
      <c r="EN1122"/>
      <c r="EO1122"/>
      <c r="EP1122"/>
      <c r="EQ1122"/>
    </row>
    <row r="1123" spans="1:147" ht="16.5" customHeight="1" x14ac:dyDescent="0.25">
      <c r="A1123" s="113">
        <f>$A$1120+2</f>
        <v>308</v>
      </c>
      <c r="B1123" s="113" t="s">
        <v>1051</v>
      </c>
      <c r="C1123" s="113" t="s">
        <v>92</v>
      </c>
      <c r="D1123" s="113"/>
      <c r="E1123" s="113"/>
      <c r="F1123" s="113" t="s">
        <v>1048</v>
      </c>
      <c r="G1123" s="113" t="s">
        <v>406</v>
      </c>
      <c r="H1123" s="113"/>
      <c r="I1123" s="113"/>
      <c r="J1123" s="113" t="b">
        <f t="shared" si="185"/>
        <v>1</v>
      </c>
      <c r="K1123" s="113" t="b">
        <v>1</v>
      </c>
      <c r="L1123" s="113"/>
      <c r="M1123" s="113"/>
      <c r="N1123" s="113"/>
      <c r="O1123" s="113" t="str">
        <f t="shared" si="195"/>
        <v>$B$308</v>
      </c>
      <c r="P1123" s="113" t="str">
        <f t="shared" si="196"/>
        <v>$BK$308</v>
      </c>
      <c r="Q1123" s="113"/>
      <c r="R1123" s="113"/>
      <c r="S1123" s="113"/>
      <c r="T1123" s="113"/>
      <c r="U1123" s="113"/>
      <c r="V1123" s="113" t="s">
        <v>1342</v>
      </c>
      <c r="W1123" s="113"/>
      <c r="X1123" s="113"/>
      <c r="Y1123" s="113"/>
      <c r="Z1123" s="113"/>
      <c r="AA1123" s="113"/>
      <c r="AB1123" s="113"/>
      <c r="AC1123" s="113"/>
      <c r="AD1123" s="113"/>
      <c r="AE1123" s="113"/>
      <c r="AF1123" s="113"/>
      <c r="AG1123" s="113"/>
      <c r="AH1123" s="113"/>
      <c r="AI1123" s="113"/>
      <c r="AJ1123" s="113"/>
      <c r="AK1123" s="113"/>
      <c r="AL1123" s="113">
        <v>1</v>
      </c>
      <c r="AM1123" s="113"/>
      <c r="AN1123" s="113"/>
      <c r="AO1123" s="113"/>
      <c r="AP1123" s="113" t="b">
        <v>1</v>
      </c>
      <c r="AQ1123" s="161" t="s">
        <v>453</v>
      </c>
      <c r="AR1123" s="161"/>
      <c r="AS1123" s="132"/>
      <c r="AT1123" s="191">
        <f ca="1">SUM(AU1123:CZ1123)</f>
        <v>0</v>
      </c>
      <c r="AU1123" s="191">
        <f ca="1">(IF(MasterSheet_f_FP_CfgGroup2R2_VS,IF(MasterSheet_f_FP_CfgGroup1R3_VS,SUMIF('Drift - fremtidig uden projektC'!$E:$E,OFFSET(Businesscasen_f_BCM_subcat18_Table1_start,0,COLUMN()-COLUMN(Businesscasen_f_BCM_subcat18_Table1_start)),'Drift - fremtidig uden projektC'!$P:$P),SUMIF('Drift - fremtidig uden projektC'!$E:$E,OFFSET(Businesscasen_f_BCM_subcat18_Table1_start,0,COLUMN()-COLUMN(Businesscasen_f_BCM_subcat18_Table1_start)),'Drift - fremtidig uden projektC'!$P:$P)),IF(MasterSheet_f_FP_CfgGroup1R3_VS,SUMIF('Drift - fremtidig uden projektC'!$E:$E,OFFSET(Businesscasen_f_BCM_subcat18_Table1_start,0,COLUMN()-COLUMN(Businesscasen_f_BCM_subcat18_Table1_start)),'Drift - fremtidig uden projektC'!$O:$O),SUMIF('Drift - fremtidig uden projektC'!$E:$E,OFFSET(Businesscasen_f_BCM_subcat18_Table1_start,0,COLUMN()-COLUMN(Businesscasen_f_BCM_subcat18_Table1_start)),'Drift - fremtidig uden projektC'!$O:$O))))/1000</f>
        <v>0</v>
      </c>
      <c r="AV1123" s="191">
        <f ca="1">(IF(MasterSheet_f_FP_CfgGroup2R2_VS,IF(MasterSheet_f_FP_CfgGroup1R3_VS,SUMIF('Drift - fremtidig uden projektC'!$E:$E,OFFSET(Businesscasen_f_BCM_subcat18_Table1_start,0,COLUMN()-COLUMN(Businesscasen_f_BCM_subcat18_Table1_start)),'Drift - fremtidig uden projektC'!$P:$P),SUMIF('Drift - fremtidig uden projektC'!$E:$E,OFFSET(Businesscasen_f_BCM_subcat18_Table1_start,0,COLUMN()-COLUMN(Businesscasen_f_BCM_subcat18_Table1_start)),'Drift - fremtidig uden projektC'!$P:$P)),IF(MasterSheet_f_FP_CfgGroup1R3_VS,SUMIF('Drift - fremtidig uden projektC'!$E:$E,OFFSET(Businesscasen_f_BCM_subcat18_Table1_start,0,COLUMN()-COLUMN(Businesscasen_f_BCM_subcat18_Table1_start)),'Drift - fremtidig uden projektC'!$O:$O),SUMIF('Drift - fremtidig uden projektC'!$E:$E,OFFSET(Businesscasen_f_BCM_subcat18_Table1_start,0,COLUMN()-COLUMN(Businesscasen_f_BCM_subcat18_Table1_start)),'Drift - fremtidig uden projektC'!$O:$O))))/1000</f>
        <v>0</v>
      </c>
      <c r="AW1123"/>
      <c r="AX1123"/>
      <c r="AY1123"/>
      <c r="AZ1123"/>
      <c r="BA1123"/>
      <c r="BB1123"/>
      <c r="BC1123"/>
      <c r="BD1123"/>
      <c r="BE1123"/>
      <c r="BF1123"/>
      <c r="BG1123"/>
      <c r="BH1123"/>
      <c r="BI1123"/>
      <c r="BJ1123"/>
      <c r="BK1123"/>
      <c r="BL1123"/>
      <c r="BM1123"/>
      <c r="BN1123"/>
      <c r="BO1123"/>
      <c r="BP1123"/>
      <c r="BQ1123"/>
      <c r="BR1123"/>
      <c r="BS1123"/>
      <c r="BT1123"/>
      <c r="BU1123"/>
      <c r="BV1123"/>
      <c r="BW1123"/>
      <c r="BX1123"/>
      <c r="BY1123"/>
      <c r="BZ1123"/>
      <c r="CA1123"/>
      <c r="CB1123"/>
      <c r="CC1123"/>
      <c r="CD1123"/>
      <c r="CE1123"/>
      <c r="CF1123"/>
      <c r="CG1123"/>
      <c r="CH1123"/>
      <c r="CI1123"/>
      <c r="CJ1123"/>
      <c r="CK1123"/>
      <c r="CL1123"/>
      <c r="CM1123"/>
      <c r="CN1123"/>
      <c r="CO1123"/>
      <c r="CP1123"/>
      <c r="CQ1123"/>
      <c r="CR1123"/>
      <c r="CS1123"/>
      <c r="CT1123"/>
      <c r="CU1123"/>
      <c r="CV1123"/>
      <c r="CW1123"/>
      <c r="CX1123"/>
      <c r="CY1123"/>
      <c r="CZ1123"/>
      <c r="DA1123"/>
      <c r="DB1123"/>
      <c r="DC1123"/>
      <c r="DD1123"/>
      <c r="DE1123"/>
      <c r="DF1123"/>
      <c r="DG1123"/>
      <c r="DH1123"/>
      <c r="DI1123"/>
      <c r="DJ1123"/>
      <c r="DK1123"/>
      <c r="DL1123"/>
      <c r="DM1123"/>
      <c r="DN1123"/>
      <c r="DO1123"/>
      <c r="DP1123"/>
      <c r="DQ1123"/>
      <c r="DR1123"/>
      <c r="DS1123"/>
      <c r="DT1123"/>
      <c r="DU1123"/>
      <c r="DV1123"/>
      <c r="DW1123"/>
      <c r="DX1123"/>
      <c r="DY1123"/>
      <c r="DZ1123"/>
      <c r="EA1123"/>
      <c r="EB1123"/>
      <c r="EC1123"/>
      <c r="ED1123"/>
      <c r="EE1123"/>
      <c r="EF1123"/>
      <c r="EG1123"/>
      <c r="EH1123"/>
      <c r="EI1123"/>
      <c r="EJ1123"/>
      <c r="EK1123"/>
      <c r="EL1123"/>
      <c r="EM1123"/>
      <c r="EN1123"/>
      <c r="EO1123"/>
      <c r="EP1123"/>
      <c r="EQ1123"/>
    </row>
    <row r="1124" spans="1:147" ht="16.5" customHeight="1" x14ac:dyDescent="0.25">
      <c r="A1124" s="113">
        <f>$A$1120+3</f>
        <v>309</v>
      </c>
      <c r="B1124" s="113" t="s">
        <v>1052</v>
      </c>
      <c r="C1124" s="113" t="s">
        <v>92</v>
      </c>
      <c r="D1124" s="113"/>
      <c r="E1124" s="113"/>
      <c r="F1124" s="113" t="s">
        <v>1048</v>
      </c>
      <c r="G1124" s="113" t="s">
        <v>406</v>
      </c>
      <c r="H1124" s="113"/>
      <c r="I1124" s="113"/>
      <c r="J1124" s="113" t="b">
        <f t="shared" si="185"/>
        <v>1</v>
      </c>
      <c r="K1124" s="113" t="b">
        <v>1</v>
      </c>
      <c r="L1124" s="113"/>
      <c r="M1124" s="113"/>
      <c r="N1124" s="113"/>
      <c r="O1124" s="113" t="str">
        <f t="shared" si="195"/>
        <v>$B$309</v>
      </c>
      <c r="P1124" s="113" t="str">
        <f t="shared" si="196"/>
        <v>$BK$309</v>
      </c>
      <c r="Q1124" s="113"/>
      <c r="R1124" s="113"/>
      <c r="S1124" s="113"/>
      <c r="T1124" s="113"/>
      <c r="U1124" s="113"/>
      <c r="V1124" s="113" t="s">
        <v>1342</v>
      </c>
      <c r="W1124" s="113"/>
      <c r="X1124" s="113"/>
      <c r="Y1124" s="113"/>
      <c r="Z1124" s="113"/>
      <c r="AA1124" s="113"/>
      <c r="AB1124" s="113"/>
      <c r="AC1124" s="113"/>
      <c r="AD1124" s="113"/>
      <c r="AE1124" s="113"/>
      <c r="AF1124" s="113"/>
      <c r="AG1124" s="113"/>
      <c r="AH1124" s="113"/>
      <c r="AI1124" s="113"/>
      <c r="AJ1124" s="113"/>
      <c r="AK1124" s="113"/>
      <c r="AL1124" s="113">
        <v>1</v>
      </c>
      <c r="AM1124" s="113"/>
      <c r="AN1124" s="113"/>
      <c r="AO1124" s="113"/>
      <c r="AP1124" s="113" t="b">
        <v>1</v>
      </c>
      <c r="AQ1124" s="132" t="s">
        <v>298</v>
      </c>
      <c r="AR1124" s="132"/>
      <c r="AS1124" s="132"/>
      <c r="AT1124" s="191">
        <f ca="1">SUM(AU1124:CZ1124)</f>
        <v>0</v>
      </c>
      <c r="AU1124" s="191">
        <f ca="1">(IF(MasterSheet_f_FP_CfgGroup1R3_VS,SUMIF('Drift - fremtidig uden projektC'!$E:$E,OFFSET(Businesscasen_f_BCM_subcat18_Table1_start,0,COLUMN()-COLUMN(Businesscasen_f_BCM_subcat18_Table1_start)),'Drift - fremtidig uden projektC'!$N:$N),SUMIF('Drift - fremtidig uden projektC'!$E:$E,OFFSET(Businesscasen_f_BCM_subcat18_Table1_start,0,COLUMN()-COLUMN(Businesscasen_f_BCM_subcat18_Table1_start)),'Drift - fremtidig uden projektC'!$N:$N)))/1000</f>
        <v>0</v>
      </c>
      <c r="AV1124" s="191">
        <f ca="1">(IF(MasterSheet_f_FP_CfgGroup1R3_VS,SUMIF('Drift - fremtidig uden projektC'!$E:$E,OFFSET(Businesscasen_f_BCM_subcat18_Table1_start,0,COLUMN()-COLUMN(Businesscasen_f_BCM_subcat18_Table1_start)),'Drift - fremtidig uden projektC'!$N:$N),SUMIF('Drift - fremtidig uden projektC'!$E:$E,OFFSET(Businesscasen_f_BCM_subcat18_Table1_start,0,COLUMN()-COLUMN(Businesscasen_f_BCM_subcat18_Table1_start)),'Drift - fremtidig uden projektC'!$N:$N)))/1000</f>
        <v>0</v>
      </c>
      <c r="AW1124"/>
      <c r="AX1124"/>
      <c r="AY1124"/>
      <c r="AZ1124"/>
      <c r="BA1124"/>
      <c r="BB1124"/>
      <c r="BC1124"/>
      <c r="BD1124"/>
      <c r="BE1124"/>
      <c r="BF1124"/>
      <c r="BG1124"/>
      <c r="BH1124"/>
      <c r="BI1124"/>
      <c r="BJ1124"/>
      <c r="BK1124"/>
      <c r="BL1124"/>
      <c r="BM1124"/>
      <c r="BN1124"/>
      <c r="BO1124"/>
      <c r="BP1124"/>
      <c r="BQ1124"/>
      <c r="BR1124"/>
      <c r="BS1124"/>
      <c r="BT1124"/>
      <c r="BU1124"/>
      <c r="BV1124"/>
      <c r="BW1124"/>
      <c r="BX1124"/>
      <c r="BY1124"/>
      <c r="BZ1124"/>
      <c r="CA1124"/>
      <c r="CB1124"/>
      <c r="CC1124"/>
      <c r="CD1124"/>
      <c r="CE1124"/>
      <c r="CF1124"/>
      <c r="CG1124"/>
      <c r="CH1124"/>
      <c r="CI1124"/>
      <c r="CJ1124"/>
      <c r="CK1124"/>
      <c r="CL1124"/>
      <c r="CM1124"/>
      <c r="CN1124"/>
      <c r="CO1124"/>
      <c r="CP1124"/>
      <c r="CQ1124"/>
      <c r="CR1124"/>
      <c r="CS1124"/>
      <c r="CT1124"/>
      <c r="CU1124"/>
      <c r="CV1124"/>
      <c r="CW1124"/>
      <c r="CX1124"/>
      <c r="CY1124"/>
      <c r="CZ1124"/>
      <c r="DA1124"/>
      <c r="DB1124"/>
      <c r="DC1124"/>
      <c r="DD1124"/>
      <c r="DE1124"/>
      <c r="DF1124"/>
      <c r="DG1124"/>
      <c r="DH1124"/>
      <c r="DI1124"/>
      <c r="DJ1124"/>
      <c r="DK1124"/>
      <c r="DL1124"/>
      <c r="DM1124"/>
      <c r="DN1124"/>
      <c r="DO1124"/>
      <c r="DP1124"/>
      <c r="DQ1124"/>
      <c r="DR1124"/>
      <c r="DS1124"/>
      <c r="DT1124"/>
      <c r="DU1124"/>
      <c r="DV1124"/>
      <c r="DW1124"/>
      <c r="DX1124"/>
      <c r="DY1124"/>
      <c r="DZ1124"/>
      <c r="EA1124"/>
      <c r="EB1124"/>
      <c r="EC1124"/>
      <c r="ED1124"/>
      <c r="EE1124"/>
      <c r="EF1124"/>
      <c r="EG1124"/>
      <c r="EH1124"/>
      <c r="EI1124"/>
      <c r="EJ1124"/>
      <c r="EK1124"/>
      <c r="EL1124"/>
      <c r="EM1124"/>
      <c r="EN1124"/>
      <c r="EO1124"/>
      <c r="EP1124"/>
      <c r="EQ1124"/>
    </row>
    <row r="1125" spans="1:147" ht="16.5" customHeight="1" x14ac:dyDescent="0.25">
      <c r="A1125" s="113">
        <f>$A$1120+4</f>
        <v>310</v>
      </c>
      <c r="B1125" s="113" t="s">
        <v>1053</v>
      </c>
      <c r="C1125" s="113" t="s">
        <v>92</v>
      </c>
      <c r="D1125" s="113"/>
      <c r="E1125" s="113"/>
      <c r="F1125" s="113" t="s">
        <v>1048</v>
      </c>
      <c r="G1125" s="113" t="s">
        <v>406</v>
      </c>
      <c r="H1125" s="113"/>
      <c r="I1125" s="113"/>
      <c r="J1125" s="113" t="b">
        <f t="shared" si="185"/>
        <v>1</v>
      </c>
      <c r="K1125" s="113" t="b">
        <v>1</v>
      </c>
      <c r="L1125" s="113"/>
      <c r="M1125" s="113"/>
      <c r="N1125" s="113"/>
      <c r="O1125" s="113" t="str">
        <f t="shared" si="195"/>
        <v>$B$310</v>
      </c>
      <c r="P1125" s="113" t="str">
        <f t="shared" si="196"/>
        <v>$BK$310</v>
      </c>
      <c r="Q1125" s="113"/>
      <c r="R1125" s="113"/>
      <c r="S1125" s="113"/>
      <c r="T1125" s="113"/>
      <c r="U1125" s="113"/>
      <c r="V1125" s="113" t="s">
        <v>1342</v>
      </c>
      <c r="W1125" s="113"/>
      <c r="X1125" s="113"/>
      <c r="Y1125" s="113"/>
      <c r="Z1125" s="113"/>
      <c r="AA1125" s="113"/>
      <c r="AB1125" s="113"/>
      <c r="AC1125" s="113"/>
      <c r="AD1125" s="113"/>
      <c r="AE1125" s="113"/>
      <c r="AF1125" s="113"/>
      <c r="AG1125" s="113"/>
      <c r="AH1125" s="113"/>
      <c r="AI1125" s="113"/>
      <c r="AJ1125" s="113"/>
      <c r="AK1125" s="113"/>
      <c r="AL1125" s="113">
        <v>1</v>
      </c>
      <c r="AM1125" s="113"/>
      <c r="AN1125" s="113"/>
      <c r="AO1125" s="113"/>
      <c r="AP1125" s="113" t="b">
        <v>1</v>
      </c>
      <c r="AQ1125" s="132" t="s">
        <v>495</v>
      </c>
      <c r="AR1125" s="132"/>
      <c r="AS1125" s="132"/>
      <c r="AT1125" s="191">
        <f ca="1">SUM(AU1125:CZ1125)</f>
        <v>0</v>
      </c>
      <c r="AU1125" s="191">
        <f ca="1">(IF(MasterSheet_f_FP_CfgGroup1R3_VS,SUMIF('Drift - fremtidig uden projektC'!$E:$E,OFFSET(Businesscasen_f_BCM_subcat18_Table1_start,0,COLUMN()-COLUMN(Businesscasen_f_BCM_subcat18_Table1_start)),'Drift - fremtidig uden projektC'!$Q:$Q),SUMIF('Drift - fremtidig uden projektC'!$E:$E,OFFSET(Businesscasen_f_BCM_subcat18_Table1_start,0,COLUMN()-COLUMN(Businesscasen_f_BCM_subcat18_Table1_start)),'Drift - fremtidig uden projektC'!$Q:$Q)))/1000</f>
        <v>0</v>
      </c>
      <c r="AV1125" s="191">
        <f ca="1">(IF(MasterSheet_f_FP_CfgGroup1R3_VS,SUMIF('Drift - fremtidig uden projektC'!$E:$E,OFFSET(Businesscasen_f_BCM_subcat18_Table1_start,0,COLUMN()-COLUMN(Businesscasen_f_BCM_subcat18_Table1_start)),'Drift - fremtidig uden projektC'!$Q:$Q),SUMIF('Drift - fremtidig uden projektC'!$E:$E,OFFSET(Businesscasen_f_BCM_subcat18_Table1_start,0,COLUMN()-COLUMN(Businesscasen_f_BCM_subcat18_Table1_start)),'Drift - fremtidig uden projektC'!$Q:$Q)))/1000</f>
        <v>0</v>
      </c>
      <c r="AW1125"/>
      <c r="AX1125"/>
      <c r="AY1125"/>
      <c r="AZ1125"/>
      <c r="BA1125"/>
      <c r="BB1125"/>
      <c r="BC1125"/>
      <c r="BD1125"/>
      <c r="BE1125"/>
      <c r="BF1125"/>
      <c r="BG1125"/>
      <c r="BH1125"/>
      <c r="BI1125"/>
      <c r="BJ1125"/>
      <c r="BK1125"/>
      <c r="BL1125"/>
      <c r="BM1125"/>
      <c r="BN1125"/>
      <c r="BO1125"/>
      <c r="BP1125"/>
      <c r="BQ1125"/>
      <c r="BR1125"/>
      <c r="BS1125"/>
      <c r="BT1125"/>
      <c r="BU1125"/>
      <c r="BV1125"/>
      <c r="BW1125"/>
      <c r="BX1125"/>
      <c r="BY1125"/>
      <c r="BZ1125"/>
      <c r="CA1125"/>
      <c r="CB1125"/>
      <c r="CC1125"/>
      <c r="CD1125"/>
      <c r="CE1125"/>
      <c r="CF1125"/>
      <c r="CG1125"/>
      <c r="CH1125"/>
      <c r="CI1125"/>
      <c r="CJ1125"/>
      <c r="CK1125"/>
      <c r="CL1125"/>
      <c r="CM1125"/>
      <c r="CN1125"/>
      <c r="CO1125"/>
      <c r="CP1125"/>
      <c r="CQ1125"/>
      <c r="CR1125"/>
      <c r="CS1125"/>
      <c r="CT1125"/>
      <c r="CU1125"/>
      <c r="CV1125"/>
      <c r="CW1125"/>
      <c r="CX1125"/>
      <c r="CY1125"/>
      <c r="CZ1125"/>
      <c r="DA1125"/>
      <c r="DB1125"/>
      <c r="DC1125"/>
      <c r="DD1125"/>
      <c r="DE1125"/>
      <c r="DF1125"/>
      <c r="DG1125"/>
      <c r="DH1125"/>
      <c r="DI1125"/>
      <c r="DJ1125"/>
      <c r="DK1125"/>
      <c r="DL1125"/>
      <c r="DM1125"/>
      <c r="DN1125"/>
      <c r="DO1125"/>
      <c r="DP1125"/>
      <c r="DQ1125"/>
      <c r="DR1125"/>
      <c r="DS1125"/>
      <c r="DT1125"/>
      <c r="DU1125"/>
      <c r="DV1125"/>
      <c r="DW1125"/>
      <c r="DX1125"/>
      <c r="DY1125"/>
      <c r="DZ1125"/>
      <c r="EA1125"/>
      <c r="EB1125"/>
      <c r="EC1125"/>
      <c r="ED1125"/>
      <c r="EE1125"/>
      <c r="EF1125"/>
      <c r="EG1125"/>
      <c r="EH1125"/>
      <c r="EI1125"/>
      <c r="EJ1125"/>
      <c r="EK1125"/>
      <c r="EL1125"/>
      <c r="EM1125"/>
      <c r="EN1125"/>
      <c r="EO1125"/>
      <c r="EP1125"/>
      <c r="EQ1125"/>
    </row>
    <row r="1126" spans="1:147" ht="16.5" customHeight="1" x14ac:dyDescent="0.25">
      <c r="A1126" s="113">
        <f>$A$1120+5</f>
        <v>311</v>
      </c>
      <c r="B1126" s="113" t="s">
        <v>1054</v>
      </c>
      <c r="C1126" s="113" t="s">
        <v>92</v>
      </c>
      <c r="D1126" s="113"/>
      <c r="E1126" s="113"/>
      <c r="F1126" s="113" t="s">
        <v>1048</v>
      </c>
      <c r="G1126" s="113" t="s">
        <v>406</v>
      </c>
      <c r="H1126" s="113"/>
      <c r="I1126" s="113"/>
      <c r="J1126" s="113" t="b">
        <f t="shared" si="185"/>
        <v>1</v>
      </c>
      <c r="K1126" s="113" t="b">
        <v>1</v>
      </c>
      <c r="L1126" s="113"/>
      <c r="M1126" s="113"/>
      <c r="N1126" s="113"/>
      <c r="O1126" s="113" t="str">
        <f t="shared" si="195"/>
        <v>$B$311</v>
      </c>
      <c r="P1126" s="113" t="str">
        <f t="shared" si="196"/>
        <v>$BK$311</v>
      </c>
      <c r="Q1126" s="113"/>
      <c r="R1126" s="113"/>
      <c r="S1126" s="113"/>
      <c r="T1126" s="113"/>
      <c r="U1126" s="113"/>
      <c r="V1126" s="113" t="s">
        <v>1342</v>
      </c>
      <c r="W1126" s="113"/>
      <c r="X1126" s="113"/>
      <c r="Y1126" s="113"/>
      <c r="Z1126" s="113"/>
      <c r="AA1126" s="113"/>
      <c r="AB1126" s="113"/>
      <c r="AC1126" s="113"/>
      <c r="AD1126" s="113"/>
      <c r="AE1126" s="113"/>
      <c r="AF1126" s="113"/>
      <c r="AG1126" s="113"/>
      <c r="AH1126" s="113"/>
      <c r="AI1126" s="113"/>
      <c r="AJ1126" s="113"/>
      <c r="AK1126" s="113"/>
      <c r="AL1126" s="113">
        <v>1</v>
      </c>
      <c r="AM1126" s="113"/>
      <c r="AN1126" s="113"/>
      <c r="AO1126" s="113"/>
      <c r="AP1126" s="113" t="b">
        <v>1</v>
      </c>
      <c r="AQ1126" s="132" t="s">
        <v>496</v>
      </c>
      <c r="AR1126" s="132"/>
      <c r="AS1126" s="132"/>
      <c r="AT1126" s="191">
        <f ca="1">SUM(AU1126:CZ1126)</f>
        <v>0</v>
      </c>
      <c r="AU1126" s="191">
        <f ca="1">(IF(MasterSheet_f_FP_CfgGroup1R3_VS,SUMIF('Drift - fremtidig uden projektC'!$E:$E,OFFSET(Businesscasen_f_BCM_subcat18_Table1_start,0,COLUMN()-COLUMN(Businesscasen_f_BCM_subcat18_Table1_start)),'Drift - fremtidig uden projektC'!$R:$R),SUMIF('Drift - fremtidig uden projektC'!$E:$E,OFFSET(Businesscasen_f_BCM_subcat18_Table1_start,0,COLUMN()-COLUMN(Businesscasen_f_BCM_subcat18_Table1_start)),'Drift - fremtidig uden projektC'!$R:$R)))/1000</f>
        <v>0</v>
      </c>
      <c r="AV1126" s="191">
        <f ca="1">(IF(MasterSheet_f_FP_CfgGroup1R3_VS,SUMIF('Drift - fremtidig uden projektC'!$E:$E,OFFSET(Businesscasen_f_BCM_subcat18_Table1_start,0,COLUMN()-COLUMN(Businesscasen_f_BCM_subcat18_Table1_start)),'Drift - fremtidig uden projektC'!$R:$R),SUMIF('Drift - fremtidig uden projektC'!$E:$E,OFFSET(Businesscasen_f_BCM_subcat18_Table1_start,0,COLUMN()-COLUMN(Businesscasen_f_BCM_subcat18_Table1_start)),'Drift - fremtidig uden projektC'!$R:$R)))/1000</f>
        <v>0</v>
      </c>
      <c r="AW1126"/>
      <c r="AX1126"/>
      <c r="AY1126"/>
      <c r="AZ1126"/>
      <c r="BA1126"/>
      <c r="BB1126"/>
      <c r="BC1126"/>
      <c r="BD1126"/>
      <c r="BE1126"/>
      <c r="BF1126"/>
      <c r="BG1126"/>
      <c r="BH1126"/>
      <c r="BI1126"/>
      <c r="BJ1126"/>
      <c r="BK1126"/>
      <c r="BL1126"/>
      <c r="BM1126"/>
      <c r="BN1126"/>
      <c r="BO1126"/>
      <c r="BP1126"/>
      <c r="BQ1126"/>
      <c r="BR1126"/>
      <c r="BS1126"/>
      <c r="BT1126"/>
      <c r="BU1126"/>
      <c r="BV1126"/>
      <c r="BW1126"/>
      <c r="BX1126"/>
      <c r="BY1126"/>
      <c r="BZ1126"/>
      <c r="CA1126"/>
      <c r="CB1126"/>
      <c r="CC1126"/>
      <c r="CD1126"/>
      <c r="CE1126"/>
      <c r="CF1126"/>
      <c r="CG1126"/>
      <c r="CH1126"/>
      <c r="CI1126"/>
      <c r="CJ1126"/>
      <c r="CK1126"/>
      <c r="CL1126"/>
      <c r="CM1126"/>
      <c r="CN1126"/>
      <c r="CO1126"/>
      <c r="CP1126"/>
      <c r="CQ1126"/>
      <c r="CR1126"/>
      <c r="CS1126"/>
      <c r="CT1126"/>
      <c r="CU1126"/>
      <c r="CV1126"/>
      <c r="CW1126"/>
      <c r="CX1126"/>
      <c r="CY1126"/>
      <c r="CZ1126"/>
      <c r="DA1126"/>
      <c r="DB1126"/>
      <c r="DC1126"/>
      <c r="DD1126"/>
      <c r="DE1126"/>
      <c r="DF1126"/>
      <c r="DG1126"/>
      <c r="DH1126"/>
      <c r="DI1126"/>
      <c r="DJ1126"/>
      <c r="DK1126"/>
      <c r="DL1126"/>
      <c r="DM1126"/>
      <c r="DN1126"/>
      <c r="DO1126"/>
      <c r="DP1126"/>
      <c r="DQ1126"/>
      <c r="DR1126"/>
      <c r="DS1126"/>
      <c r="DT1126"/>
      <c r="DU1126"/>
      <c r="DV1126"/>
      <c r="DW1126"/>
      <c r="DX1126"/>
      <c r="DY1126"/>
      <c r="DZ1126"/>
      <c r="EA1126"/>
      <c r="EB1126"/>
      <c r="EC1126"/>
      <c r="ED1126"/>
      <c r="EE1126"/>
      <c r="EF1126"/>
      <c r="EG1126"/>
      <c r="EH1126"/>
      <c r="EI1126"/>
      <c r="EJ1126"/>
      <c r="EK1126"/>
      <c r="EL1126"/>
      <c r="EM1126"/>
      <c r="EN1126"/>
      <c r="EO1126"/>
      <c r="EP1126"/>
      <c r="EQ1126"/>
    </row>
    <row r="1127" spans="1:147" ht="16.5" customHeight="1" x14ac:dyDescent="0.25">
      <c r="A1127" s="113">
        <f>$A$1120+6</f>
        <v>312</v>
      </c>
      <c r="B1127" s="113" t="s">
        <v>1055</v>
      </c>
      <c r="C1127" s="113" t="s">
        <v>92</v>
      </c>
      <c r="D1127" s="113"/>
      <c r="E1127" s="113"/>
      <c r="F1127" s="113" t="s">
        <v>1048</v>
      </c>
      <c r="G1127" s="113" t="s">
        <v>406</v>
      </c>
      <c r="H1127" s="113"/>
      <c r="I1127" s="113"/>
      <c r="J1127" s="113" t="b">
        <f t="shared" si="185"/>
        <v>1</v>
      </c>
      <c r="K1127" s="113" t="b">
        <v>1</v>
      </c>
      <c r="L1127" s="113"/>
      <c r="M1127" s="113"/>
      <c r="N1127" s="113"/>
      <c r="O1127" s="113" t="str">
        <f t="shared" si="195"/>
        <v>$B$312</v>
      </c>
      <c r="P1127" s="113" t="str">
        <f t="shared" si="196"/>
        <v>$BK$312</v>
      </c>
      <c r="Q1127" s="113"/>
      <c r="R1127" s="113"/>
      <c r="S1127" s="113"/>
      <c r="T1127" s="113"/>
      <c r="U1127" s="113"/>
      <c r="V1127" s="113" t="s">
        <v>1342</v>
      </c>
      <c r="W1127" s="113"/>
      <c r="X1127" s="113"/>
      <c r="Y1127" s="113"/>
      <c r="Z1127" s="113"/>
      <c r="AA1127" s="113"/>
      <c r="AB1127" s="113"/>
      <c r="AC1127" s="113"/>
      <c r="AD1127" s="113"/>
      <c r="AE1127" s="113"/>
      <c r="AF1127" s="113"/>
      <c r="AG1127" s="113"/>
      <c r="AH1127" s="113"/>
      <c r="AI1127" s="113"/>
      <c r="AJ1127" s="113"/>
      <c r="AK1127" s="113"/>
      <c r="AL1127" s="113">
        <v>1</v>
      </c>
      <c r="AM1127" s="113"/>
      <c r="AN1127" s="113"/>
      <c r="AO1127" s="113"/>
      <c r="AP1127" s="113" t="b">
        <v>1</v>
      </c>
      <c r="AQ1127" s="132"/>
      <c r="AR1127" s="132"/>
      <c r="AS1127" s="132"/>
      <c r="AT1127" s="191"/>
      <c r="AU1127" s="191"/>
      <c r="AV1127" s="191"/>
      <c r="AW1127"/>
      <c r="AX1127"/>
      <c r="AY1127"/>
      <c r="AZ1127"/>
      <c r="BA1127"/>
      <c r="BB1127"/>
      <c r="BC1127"/>
      <c r="BD1127"/>
      <c r="BE1127"/>
      <c r="BF1127"/>
      <c r="BG1127"/>
      <c r="BH1127"/>
      <c r="BI1127"/>
      <c r="BJ1127"/>
      <c r="BK1127"/>
      <c r="BL1127"/>
      <c r="BM1127"/>
      <c r="BN1127"/>
      <c r="BO1127"/>
      <c r="BP1127"/>
      <c r="BQ1127"/>
      <c r="BR1127"/>
      <c r="BS1127"/>
      <c r="BT1127"/>
      <c r="BU1127"/>
      <c r="BV1127"/>
      <c r="BW1127"/>
      <c r="BX1127"/>
      <c r="BY1127"/>
      <c r="BZ1127"/>
      <c r="CA1127"/>
      <c r="CB1127"/>
      <c r="CC1127"/>
      <c r="CD1127"/>
      <c r="CE1127"/>
      <c r="CF1127"/>
      <c r="CG1127"/>
      <c r="CH1127"/>
      <c r="CI1127"/>
      <c r="CJ1127"/>
      <c r="CK1127"/>
      <c r="CL1127"/>
      <c r="CM1127"/>
      <c r="CN1127"/>
      <c r="CO1127"/>
      <c r="CP1127"/>
      <c r="CQ1127"/>
      <c r="CR1127"/>
      <c r="CS1127"/>
      <c r="CT1127"/>
      <c r="CU1127"/>
      <c r="CV1127"/>
      <c r="CW1127"/>
      <c r="CX1127"/>
      <c r="CY1127"/>
      <c r="CZ1127"/>
      <c r="DA1127"/>
      <c r="DB1127"/>
      <c r="DC1127"/>
      <c r="DD1127"/>
      <c r="DE1127"/>
      <c r="DF1127"/>
      <c r="DG1127"/>
      <c r="DH1127"/>
      <c r="DI1127"/>
      <c r="DJ1127"/>
      <c r="DK1127"/>
      <c r="DL1127"/>
      <c r="DM1127"/>
      <c r="DN1127"/>
      <c r="DO1127"/>
      <c r="DP1127"/>
      <c r="DQ1127"/>
      <c r="DR1127"/>
      <c r="DS1127"/>
      <c r="DT1127"/>
      <c r="DU1127"/>
      <c r="DV1127"/>
      <c r="DW1127"/>
      <c r="DX1127"/>
      <c r="DY1127"/>
      <c r="DZ1127"/>
      <c r="EA1127"/>
      <c r="EB1127"/>
      <c r="EC1127"/>
      <c r="ED1127"/>
      <c r="EE1127"/>
      <c r="EF1127"/>
      <c r="EG1127"/>
      <c r="EH1127"/>
      <c r="EI1127"/>
      <c r="EJ1127"/>
      <c r="EK1127"/>
      <c r="EL1127"/>
      <c r="EM1127"/>
      <c r="EN1127"/>
      <c r="EO1127"/>
      <c r="EP1127"/>
      <c r="EQ1127"/>
    </row>
    <row r="1128" spans="1:147" ht="16.5" customHeight="1" x14ac:dyDescent="0.25">
      <c r="A1128" s="113">
        <f>$A$1120+7</f>
        <v>313</v>
      </c>
      <c r="B1128" s="113" t="s">
        <v>1056</v>
      </c>
      <c r="C1128" s="113" t="s">
        <v>92</v>
      </c>
      <c r="D1128" s="113"/>
      <c r="E1128" s="113"/>
      <c r="F1128" s="113" t="s">
        <v>1048</v>
      </c>
      <c r="G1128" s="113" t="s">
        <v>406</v>
      </c>
      <c r="H1128" s="113"/>
      <c r="I1128" s="113"/>
      <c r="J1128" s="113" t="b">
        <f t="shared" si="185"/>
        <v>1</v>
      </c>
      <c r="K1128" s="113" t="b">
        <v>1</v>
      </c>
      <c r="L1128" s="113"/>
      <c r="M1128" s="113"/>
      <c r="N1128" s="113"/>
      <c r="O1128" s="113" t="str">
        <f t="shared" si="195"/>
        <v>$B$313</v>
      </c>
      <c r="P1128" s="113" t="str">
        <f t="shared" si="196"/>
        <v>$BK$313</v>
      </c>
      <c r="Q1128" s="113"/>
      <c r="R1128" s="113"/>
      <c r="S1128" s="113"/>
      <c r="T1128" s="113"/>
      <c r="U1128" s="113"/>
      <c r="V1128" s="113" t="s">
        <v>1342</v>
      </c>
      <c r="W1128" s="113"/>
      <c r="X1128" s="113"/>
      <c r="Y1128" s="113"/>
      <c r="Z1128" s="113"/>
      <c r="AA1128" s="113"/>
      <c r="AB1128" s="113"/>
      <c r="AC1128" s="113"/>
      <c r="AD1128" s="113"/>
      <c r="AE1128" s="113"/>
      <c r="AF1128" s="113"/>
      <c r="AG1128" s="113"/>
      <c r="AH1128" s="113"/>
      <c r="AI1128" s="113"/>
      <c r="AJ1128" s="113"/>
      <c r="AK1128" s="113"/>
      <c r="AL1128" s="113">
        <v>1</v>
      </c>
      <c r="AM1128" s="113"/>
      <c r="AN1128" s="113"/>
      <c r="AO1128" s="113"/>
      <c r="AP1128" s="113" t="b">
        <v>1</v>
      </c>
      <c r="AQ1128" s="161" t="str">
        <f>"Drift - med "&amp;IF(MasterSheet_f_FP_CfgGroup1R3_VS,"program","projekt")</f>
        <v>Drift - med projekt</v>
      </c>
      <c r="AR1128" s="161"/>
      <c r="AS1128" s="132"/>
      <c r="AT1128" s="191"/>
      <c r="AU1128" s="191"/>
      <c r="AV1128" s="191"/>
      <c r="AW1128"/>
      <c r="AX1128"/>
      <c r="AY1128"/>
      <c r="AZ1128"/>
      <c r="BA1128"/>
      <c r="BB1128"/>
      <c r="BC1128"/>
      <c r="BD1128"/>
      <c r="BE1128"/>
      <c r="BF1128"/>
      <c r="BG1128"/>
      <c r="BH1128"/>
      <c r="BI1128"/>
      <c r="BJ1128"/>
      <c r="BK1128"/>
      <c r="BL1128"/>
      <c r="BM1128"/>
      <c r="BN1128"/>
      <c r="BO1128"/>
      <c r="BP1128"/>
      <c r="BQ1128"/>
      <c r="BR1128"/>
      <c r="BS1128"/>
      <c r="BT1128"/>
      <c r="BU1128"/>
      <c r="BV1128"/>
      <c r="BW1128"/>
      <c r="BX1128"/>
      <c r="BY1128"/>
      <c r="BZ1128"/>
      <c r="CA1128"/>
      <c r="CB1128"/>
      <c r="CC1128"/>
      <c r="CD1128"/>
      <c r="CE1128"/>
      <c r="CF1128"/>
      <c r="CG1128"/>
      <c r="CH1128"/>
      <c r="CI1128"/>
      <c r="CJ1128"/>
      <c r="CK1128"/>
      <c r="CL1128"/>
      <c r="CM1128"/>
      <c r="CN1128"/>
      <c r="CO1128"/>
      <c r="CP1128"/>
      <c r="CQ1128"/>
      <c r="CR1128"/>
      <c r="CS1128"/>
      <c r="CT1128"/>
      <c r="CU1128"/>
      <c r="CV1128"/>
      <c r="CW1128"/>
      <c r="CX1128"/>
      <c r="CY1128"/>
      <c r="CZ1128"/>
      <c r="DA1128"/>
      <c r="DB1128"/>
      <c r="DC1128"/>
      <c r="DD1128"/>
      <c r="DE1128"/>
      <c r="DF1128"/>
      <c r="DG1128"/>
      <c r="DH1128"/>
      <c r="DI1128"/>
      <c r="DJ1128"/>
      <c r="DK1128"/>
      <c r="DL1128"/>
      <c r="DM1128"/>
      <c r="DN1128"/>
      <c r="DO1128"/>
      <c r="DP1128"/>
      <c r="DQ1128"/>
      <c r="DR1128"/>
      <c r="DS1128"/>
      <c r="DT1128"/>
      <c r="DU1128"/>
      <c r="DV1128"/>
      <c r="DW1128"/>
      <c r="DX1128"/>
      <c r="DY1128"/>
      <c r="DZ1128"/>
      <c r="EA1128"/>
      <c r="EB1128"/>
      <c r="EC1128"/>
      <c r="ED1128"/>
      <c r="EE1128"/>
      <c r="EF1128"/>
      <c r="EG1128"/>
      <c r="EH1128"/>
      <c r="EI1128"/>
      <c r="EJ1128"/>
      <c r="EK1128"/>
      <c r="EL1128"/>
      <c r="EM1128"/>
      <c r="EN1128"/>
      <c r="EO1128"/>
      <c r="EP1128"/>
      <c r="EQ1128"/>
    </row>
    <row r="1129" spans="1:147" ht="16.5" customHeight="1" x14ac:dyDescent="0.25">
      <c r="A1129" s="113">
        <f>$A$1120+8</f>
        <v>314</v>
      </c>
      <c r="B1129" s="113" t="s">
        <v>1057</v>
      </c>
      <c r="C1129" s="113" t="s">
        <v>92</v>
      </c>
      <c r="D1129" s="113"/>
      <c r="E1129" s="113"/>
      <c r="F1129" s="113" t="s">
        <v>1048</v>
      </c>
      <c r="G1129" s="113" t="s">
        <v>406</v>
      </c>
      <c r="H1129" s="113"/>
      <c r="I1129" s="113"/>
      <c r="J1129" s="113" t="b">
        <f t="shared" si="185"/>
        <v>1</v>
      </c>
      <c r="K1129" s="113" t="b">
        <v>1</v>
      </c>
      <c r="L1129" s="113"/>
      <c r="M1129" s="113"/>
      <c r="N1129" s="113"/>
      <c r="O1129" s="113" t="str">
        <f t="shared" si="195"/>
        <v>$B$314</v>
      </c>
      <c r="P1129" s="113" t="str">
        <f t="shared" si="196"/>
        <v>$BK$314</v>
      </c>
      <c r="Q1129" s="113"/>
      <c r="R1129" s="113"/>
      <c r="S1129" s="113"/>
      <c r="T1129" s="113"/>
      <c r="U1129" s="113"/>
      <c r="V1129" s="113" t="s">
        <v>1342</v>
      </c>
      <c r="W1129" s="113"/>
      <c r="X1129" s="113"/>
      <c r="Y1129" s="113"/>
      <c r="Z1129" s="113"/>
      <c r="AA1129" s="113"/>
      <c r="AB1129" s="113"/>
      <c r="AC1129" s="113"/>
      <c r="AD1129" s="113"/>
      <c r="AE1129" s="113"/>
      <c r="AF1129" s="113"/>
      <c r="AG1129" s="113"/>
      <c r="AH1129" s="113"/>
      <c r="AI1129" s="113"/>
      <c r="AJ1129" s="113"/>
      <c r="AK1129" s="113"/>
      <c r="AL1129" s="113">
        <v>1</v>
      </c>
      <c r="AM1129" s="113"/>
      <c r="AN1129" s="113"/>
      <c r="AO1129" s="113"/>
      <c r="AP1129" s="113" t="b">
        <v>1</v>
      </c>
      <c r="AQ1129" s="161" t="s">
        <v>453</v>
      </c>
      <c r="AR1129" s="161"/>
      <c r="AS1129" s="132"/>
      <c r="AT1129" s="191">
        <f>SUM(AU1129:CZ1129)</f>
        <v>0</v>
      </c>
      <c r="AU1129" s="191">
        <f>(IF(MasterSheet_f_FP_CfgGroup2R2_VS,IF(MasterSheet_f_FP_CfgGroup1R3_VS,SUMIF('Drift - med projektC'!$E:$E,AU1121,'Drift - med projektC'!$P:$P),SUMIF('Drift - med projektC'!$E:$E,AU1121,'Drift - med projektC'!$P:$P)),IF(MasterSheet_f_FP_CfgGroup1R3_VS,SUMIF('Drift - med projektC'!$E:$E,AU1121,'Drift - med projektC'!$O:$O),SUMIF('Drift - med projektC'!$E:$E,AU1121,'Drift - med projektC'!$O:$O))))/1000</f>
        <v>0</v>
      </c>
      <c r="AV1129" s="191">
        <f>(IF(MasterSheet_f_FP_CfgGroup2R2_VS,IF(MasterSheet_f_FP_CfgGroup1R3_VS,SUMIF('Drift - med projektC'!$E:$E,AV1121,'Drift - med projektC'!$P:$P),SUMIF('Drift - med projektC'!$E:$E,AV1121,'Drift - med projektC'!$P:$P)),IF(MasterSheet_f_FP_CfgGroup1R3_VS,SUMIF('Drift - med projektC'!$E:$E,AV1121,'Drift - med projektC'!$O:$O),SUMIF('Drift - med projektC'!$E:$E,AV1121,'Drift - med projektC'!$O:$O))))/1000</f>
        <v>0</v>
      </c>
      <c r="AW1129"/>
      <c r="AX1129"/>
      <c r="AY1129"/>
      <c r="AZ1129"/>
      <c r="BA1129"/>
      <c r="BB1129"/>
      <c r="BC1129"/>
      <c r="BD1129"/>
      <c r="BE1129"/>
      <c r="BF1129"/>
      <c r="BG1129"/>
      <c r="BH1129"/>
      <c r="BI1129"/>
      <c r="BJ1129"/>
      <c r="BK1129"/>
      <c r="BL1129"/>
      <c r="BM1129"/>
      <c r="BN1129"/>
      <c r="BO1129"/>
      <c r="BP1129"/>
      <c r="BQ1129"/>
      <c r="BR1129"/>
      <c r="BS1129"/>
      <c r="BT1129"/>
      <c r="BU1129"/>
      <c r="BV1129"/>
      <c r="BW1129"/>
      <c r="BX1129"/>
      <c r="BY1129"/>
      <c r="BZ1129"/>
      <c r="CA1129"/>
      <c r="CB1129"/>
      <c r="CC1129"/>
      <c r="CD1129"/>
      <c r="CE1129"/>
      <c r="CF1129"/>
      <c r="CG1129"/>
      <c r="CH1129"/>
      <c r="CI1129"/>
      <c r="CJ1129"/>
      <c r="CK1129"/>
      <c r="CL1129"/>
      <c r="CM1129"/>
      <c r="CN1129"/>
      <c r="CO1129"/>
      <c r="CP1129"/>
      <c r="CQ1129"/>
      <c r="CR1129"/>
      <c r="CS1129"/>
      <c r="CT1129"/>
      <c r="CU1129"/>
      <c r="CV1129"/>
      <c r="CW1129"/>
      <c r="CX1129"/>
      <c r="CY1129"/>
      <c r="CZ1129"/>
      <c r="DA1129"/>
      <c r="DB1129"/>
      <c r="DC1129"/>
      <c r="DD1129"/>
      <c r="DE1129"/>
      <c r="DF1129"/>
      <c r="DG1129"/>
      <c r="DH1129"/>
      <c r="DI1129"/>
      <c r="DJ1129"/>
      <c r="DK1129"/>
      <c r="DL1129"/>
      <c r="DM1129"/>
      <c r="DN1129"/>
      <c r="DO1129"/>
      <c r="DP1129"/>
      <c r="DQ1129"/>
      <c r="DR1129"/>
      <c r="DS1129"/>
      <c r="DT1129"/>
      <c r="DU1129"/>
      <c r="DV1129"/>
      <c r="DW1129"/>
      <c r="DX1129"/>
      <c r="DY1129"/>
      <c r="DZ1129"/>
      <c r="EA1129"/>
      <c r="EB1129"/>
      <c r="EC1129"/>
      <c r="ED1129"/>
      <c r="EE1129"/>
      <c r="EF1129"/>
      <c r="EG1129"/>
      <c r="EH1129"/>
      <c r="EI1129"/>
      <c r="EJ1129"/>
      <c r="EK1129"/>
      <c r="EL1129"/>
      <c r="EM1129"/>
      <c r="EN1129"/>
      <c r="EO1129"/>
      <c r="EP1129"/>
      <c r="EQ1129"/>
    </row>
    <row r="1130" spans="1:147" ht="16.5" customHeight="1" x14ac:dyDescent="0.25">
      <c r="A1130" s="113">
        <f>$A$1120+9</f>
        <v>315</v>
      </c>
      <c r="B1130" s="113" t="s">
        <v>1058</v>
      </c>
      <c r="C1130" s="113" t="s">
        <v>92</v>
      </c>
      <c r="D1130" s="113"/>
      <c r="E1130" s="113"/>
      <c r="F1130" s="113" t="s">
        <v>1048</v>
      </c>
      <c r="G1130" s="113" t="s">
        <v>406</v>
      </c>
      <c r="H1130" s="113"/>
      <c r="I1130" s="113"/>
      <c r="J1130" s="113" t="b">
        <f t="shared" si="185"/>
        <v>1</v>
      </c>
      <c r="K1130" s="113" t="b">
        <v>1</v>
      </c>
      <c r="L1130" s="113"/>
      <c r="M1130" s="113"/>
      <c r="N1130" s="113"/>
      <c r="O1130" s="113" t="str">
        <f t="shared" si="195"/>
        <v>$B$315</v>
      </c>
      <c r="P1130" s="113" t="str">
        <f t="shared" si="196"/>
        <v>$BK$315</v>
      </c>
      <c r="Q1130" s="113"/>
      <c r="R1130" s="113"/>
      <c r="S1130" s="113"/>
      <c r="T1130" s="113"/>
      <c r="U1130" s="113"/>
      <c r="V1130" s="113" t="s">
        <v>1342</v>
      </c>
      <c r="W1130" s="113"/>
      <c r="X1130" s="113"/>
      <c r="Y1130" s="113"/>
      <c r="Z1130" s="113"/>
      <c r="AA1130" s="113"/>
      <c r="AB1130" s="113"/>
      <c r="AC1130" s="113"/>
      <c r="AD1130" s="113"/>
      <c r="AE1130" s="113"/>
      <c r="AF1130" s="113"/>
      <c r="AG1130" s="113"/>
      <c r="AH1130" s="113"/>
      <c r="AI1130" s="113"/>
      <c r="AJ1130" s="113"/>
      <c r="AK1130" s="113"/>
      <c r="AL1130" s="113">
        <v>1</v>
      </c>
      <c r="AM1130" s="113"/>
      <c r="AN1130" s="113"/>
      <c r="AO1130" s="113"/>
      <c r="AP1130" s="113" t="b">
        <v>1</v>
      </c>
      <c r="AQ1130" s="132" t="s">
        <v>298</v>
      </c>
      <c r="AR1130" s="132"/>
      <c r="AS1130" s="132"/>
      <c r="AT1130" s="191">
        <f ca="1">SUM(AU1130:CZ1130)</f>
        <v>0</v>
      </c>
      <c r="AU1130" s="191">
        <f ca="1">(IF(MasterSheet_f_FP_CfgGroup1R3_VS,SUMIF('Drift - med projektC'!$E:$E,OFFSET(Businesscasen_f_BCM_subcat18_Table1_start,0,COLUMN()-COLUMN(Businesscasen_f_BCM_subcat18_Table1_start)),'Drift - med projektC'!$N:$N),SUMIF('Drift - med projektC'!$E:$E,OFFSET(Businesscasen_f_BCM_subcat18_Table1_start,0,COLUMN()-COLUMN(Businesscasen_f_BCM_subcat18_Table1_start)),'Drift - med projektC'!$N:$N)))/1000</f>
        <v>0</v>
      </c>
      <c r="AV1130" s="191">
        <f ca="1">(IF(MasterSheet_f_FP_CfgGroup1R3_VS,SUMIF('Drift - med projektC'!$E:$E,OFFSET(Businesscasen_f_BCM_subcat18_Table1_start,0,COLUMN()-COLUMN(Businesscasen_f_BCM_subcat18_Table1_start)),'Drift - med projektC'!$N:$N),SUMIF('Drift - med projektC'!$E:$E,OFFSET(Businesscasen_f_BCM_subcat18_Table1_start,0,COLUMN()-COLUMN(Businesscasen_f_BCM_subcat18_Table1_start)),'Drift - med projektC'!$N:$N)))/1000</f>
        <v>0</v>
      </c>
      <c r="AW1130"/>
      <c r="AX1130"/>
      <c r="AY1130"/>
      <c r="AZ1130"/>
      <c r="BA1130"/>
      <c r="BB1130"/>
      <c r="BC1130"/>
      <c r="BD1130"/>
      <c r="BE1130"/>
      <c r="BF1130"/>
      <c r="BG1130"/>
      <c r="BH1130"/>
      <c r="BI1130"/>
      <c r="BJ1130"/>
      <c r="BK1130"/>
      <c r="BL1130"/>
      <c r="BM1130"/>
      <c r="BN1130"/>
      <c r="BO1130"/>
      <c r="BP1130"/>
      <c r="BQ1130"/>
      <c r="BR1130"/>
      <c r="BS1130"/>
      <c r="BT1130"/>
      <c r="BU1130"/>
      <c r="BV1130"/>
      <c r="BW1130"/>
      <c r="BX1130"/>
      <c r="BY1130"/>
      <c r="BZ1130"/>
      <c r="CA1130"/>
      <c r="CB1130"/>
      <c r="CC1130"/>
      <c r="CD1130"/>
      <c r="CE1130"/>
      <c r="CF1130"/>
      <c r="CG1130"/>
      <c r="CH1130"/>
      <c r="CI1130"/>
      <c r="CJ1130"/>
      <c r="CK1130"/>
      <c r="CL1130"/>
      <c r="CM1130"/>
      <c r="CN1130"/>
      <c r="CO1130"/>
      <c r="CP1130"/>
      <c r="CQ1130"/>
      <c r="CR1130"/>
      <c r="CS1130"/>
      <c r="CT1130"/>
      <c r="CU1130"/>
      <c r="CV1130"/>
      <c r="CW1130"/>
      <c r="CX1130"/>
      <c r="CY1130"/>
      <c r="CZ1130"/>
      <c r="DA1130"/>
      <c r="DB1130"/>
      <c r="DC1130"/>
      <c r="DD1130"/>
      <c r="DE1130"/>
      <c r="DF1130"/>
      <c r="DG1130"/>
      <c r="DH1130"/>
      <c r="DI1130"/>
      <c r="DJ1130"/>
      <c r="DK1130"/>
      <c r="DL1130"/>
      <c r="DM1130"/>
      <c r="DN1130"/>
      <c r="DO1130"/>
      <c r="DP1130"/>
      <c r="DQ1130"/>
      <c r="DR1130"/>
      <c r="DS1130"/>
      <c r="DT1130"/>
      <c r="DU1130"/>
      <c r="DV1130"/>
      <c r="DW1130"/>
      <c r="DX1130"/>
      <c r="DY1130"/>
      <c r="DZ1130"/>
      <c r="EA1130"/>
      <c r="EB1130"/>
      <c r="EC1130"/>
      <c r="ED1130"/>
      <c r="EE1130"/>
      <c r="EF1130"/>
      <c r="EG1130"/>
      <c r="EH1130"/>
      <c r="EI1130"/>
      <c r="EJ1130"/>
      <c r="EK1130"/>
      <c r="EL1130"/>
      <c r="EM1130"/>
      <c r="EN1130"/>
      <c r="EO1130"/>
      <c r="EP1130"/>
      <c r="EQ1130"/>
    </row>
    <row r="1131" spans="1:147" ht="16.5" customHeight="1" x14ac:dyDescent="0.25">
      <c r="A1131" s="113">
        <f>$A$1120+10</f>
        <v>316</v>
      </c>
      <c r="B1131" s="113" t="s">
        <v>1059</v>
      </c>
      <c r="C1131" s="113" t="s">
        <v>92</v>
      </c>
      <c r="D1131" s="113"/>
      <c r="E1131" s="113"/>
      <c r="F1131" s="113" t="s">
        <v>1048</v>
      </c>
      <c r="G1131" s="113" t="s">
        <v>406</v>
      </c>
      <c r="H1131" s="113"/>
      <c r="I1131" s="113"/>
      <c r="J1131" s="113" t="b">
        <f t="shared" si="185"/>
        <v>1</v>
      </c>
      <c r="K1131" s="113" t="b">
        <v>1</v>
      </c>
      <c r="L1131" s="113"/>
      <c r="M1131" s="113"/>
      <c r="N1131" s="113"/>
      <c r="O1131" s="113" t="str">
        <f t="shared" si="195"/>
        <v>$B$316</v>
      </c>
      <c r="P1131" s="113" t="str">
        <f t="shared" si="196"/>
        <v>$BK$316</v>
      </c>
      <c r="Q1131" s="113"/>
      <c r="R1131" s="113"/>
      <c r="S1131" s="113"/>
      <c r="T1131" s="113"/>
      <c r="U1131" s="113"/>
      <c r="V1131" s="113" t="s">
        <v>1342</v>
      </c>
      <c r="W1131" s="113"/>
      <c r="X1131" s="113"/>
      <c r="Y1131" s="113"/>
      <c r="Z1131" s="113"/>
      <c r="AA1131" s="113"/>
      <c r="AB1131" s="113"/>
      <c r="AC1131" s="113"/>
      <c r="AD1131" s="113"/>
      <c r="AE1131" s="113"/>
      <c r="AF1131" s="113"/>
      <c r="AG1131" s="113"/>
      <c r="AH1131" s="113"/>
      <c r="AI1131" s="113"/>
      <c r="AJ1131" s="113"/>
      <c r="AK1131" s="113"/>
      <c r="AL1131" s="113">
        <v>1</v>
      </c>
      <c r="AM1131" s="113"/>
      <c r="AN1131" s="113"/>
      <c r="AO1131" s="113"/>
      <c r="AP1131" s="113" t="b">
        <v>1</v>
      </c>
      <c r="AQ1131" s="132" t="s">
        <v>497</v>
      </c>
      <c r="AR1131" s="132"/>
      <c r="AS1131" s="132"/>
      <c r="AT1131" s="191">
        <f ca="1">SUM(AU1131:CZ1131)</f>
        <v>0</v>
      </c>
      <c r="AU1131" s="191">
        <f ca="1">(IF(MasterSheet_f_FP_CfgGroup1R3_VS,SUMIF('Drift - med projektC'!$E:$E,OFFSET(Businesscasen_f_BCM_subcat18_Table1_start,0,COLUMN()-COLUMN(Businesscasen_f_BCM_subcat18_Table1_start)),'Drift - med projektC'!$R:$R),SUMIF('Drift - med projektC'!$E:$E,OFFSET(Businesscasen_f_BCM_subcat18_Table1_start,0,COLUMN()-COLUMN(Businesscasen_f_BCM_subcat18_Table1_start)),'Drift - med projektC'!$R:$R)))/1000</f>
        <v>0</v>
      </c>
      <c r="AV1131" s="191">
        <f ca="1">(IF(MasterSheet_f_FP_CfgGroup1R3_VS,SUMIF('Drift - med projektC'!$E:$E,OFFSET(Businesscasen_f_BCM_subcat18_Table1_start,0,COLUMN()-COLUMN(Businesscasen_f_BCM_subcat18_Table1_start)),'Drift - med projektC'!$R:$R),SUMIF('Drift - med projektC'!$E:$E,OFFSET(Businesscasen_f_BCM_subcat18_Table1_start,0,COLUMN()-COLUMN(Businesscasen_f_BCM_subcat18_Table1_start)),'Drift - med projektC'!$R:$R)))/1000</f>
        <v>0</v>
      </c>
      <c r="AW1131"/>
      <c r="AX1131"/>
      <c r="AY1131"/>
      <c r="AZ1131"/>
      <c r="BA1131"/>
      <c r="BB1131"/>
      <c r="BC1131"/>
      <c r="BD1131"/>
      <c r="BE1131"/>
      <c r="BF1131"/>
      <c r="BG1131"/>
      <c r="BH1131"/>
      <c r="BI1131"/>
      <c r="BJ1131"/>
      <c r="BK1131"/>
      <c r="BL1131"/>
      <c r="BM1131"/>
      <c r="BN1131"/>
      <c r="BO1131"/>
      <c r="BP1131"/>
      <c r="BQ1131"/>
      <c r="BR1131"/>
      <c r="BS1131"/>
      <c r="BT1131"/>
      <c r="BU1131"/>
      <c r="BV1131"/>
      <c r="BW1131"/>
      <c r="BX1131"/>
      <c r="BY1131"/>
      <c r="BZ1131"/>
      <c r="CA1131"/>
      <c r="CB1131"/>
      <c r="CC1131"/>
      <c r="CD1131"/>
      <c r="CE1131"/>
      <c r="CF1131"/>
      <c r="CG1131"/>
      <c r="CH1131"/>
      <c r="CI1131"/>
      <c r="CJ1131"/>
      <c r="CK1131"/>
      <c r="CL1131"/>
      <c r="CM1131"/>
      <c r="CN1131"/>
      <c r="CO1131"/>
      <c r="CP1131"/>
      <c r="CQ1131"/>
      <c r="CR1131"/>
      <c r="CS1131"/>
      <c r="CT1131"/>
      <c r="CU1131"/>
      <c r="CV1131"/>
      <c r="CW1131"/>
      <c r="CX1131"/>
      <c r="CY1131"/>
      <c r="CZ1131"/>
      <c r="DA1131"/>
      <c r="DB1131"/>
      <c r="DC1131"/>
      <c r="DD1131"/>
      <c r="DE1131"/>
      <c r="DF1131"/>
      <c r="DG1131"/>
      <c r="DH1131"/>
      <c r="DI1131"/>
      <c r="DJ1131"/>
      <c r="DK1131"/>
      <c r="DL1131"/>
      <c r="DM1131"/>
      <c r="DN1131"/>
      <c r="DO1131"/>
      <c r="DP1131"/>
      <c r="DQ1131"/>
      <c r="DR1131"/>
      <c r="DS1131"/>
      <c r="DT1131"/>
      <c r="DU1131"/>
      <c r="DV1131"/>
      <c r="DW1131"/>
      <c r="DX1131"/>
      <c r="DY1131"/>
      <c r="DZ1131"/>
      <c r="EA1131"/>
      <c r="EB1131"/>
      <c r="EC1131"/>
      <c r="ED1131"/>
      <c r="EE1131"/>
      <c r="EF1131"/>
      <c r="EG1131"/>
      <c r="EH1131"/>
      <c r="EI1131"/>
      <c r="EJ1131"/>
      <c r="EK1131"/>
      <c r="EL1131"/>
      <c r="EM1131"/>
      <c r="EN1131"/>
      <c r="EO1131"/>
      <c r="EP1131"/>
      <c r="EQ1131"/>
    </row>
    <row r="1132" spans="1:147" ht="16.5" customHeight="1" x14ac:dyDescent="0.25">
      <c r="A1132" s="113">
        <f>$A$1120+11</f>
        <v>317</v>
      </c>
      <c r="B1132" s="113" t="s">
        <v>1060</v>
      </c>
      <c r="C1132" s="113" t="s">
        <v>92</v>
      </c>
      <c r="D1132" s="113"/>
      <c r="E1132" s="113"/>
      <c r="F1132" s="113" t="s">
        <v>1048</v>
      </c>
      <c r="G1132" s="113" t="s">
        <v>406</v>
      </c>
      <c r="H1132" s="113"/>
      <c r="I1132" s="113"/>
      <c r="J1132" s="113" t="b">
        <f t="shared" si="185"/>
        <v>1</v>
      </c>
      <c r="K1132" s="113" t="b">
        <v>1</v>
      </c>
      <c r="L1132" s="113"/>
      <c r="M1132" s="113"/>
      <c r="N1132" s="113"/>
      <c r="O1132" s="113" t="str">
        <f t="shared" si="195"/>
        <v>$B$317</v>
      </c>
      <c r="P1132" s="113" t="str">
        <f t="shared" si="196"/>
        <v>$BK$317</v>
      </c>
      <c r="Q1132" s="113"/>
      <c r="R1132" s="113"/>
      <c r="S1132" s="113"/>
      <c r="T1132" s="113"/>
      <c r="U1132" s="113"/>
      <c r="V1132" s="113" t="s">
        <v>1342</v>
      </c>
      <c r="W1132" s="113"/>
      <c r="X1132" s="113"/>
      <c r="Y1132" s="113"/>
      <c r="Z1132" s="113"/>
      <c r="AA1132" s="113"/>
      <c r="AB1132" s="113"/>
      <c r="AC1132" s="113"/>
      <c r="AD1132" s="113"/>
      <c r="AE1132" s="113"/>
      <c r="AF1132" s="113"/>
      <c r="AG1132" s="113"/>
      <c r="AH1132" s="113"/>
      <c r="AI1132" s="113"/>
      <c r="AJ1132" s="113"/>
      <c r="AK1132" s="113"/>
      <c r="AL1132" s="113">
        <v>1</v>
      </c>
      <c r="AM1132" s="113"/>
      <c r="AN1132" s="113"/>
      <c r="AO1132" s="113"/>
      <c r="AP1132" s="113" t="b">
        <v>1</v>
      </c>
      <c r="AQ1132" s="132" t="s">
        <v>498</v>
      </c>
      <c r="AR1132" s="132"/>
      <c r="AS1132" s="132"/>
      <c r="AT1132" s="191">
        <f ca="1">SUM(AU1132:CZ1132)</f>
        <v>0</v>
      </c>
      <c r="AU1132" s="191">
        <f ca="1">(IF(MasterSheet_f_FP_CfgGroup1R3_VS,SUMIF('Drift - med projektC'!$E:$E,OFFSET(Businesscasen_f_BCM_subcat18_Table1_start,0,COLUMN()-COLUMN(Businesscasen_f_BCM_subcat18_Table1_start)),'Drift - med projektC'!$Q:$Q),SUMIF('Drift - med projektC'!$E:$E,OFFSET(Businesscasen_f_BCM_subcat18_Table1_start,0,COLUMN()-COLUMN(Businesscasen_f_BCM_subcat18_Table1_start)),'Drift - med projektC'!$Q:$Q)))/1000</f>
        <v>0</v>
      </c>
      <c r="AV1132" s="191">
        <f ca="1">(IF(MasterSheet_f_FP_CfgGroup1R3_VS,SUMIF('Drift - med projektC'!$E:$E,OFFSET(Businesscasen_f_BCM_subcat18_Table1_start,0,COLUMN()-COLUMN(Businesscasen_f_BCM_subcat18_Table1_start)),'Drift - med projektC'!$Q:$Q),SUMIF('Drift - med projektC'!$E:$E,OFFSET(Businesscasen_f_BCM_subcat18_Table1_start,0,COLUMN()-COLUMN(Businesscasen_f_BCM_subcat18_Table1_start)),'Drift - med projektC'!$Q:$Q)))/1000</f>
        <v>0</v>
      </c>
      <c r="AW1132"/>
      <c r="AX1132"/>
      <c r="AY1132"/>
      <c r="AZ1132"/>
      <c r="BA1132"/>
      <c r="BB1132"/>
      <c r="BC1132"/>
      <c r="BD1132"/>
      <c r="BE1132"/>
      <c r="BF1132"/>
      <c r="BG1132"/>
      <c r="BH1132"/>
      <c r="BI1132"/>
      <c r="BJ1132"/>
      <c r="BK1132"/>
      <c r="BL1132"/>
      <c r="BM1132"/>
      <c r="BN1132"/>
      <c r="BO1132"/>
      <c r="BP1132"/>
      <c r="BQ1132"/>
      <c r="BR1132"/>
      <c r="BS1132"/>
      <c r="BT1132"/>
      <c r="BU1132"/>
      <c r="BV1132"/>
      <c r="BW1132"/>
      <c r="BX1132"/>
      <c r="BY1132"/>
      <c r="BZ1132"/>
      <c r="CA1132"/>
      <c r="CB1132"/>
      <c r="CC1132"/>
      <c r="CD1132"/>
      <c r="CE1132"/>
      <c r="CF1132"/>
      <c r="CG1132"/>
      <c r="CH1132"/>
      <c r="CI1132"/>
      <c r="CJ1132"/>
      <c r="CK1132"/>
      <c r="CL1132"/>
      <c r="CM1132"/>
      <c r="CN1132"/>
      <c r="CO1132"/>
      <c r="CP1132"/>
      <c r="CQ1132"/>
      <c r="CR1132"/>
      <c r="CS1132"/>
      <c r="CT1132"/>
      <c r="CU1132"/>
      <c r="CV1132"/>
      <c r="CW1132"/>
      <c r="CX1132"/>
      <c r="CY1132"/>
      <c r="CZ1132"/>
      <c r="DA1132"/>
      <c r="DB1132"/>
      <c r="DC1132"/>
      <c r="DD1132"/>
      <c r="DE1132"/>
      <c r="DF1132"/>
      <c r="DG1132"/>
      <c r="DH1132"/>
      <c r="DI1132"/>
      <c r="DJ1132"/>
      <c r="DK1132"/>
      <c r="DL1132"/>
      <c r="DM1132"/>
      <c r="DN1132"/>
      <c r="DO1132"/>
      <c r="DP1132"/>
      <c r="DQ1132"/>
      <c r="DR1132"/>
      <c r="DS1132"/>
      <c r="DT1132"/>
      <c r="DU1132"/>
      <c r="DV1132"/>
      <c r="DW1132"/>
      <c r="DX1132"/>
      <c r="DY1132"/>
      <c r="DZ1132"/>
      <c r="EA1132"/>
      <c r="EB1132"/>
      <c r="EC1132"/>
      <c r="ED1132"/>
      <c r="EE1132"/>
      <c r="EF1132"/>
      <c r="EG1132"/>
      <c r="EH1132"/>
      <c r="EI1132"/>
      <c r="EJ1132"/>
      <c r="EK1132"/>
      <c r="EL1132"/>
      <c r="EM1132"/>
      <c r="EN1132"/>
      <c r="EO1132"/>
      <c r="EP1132"/>
      <c r="EQ1132"/>
    </row>
    <row r="1133" spans="1:147" ht="16.5" customHeight="1" x14ac:dyDescent="0.25">
      <c r="A1133" s="113">
        <f>$A$1120+12</f>
        <v>318</v>
      </c>
      <c r="B1133" s="113" t="s">
        <v>1061</v>
      </c>
      <c r="C1133" s="129" t="s">
        <v>92</v>
      </c>
      <c r="D1133" s="129"/>
      <c r="E1133" s="129"/>
      <c r="F1133" s="129" t="s">
        <v>1048</v>
      </c>
      <c r="G1133" s="129" t="s">
        <v>406</v>
      </c>
      <c r="H1133" s="129"/>
      <c r="I1133" s="129"/>
      <c r="J1133" s="129" t="b">
        <f t="shared" si="185"/>
        <v>1</v>
      </c>
      <c r="K1133" s="129" t="b">
        <v>1</v>
      </c>
      <c r="L1133" s="129"/>
      <c r="M1133" s="129"/>
      <c r="N1133" s="129"/>
      <c r="O1133" s="129" t="str">
        <f t="shared" si="195"/>
        <v>$B$318</v>
      </c>
      <c r="P1133" s="129" t="str">
        <f t="shared" si="196"/>
        <v>$BK$318</v>
      </c>
      <c r="Q1133" s="129"/>
      <c r="R1133" s="129"/>
      <c r="S1133" s="129"/>
      <c r="T1133" s="129"/>
      <c r="U1133" s="129"/>
      <c r="V1133" s="129" t="s">
        <v>1342</v>
      </c>
      <c r="W1133" s="129"/>
      <c r="X1133" s="129"/>
      <c r="Y1133" s="129"/>
      <c r="Z1133" s="129"/>
      <c r="AA1133" s="129"/>
      <c r="AB1133" s="129"/>
      <c r="AC1133" s="129"/>
      <c r="AD1133" s="129"/>
      <c r="AE1133" s="129"/>
      <c r="AF1133" s="129"/>
      <c r="AG1133" s="129"/>
      <c r="AH1133" s="129"/>
      <c r="AI1133" s="129"/>
      <c r="AJ1133" s="129"/>
      <c r="AK1133" s="129"/>
      <c r="AL1133" s="129">
        <v>1</v>
      </c>
      <c r="AM1133" s="129"/>
      <c r="AN1133" s="129"/>
      <c r="AO1133" s="129"/>
      <c r="AP1133" s="129" t="b">
        <v>1</v>
      </c>
      <c r="AQ1133" s="168"/>
      <c r="AR1133" s="133"/>
      <c r="AS1133" s="133"/>
      <c r="AT1133" s="191"/>
      <c r="AU1133" s="191"/>
      <c r="AV1133" s="191"/>
      <c r="AW1133"/>
      <c r="AX1133"/>
      <c r="AY1133"/>
      <c r="AZ1133"/>
      <c r="BA1133"/>
      <c r="BB1133"/>
      <c r="BC1133"/>
      <c r="BD1133"/>
      <c r="BE1133"/>
      <c r="BF1133"/>
      <c r="BG1133"/>
      <c r="BH1133"/>
      <c r="BI1133"/>
      <c r="BJ1133"/>
      <c r="BK1133"/>
      <c r="BL1133"/>
      <c r="BM1133"/>
      <c r="BN1133"/>
      <c r="BO1133"/>
      <c r="BP1133"/>
      <c r="BQ1133"/>
      <c r="BR1133"/>
      <c r="BS1133"/>
      <c r="BT1133"/>
      <c r="BU1133"/>
      <c r="BV1133"/>
      <c r="BW1133"/>
      <c r="BX1133"/>
      <c r="BY1133"/>
      <c r="BZ1133"/>
      <c r="CA1133"/>
      <c r="CB1133"/>
      <c r="CC1133"/>
      <c r="CD1133"/>
      <c r="CE1133"/>
      <c r="CF1133"/>
      <c r="CG1133"/>
      <c r="CH1133"/>
      <c r="CI1133"/>
      <c r="CJ1133"/>
      <c r="CK1133"/>
      <c r="CL1133"/>
      <c r="CM1133"/>
      <c r="CN1133"/>
      <c r="CO1133"/>
      <c r="CP1133"/>
      <c r="CQ1133"/>
      <c r="CR1133"/>
      <c r="CS1133"/>
      <c r="CT1133"/>
      <c r="CU1133"/>
      <c r="CV1133"/>
      <c r="CW1133"/>
      <c r="CX1133"/>
      <c r="CY1133"/>
      <c r="CZ1133"/>
      <c r="DA1133"/>
      <c r="DB1133"/>
      <c r="DC1133"/>
      <c r="DD1133"/>
      <c r="DE1133"/>
      <c r="DF1133"/>
      <c r="DG1133"/>
      <c r="DH1133"/>
      <c r="DI1133"/>
      <c r="DJ1133"/>
      <c r="DK1133"/>
      <c r="DL1133"/>
      <c r="DM1133"/>
      <c r="DN1133"/>
      <c r="DO1133"/>
      <c r="DP1133"/>
      <c r="DQ1133"/>
      <c r="DR1133"/>
      <c r="DS1133"/>
      <c r="DT1133"/>
      <c r="DU1133"/>
      <c r="DV1133"/>
      <c r="DW1133"/>
      <c r="DX1133"/>
      <c r="DY1133"/>
      <c r="DZ1133"/>
      <c r="EA1133"/>
      <c r="EB1133"/>
      <c r="EC1133"/>
      <c r="ED1133"/>
      <c r="EE1133"/>
      <c r="EF1133"/>
      <c r="EG1133"/>
      <c r="EH1133"/>
      <c r="EI1133"/>
      <c r="EJ1133"/>
      <c r="EK1133"/>
      <c r="EL1133"/>
      <c r="EM1133"/>
      <c r="EN1133"/>
      <c r="EO1133"/>
      <c r="EP1133"/>
      <c r="EQ1133"/>
    </row>
    <row r="1134" spans="1:147" ht="16.5" customHeight="1" x14ac:dyDescent="0.25">
      <c r="A1134" s="113">
        <f>$A$1120+13</f>
        <v>319</v>
      </c>
      <c r="B1134" s="113" t="s">
        <v>1062</v>
      </c>
      <c r="C1134" s="113" t="s">
        <v>92</v>
      </c>
      <c r="D1134" s="113"/>
      <c r="E1134" s="113"/>
      <c r="F1134" s="113" t="s">
        <v>1048</v>
      </c>
      <c r="G1134" s="113" t="s">
        <v>406</v>
      </c>
      <c r="H1134" s="113"/>
      <c r="I1134" s="113"/>
      <c r="J1134" s="113" t="b">
        <f t="shared" si="185"/>
        <v>1</v>
      </c>
      <c r="K1134" s="113" t="b">
        <v>1</v>
      </c>
      <c r="L1134" s="113"/>
      <c r="M1134" s="113"/>
      <c r="N1134" s="113"/>
      <c r="O1134" s="113" t="str">
        <f t="shared" si="195"/>
        <v>$B$319</v>
      </c>
      <c r="P1134" s="113" t="str">
        <f t="shared" si="196"/>
        <v>$BK$319</v>
      </c>
      <c r="Q1134" s="113"/>
      <c r="R1134" s="113"/>
      <c r="S1134" s="113"/>
      <c r="T1134" s="113"/>
      <c r="U1134" s="113"/>
      <c r="V1134" s="113" t="s">
        <v>1342</v>
      </c>
      <c r="W1134" s="113"/>
      <c r="X1134" s="113"/>
      <c r="Y1134" s="113"/>
      <c r="Z1134" s="113"/>
      <c r="AA1134" s="113"/>
      <c r="AB1134" s="113"/>
      <c r="AC1134" s="113"/>
      <c r="AD1134" s="113"/>
      <c r="AE1134" s="113"/>
      <c r="AF1134" s="113"/>
      <c r="AG1134" s="113"/>
      <c r="AH1134" s="113"/>
      <c r="AI1134" s="113"/>
      <c r="AJ1134" s="113"/>
      <c r="AK1134" s="113"/>
      <c r="AL1134" s="113">
        <v>1</v>
      </c>
      <c r="AM1134" s="113"/>
      <c r="AN1134" s="113"/>
      <c r="AO1134" s="113"/>
      <c r="AP1134" s="113" t="b">
        <v>1</v>
      </c>
      <c r="AQ1134" s="161" t="s">
        <v>457</v>
      </c>
      <c r="AR1134" s="161"/>
      <c r="AS1134" s="132"/>
      <c r="AT1134" s="191"/>
      <c r="AU1134" s="191"/>
      <c r="AV1134" s="191"/>
      <c r="AW1134"/>
      <c r="AX1134"/>
      <c r="AY1134"/>
      <c r="AZ1134"/>
      <c r="BA1134"/>
      <c r="BB1134"/>
      <c r="BC1134"/>
      <c r="BD1134"/>
      <c r="BE1134"/>
      <c r="BF1134"/>
      <c r="BG1134"/>
      <c r="BH1134"/>
      <c r="BI1134"/>
      <c r="BJ1134"/>
      <c r="BK1134"/>
      <c r="BL1134"/>
      <c r="BM1134"/>
      <c r="BN1134"/>
      <c r="BO1134"/>
      <c r="BP1134"/>
      <c r="BQ1134"/>
      <c r="BR1134"/>
      <c r="BS1134"/>
      <c r="BT1134"/>
      <c r="BU1134"/>
      <c r="BV1134"/>
      <c r="BW1134"/>
      <c r="BX1134"/>
      <c r="BY1134"/>
      <c r="BZ1134"/>
      <c r="CA1134"/>
      <c r="CB1134"/>
      <c r="CC1134"/>
      <c r="CD1134"/>
      <c r="CE1134"/>
      <c r="CF1134"/>
      <c r="CG1134"/>
      <c r="CH1134"/>
      <c r="CI1134"/>
      <c r="CJ1134"/>
      <c r="CK1134"/>
      <c r="CL1134"/>
      <c r="CM1134"/>
      <c r="CN1134"/>
      <c r="CO1134"/>
      <c r="CP1134"/>
      <c r="CQ1134"/>
      <c r="CR1134"/>
      <c r="CS1134"/>
      <c r="CT1134"/>
      <c r="CU1134"/>
      <c r="CV1134"/>
      <c r="CW1134"/>
      <c r="CX1134"/>
      <c r="CY1134"/>
      <c r="CZ1134"/>
      <c r="DA1134"/>
      <c r="DB1134"/>
      <c r="DC1134"/>
      <c r="DD1134"/>
      <c r="DE1134"/>
      <c r="DF1134"/>
      <c r="DG1134"/>
      <c r="DH1134"/>
      <c r="DI1134"/>
      <c r="DJ1134"/>
      <c r="DK1134"/>
      <c r="DL1134"/>
      <c r="DM1134"/>
      <c r="DN1134"/>
      <c r="DO1134"/>
      <c r="DP1134"/>
      <c r="DQ1134"/>
      <c r="DR1134"/>
      <c r="DS1134"/>
      <c r="DT1134"/>
      <c r="DU1134"/>
      <c r="DV1134"/>
      <c r="DW1134"/>
      <c r="DX1134"/>
      <c r="DY1134"/>
      <c r="DZ1134"/>
      <c r="EA1134"/>
      <c r="EB1134"/>
      <c r="EC1134"/>
      <c r="ED1134"/>
      <c r="EE1134"/>
      <c r="EF1134"/>
      <c r="EG1134"/>
      <c r="EH1134"/>
      <c r="EI1134"/>
      <c r="EJ1134"/>
      <c r="EK1134"/>
      <c r="EL1134"/>
      <c r="EM1134"/>
      <c r="EN1134"/>
      <c r="EO1134"/>
      <c r="EP1134"/>
      <c r="EQ1134"/>
    </row>
    <row r="1135" spans="1:147" ht="16.5" customHeight="1" x14ac:dyDescent="0.25">
      <c r="A1135" s="113">
        <f>$A$1120+14</f>
        <v>320</v>
      </c>
      <c r="B1135" s="113" t="s">
        <v>1063</v>
      </c>
      <c r="C1135" s="113" t="s">
        <v>92</v>
      </c>
      <c r="D1135" s="113"/>
      <c r="E1135" s="113"/>
      <c r="F1135" s="113" t="s">
        <v>1048</v>
      </c>
      <c r="G1135" s="113" t="s">
        <v>406</v>
      </c>
      <c r="H1135" s="113"/>
      <c r="I1135" s="113"/>
      <c r="J1135" s="113" t="b">
        <f t="shared" si="185"/>
        <v>1</v>
      </c>
      <c r="K1135" s="113" t="b">
        <v>1</v>
      </c>
      <c r="L1135" s="113"/>
      <c r="M1135" s="113"/>
      <c r="N1135" s="113"/>
      <c r="O1135" s="113" t="str">
        <f t="shared" si="195"/>
        <v>$B$320</v>
      </c>
      <c r="P1135" s="113" t="str">
        <f t="shared" si="196"/>
        <v>$BK$320</v>
      </c>
      <c r="Q1135" s="113"/>
      <c r="R1135" s="113"/>
      <c r="S1135" s="113"/>
      <c r="T1135" s="113"/>
      <c r="U1135" s="113"/>
      <c r="V1135" s="113" t="s">
        <v>1342</v>
      </c>
      <c r="W1135" s="113"/>
      <c r="X1135" s="113"/>
      <c r="Y1135" s="113"/>
      <c r="Z1135" s="113"/>
      <c r="AA1135" s="113"/>
      <c r="AB1135" s="113"/>
      <c r="AC1135" s="113"/>
      <c r="AD1135" s="113"/>
      <c r="AE1135" s="113"/>
      <c r="AF1135" s="113"/>
      <c r="AG1135" s="113"/>
      <c r="AH1135" s="113"/>
      <c r="AI1135" s="113"/>
      <c r="AJ1135" s="113"/>
      <c r="AK1135" s="113"/>
      <c r="AL1135" s="113">
        <v>1</v>
      </c>
      <c r="AM1135" s="113"/>
      <c r="AN1135" s="113"/>
      <c r="AO1135" s="113"/>
      <c r="AP1135" s="113" t="b">
        <v>1</v>
      </c>
      <c r="AQ1135" s="161" t="s">
        <v>453</v>
      </c>
      <c r="AR1135" s="161"/>
      <c r="AS1135" s="132"/>
      <c r="AT1135" s="191">
        <f ca="1">SUM(AU1135:CZ1135)</f>
        <v>0</v>
      </c>
      <c r="AU1135" s="191">
        <f t="shared" ref="AU1135:AV1138" ca="1" si="197">AU1123-AU1129</f>
        <v>0</v>
      </c>
      <c r="AV1135" s="191">
        <f t="shared" ca="1" si="197"/>
        <v>0</v>
      </c>
      <c r="AW1135"/>
      <c r="AX1135"/>
      <c r="AY1135"/>
      <c r="AZ1135"/>
      <c r="BA1135"/>
      <c r="BB1135"/>
      <c r="BC1135"/>
      <c r="BD1135"/>
      <c r="BE1135"/>
      <c r="BF1135"/>
      <c r="BG1135"/>
      <c r="BH1135"/>
      <c r="BI1135"/>
      <c r="BJ1135"/>
      <c r="BK1135"/>
      <c r="BL1135"/>
      <c r="BM1135"/>
      <c r="BN1135"/>
      <c r="BO1135"/>
      <c r="BP1135"/>
      <c r="BQ1135"/>
      <c r="BR1135"/>
      <c r="BS1135"/>
      <c r="BT1135"/>
      <c r="BU1135"/>
      <c r="BV1135"/>
      <c r="BW1135"/>
      <c r="BX1135"/>
      <c r="BY1135"/>
      <c r="BZ1135"/>
      <c r="CA1135"/>
      <c r="CB1135"/>
      <c r="CC1135"/>
      <c r="CD1135"/>
      <c r="CE1135"/>
      <c r="CF1135"/>
      <c r="CG1135"/>
      <c r="CH1135"/>
      <c r="CI1135"/>
      <c r="CJ1135"/>
      <c r="CK1135"/>
      <c r="CL1135"/>
      <c r="CM1135"/>
      <c r="CN1135"/>
      <c r="CO1135"/>
      <c r="CP1135"/>
      <c r="CQ1135"/>
      <c r="CR1135"/>
      <c r="CS1135"/>
      <c r="CT1135"/>
      <c r="CU1135"/>
      <c r="CV1135"/>
      <c r="CW1135"/>
      <c r="CX1135"/>
      <c r="CY1135"/>
      <c r="CZ1135"/>
      <c r="DA1135"/>
      <c r="DB1135"/>
      <c r="DC1135"/>
      <c r="DD1135"/>
      <c r="DE1135"/>
      <c r="DF1135"/>
      <c r="DG1135"/>
      <c r="DH1135"/>
      <c r="DI1135"/>
      <c r="DJ1135"/>
      <c r="DK1135"/>
      <c r="DL1135"/>
      <c r="DM1135"/>
      <c r="DN1135"/>
      <c r="DO1135"/>
      <c r="DP1135"/>
      <c r="DQ1135"/>
      <c r="DR1135"/>
      <c r="DS1135"/>
      <c r="DT1135"/>
      <c r="DU1135"/>
      <c r="DV1135"/>
      <c r="DW1135"/>
      <c r="DX1135"/>
      <c r="DY1135"/>
      <c r="DZ1135"/>
      <c r="EA1135"/>
      <c r="EB1135"/>
      <c r="EC1135"/>
      <c r="ED1135"/>
      <c r="EE1135"/>
      <c r="EF1135"/>
      <c r="EG1135"/>
      <c r="EH1135"/>
      <c r="EI1135"/>
      <c r="EJ1135"/>
      <c r="EK1135"/>
      <c r="EL1135"/>
      <c r="EM1135"/>
      <c r="EN1135"/>
      <c r="EO1135"/>
      <c r="EP1135"/>
      <c r="EQ1135"/>
    </row>
    <row r="1136" spans="1:147" ht="16.5" customHeight="1" x14ac:dyDescent="0.25">
      <c r="A1136" s="113">
        <f>$A$1120+15</f>
        <v>321</v>
      </c>
      <c r="B1136" s="113" t="s">
        <v>1064</v>
      </c>
      <c r="C1136" s="113" t="s">
        <v>92</v>
      </c>
      <c r="D1136" s="113"/>
      <c r="E1136" s="113"/>
      <c r="F1136" s="113" t="s">
        <v>1048</v>
      </c>
      <c r="G1136" s="113" t="s">
        <v>406</v>
      </c>
      <c r="H1136" s="113"/>
      <c r="I1136" s="113"/>
      <c r="J1136" s="113" t="b">
        <f t="shared" si="185"/>
        <v>1</v>
      </c>
      <c r="K1136" s="113" t="b">
        <v>1</v>
      </c>
      <c r="L1136" s="113"/>
      <c r="M1136" s="113"/>
      <c r="N1136" s="113"/>
      <c r="O1136" s="113" t="str">
        <f t="shared" si="195"/>
        <v>$B$321</v>
      </c>
      <c r="P1136" s="113" t="str">
        <f t="shared" si="196"/>
        <v>$BK$321</v>
      </c>
      <c r="Q1136" s="113"/>
      <c r="R1136" s="113"/>
      <c r="S1136" s="113"/>
      <c r="T1136" s="113"/>
      <c r="U1136" s="113"/>
      <c r="V1136" s="113" t="s">
        <v>1342</v>
      </c>
      <c r="W1136" s="113"/>
      <c r="X1136" s="113"/>
      <c r="Y1136" s="113"/>
      <c r="Z1136" s="113"/>
      <c r="AA1136" s="113"/>
      <c r="AB1136" s="113"/>
      <c r="AC1136" s="113"/>
      <c r="AD1136" s="113"/>
      <c r="AE1136" s="113"/>
      <c r="AF1136" s="113"/>
      <c r="AG1136" s="113"/>
      <c r="AH1136" s="113"/>
      <c r="AI1136" s="113"/>
      <c r="AJ1136" s="113"/>
      <c r="AK1136" s="113"/>
      <c r="AL1136" s="113">
        <v>1</v>
      </c>
      <c r="AM1136" s="113"/>
      <c r="AN1136" s="113"/>
      <c r="AO1136" s="113"/>
      <c r="AP1136" s="113" t="b">
        <v>1</v>
      </c>
      <c r="AQ1136" s="132" t="s">
        <v>298</v>
      </c>
      <c r="AR1136" s="132"/>
      <c r="AS1136" s="132"/>
      <c r="AT1136" s="191">
        <f ca="1">SUM(AU1136:CZ1136)</f>
        <v>0</v>
      </c>
      <c r="AU1136" s="191">
        <f t="shared" ca="1" si="197"/>
        <v>0</v>
      </c>
      <c r="AV1136" s="191">
        <f t="shared" ca="1" si="197"/>
        <v>0</v>
      </c>
      <c r="AW1136"/>
      <c r="AX1136"/>
      <c r="AY1136"/>
      <c r="AZ1136"/>
      <c r="BA1136"/>
      <c r="BB1136"/>
      <c r="BC1136"/>
      <c r="BD1136"/>
      <c r="BE1136"/>
      <c r="BF1136"/>
      <c r="BG1136"/>
      <c r="BH1136"/>
      <c r="BI1136"/>
      <c r="BJ1136"/>
      <c r="BK1136"/>
      <c r="BL1136"/>
      <c r="BM1136"/>
      <c r="BN1136"/>
      <c r="BO1136"/>
      <c r="BP1136"/>
      <c r="BQ1136"/>
      <c r="BR1136"/>
      <c r="BS1136"/>
      <c r="BT1136"/>
      <c r="BU1136"/>
      <c r="BV1136"/>
      <c r="BW1136"/>
      <c r="BX1136"/>
      <c r="BY1136"/>
      <c r="BZ1136"/>
      <c r="CA1136"/>
      <c r="CB1136"/>
      <c r="CC1136"/>
      <c r="CD1136"/>
      <c r="CE1136"/>
      <c r="CF1136"/>
      <c r="CG1136"/>
      <c r="CH1136"/>
      <c r="CI1136"/>
      <c r="CJ1136"/>
      <c r="CK1136"/>
      <c r="CL1136"/>
      <c r="CM1136"/>
      <c r="CN1136"/>
      <c r="CO1136"/>
      <c r="CP1136"/>
      <c r="CQ1136"/>
      <c r="CR1136"/>
      <c r="CS1136"/>
      <c r="CT1136"/>
      <c r="CU1136"/>
      <c r="CV1136"/>
      <c r="CW1136"/>
      <c r="CX1136"/>
      <c r="CY1136"/>
      <c r="CZ1136"/>
      <c r="DA1136"/>
      <c r="DB1136"/>
      <c r="DC1136"/>
      <c r="DD1136"/>
      <c r="DE1136"/>
      <c r="DF1136"/>
      <c r="DG1136"/>
      <c r="DH1136"/>
      <c r="DI1136"/>
      <c r="DJ1136"/>
      <c r="DK1136"/>
      <c r="DL1136"/>
      <c r="DM1136"/>
      <c r="DN1136"/>
      <c r="DO1136"/>
      <c r="DP1136"/>
      <c r="DQ1136"/>
      <c r="DR1136"/>
      <c r="DS1136"/>
      <c r="DT1136"/>
      <c r="DU1136"/>
      <c r="DV1136"/>
      <c r="DW1136"/>
      <c r="DX1136"/>
      <c r="DY1136"/>
      <c r="DZ1136"/>
      <c r="EA1136"/>
      <c r="EB1136"/>
      <c r="EC1136"/>
      <c r="ED1136"/>
      <c r="EE1136"/>
      <c r="EF1136"/>
      <c r="EG1136"/>
      <c r="EH1136"/>
      <c r="EI1136"/>
      <c r="EJ1136"/>
      <c r="EK1136"/>
      <c r="EL1136"/>
      <c r="EM1136"/>
      <c r="EN1136"/>
      <c r="EO1136"/>
      <c r="EP1136"/>
      <c r="EQ1136"/>
    </row>
    <row r="1137" spans="1:147" ht="16.5" customHeight="1" x14ac:dyDescent="0.25">
      <c r="A1137" s="113">
        <f>$A$1120+16</f>
        <v>322</v>
      </c>
      <c r="B1137" s="113" t="s">
        <v>1065</v>
      </c>
      <c r="C1137" s="113" t="s">
        <v>92</v>
      </c>
      <c r="D1137" s="113"/>
      <c r="E1137" s="113"/>
      <c r="F1137" s="113" t="s">
        <v>1048</v>
      </c>
      <c r="G1137" s="113" t="s">
        <v>406</v>
      </c>
      <c r="H1137" s="113"/>
      <c r="I1137" s="113"/>
      <c r="J1137" s="113" t="b">
        <f t="shared" si="185"/>
        <v>1</v>
      </c>
      <c r="K1137" s="113" t="b">
        <v>1</v>
      </c>
      <c r="L1137" s="113"/>
      <c r="M1137" s="113"/>
      <c r="N1137" s="113"/>
      <c r="O1137" s="113" t="str">
        <f t="shared" si="195"/>
        <v>$B$322</v>
      </c>
      <c r="P1137" s="113" t="str">
        <f t="shared" si="196"/>
        <v>$BK$322</v>
      </c>
      <c r="Q1137" s="113"/>
      <c r="R1137" s="113"/>
      <c r="S1137" s="113"/>
      <c r="T1137" s="113"/>
      <c r="U1137" s="113"/>
      <c r="V1137" s="113" t="s">
        <v>1342</v>
      </c>
      <c r="W1137" s="113"/>
      <c r="X1137" s="113"/>
      <c r="Y1137" s="113"/>
      <c r="Z1137" s="113"/>
      <c r="AA1137" s="113"/>
      <c r="AB1137" s="113"/>
      <c r="AC1137" s="113"/>
      <c r="AD1137" s="113"/>
      <c r="AE1137" s="113"/>
      <c r="AF1137" s="113"/>
      <c r="AG1137" s="113"/>
      <c r="AH1137" s="113"/>
      <c r="AI1137" s="113"/>
      <c r="AJ1137" s="113"/>
      <c r="AK1137" s="113"/>
      <c r="AL1137" s="113">
        <v>1</v>
      </c>
      <c r="AM1137" s="113"/>
      <c r="AN1137" s="113"/>
      <c r="AO1137" s="113"/>
      <c r="AP1137" s="113" t="b">
        <v>1</v>
      </c>
      <c r="AQ1137" s="132" t="s">
        <v>466</v>
      </c>
      <c r="AR1137" s="132"/>
      <c r="AS1137" s="132"/>
      <c r="AT1137" s="191">
        <f ca="1">SUM(AU1137:CZ1137)</f>
        <v>0</v>
      </c>
      <c r="AU1137" s="191">
        <f t="shared" ca="1" si="197"/>
        <v>0</v>
      </c>
      <c r="AV1137" s="191">
        <f t="shared" ca="1" si="197"/>
        <v>0</v>
      </c>
      <c r="AW1137"/>
      <c r="AX1137"/>
      <c r="AY1137"/>
      <c r="AZ1137"/>
      <c r="BA1137"/>
      <c r="BB1137"/>
      <c r="BC1137"/>
      <c r="BD1137"/>
      <c r="BE1137"/>
      <c r="BF1137"/>
      <c r="BG1137"/>
      <c r="BH1137"/>
      <c r="BI1137"/>
      <c r="BJ1137"/>
      <c r="BK1137"/>
      <c r="BL1137"/>
      <c r="BM1137"/>
      <c r="BN1137"/>
      <c r="BO1137"/>
      <c r="BP1137"/>
      <c r="BQ1137"/>
      <c r="BR1137"/>
      <c r="BS1137"/>
      <c r="BT1137"/>
      <c r="BU1137"/>
      <c r="BV1137"/>
      <c r="BW1137"/>
      <c r="BX1137"/>
      <c r="BY1137"/>
      <c r="BZ1137"/>
      <c r="CA1137"/>
      <c r="CB1137"/>
      <c r="CC1137"/>
      <c r="CD1137"/>
      <c r="CE1137"/>
      <c r="CF1137"/>
      <c r="CG1137"/>
      <c r="CH1137"/>
      <c r="CI1137"/>
      <c r="CJ1137"/>
      <c r="CK1137"/>
      <c r="CL1137"/>
      <c r="CM1137"/>
      <c r="CN1137"/>
      <c r="CO1137"/>
      <c r="CP1137"/>
      <c r="CQ1137"/>
      <c r="CR1137"/>
      <c r="CS1137"/>
      <c r="CT1137"/>
      <c r="CU1137"/>
      <c r="CV1137"/>
      <c r="CW1137"/>
      <c r="CX1137"/>
      <c r="CY1137"/>
      <c r="CZ1137"/>
      <c r="DA1137"/>
      <c r="DB1137"/>
      <c r="DC1137"/>
      <c r="DD1137"/>
      <c r="DE1137"/>
      <c r="DF1137"/>
      <c r="DG1137"/>
      <c r="DH1137"/>
      <c r="DI1137"/>
      <c r="DJ1137"/>
      <c r="DK1137"/>
      <c r="DL1137"/>
      <c r="DM1137"/>
      <c r="DN1137"/>
      <c r="DO1137"/>
      <c r="DP1137"/>
      <c r="DQ1137"/>
      <c r="DR1137"/>
      <c r="DS1137"/>
      <c r="DT1137"/>
      <c r="DU1137"/>
      <c r="DV1137"/>
      <c r="DW1137"/>
      <c r="DX1137"/>
      <c r="DY1137"/>
      <c r="DZ1137"/>
      <c r="EA1137"/>
      <c r="EB1137"/>
      <c r="EC1137"/>
      <c r="ED1137"/>
      <c r="EE1137"/>
      <c r="EF1137"/>
      <c r="EG1137"/>
      <c r="EH1137"/>
      <c r="EI1137"/>
      <c r="EJ1137"/>
      <c r="EK1137"/>
      <c r="EL1137"/>
      <c r="EM1137"/>
      <c r="EN1137"/>
      <c r="EO1137"/>
      <c r="EP1137"/>
      <c r="EQ1137"/>
    </row>
    <row r="1138" spans="1:147" ht="16.5" customHeight="1" x14ac:dyDescent="0.25">
      <c r="A1138" s="113">
        <f>$A$1120+17</f>
        <v>323</v>
      </c>
      <c r="B1138" s="113" t="s">
        <v>1066</v>
      </c>
      <c r="C1138" s="113" t="s">
        <v>92</v>
      </c>
      <c r="D1138" s="113"/>
      <c r="E1138" s="113"/>
      <c r="F1138" s="113" t="s">
        <v>1048</v>
      </c>
      <c r="G1138" s="113" t="s">
        <v>406</v>
      </c>
      <c r="H1138" s="113"/>
      <c r="I1138" s="113"/>
      <c r="J1138" s="113" t="b">
        <f t="shared" si="185"/>
        <v>1</v>
      </c>
      <c r="K1138" s="113" t="b">
        <v>1</v>
      </c>
      <c r="L1138" s="113"/>
      <c r="M1138" s="113"/>
      <c r="N1138" s="113"/>
      <c r="O1138" s="113" t="str">
        <f t="shared" si="195"/>
        <v>$B$323</v>
      </c>
      <c r="P1138" s="113" t="str">
        <f t="shared" si="196"/>
        <v>$BK$323</v>
      </c>
      <c r="Q1138" s="113"/>
      <c r="R1138" s="113"/>
      <c r="S1138" s="113"/>
      <c r="T1138" s="113"/>
      <c r="U1138" s="113"/>
      <c r="V1138" s="113" t="s">
        <v>1342</v>
      </c>
      <c r="W1138" s="113"/>
      <c r="X1138" s="113"/>
      <c r="Y1138" s="113"/>
      <c r="Z1138" s="113"/>
      <c r="AA1138" s="113"/>
      <c r="AB1138" s="113"/>
      <c r="AC1138" s="113"/>
      <c r="AD1138" s="113"/>
      <c r="AE1138" s="113"/>
      <c r="AF1138" s="113"/>
      <c r="AG1138" s="113"/>
      <c r="AH1138" s="113"/>
      <c r="AI1138" s="113"/>
      <c r="AJ1138" s="113"/>
      <c r="AK1138" s="113"/>
      <c r="AL1138" s="113">
        <v>1</v>
      </c>
      <c r="AM1138" s="113"/>
      <c r="AN1138" s="113"/>
      <c r="AO1138" s="113"/>
      <c r="AP1138" s="113" t="b">
        <v>1</v>
      </c>
      <c r="AQ1138" s="132" t="s">
        <v>465</v>
      </c>
      <c r="AR1138" s="132"/>
      <c r="AS1138" s="132"/>
      <c r="AT1138" s="191">
        <f ca="1">SUM(AU1138:CZ1138)</f>
        <v>0</v>
      </c>
      <c r="AU1138" s="191">
        <f t="shared" ca="1" si="197"/>
        <v>0</v>
      </c>
      <c r="AV1138" s="191">
        <f t="shared" ca="1" si="197"/>
        <v>0</v>
      </c>
      <c r="AW1138"/>
      <c r="AX1138"/>
      <c r="AY1138"/>
      <c r="AZ1138"/>
      <c r="BA1138"/>
      <c r="BB1138"/>
      <c r="BC1138"/>
      <c r="BD1138"/>
      <c r="BE1138"/>
      <c r="BF1138"/>
      <c r="BG1138"/>
      <c r="BH1138"/>
      <c r="BI1138"/>
      <c r="BJ1138"/>
      <c r="BK1138"/>
      <c r="BL1138"/>
      <c r="BM1138"/>
      <c r="BN1138"/>
      <c r="BO1138"/>
      <c r="BP1138"/>
      <c r="BQ1138"/>
      <c r="BR1138"/>
      <c r="BS1138"/>
      <c r="BT1138"/>
      <c r="BU1138"/>
      <c r="BV1138"/>
      <c r="BW1138"/>
      <c r="BX1138"/>
      <c r="BY1138"/>
      <c r="BZ1138"/>
      <c r="CA1138"/>
      <c r="CB1138"/>
      <c r="CC1138"/>
      <c r="CD1138"/>
      <c r="CE1138"/>
      <c r="CF1138"/>
      <c r="CG1138"/>
      <c r="CH1138"/>
      <c r="CI1138"/>
      <c r="CJ1138"/>
      <c r="CK1138"/>
      <c r="CL1138"/>
      <c r="CM1138"/>
      <c r="CN1138"/>
      <c r="CO1138"/>
      <c r="CP1138"/>
      <c r="CQ1138"/>
      <c r="CR1138"/>
      <c r="CS1138"/>
      <c r="CT1138"/>
      <c r="CU1138"/>
      <c r="CV1138"/>
      <c r="CW1138"/>
      <c r="CX1138"/>
      <c r="CY1138"/>
      <c r="CZ1138"/>
      <c r="DA1138"/>
      <c r="DB1138"/>
      <c r="DC1138"/>
      <c r="DD1138"/>
      <c r="DE1138"/>
      <c r="DF1138"/>
      <c r="DG1138"/>
      <c r="DH1138"/>
      <c r="DI1138"/>
      <c r="DJ1138"/>
      <c r="DK1138"/>
      <c r="DL1138"/>
      <c r="DM1138"/>
      <c r="DN1138"/>
      <c r="DO1138"/>
      <c r="DP1138"/>
      <c r="DQ1138"/>
      <c r="DR1138"/>
      <c r="DS1138"/>
      <c r="DT1138"/>
      <c r="DU1138"/>
      <c r="DV1138"/>
      <c r="DW1138"/>
      <c r="DX1138"/>
      <c r="DY1138"/>
      <c r="DZ1138"/>
      <c r="EA1138"/>
      <c r="EB1138"/>
      <c r="EC1138"/>
      <c r="ED1138"/>
      <c r="EE1138"/>
      <c r="EF1138"/>
      <c r="EG1138"/>
      <c r="EH1138"/>
      <c r="EI1138"/>
      <c r="EJ1138"/>
      <c r="EK1138"/>
      <c r="EL1138"/>
      <c r="EM1138"/>
      <c r="EN1138"/>
      <c r="EO1138"/>
      <c r="EP1138"/>
      <c r="EQ1138"/>
    </row>
    <row r="1139" spans="1:147" ht="16.5" customHeight="1" x14ac:dyDescent="0.25">
      <c r="A1139" s="113">
        <f>$A$1120+18</f>
        <v>324</v>
      </c>
      <c r="B1139" s="113" t="s">
        <v>1067</v>
      </c>
      <c r="C1139" s="113" t="s">
        <v>92</v>
      </c>
      <c r="D1139" s="113"/>
      <c r="E1139" s="113"/>
      <c r="F1139" s="113" t="s">
        <v>1048</v>
      </c>
      <c r="G1139" s="113" t="s">
        <v>406</v>
      </c>
      <c r="H1139" s="113"/>
      <c r="I1139" s="113"/>
      <c r="J1139" s="113" t="b">
        <f t="shared" si="185"/>
        <v>1</v>
      </c>
      <c r="K1139" s="113" t="b">
        <v>1</v>
      </c>
      <c r="L1139" s="113"/>
      <c r="M1139" s="113"/>
      <c r="N1139" s="113"/>
      <c r="O1139" s="113" t="str">
        <f t="shared" si="195"/>
        <v>$B$324</v>
      </c>
      <c r="P1139" s="113" t="str">
        <f t="shared" si="196"/>
        <v>$BK$324</v>
      </c>
      <c r="Q1139" s="113"/>
      <c r="R1139" s="113"/>
      <c r="S1139" s="113"/>
      <c r="T1139" s="113"/>
      <c r="U1139" s="113"/>
      <c r="V1139" s="113" t="s">
        <v>1342</v>
      </c>
      <c r="W1139" s="113"/>
      <c r="X1139" s="113"/>
      <c r="Y1139" s="113"/>
      <c r="Z1139" s="113"/>
      <c r="AA1139" s="113"/>
      <c r="AB1139" s="113"/>
      <c r="AC1139" s="113"/>
      <c r="AD1139" s="113"/>
      <c r="AE1139" s="113"/>
      <c r="AF1139" s="113"/>
      <c r="AG1139" s="113"/>
      <c r="AH1139" s="113"/>
      <c r="AI1139" s="113"/>
      <c r="AJ1139" s="113"/>
      <c r="AK1139" s="113"/>
      <c r="AL1139" s="113">
        <v>1</v>
      </c>
      <c r="AM1139" s="113"/>
      <c r="AN1139" s="113"/>
      <c r="AO1139" s="113"/>
      <c r="AP1139" s="113" t="b">
        <v>1</v>
      </c>
      <c r="AQ1139" s="132"/>
      <c r="AR1139" s="132"/>
      <c r="AS1139" s="132"/>
      <c r="AT1139" s="191"/>
      <c r="AU1139" s="191"/>
      <c r="AV1139" s="191"/>
      <c r="AW1139"/>
      <c r="AX1139"/>
      <c r="AY1139"/>
      <c r="AZ1139"/>
      <c r="BA1139"/>
      <c r="BB1139"/>
      <c r="BC1139"/>
      <c r="BD1139"/>
      <c r="BE1139"/>
      <c r="BF1139"/>
      <c r="BG1139"/>
      <c r="BH1139"/>
      <c r="BI1139"/>
      <c r="BJ1139"/>
      <c r="BK1139"/>
      <c r="BL1139"/>
      <c r="BM1139"/>
      <c r="BN1139"/>
      <c r="BO1139"/>
      <c r="BP1139"/>
      <c r="BQ1139"/>
      <c r="BR1139"/>
      <c r="BS1139"/>
      <c r="BT1139"/>
      <c r="BU1139"/>
      <c r="BV1139"/>
      <c r="BW1139"/>
      <c r="BX1139"/>
      <c r="BY1139"/>
      <c r="BZ1139"/>
      <c r="CA1139"/>
      <c r="CB1139"/>
      <c r="CC1139"/>
      <c r="CD1139"/>
      <c r="CE1139"/>
      <c r="CF1139"/>
      <c r="CG1139"/>
      <c r="CH1139"/>
      <c r="CI1139"/>
      <c r="CJ1139"/>
      <c r="CK1139"/>
      <c r="CL1139"/>
      <c r="CM1139"/>
      <c r="CN1139"/>
      <c r="CO1139"/>
      <c r="CP1139"/>
      <c r="CQ1139"/>
      <c r="CR1139"/>
      <c r="CS1139"/>
      <c r="CT1139"/>
      <c r="CU1139"/>
      <c r="CV1139"/>
      <c r="CW1139"/>
      <c r="CX1139"/>
      <c r="CY1139"/>
      <c r="CZ1139"/>
      <c r="DA1139"/>
      <c r="DB1139"/>
      <c r="DC1139"/>
      <c r="DD1139"/>
      <c r="DE1139"/>
      <c r="DF1139"/>
      <c r="DG1139"/>
      <c r="DH1139"/>
      <c r="DI1139"/>
      <c r="DJ1139"/>
      <c r="DK1139"/>
      <c r="DL1139"/>
      <c r="DM1139"/>
      <c r="DN1139"/>
      <c r="DO1139"/>
      <c r="DP1139"/>
      <c r="DQ1139"/>
      <c r="DR1139"/>
      <c r="DS1139"/>
      <c r="DT1139"/>
      <c r="DU1139"/>
      <c r="DV1139"/>
      <c r="DW1139"/>
      <c r="DX1139"/>
      <c r="DY1139"/>
      <c r="DZ1139"/>
      <c r="EA1139"/>
      <c r="EB1139"/>
      <c r="EC1139"/>
      <c r="ED1139"/>
      <c r="EE1139"/>
      <c r="EF1139"/>
      <c r="EG1139"/>
      <c r="EH1139"/>
      <c r="EI1139"/>
      <c r="EJ1139"/>
      <c r="EK1139"/>
      <c r="EL1139"/>
      <c r="EM1139"/>
      <c r="EN1139"/>
      <c r="EO1139"/>
      <c r="EP1139"/>
      <c r="EQ1139"/>
    </row>
    <row r="1140" spans="1:147" ht="16.5" customHeight="1" x14ac:dyDescent="0.25">
      <c r="A1140" s="113">
        <f>$A$1120+19</f>
        <v>325</v>
      </c>
      <c r="B1140" s="113" t="s">
        <v>1068</v>
      </c>
      <c r="C1140" s="113" t="s">
        <v>92</v>
      </c>
      <c r="D1140" s="113"/>
      <c r="E1140" s="113"/>
      <c r="F1140" s="113" t="s">
        <v>1048</v>
      </c>
      <c r="G1140" s="113" t="s">
        <v>406</v>
      </c>
      <c r="H1140" s="113"/>
      <c r="I1140" s="113"/>
      <c r="J1140" s="113" t="b">
        <f t="shared" si="185"/>
        <v>1</v>
      </c>
      <c r="K1140" s="113" t="b">
        <v>1</v>
      </c>
      <c r="L1140" s="113"/>
      <c r="M1140" s="113"/>
      <c r="N1140" s="113"/>
      <c r="O1140" s="113" t="str">
        <f t="shared" si="195"/>
        <v>$B$325</v>
      </c>
      <c r="P1140" s="113" t="str">
        <f t="shared" si="196"/>
        <v>$BK$325</v>
      </c>
      <c r="Q1140" s="113"/>
      <c r="R1140" s="113"/>
      <c r="S1140" s="113"/>
      <c r="T1140" s="113"/>
      <c r="U1140" s="113"/>
      <c r="V1140" s="113" t="s">
        <v>1342</v>
      </c>
      <c r="W1140" s="113"/>
      <c r="X1140" s="113"/>
      <c r="Y1140" s="113"/>
      <c r="Z1140" s="113"/>
      <c r="AA1140" s="113"/>
      <c r="AB1140" s="113"/>
      <c r="AC1140" s="113"/>
      <c r="AD1140" s="113"/>
      <c r="AE1140" s="113"/>
      <c r="AF1140" s="113"/>
      <c r="AG1140" s="113"/>
      <c r="AH1140" s="113"/>
      <c r="AI1140" s="113"/>
      <c r="AJ1140" s="113"/>
      <c r="AK1140" s="113"/>
      <c r="AL1140" s="113">
        <v>1</v>
      </c>
      <c r="AM1140" s="113"/>
      <c r="AN1140" s="113"/>
      <c r="AO1140" s="113"/>
      <c r="AP1140" s="113" t="b">
        <v>1</v>
      </c>
      <c r="AQ1140" s="161" t="str">
        <f>IF(MasterSheet_f_FP_CfgGroup1R3_VS,"Program","Projekt")&amp;"udgifter"</f>
        <v>Projektudgifter</v>
      </c>
      <c r="AR1140" s="161"/>
      <c r="AS1140" s="132"/>
      <c r="AT1140" s="191"/>
      <c r="AU1140" s="191"/>
      <c r="AV1140" s="191"/>
      <c r="AW1140"/>
      <c r="AX1140"/>
      <c r="AY1140"/>
      <c r="AZ1140"/>
      <c r="BA1140"/>
      <c r="BB1140"/>
      <c r="BC1140"/>
      <c r="BD1140"/>
      <c r="BE1140"/>
      <c r="BF1140"/>
      <c r="BG1140"/>
      <c r="BH1140"/>
      <c r="BI1140"/>
      <c r="BJ1140"/>
      <c r="BK1140"/>
      <c r="BL1140"/>
      <c r="BM1140"/>
      <c r="BN1140"/>
      <c r="BO1140"/>
      <c r="BP1140"/>
      <c r="BQ1140"/>
      <c r="BR1140"/>
      <c r="BS1140"/>
      <c r="BT1140"/>
      <c r="BU1140"/>
      <c r="BV1140"/>
      <c r="BW1140"/>
      <c r="BX1140"/>
      <c r="BY1140"/>
      <c r="BZ1140"/>
      <c r="CA1140"/>
      <c r="CB1140"/>
      <c r="CC1140"/>
      <c r="CD1140"/>
      <c r="CE1140"/>
      <c r="CF1140"/>
      <c r="CG1140"/>
      <c r="CH1140"/>
      <c r="CI1140"/>
      <c r="CJ1140"/>
      <c r="CK1140"/>
      <c r="CL1140"/>
      <c r="CM1140"/>
      <c r="CN1140"/>
      <c r="CO1140"/>
      <c r="CP1140"/>
      <c r="CQ1140"/>
      <c r="CR1140"/>
      <c r="CS1140"/>
      <c r="CT1140"/>
      <c r="CU1140"/>
      <c r="CV1140"/>
      <c r="CW1140"/>
      <c r="CX1140"/>
      <c r="CY1140"/>
      <c r="CZ1140"/>
      <c r="DA1140"/>
      <c r="DB1140"/>
      <c r="DC1140"/>
      <c r="DD1140"/>
      <c r="DE1140"/>
      <c r="DF1140"/>
      <c r="DG1140"/>
      <c r="DH1140"/>
      <c r="DI1140"/>
      <c r="DJ1140"/>
      <c r="DK1140"/>
      <c r="DL1140"/>
      <c r="DM1140"/>
      <c r="DN1140"/>
      <c r="DO1140"/>
      <c r="DP1140"/>
      <c r="DQ1140"/>
      <c r="DR1140"/>
      <c r="DS1140"/>
      <c r="DT1140"/>
      <c r="DU1140"/>
      <c r="DV1140"/>
      <c r="DW1140"/>
      <c r="DX1140"/>
      <c r="DY1140"/>
      <c r="DZ1140"/>
      <c r="EA1140"/>
      <c r="EB1140"/>
      <c r="EC1140"/>
      <c r="ED1140"/>
      <c r="EE1140"/>
      <c r="EF1140"/>
      <c r="EG1140"/>
      <c r="EH1140"/>
      <c r="EI1140"/>
      <c r="EJ1140"/>
      <c r="EK1140"/>
      <c r="EL1140"/>
      <c r="EM1140"/>
      <c r="EN1140"/>
      <c r="EO1140"/>
      <c r="EP1140"/>
      <c r="EQ1140"/>
    </row>
    <row r="1141" spans="1:147" ht="16.5" customHeight="1" x14ac:dyDescent="0.25">
      <c r="A1141" s="113">
        <f>$A$1120+20</f>
        <v>326</v>
      </c>
      <c r="B1141" s="113" t="s">
        <v>1069</v>
      </c>
      <c r="C1141" s="113" t="s">
        <v>92</v>
      </c>
      <c r="D1141" s="113"/>
      <c r="E1141" s="113"/>
      <c r="F1141" s="113" t="s">
        <v>1048</v>
      </c>
      <c r="G1141" s="113" t="s">
        <v>406</v>
      </c>
      <c r="H1141" s="113"/>
      <c r="I1141" s="113"/>
      <c r="J1141" s="113" t="b">
        <f t="shared" si="185"/>
        <v>1</v>
      </c>
      <c r="K1141" s="113" t="b">
        <v>1</v>
      </c>
      <c r="L1141" s="113"/>
      <c r="M1141" s="113"/>
      <c r="N1141" s="113"/>
      <c r="O1141" s="113" t="str">
        <f t="shared" si="195"/>
        <v>$B$326</v>
      </c>
      <c r="P1141" s="113" t="str">
        <f t="shared" si="196"/>
        <v>$BK$326</v>
      </c>
      <c r="Q1141" s="113"/>
      <c r="R1141" s="113"/>
      <c r="S1141" s="113"/>
      <c r="T1141" s="113"/>
      <c r="U1141" s="113"/>
      <c r="V1141" s="113" t="s">
        <v>1342</v>
      </c>
      <c r="W1141" s="113"/>
      <c r="X1141" s="113"/>
      <c r="Y1141" s="113"/>
      <c r="Z1141" s="113"/>
      <c r="AA1141" s="113"/>
      <c r="AB1141" s="113"/>
      <c r="AC1141" s="113"/>
      <c r="AD1141" s="113"/>
      <c r="AE1141" s="113"/>
      <c r="AF1141" s="113"/>
      <c r="AG1141" s="113"/>
      <c r="AH1141" s="113"/>
      <c r="AI1141" s="113"/>
      <c r="AJ1141" s="113"/>
      <c r="AK1141" s="113"/>
      <c r="AL1141" s="113">
        <v>1</v>
      </c>
      <c r="AM1141" s="113"/>
      <c r="AN1141" s="113"/>
      <c r="AO1141" s="113"/>
      <c r="AP1141" s="113" t="b">
        <v>1</v>
      </c>
      <c r="AQ1141" s="161" t="s">
        <v>453</v>
      </c>
      <c r="AR1141" s="161"/>
      <c r="AS1141" s="132"/>
      <c r="AT1141" s="191">
        <f ca="1">SUM(AU1141:CZ1141)</f>
        <v>0</v>
      </c>
      <c r="AU1141" s="191">
        <f ca="1">(IF(MasterSheet_f_FP_CfgGroup2R2_VS,IF(MasterSheet_f_FP_CfgGroup1R3_VS,SUMIF(ProgramudgifterC!$E:$E,OFFSET(Businesscasen_f_BCM_subcat18_Table1_start,0,COLUMN()-COLUMN(Businesscasen_f_BCM_subcat18_Table1_start)),ProgramudgifterC!$P:$P),SUMIF(ProjektudgifterC!$E:$E,OFFSET(Businesscasen_f_BCM_subcat18_Table1_start,0,COLUMN()-COLUMN(Businesscasen_f_BCM_subcat18_Table1_start)),ProjektudgifterC!$P:$P)),IF(MasterSheet_f_FP_CfgGroup1R3_VS,SUMIF(ProgramudgifterC!$E:$E,OFFSET(Businesscasen_f_BCM_subcat18_Table1_start,0,COLUMN()-COLUMN(Businesscasen_f_BCM_subcat18_Table1_start)),ProgramudgifterC!$O:$O),SUMIF(ProjektudgifterC!$E:$E,OFFSET(Businesscasen_f_BCM_subcat18_Table1_start,0,COLUMN()-COLUMN(Businesscasen_f_BCM_subcat18_Table1_start)),ProjektudgifterC!$O:$O))))/1000</f>
        <v>0</v>
      </c>
      <c r="AV1141" s="191">
        <f ca="1">(IF(MasterSheet_f_FP_CfgGroup2R2_VS,IF(MasterSheet_f_FP_CfgGroup1R3_VS,SUMIF(ProgramudgifterC!$E:$E,OFFSET(Businesscasen_f_BCM_subcat18_Table1_start,0,COLUMN()-COLUMN(Businesscasen_f_BCM_subcat18_Table1_start)),ProgramudgifterC!$P:$P),SUMIF(ProjektudgifterC!$E:$E,OFFSET(Businesscasen_f_BCM_subcat18_Table1_start,0,COLUMN()-COLUMN(Businesscasen_f_BCM_subcat18_Table1_start)),ProjektudgifterC!$P:$P)),IF(MasterSheet_f_FP_CfgGroup1R3_VS,SUMIF(ProgramudgifterC!$E:$E,OFFSET(Businesscasen_f_BCM_subcat18_Table1_start,0,COLUMN()-COLUMN(Businesscasen_f_BCM_subcat18_Table1_start)),ProgramudgifterC!$O:$O),SUMIF(ProjektudgifterC!$E:$E,OFFSET(Businesscasen_f_BCM_subcat18_Table1_start,0,COLUMN()-COLUMN(Businesscasen_f_BCM_subcat18_Table1_start)),ProjektudgifterC!$O:$O))))/1000</f>
        <v>0</v>
      </c>
      <c r="AW1141"/>
      <c r="AX1141"/>
      <c r="AY1141"/>
      <c r="AZ1141"/>
      <c r="BA1141"/>
      <c r="BB1141"/>
      <c r="BC1141"/>
      <c r="BD1141"/>
      <c r="BE1141"/>
      <c r="BF1141"/>
      <c r="BG1141"/>
      <c r="BH1141"/>
      <c r="BI1141"/>
      <c r="BJ1141"/>
      <c r="BK1141"/>
      <c r="BL1141"/>
      <c r="BM1141"/>
      <c r="BN1141"/>
      <c r="BO1141"/>
      <c r="BP1141"/>
      <c r="BQ1141"/>
      <c r="BR1141"/>
      <c r="BS1141"/>
      <c r="BT1141"/>
      <c r="BU1141"/>
      <c r="BV1141"/>
      <c r="BW1141"/>
      <c r="BX1141"/>
      <c r="BY1141"/>
      <c r="BZ1141"/>
      <c r="CA1141"/>
      <c r="CB1141"/>
      <c r="CC1141"/>
      <c r="CD1141"/>
      <c r="CE1141"/>
      <c r="CF1141"/>
      <c r="CG1141"/>
      <c r="CH1141"/>
      <c r="CI1141"/>
      <c r="CJ1141"/>
      <c r="CK1141"/>
      <c r="CL1141"/>
      <c r="CM1141"/>
      <c r="CN1141"/>
      <c r="CO1141"/>
      <c r="CP1141"/>
      <c r="CQ1141"/>
      <c r="CR1141"/>
      <c r="CS1141"/>
      <c r="CT1141"/>
      <c r="CU1141"/>
      <c r="CV1141"/>
      <c r="CW1141"/>
      <c r="CX1141"/>
      <c r="CY1141"/>
      <c r="CZ1141"/>
      <c r="DA1141"/>
      <c r="DB1141"/>
      <c r="DC1141"/>
      <c r="DD1141"/>
      <c r="DE1141"/>
      <c r="DF1141"/>
      <c r="DG1141"/>
      <c r="DH1141"/>
      <c r="DI1141"/>
      <c r="DJ1141"/>
      <c r="DK1141"/>
      <c r="DL1141"/>
      <c r="DM1141"/>
      <c r="DN1141"/>
      <c r="DO1141"/>
      <c r="DP1141"/>
      <c r="DQ1141"/>
      <c r="DR1141"/>
      <c r="DS1141"/>
      <c r="DT1141"/>
      <c r="DU1141"/>
      <c r="DV1141"/>
      <c r="DW1141"/>
      <c r="DX1141"/>
      <c r="DY1141"/>
      <c r="DZ1141"/>
      <c r="EA1141"/>
      <c r="EB1141"/>
      <c r="EC1141"/>
      <c r="ED1141"/>
      <c r="EE1141"/>
      <c r="EF1141"/>
      <c r="EG1141"/>
      <c r="EH1141"/>
      <c r="EI1141"/>
      <c r="EJ1141"/>
      <c r="EK1141"/>
      <c r="EL1141"/>
      <c r="EM1141"/>
      <c r="EN1141"/>
      <c r="EO1141"/>
      <c r="EP1141"/>
      <c r="EQ1141"/>
    </row>
    <row r="1142" spans="1:147" ht="16.5" customHeight="1" x14ac:dyDescent="0.25">
      <c r="A1142" s="113">
        <f>$A$1120+21</f>
        <v>327</v>
      </c>
      <c r="B1142" s="113" t="s">
        <v>1070</v>
      </c>
      <c r="C1142" s="113" t="s">
        <v>92</v>
      </c>
      <c r="D1142" s="113"/>
      <c r="E1142" s="113"/>
      <c r="F1142" s="113" t="s">
        <v>1048</v>
      </c>
      <c r="G1142" s="113" t="s">
        <v>406</v>
      </c>
      <c r="H1142" s="113"/>
      <c r="I1142" s="113"/>
      <c r="J1142" s="113" t="b">
        <f t="shared" si="185"/>
        <v>1</v>
      </c>
      <c r="K1142" s="113" t="b">
        <v>1</v>
      </c>
      <c r="L1142" s="113"/>
      <c r="M1142" s="113"/>
      <c r="N1142" s="113"/>
      <c r="O1142" s="113" t="str">
        <f t="shared" si="195"/>
        <v>$B$327</v>
      </c>
      <c r="P1142" s="113" t="str">
        <f t="shared" si="196"/>
        <v>$BK$327</v>
      </c>
      <c r="Q1142" s="113"/>
      <c r="R1142" s="113"/>
      <c r="S1142" s="113"/>
      <c r="T1142" s="113"/>
      <c r="U1142" s="113"/>
      <c r="V1142" s="113" t="s">
        <v>1342</v>
      </c>
      <c r="W1142" s="113"/>
      <c r="X1142" s="113"/>
      <c r="Y1142" s="113"/>
      <c r="Z1142" s="113"/>
      <c r="AA1142" s="113"/>
      <c r="AB1142" s="113"/>
      <c r="AC1142" s="113"/>
      <c r="AD1142" s="113"/>
      <c r="AE1142" s="113"/>
      <c r="AF1142" s="113"/>
      <c r="AG1142" s="113"/>
      <c r="AH1142" s="113"/>
      <c r="AI1142" s="113"/>
      <c r="AJ1142" s="113"/>
      <c r="AK1142" s="113"/>
      <c r="AL1142" s="113">
        <v>1</v>
      </c>
      <c r="AM1142" s="113"/>
      <c r="AN1142" s="113"/>
      <c r="AO1142" s="113"/>
      <c r="AP1142" s="113" t="b">
        <v>1</v>
      </c>
      <c r="AQ1142" s="132" t="s">
        <v>298</v>
      </c>
      <c r="AR1142" s="132"/>
      <c r="AS1142" s="132"/>
      <c r="AT1142" s="191">
        <f ca="1">SUM(AU1142:CZ1142)</f>
        <v>0</v>
      </c>
      <c r="AU1142" s="191">
        <f ca="1">(IF(MasterSheet_f_FP_CfgGroup1R3_VS,SUMIF(ProgramudgifterC!$E:$E,OFFSET(Businesscasen_f_BCM_subcat18_Table1_start,0,COLUMN()-COLUMN(Businesscasen_f_BCM_subcat18_Table1_start)),ProgramudgifterC!$N:$N),SUMIF(ProjektudgifterC!$E:$E,OFFSET(Businesscasen_f_BCM_subcat18_Table1_start,0,COLUMN()-COLUMN(Businesscasen_f_BCM_subcat18_Table1_start)),ProjektudgifterC!$N:$N)))/1000</f>
        <v>0</v>
      </c>
      <c r="AV1142" s="191">
        <f ca="1">(IF(MasterSheet_f_FP_CfgGroup1R3_VS,SUMIF(ProgramudgifterC!$E:$E,OFFSET(Businesscasen_f_BCM_subcat18_Table1_start,0,COLUMN()-COLUMN(Businesscasen_f_BCM_subcat18_Table1_start)),ProgramudgifterC!$N:$N),SUMIF(ProjektudgifterC!$E:$E,OFFSET(Businesscasen_f_BCM_subcat18_Table1_start,0,COLUMN()-COLUMN(Businesscasen_f_BCM_subcat18_Table1_start)),ProjektudgifterC!$N:$N)))/1000</f>
        <v>0</v>
      </c>
      <c r="AW1142"/>
      <c r="AX1142"/>
      <c r="AY1142"/>
      <c r="AZ1142"/>
      <c r="BA1142"/>
      <c r="BB1142"/>
      <c r="BC1142"/>
      <c r="BD1142"/>
      <c r="BE1142"/>
      <c r="BF1142"/>
      <c r="BG1142"/>
      <c r="BH1142"/>
      <c r="BI1142"/>
      <c r="BJ1142"/>
      <c r="BK1142"/>
      <c r="BL1142"/>
      <c r="BM1142"/>
      <c r="BN1142"/>
      <c r="BO1142"/>
      <c r="BP1142"/>
      <c r="BQ1142"/>
      <c r="BR1142"/>
      <c r="BS1142"/>
      <c r="BT1142"/>
      <c r="BU1142"/>
      <c r="BV1142"/>
      <c r="BW1142"/>
      <c r="BX1142"/>
      <c r="BY1142"/>
      <c r="BZ1142"/>
      <c r="CA1142"/>
      <c r="CB1142"/>
      <c r="CC1142"/>
      <c r="CD1142"/>
      <c r="CE1142"/>
      <c r="CF1142"/>
      <c r="CG1142"/>
      <c r="CH1142"/>
      <c r="CI1142"/>
      <c r="CJ1142"/>
      <c r="CK1142"/>
      <c r="CL1142"/>
      <c r="CM1142"/>
      <c r="CN1142"/>
      <c r="CO1142"/>
      <c r="CP1142"/>
      <c r="CQ1142"/>
      <c r="CR1142"/>
      <c r="CS1142"/>
      <c r="CT1142"/>
      <c r="CU1142"/>
      <c r="CV1142"/>
      <c r="CW1142"/>
      <c r="CX1142"/>
      <c r="CY1142"/>
      <c r="CZ1142"/>
      <c r="DA1142"/>
      <c r="DB1142"/>
      <c r="DC1142"/>
      <c r="DD1142"/>
      <c r="DE1142"/>
      <c r="DF1142"/>
      <c r="DG1142"/>
      <c r="DH1142"/>
      <c r="DI1142"/>
      <c r="DJ1142"/>
      <c r="DK1142"/>
      <c r="DL1142"/>
      <c r="DM1142"/>
      <c r="DN1142"/>
      <c r="DO1142"/>
      <c r="DP1142"/>
      <c r="DQ1142"/>
      <c r="DR1142"/>
      <c r="DS1142"/>
      <c r="DT1142"/>
      <c r="DU1142"/>
      <c r="DV1142"/>
      <c r="DW1142"/>
      <c r="DX1142"/>
      <c r="DY1142"/>
      <c r="DZ1142"/>
      <c r="EA1142"/>
      <c r="EB1142"/>
      <c r="EC1142"/>
      <c r="ED1142"/>
      <c r="EE1142"/>
      <c r="EF1142"/>
      <c r="EG1142"/>
      <c r="EH1142"/>
      <c r="EI1142"/>
      <c r="EJ1142"/>
      <c r="EK1142"/>
      <c r="EL1142"/>
      <c r="EM1142"/>
      <c r="EN1142"/>
      <c r="EO1142"/>
      <c r="EP1142"/>
      <c r="EQ1142"/>
    </row>
    <row r="1143" spans="1:147" ht="16.5" customHeight="1" x14ac:dyDescent="0.25">
      <c r="A1143" s="113">
        <f>$A$1120+22</f>
        <v>328</v>
      </c>
      <c r="B1143" s="113" t="s">
        <v>1071</v>
      </c>
      <c r="C1143" s="113" t="s">
        <v>92</v>
      </c>
      <c r="D1143" s="113"/>
      <c r="E1143" s="113"/>
      <c r="F1143" s="113" t="s">
        <v>1048</v>
      </c>
      <c r="G1143" s="113" t="s">
        <v>406</v>
      </c>
      <c r="H1143" s="113"/>
      <c r="I1143" s="113"/>
      <c r="J1143" s="113" t="b">
        <f t="shared" si="185"/>
        <v>1</v>
      </c>
      <c r="K1143" s="113" t="b">
        <v>1</v>
      </c>
      <c r="L1143" s="113"/>
      <c r="M1143" s="113"/>
      <c r="N1143" s="113"/>
      <c r="O1143" s="113" t="str">
        <f t="shared" si="195"/>
        <v>$B$328</v>
      </c>
      <c r="P1143" s="113" t="str">
        <f t="shared" si="196"/>
        <v>$BK$328</v>
      </c>
      <c r="Q1143" s="113"/>
      <c r="R1143" s="113"/>
      <c r="S1143" s="113"/>
      <c r="T1143" s="113"/>
      <c r="U1143" s="113"/>
      <c r="V1143" s="113" t="s">
        <v>1342</v>
      </c>
      <c r="W1143" s="113"/>
      <c r="X1143" s="113"/>
      <c r="Y1143" s="113"/>
      <c r="Z1143" s="113"/>
      <c r="AA1143" s="113"/>
      <c r="AB1143" s="113"/>
      <c r="AC1143" s="113"/>
      <c r="AD1143" s="113"/>
      <c r="AE1143" s="113"/>
      <c r="AF1143" s="113"/>
      <c r="AG1143" s="113"/>
      <c r="AH1143" s="113"/>
      <c r="AI1143" s="113"/>
      <c r="AJ1143" s="113"/>
      <c r="AK1143" s="113"/>
      <c r="AL1143" s="113">
        <v>1</v>
      </c>
      <c r="AM1143" s="113"/>
      <c r="AN1143" s="113"/>
      <c r="AO1143" s="113"/>
      <c r="AP1143" s="113" t="b">
        <v>1</v>
      </c>
      <c r="AQ1143" s="132" t="s">
        <v>468</v>
      </c>
      <c r="AR1143" s="132"/>
      <c r="AS1143" s="132"/>
      <c r="AT1143" s="191">
        <f ca="1">SUM(AU1143:CZ1143)</f>
        <v>0</v>
      </c>
      <c r="AU1143" s="191">
        <f ca="1">(IF(MasterSheet_f_FP_CfgGroup1R3_VS,SUMIF(ProgramudgifterC!$E:$E,OFFSET(Businesscasen_f_BCM_subcat18_Table1_start,0,COLUMN()-COLUMN(Businesscasen_f_BCM_subcat18_Table1_start)),ProgramudgifterC!$R:$R),SUMIF(ProjektudgifterC!$E:$E,OFFSET(Businesscasen_f_BCM_subcat18_Table1_start,0,COLUMN()-COLUMN(Businesscasen_f_BCM_subcat18_Table1_start)),ProjektudgifterC!$R:$R)))/1000</f>
        <v>0</v>
      </c>
      <c r="AV1143" s="191">
        <f ca="1">(IF(MasterSheet_f_FP_CfgGroup1R3_VS,SUMIF(ProgramudgifterC!$E:$E,OFFSET(Businesscasen_f_BCM_subcat18_Table1_start,0,COLUMN()-COLUMN(Businesscasen_f_BCM_subcat18_Table1_start)),ProgramudgifterC!$R:$R),SUMIF(ProjektudgifterC!$E:$E,OFFSET(Businesscasen_f_BCM_subcat18_Table1_start,0,COLUMN()-COLUMN(Businesscasen_f_BCM_subcat18_Table1_start)),ProjektudgifterC!$R:$R)))/1000</f>
        <v>0</v>
      </c>
      <c r="AW1143"/>
      <c r="AX1143"/>
      <c r="AY1143"/>
      <c r="AZ1143"/>
      <c r="BA1143"/>
      <c r="BB1143"/>
      <c r="BC1143"/>
      <c r="BD1143"/>
      <c r="BE1143"/>
      <c r="BF1143"/>
      <c r="BG1143"/>
      <c r="BH1143"/>
      <c r="BI1143"/>
      <c r="BJ1143"/>
      <c r="BK1143"/>
      <c r="BL1143"/>
      <c r="BM1143"/>
      <c r="BN1143"/>
      <c r="BO1143"/>
      <c r="BP1143"/>
      <c r="BQ1143"/>
      <c r="BR1143"/>
      <c r="BS1143"/>
      <c r="BT1143"/>
      <c r="BU1143"/>
      <c r="BV1143"/>
      <c r="BW1143"/>
      <c r="BX1143"/>
      <c r="BY1143"/>
      <c r="BZ1143"/>
      <c r="CA1143"/>
      <c r="CB1143"/>
      <c r="CC1143"/>
      <c r="CD1143"/>
      <c r="CE1143"/>
      <c r="CF1143"/>
      <c r="CG1143"/>
      <c r="CH1143"/>
      <c r="CI1143"/>
      <c r="CJ1143"/>
      <c r="CK1143"/>
      <c r="CL1143"/>
      <c r="CM1143"/>
      <c r="CN1143"/>
      <c r="CO1143"/>
      <c r="CP1143"/>
      <c r="CQ1143"/>
      <c r="CR1143"/>
      <c r="CS1143"/>
      <c r="CT1143"/>
      <c r="CU1143"/>
      <c r="CV1143"/>
      <c r="CW1143"/>
      <c r="CX1143"/>
      <c r="CY1143"/>
      <c r="CZ1143"/>
      <c r="DA1143"/>
      <c r="DB1143"/>
      <c r="DC1143"/>
      <c r="DD1143"/>
      <c r="DE1143"/>
      <c r="DF1143"/>
      <c r="DG1143"/>
      <c r="DH1143"/>
      <c r="DI1143"/>
      <c r="DJ1143"/>
      <c r="DK1143"/>
      <c r="DL1143"/>
      <c r="DM1143"/>
      <c r="DN1143"/>
      <c r="DO1143"/>
      <c r="DP1143"/>
      <c r="DQ1143"/>
      <c r="DR1143"/>
      <c r="DS1143"/>
      <c r="DT1143"/>
      <c r="DU1143"/>
      <c r="DV1143"/>
      <c r="DW1143"/>
      <c r="DX1143"/>
      <c r="DY1143"/>
      <c r="DZ1143"/>
      <c r="EA1143"/>
      <c r="EB1143"/>
      <c r="EC1143"/>
      <c r="ED1143"/>
      <c r="EE1143"/>
      <c r="EF1143"/>
      <c r="EG1143"/>
      <c r="EH1143"/>
      <c r="EI1143"/>
      <c r="EJ1143"/>
      <c r="EK1143"/>
      <c r="EL1143"/>
      <c r="EM1143"/>
      <c r="EN1143"/>
      <c r="EO1143"/>
      <c r="EP1143"/>
      <c r="EQ1143"/>
    </row>
    <row r="1144" spans="1:147" ht="16.5" customHeight="1" x14ac:dyDescent="0.25">
      <c r="A1144" s="113">
        <f>$A$1120+23</f>
        <v>329</v>
      </c>
      <c r="B1144" s="113" t="s">
        <v>1072</v>
      </c>
      <c r="C1144" s="113" t="s">
        <v>92</v>
      </c>
      <c r="D1144" s="113"/>
      <c r="E1144" s="113"/>
      <c r="F1144" s="113" t="s">
        <v>1048</v>
      </c>
      <c r="G1144" s="113" t="s">
        <v>406</v>
      </c>
      <c r="H1144" s="113"/>
      <c r="I1144" s="113"/>
      <c r="J1144" s="113" t="b">
        <f t="shared" si="185"/>
        <v>1</v>
      </c>
      <c r="K1144" s="113" t="b">
        <v>1</v>
      </c>
      <c r="L1144" s="113"/>
      <c r="M1144" s="113"/>
      <c r="N1144" s="113"/>
      <c r="O1144" s="113" t="str">
        <f t="shared" si="195"/>
        <v>$B$329</v>
      </c>
      <c r="P1144" s="113" t="str">
        <f t="shared" si="196"/>
        <v>$BK$329</v>
      </c>
      <c r="Q1144" s="113"/>
      <c r="R1144" s="113"/>
      <c r="S1144" s="113"/>
      <c r="T1144" s="113"/>
      <c r="U1144" s="113"/>
      <c r="V1144" s="113" t="s">
        <v>1342</v>
      </c>
      <c r="W1144" s="113"/>
      <c r="X1144" s="113"/>
      <c r="Y1144" s="113"/>
      <c r="Z1144" s="113"/>
      <c r="AA1144" s="113"/>
      <c r="AB1144" s="113"/>
      <c r="AC1144" s="113"/>
      <c r="AD1144" s="113"/>
      <c r="AE1144" s="113"/>
      <c r="AF1144" s="113"/>
      <c r="AG1144" s="113"/>
      <c r="AH1144" s="113"/>
      <c r="AI1144" s="113"/>
      <c r="AJ1144" s="113"/>
      <c r="AK1144" s="113"/>
      <c r="AL1144" s="113">
        <v>1</v>
      </c>
      <c r="AM1144" s="113"/>
      <c r="AN1144" s="113"/>
      <c r="AO1144" s="113"/>
      <c r="AP1144" s="113" t="b">
        <v>1</v>
      </c>
      <c r="AQ1144" s="132" t="s">
        <v>467</v>
      </c>
      <c r="AR1144" s="132"/>
      <c r="AS1144" s="132"/>
      <c r="AT1144" s="191">
        <f ca="1">SUM(AU1144:CZ1144)</f>
        <v>0</v>
      </c>
      <c r="AU1144" s="191">
        <f ca="1">(IF(MasterSheet_f_FP_CfgGroup1R3_VS,SUMIF(ProgramudgifterC!$E:$E,OFFSET(Businesscasen_f_BCM_subcat18_Table1_start,0,COLUMN()-COLUMN(Businesscasen_f_BCM_subcat18_Table1_start)),ProgramudgifterC!$Q:$Q),SUMIF(ProjektudgifterC!$E:$E,OFFSET(Businesscasen_f_BCM_subcat18_Table1_start,0,COLUMN()-COLUMN(Businesscasen_f_BCM_subcat18_Table1_start)),ProjektudgifterC!$Q:$Q)))/1000</f>
        <v>0</v>
      </c>
      <c r="AV1144" s="191">
        <f ca="1">(IF(MasterSheet_f_FP_CfgGroup1R3_VS,SUMIF(ProgramudgifterC!$E:$E,OFFSET(Businesscasen_f_BCM_subcat18_Table1_start,0,COLUMN()-COLUMN(Businesscasen_f_BCM_subcat18_Table1_start)),ProgramudgifterC!$Q:$Q),SUMIF(ProjektudgifterC!$E:$E,OFFSET(Businesscasen_f_BCM_subcat18_Table1_start,0,COLUMN()-COLUMN(Businesscasen_f_BCM_subcat18_Table1_start)),ProjektudgifterC!$Q:$Q)))/1000</f>
        <v>0</v>
      </c>
      <c r="AW1144"/>
      <c r="AX1144"/>
      <c r="AY1144"/>
      <c r="AZ1144"/>
      <c r="BA1144"/>
      <c r="BB1144"/>
      <c r="BC1144"/>
      <c r="BD1144"/>
      <c r="BE1144"/>
      <c r="BF1144"/>
      <c r="BG1144"/>
      <c r="BH1144"/>
      <c r="BI1144"/>
      <c r="BJ1144"/>
      <c r="BK1144"/>
      <c r="BL1144"/>
      <c r="BM1144"/>
      <c r="BN1144"/>
      <c r="BO1144"/>
      <c r="BP1144"/>
      <c r="BQ1144"/>
      <c r="BR1144"/>
      <c r="BS1144"/>
      <c r="BT1144"/>
      <c r="BU1144"/>
      <c r="BV1144"/>
      <c r="BW1144"/>
      <c r="BX1144"/>
      <c r="BY1144"/>
      <c r="BZ1144"/>
      <c r="CA1144"/>
      <c r="CB1144"/>
      <c r="CC1144"/>
      <c r="CD1144"/>
      <c r="CE1144"/>
      <c r="CF1144"/>
      <c r="CG1144"/>
      <c r="CH1144"/>
      <c r="CI1144"/>
      <c r="CJ1144"/>
      <c r="CK1144"/>
      <c r="CL1144"/>
      <c r="CM1144"/>
      <c r="CN1144"/>
      <c r="CO1144"/>
      <c r="CP1144"/>
      <c r="CQ1144"/>
      <c r="CR1144"/>
      <c r="CS1144"/>
      <c r="CT1144"/>
      <c r="CU1144"/>
      <c r="CV1144"/>
      <c r="CW1144"/>
      <c r="CX1144"/>
      <c r="CY1144"/>
      <c r="CZ1144"/>
      <c r="DA1144"/>
      <c r="DB1144"/>
      <c r="DC1144"/>
      <c r="DD1144"/>
      <c r="DE1144"/>
      <c r="DF1144"/>
      <c r="DG1144"/>
      <c r="DH1144"/>
      <c r="DI1144"/>
      <c r="DJ1144"/>
      <c r="DK1144"/>
      <c r="DL1144"/>
      <c r="DM1144"/>
      <c r="DN1144"/>
      <c r="DO1144"/>
      <c r="DP1144"/>
      <c r="DQ1144"/>
      <c r="DR1144"/>
      <c r="DS1144"/>
      <c r="DT1144"/>
      <c r="DU1144"/>
      <c r="DV1144"/>
      <c r="DW1144"/>
      <c r="DX1144"/>
      <c r="DY1144"/>
      <c r="DZ1144"/>
      <c r="EA1144"/>
      <c r="EB1144"/>
      <c r="EC1144"/>
      <c r="ED1144"/>
      <c r="EE1144"/>
      <c r="EF1144"/>
      <c r="EG1144"/>
      <c r="EH1144"/>
      <c r="EI1144"/>
      <c r="EJ1144"/>
      <c r="EK1144"/>
      <c r="EL1144"/>
      <c r="EM1144"/>
      <c r="EN1144"/>
      <c r="EO1144"/>
      <c r="EP1144"/>
      <c r="EQ1144"/>
    </row>
    <row r="1145" spans="1:147" ht="16.5" customHeight="1" x14ac:dyDescent="0.25">
      <c r="A1145" s="113">
        <f>$A$1120+24</f>
        <v>330</v>
      </c>
      <c r="B1145" s="113" t="s">
        <v>1073</v>
      </c>
      <c r="C1145" s="113" t="s">
        <v>92</v>
      </c>
      <c r="D1145" s="113"/>
      <c r="E1145" s="113"/>
      <c r="F1145" s="113" t="s">
        <v>1048</v>
      </c>
      <c r="G1145" s="113" t="s">
        <v>406</v>
      </c>
      <c r="H1145" s="113"/>
      <c r="I1145" s="113"/>
      <c r="J1145" s="113" t="b">
        <f t="shared" si="185"/>
        <v>1</v>
      </c>
      <c r="K1145" s="113" t="b">
        <v>1</v>
      </c>
      <c r="L1145" s="113"/>
      <c r="M1145" s="113"/>
      <c r="N1145" s="113"/>
      <c r="O1145" s="113" t="str">
        <f t="shared" si="195"/>
        <v>$B$330</v>
      </c>
      <c r="P1145" s="113" t="str">
        <f t="shared" si="196"/>
        <v>$BK$330</v>
      </c>
      <c r="Q1145" s="113"/>
      <c r="R1145" s="113"/>
      <c r="S1145" s="113"/>
      <c r="T1145" s="113"/>
      <c r="U1145" s="113"/>
      <c r="V1145" s="113" t="s">
        <v>1342</v>
      </c>
      <c r="W1145" s="113"/>
      <c r="X1145" s="113"/>
      <c r="Y1145" s="113"/>
      <c r="Z1145" s="113"/>
      <c r="AA1145" s="113"/>
      <c r="AB1145" s="113"/>
      <c r="AC1145" s="113"/>
      <c r="AD1145" s="113"/>
      <c r="AE1145" s="113"/>
      <c r="AF1145" s="113"/>
      <c r="AG1145" s="113"/>
      <c r="AH1145" s="113"/>
      <c r="AI1145" s="113"/>
      <c r="AJ1145" s="113"/>
      <c r="AK1145" s="113"/>
      <c r="AL1145" s="113">
        <v>1</v>
      </c>
      <c r="AM1145" s="113"/>
      <c r="AN1145" s="113"/>
      <c r="AO1145" s="113"/>
      <c r="AP1145" s="113" t="b">
        <v>1</v>
      </c>
      <c r="AQ1145" s="132"/>
      <c r="AR1145" s="132"/>
      <c r="AS1145" s="132"/>
      <c r="AT1145" s="191"/>
      <c r="AU1145" s="191"/>
      <c r="AV1145" s="191"/>
      <c r="AW1145"/>
      <c r="AX1145"/>
      <c r="AY1145"/>
      <c r="AZ1145"/>
      <c r="BA1145"/>
      <c r="BB1145"/>
      <c r="BC1145"/>
      <c r="BD1145"/>
      <c r="BE1145"/>
      <c r="BF1145"/>
      <c r="BG1145"/>
      <c r="BH1145"/>
      <c r="BI1145"/>
      <c r="BJ1145"/>
      <c r="BK1145"/>
      <c r="BL1145"/>
      <c r="BM1145"/>
      <c r="BN1145"/>
      <c r="BO1145"/>
      <c r="BP1145"/>
      <c r="BQ1145"/>
      <c r="BR1145"/>
      <c r="BS1145"/>
      <c r="BT1145"/>
      <c r="BU1145"/>
      <c r="BV1145"/>
      <c r="BW1145"/>
      <c r="BX1145"/>
      <c r="BY1145"/>
      <c r="BZ1145"/>
      <c r="CA1145"/>
      <c r="CB1145"/>
      <c r="CC1145"/>
      <c r="CD1145"/>
      <c r="CE1145"/>
      <c r="CF1145"/>
      <c r="CG1145"/>
      <c r="CH1145"/>
      <c r="CI1145"/>
      <c r="CJ1145"/>
      <c r="CK1145"/>
      <c r="CL1145"/>
      <c r="CM1145"/>
      <c r="CN1145"/>
      <c r="CO1145"/>
      <c r="CP1145"/>
      <c r="CQ1145"/>
      <c r="CR1145"/>
      <c r="CS1145"/>
      <c r="CT1145"/>
      <c r="CU1145"/>
      <c r="CV1145"/>
      <c r="CW1145"/>
      <c r="CX1145"/>
      <c r="CY1145"/>
      <c r="CZ1145"/>
      <c r="DA1145"/>
      <c r="DB1145"/>
      <c r="DC1145"/>
      <c r="DD1145"/>
      <c r="DE1145"/>
      <c r="DF1145"/>
      <c r="DG1145"/>
      <c r="DH1145"/>
      <c r="DI1145"/>
      <c r="DJ1145"/>
      <c r="DK1145"/>
      <c r="DL1145"/>
      <c r="DM1145"/>
      <c r="DN1145"/>
      <c r="DO1145"/>
      <c r="DP1145"/>
      <c r="DQ1145"/>
      <c r="DR1145"/>
      <c r="DS1145"/>
      <c r="DT1145"/>
      <c r="DU1145"/>
      <c r="DV1145"/>
      <c r="DW1145"/>
      <c r="DX1145"/>
      <c r="DY1145"/>
      <c r="DZ1145"/>
      <c r="EA1145"/>
      <c r="EB1145"/>
      <c r="EC1145"/>
      <c r="ED1145"/>
      <c r="EE1145"/>
      <c r="EF1145"/>
      <c r="EG1145"/>
      <c r="EH1145"/>
      <c r="EI1145"/>
      <c r="EJ1145"/>
      <c r="EK1145"/>
      <c r="EL1145"/>
      <c r="EM1145"/>
      <c r="EN1145"/>
      <c r="EO1145"/>
      <c r="EP1145"/>
      <c r="EQ1145"/>
    </row>
    <row r="1146" spans="1:147" ht="16.5" customHeight="1" x14ac:dyDescent="0.25">
      <c r="A1146" s="113">
        <f>$A$1120+25</f>
        <v>331</v>
      </c>
      <c r="B1146" s="113" t="s">
        <v>1074</v>
      </c>
      <c r="C1146" s="113" t="s">
        <v>92</v>
      </c>
      <c r="D1146" s="113"/>
      <c r="E1146" s="113"/>
      <c r="F1146" s="113" t="s">
        <v>1048</v>
      </c>
      <c r="G1146" s="113" t="s">
        <v>406</v>
      </c>
      <c r="H1146" s="113"/>
      <c r="I1146" s="113"/>
      <c r="J1146" s="113" t="b">
        <f t="shared" si="185"/>
        <v>1</v>
      </c>
      <c r="K1146" s="113" t="b">
        <v>1</v>
      </c>
      <c r="L1146" s="113"/>
      <c r="M1146" s="113"/>
      <c r="N1146" s="113"/>
      <c r="O1146" s="113" t="str">
        <f t="shared" si="195"/>
        <v>$B$331</v>
      </c>
      <c r="P1146" s="113" t="str">
        <f t="shared" si="196"/>
        <v>$BK$331</v>
      </c>
      <c r="Q1146" s="113"/>
      <c r="R1146" s="113"/>
      <c r="S1146" s="113"/>
      <c r="T1146" s="113"/>
      <c r="U1146" s="113"/>
      <c r="V1146" s="113" t="s">
        <v>1342</v>
      </c>
      <c r="W1146" s="113"/>
      <c r="X1146" s="113"/>
      <c r="Y1146" s="113"/>
      <c r="Z1146" s="113"/>
      <c r="AA1146" s="113"/>
      <c r="AB1146" s="113"/>
      <c r="AC1146" s="113"/>
      <c r="AD1146" s="113"/>
      <c r="AE1146" s="113"/>
      <c r="AF1146" s="113"/>
      <c r="AG1146" s="113"/>
      <c r="AH1146" s="113"/>
      <c r="AI1146" s="113"/>
      <c r="AJ1146" s="113"/>
      <c r="AK1146" s="113"/>
      <c r="AL1146" s="113">
        <v>1</v>
      </c>
      <c r="AM1146" s="113"/>
      <c r="AN1146" s="113"/>
      <c r="AO1146" s="113"/>
      <c r="AP1146" s="113" t="b">
        <v>1</v>
      </c>
      <c r="AQ1146" s="168" t="s">
        <v>472</v>
      </c>
      <c r="AR1146" s="161"/>
      <c r="AS1146" s="132"/>
      <c r="AT1146" s="191"/>
      <c r="AU1146" s="191"/>
      <c r="AV1146" s="191"/>
      <c r="AW1146"/>
      <c r="AX1146"/>
      <c r="AY1146"/>
      <c r="AZ1146"/>
      <c r="BA1146"/>
      <c r="BB1146"/>
      <c r="BC1146"/>
      <c r="BD1146"/>
      <c r="BE1146"/>
      <c r="BF1146"/>
      <c r="BG1146"/>
      <c r="BH1146"/>
      <c r="BI1146"/>
      <c r="BJ1146"/>
      <c r="BK1146"/>
      <c r="BL1146"/>
      <c r="BM1146"/>
      <c r="BN1146"/>
      <c r="BO1146"/>
      <c r="BP1146"/>
      <c r="BQ1146"/>
      <c r="BR1146"/>
      <c r="BS1146"/>
      <c r="BT1146"/>
      <c r="BU1146"/>
      <c r="BV1146"/>
      <c r="BW1146"/>
      <c r="BX1146"/>
      <c r="BY1146"/>
      <c r="BZ1146"/>
      <c r="CA1146"/>
      <c r="CB1146"/>
      <c r="CC1146"/>
      <c r="CD1146"/>
      <c r="CE1146"/>
      <c r="CF1146"/>
      <c r="CG1146"/>
      <c r="CH1146"/>
      <c r="CI1146"/>
      <c r="CJ1146"/>
      <c r="CK1146"/>
      <c r="CL1146"/>
      <c r="CM1146"/>
      <c r="CN1146"/>
      <c r="CO1146"/>
      <c r="CP1146"/>
      <c r="CQ1146"/>
      <c r="CR1146"/>
      <c r="CS1146"/>
      <c r="CT1146"/>
      <c r="CU1146"/>
      <c r="CV1146"/>
      <c r="CW1146"/>
      <c r="CX1146"/>
      <c r="CY1146"/>
      <c r="CZ1146"/>
      <c r="DA1146"/>
      <c r="DB1146"/>
      <c r="DC1146"/>
      <c r="DD1146"/>
      <c r="DE1146"/>
      <c r="DF1146"/>
      <c r="DG1146"/>
      <c r="DH1146"/>
      <c r="DI1146"/>
      <c r="DJ1146"/>
      <c r="DK1146"/>
      <c r="DL1146"/>
      <c r="DM1146"/>
      <c r="DN1146"/>
      <c r="DO1146"/>
      <c r="DP1146"/>
      <c r="DQ1146"/>
      <c r="DR1146"/>
      <c r="DS1146"/>
      <c r="DT1146"/>
      <c r="DU1146"/>
      <c r="DV1146"/>
      <c r="DW1146"/>
      <c r="DX1146"/>
      <c r="DY1146"/>
      <c r="DZ1146"/>
      <c r="EA1146"/>
      <c r="EB1146"/>
      <c r="EC1146"/>
      <c r="ED1146"/>
      <c r="EE1146"/>
      <c r="EF1146"/>
      <c r="EG1146"/>
      <c r="EH1146"/>
      <c r="EI1146"/>
      <c r="EJ1146"/>
      <c r="EK1146"/>
      <c r="EL1146"/>
      <c r="EM1146"/>
      <c r="EN1146"/>
      <c r="EO1146"/>
      <c r="EP1146"/>
      <c r="EQ1146"/>
    </row>
    <row r="1147" spans="1:147" ht="16.5" customHeight="1" x14ac:dyDescent="0.25">
      <c r="A1147" s="113">
        <f>$A$1120+26</f>
        <v>332</v>
      </c>
      <c r="B1147" s="113" t="s">
        <v>1075</v>
      </c>
      <c r="C1147" s="113" t="s">
        <v>92</v>
      </c>
      <c r="D1147" s="113"/>
      <c r="E1147" s="113"/>
      <c r="F1147" s="113" t="s">
        <v>1048</v>
      </c>
      <c r="G1147" s="113" t="s">
        <v>406</v>
      </c>
      <c r="H1147" s="113"/>
      <c r="I1147" s="113"/>
      <c r="J1147" s="113" t="b">
        <f t="shared" si="185"/>
        <v>1</v>
      </c>
      <c r="K1147" s="113" t="b">
        <v>1</v>
      </c>
      <c r="L1147" s="113"/>
      <c r="M1147" s="113"/>
      <c r="N1147" s="113"/>
      <c r="O1147" s="113" t="str">
        <f t="shared" si="195"/>
        <v>$B$332</v>
      </c>
      <c r="P1147" s="113" t="str">
        <f t="shared" si="196"/>
        <v>$BK$332</v>
      </c>
      <c r="Q1147" s="113"/>
      <c r="R1147" s="113"/>
      <c r="S1147" s="113"/>
      <c r="T1147" s="113"/>
      <c r="U1147" s="113"/>
      <c r="V1147" s="113" t="s">
        <v>1342</v>
      </c>
      <c r="W1147" s="113"/>
      <c r="X1147" s="113"/>
      <c r="Y1147" s="113"/>
      <c r="Z1147" s="113"/>
      <c r="AA1147" s="113"/>
      <c r="AB1147" s="113"/>
      <c r="AC1147" s="113"/>
      <c r="AD1147" s="113"/>
      <c r="AE1147" s="113"/>
      <c r="AF1147" s="113"/>
      <c r="AG1147" s="113"/>
      <c r="AH1147" s="113"/>
      <c r="AI1147" s="113"/>
      <c r="AJ1147" s="113"/>
      <c r="AK1147" s="113"/>
      <c r="AL1147" s="113">
        <v>1</v>
      </c>
      <c r="AM1147" s="113"/>
      <c r="AN1147" s="113"/>
      <c r="AO1147" s="113"/>
      <c r="AP1147" s="113" t="b">
        <v>1</v>
      </c>
      <c r="AQ1147" s="168" t="s">
        <v>453</v>
      </c>
      <c r="AR1147" s="161"/>
      <c r="AS1147" s="132"/>
      <c r="AT1147" s="191">
        <f ca="1">SUM(AU1147:CZ1147)</f>
        <v>0</v>
      </c>
      <c r="AU1147" s="191">
        <f t="shared" ref="AU1147:AV1150" ca="1" si="198">AU1141+AU1129</f>
        <v>0</v>
      </c>
      <c r="AV1147" s="191">
        <f t="shared" ca="1" si="198"/>
        <v>0</v>
      </c>
      <c r="AW1147"/>
      <c r="AX1147"/>
      <c r="AY1147"/>
      <c r="AZ1147"/>
      <c r="BA1147"/>
      <c r="BB1147"/>
      <c r="BC1147"/>
      <c r="BD1147"/>
      <c r="BE1147"/>
      <c r="BF1147"/>
      <c r="BG1147"/>
      <c r="BH1147"/>
      <c r="BI1147"/>
      <c r="BJ1147"/>
      <c r="BK1147"/>
      <c r="BL1147"/>
      <c r="BM1147"/>
      <c r="BN1147"/>
      <c r="BO1147"/>
      <c r="BP1147"/>
      <c r="BQ1147"/>
      <c r="BR1147"/>
      <c r="BS1147"/>
      <c r="BT1147"/>
      <c r="BU1147"/>
      <c r="BV1147"/>
      <c r="BW1147"/>
      <c r="BX1147"/>
      <c r="BY1147"/>
      <c r="BZ1147"/>
      <c r="CA1147"/>
      <c r="CB1147"/>
      <c r="CC1147"/>
      <c r="CD1147"/>
      <c r="CE1147"/>
      <c r="CF1147"/>
      <c r="CG1147"/>
      <c r="CH1147"/>
      <c r="CI1147"/>
      <c r="CJ1147"/>
      <c r="CK1147"/>
      <c r="CL1147"/>
      <c r="CM1147"/>
      <c r="CN1147"/>
      <c r="CO1147"/>
      <c r="CP1147"/>
      <c r="CQ1147"/>
      <c r="CR1147"/>
      <c r="CS1147"/>
      <c r="CT1147"/>
      <c r="CU1147"/>
      <c r="CV1147"/>
      <c r="CW1147"/>
      <c r="CX1147"/>
      <c r="CY1147"/>
      <c r="CZ1147"/>
      <c r="DA1147"/>
      <c r="DB1147"/>
      <c r="DC1147"/>
      <c r="DD1147"/>
      <c r="DE1147"/>
      <c r="DF1147"/>
      <c r="DG1147"/>
      <c r="DH1147"/>
      <c r="DI1147"/>
      <c r="DJ1147"/>
      <c r="DK1147"/>
      <c r="DL1147"/>
      <c r="DM1147"/>
      <c r="DN1147"/>
      <c r="DO1147"/>
      <c r="DP1147"/>
      <c r="DQ1147"/>
      <c r="DR1147"/>
      <c r="DS1147"/>
      <c r="DT1147"/>
      <c r="DU1147"/>
      <c r="DV1147"/>
      <c r="DW1147"/>
      <c r="DX1147"/>
      <c r="DY1147"/>
      <c r="DZ1147"/>
      <c r="EA1147"/>
      <c r="EB1147"/>
      <c r="EC1147"/>
      <c r="ED1147"/>
      <c r="EE1147"/>
      <c r="EF1147"/>
      <c r="EG1147"/>
      <c r="EH1147"/>
      <c r="EI1147"/>
      <c r="EJ1147"/>
      <c r="EK1147"/>
      <c r="EL1147"/>
      <c r="EM1147"/>
      <c r="EN1147"/>
      <c r="EO1147"/>
      <c r="EP1147"/>
      <c r="EQ1147"/>
    </row>
    <row r="1148" spans="1:147" ht="16.5" customHeight="1" x14ac:dyDescent="0.25">
      <c r="A1148" s="113">
        <f>$A$1120+27</f>
        <v>333</v>
      </c>
      <c r="B1148" s="113" t="s">
        <v>1076</v>
      </c>
      <c r="C1148" s="113" t="s">
        <v>92</v>
      </c>
      <c r="D1148" s="113"/>
      <c r="E1148" s="113"/>
      <c r="F1148" s="113" t="s">
        <v>1048</v>
      </c>
      <c r="G1148" s="113" t="s">
        <v>406</v>
      </c>
      <c r="H1148" s="113"/>
      <c r="I1148" s="113"/>
      <c r="J1148" s="113" t="b">
        <f t="shared" si="185"/>
        <v>1</v>
      </c>
      <c r="K1148" s="113" t="b">
        <v>1</v>
      </c>
      <c r="L1148" s="113"/>
      <c r="M1148" s="113"/>
      <c r="N1148" s="113"/>
      <c r="O1148" s="113" t="str">
        <f t="shared" si="195"/>
        <v>$B$333</v>
      </c>
      <c r="P1148" s="113" t="str">
        <f t="shared" si="196"/>
        <v>$BK$333</v>
      </c>
      <c r="Q1148" s="113"/>
      <c r="R1148" s="113"/>
      <c r="S1148" s="113"/>
      <c r="T1148" s="113"/>
      <c r="U1148" s="113"/>
      <c r="V1148" s="113" t="s">
        <v>1342</v>
      </c>
      <c r="W1148" s="113"/>
      <c r="X1148" s="113"/>
      <c r="Y1148" s="113"/>
      <c r="Z1148" s="113"/>
      <c r="AA1148" s="113"/>
      <c r="AB1148" s="113"/>
      <c r="AC1148" s="113"/>
      <c r="AD1148" s="113"/>
      <c r="AE1148" s="113"/>
      <c r="AF1148" s="113"/>
      <c r="AG1148" s="113"/>
      <c r="AH1148" s="113"/>
      <c r="AI1148" s="113"/>
      <c r="AJ1148" s="113"/>
      <c r="AK1148" s="113"/>
      <c r="AL1148" s="113">
        <v>1</v>
      </c>
      <c r="AM1148" s="113"/>
      <c r="AN1148" s="113"/>
      <c r="AO1148" s="113"/>
      <c r="AP1148" s="113" t="b">
        <v>1</v>
      </c>
      <c r="AQ1148" s="133" t="s">
        <v>298</v>
      </c>
      <c r="AR1148" s="132"/>
      <c r="AS1148" s="132"/>
      <c r="AT1148" s="191">
        <f ca="1">SUM(AU1148:CZ1148)</f>
        <v>0</v>
      </c>
      <c r="AU1148" s="191">
        <f t="shared" ca="1" si="198"/>
        <v>0</v>
      </c>
      <c r="AV1148" s="191">
        <f t="shared" ca="1" si="198"/>
        <v>0</v>
      </c>
      <c r="AW1148"/>
      <c r="AX1148"/>
      <c r="AY1148"/>
      <c r="AZ1148"/>
      <c r="BA1148"/>
      <c r="BB1148"/>
      <c r="BC1148"/>
      <c r="BD1148"/>
      <c r="BE1148"/>
      <c r="BF1148"/>
      <c r="BG1148"/>
      <c r="BH1148"/>
      <c r="BI1148"/>
      <c r="BJ1148"/>
      <c r="BK1148"/>
      <c r="BL1148"/>
      <c r="BM1148"/>
      <c r="BN1148"/>
      <c r="BO1148"/>
      <c r="BP1148"/>
      <c r="BQ1148"/>
      <c r="BR1148"/>
      <c r="BS1148"/>
      <c r="BT1148"/>
      <c r="BU1148"/>
      <c r="BV1148"/>
      <c r="BW1148"/>
      <c r="BX1148"/>
      <c r="BY1148"/>
      <c r="BZ1148"/>
      <c r="CA1148"/>
      <c r="CB1148"/>
      <c r="CC1148"/>
      <c r="CD1148"/>
      <c r="CE1148"/>
      <c r="CF1148"/>
      <c r="CG1148"/>
      <c r="CH1148"/>
      <c r="CI1148"/>
      <c r="CJ1148"/>
      <c r="CK1148"/>
      <c r="CL1148"/>
      <c r="CM1148"/>
      <c r="CN1148"/>
      <c r="CO1148"/>
      <c r="CP1148"/>
      <c r="CQ1148"/>
      <c r="CR1148"/>
      <c r="CS1148"/>
      <c r="CT1148"/>
      <c r="CU1148"/>
      <c r="CV1148"/>
      <c r="CW1148"/>
      <c r="CX1148"/>
      <c r="CY1148"/>
      <c r="CZ1148"/>
      <c r="DA1148"/>
      <c r="DB1148"/>
      <c r="DC1148"/>
      <c r="DD1148"/>
      <c r="DE1148"/>
      <c r="DF1148"/>
      <c r="DG1148"/>
      <c r="DH1148"/>
      <c r="DI1148"/>
      <c r="DJ1148"/>
      <c r="DK1148"/>
      <c r="DL1148"/>
      <c r="DM1148"/>
      <c r="DN1148"/>
      <c r="DO1148"/>
      <c r="DP1148"/>
      <c r="DQ1148"/>
      <c r="DR1148"/>
      <c r="DS1148"/>
      <c r="DT1148"/>
      <c r="DU1148"/>
      <c r="DV1148"/>
      <c r="DW1148"/>
      <c r="DX1148"/>
      <c r="DY1148"/>
      <c r="DZ1148"/>
      <c r="EA1148"/>
      <c r="EB1148"/>
      <c r="EC1148"/>
      <c r="ED1148"/>
      <c r="EE1148"/>
      <c r="EF1148"/>
      <c r="EG1148"/>
      <c r="EH1148"/>
      <c r="EI1148"/>
      <c r="EJ1148"/>
      <c r="EK1148"/>
      <c r="EL1148"/>
      <c r="EM1148"/>
      <c r="EN1148"/>
      <c r="EO1148"/>
      <c r="EP1148"/>
      <c r="EQ1148"/>
    </row>
    <row r="1149" spans="1:147" ht="16.5" customHeight="1" x14ac:dyDescent="0.25">
      <c r="A1149" s="113">
        <f>$A$1120+28</f>
        <v>334</v>
      </c>
      <c r="B1149" s="113" t="s">
        <v>1077</v>
      </c>
      <c r="C1149" s="113" t="s">
        <v>92</v>
      </c>
      <c r="D1149" s="113"/>
      <c r="E1149" s="113"/>
      <c r="F1149" s="113" t="s">
        <v>1048</v>
      </c>
      <c r="G1149" s="113" t="s">
        <v>406</v>
      </c>
      <c r="H1149" s="113"/>
      <c r="I1149" s="113"/>
      <c r="J1149" s="113" t="b">
        <f t="shared" si="185"/>
        <v>1</v>
      </c>
      <c r="K1149" s="113" t="b">
        <v>1</v>
      </c>
      <c r="L1149" s="113"/>
      <c r="M1149" s="113"/>
      <c r="N1149" s="113"/>
      <c r="O1149" s="113" t="str">
        <f t="shared" si="195"/>
        <v>$B$334</v>
      </c>
      <c r="P1149" s="113" t="str">
        <f t="shared" si="196"/>
        <v>$BK$334</v>
      </c>
      <c r="Q1149" s="113"/>
      <c r="R1149" s="113"/>
      <c r="S1149" s="113"/>
      <c r="T1149" s="113"/>
      <c r="U1149" s="113"/>
      <c r="V1149" s="113" t="s">
        <v>1342</v>
      </c>
      <c r="W1149" s="113"/>
      <c r="X1149" s="113"/>
      <c r="Y1149" s="113"/>
      <c r="Z1149" s="113"/>
      <c r="AA1149" s="113"/>
      <c r="AB1149" s="113"/>
      <c r="AC1149" s="113"/>
      <c r="AD1149" s="113"/>
      <c r="AE1149" s="113"/>
      <c r="AF1149" s="113"/>
      <c r="AG1149" s="113"/>
      <c r="AH1149" s="113"/>
      <c r="AI1149" s="113"/>
      <c r="AJ1149" s="113"/>
      <c r="AK1149" s="113"/>
      <c r="AL1149" s="113">
        <v>1</v>
      </c>
      <c r="AM1149" s="113"/>
      <c r="AN1149" s="113"/>
      <c r="AO1149" s="113"/>
      <c r="AP1149" s="113" t="b">
        <v>1</v>
      </c>
      <c r="AQ1149" s="133" t="s">
        <v>468</v>
      </c>
      <c r="AR1149" s="132"/>
      <c r="AS1149" s="132"/>
      <c r="AT1149" s="191">
        <f ca="1">SUM(AU1149:CZ1149)</f>
        <v>0</v>
      </c>
      <c r="AU1149" s="191">
        <f t="shared" ca="1" si="198"/>
        <v>0</v>
      </c>
      <c r="AV1149" s="191">
        <f t="shared" ca="1" si="198"/>
        <v>0</v>
      </c>
      <c r="AW1149"/>
      <c r="AX1149"/>
      <c r="AY1149"/>
      <c r="AZ1149"/>
      <c r="BA1149"/>
      <c r="BB1149"/>
      <c r="BC1149"/>
      <c r="BD1149"/>
      <c r="BE1149"/>
      <c r="BF1149"/>
      <c r="BG1149"/>
      <c r="BH1149"/>
      <c r="BI1149"/>
      <c r="BJ1149"/>
      <c r="BK1149"/>
      <c r="BL1149"/>
      <c r="BM1149"/>
      <c r="BN1149"/>
      <c r="BO1149"/>
      <c r="BP1149"/>
      <c r="BQ1149"/>
      <c r="BR1149"/>
      <c r="BS1149"/>
      <c r="BT1149"/>
      <c r="BU1149"/>
      <c r="BV1149"/>
      <c r="BW1149"/>
      <c r="BX1149"/>
      <c r="BY1149"/>
      <c r="BZ1149"/>
      <c r="CA1149"/>
      <c r="CB1149"/>
      <c r="CC1149"/>
      <c r="CD1149"/>
      <c r="CE1149"/>
      <c r="CF1149"/>
      <c r="CG1149"/>
      <c r="CH1149"/>
      <c r="CI1149"/>
      <c r="CJ1149"/>
      <c r="CK1149"/>
      <c r="CL1149"/>
      <c r="CM1149"/>
      <c r="CN1149"/>
      <c r="CO1149"/>
      <c r="CP1149"/>
      <c r="CQ1149"/>
      <c r="CR1149"/>
      <c r="CS1149"/>
      <c r="CT1149"/>
      <c r="CU1149"/>
      <c r="CV1149"/>
      <c r="CW1149"/>
      <c r="CX1149"/>
      <c r="CY1149"/>
      <c r="CZ1149"/>
      <c r="DA1149"/>
      <c r="DB1149"/>
      <c r="DC1149"/>
      <c r="DD1149"/>
      <c r="DE1149"/>
      <c r="DF1149"/>
      <c r="DG1149"/>
      <c r="DH1149"/>
      <c r="DI1149"/>
      <c r="DJ1149"/>
      <c r="DK1149"/>
      <c r="DL1149"/>
      <c r="DM1149"/>
      <c r="DN1149"/>
      <c r="DO1149"/>
      <c r="DP1149"/>
      <c r="DQ1149"/>
      <c r="DR1149"/>
      <c r="DS1149"/>
      <c r="DT1149"/>
      <c r="DU1149"/>
      <c r="DV1149"/>
      <c r="DW1149"/>
      <c r="DX1149"/>
      <c r="DY1149"/>
      <c r="DZ1149"/>
      <c r="EA1149"/>
      <c r="EB1149"/>
      <c r="EC1149"/>
      <c r="ED1149"/>
      <c r="EE1149"/>
      <c r="EF1149"/>
      <c r="EG1149"/>
      <c r="EH1149"/>
      <c r="EI1149"/>
      <c r="EJ1149"/>
      <c r="EK1149"/>
      <c r="EL1149"/>
      <c r="EM1149"/>
      <c r="EN1149"/>
      <c r="EO1149"/>
      <c r="EP1149"/>
      <c r="EQ1149"/>
    </row>
    <row r="1150" spans="1:147" ht="16.5" customHeight="1" x14ac:dyDescent="0.25">
      <c r="A1150" s="113">
        <f>$A$1120+29</f>
        <v>335</v>
      </c>
      <c r="B1150" s="113" t="s">
        <v>1078</v>
      </c>
      <c r="C1150" s="113" t="s">
        <v>92</v>
      </c>
      <c r="D1150" s="113"/>
      <c r="E1150" s="113"/>
      <c r="F1150" s="113" t="s">
        <v>1048</v>
      </c>
      <c r="G1150" s="113" t="s">
        <v>406</v>
      </c>
      <c r="H1150" s="113"/>
      <c r="I1150" s="113"/>
      <c r="J1150" s="113" t="b">
        <f t="shared" si="185"/>
        <v>1</v>
      </c>
      <c r="K1150" s="113" t="b">
        <v>1</v>
      </c>
      <c r="L1150" s="113"/>
      <c r="M1150" s="113"/>
      <c r="N1150" s="113"/>
      <c r="O1150" s="113" t="str">
        <f t="shared" si="195"/>
        <v>$B$335</v>
      </c>
      <c r="P1150" s="113" t="str">
        <f t="shared" si="196"/>
        <v>$BK$335</v>
      </c>
      <c r="Q1150" s="113"/>
      <c r="R1150" s="113"/>
      <c r="S1150" s="113"/>
      <c r="T1150" s="113"/>
      <c r="U1150" s="113"/>
      <c r="V1150" s="113" t="s">
        <v>1342</v>
      </c>
      <c r="W1150" s="113"/>
      <c r="X1150" s="113"/>
      <c r="Y1150" s="113"/>
      <c r="Z1150" s="113"/>
      <c r="AA1150" s="113"/>
      <c r="AB1150" s="113"/>
      <c r="AC1150" s="113"/>
      <c r="AD1150" s="113"/>
      <c r="AE1150" s="113"/>
      <c r="AF1150" s="113"/>
      <c r="AG1150" s="113"/>
      <c r="AH1150" s="113"/>
      <c r="AI1150" s="113"/>
      <c r="AJ1150" s="113"/>
      <c r="AK1150" s="113"/>
      <c r="AL1150" s="113">
        <v>1</v>
      </c>
      <c r="AM1150" s="113"/>
      <c r="AN1150" s="113"/>
      <c r="AO1150" s="113"/>
      <c r="AP1150" s="113" t="b">
        <v>1</v>
      </c>
      <c r="AQ1150" s="133" t="s">
        <v>467</v>
      </c>
      <c r="AR1150" s="132"/>
      <c r="AS1150" s="132"/>
      <c r="AT1150" s="191">
        <f ca="1">SUM(AU1150:CZ1150)</f>
        <v>0</v>
      </c>
      <c r="AU1150" s="191">
        <f t="shared" ca="1" si="198"/>
        <v>0</v>
      </c>
      <c r="AV1150" s="191">
        <f t="shared" ca="1" si="198"/>
        <v>0</v>
      </c>
      <c r="AW1150"/>
      <c r="AX1150"/>
      <c r="AY1150"/>
      <c r="AZ1150"/>
      <c r="BA1150"/>
      <c r="BB1150"/>
      <c r="BC1150"/>
      <c r="BD1150"/>
      <c r="BE1150"/>
      <c r="BF1150"/>
      <c r="BG1150"/>
      <c r="BH1150"/>
      <c r="BI1150"/>
      <c r="BJ1150"/>
      <c r="BK1150"/>
      <c r="BL1150"/>
      <c r="BM1150"/>
      <c r="BN1150"/>
      <c r="BO1150"/>
      <c r="BP1150"/>
      <c r="BQ1150"/>
      <c r="BR1150"/>
      <c r="BS1150"/>
      <c r="BT1150"/>
      <c r="BU1150"/>
      <c r="BV1150"/>
      <c r="BW1150"/>
      <c r="BX1150"/>
      <c r="BY1150"/>
      <c r="BZ1150"/>
      <c r="CA1150"/>
      <c r="CB1150"/>
      <c r="CC1150"/>
      <c r="CD1150"/>
      <c r="CE1150"/>
      <c r="CF1150"/>
      <c r="CG1150"/>
      <c r="CH1150"/>
      <c r="CI1150"/>
      <c r="CJ1150"/>
      <c r="CK1150"/>
      <c r="CL1150"/>
      <c r="CM1150"/>
      <c r="CN1150"/>
      <c r="CO1150"/>
      <c r="CP1150"/>
      <c r="CQ1150"/>
      <c r="CR1150"/>
      <c r="CS1150"/>
      <c r="CT1150"/>
      <c r="CU1150"/>
      <c r="CV1150"/>
      <c r="CW1150"/>
      <c r="CX1150"/>
      <c r="CY1150"/>
      <c r="CZ1150"/>
      <c r="DA1150"/>
      <c r="DB1150"/>
      <c r="DC1150"/>
      <c r="DD1150"/>
      <c r="DE1150"/>
      <c r="DF1150"/>
      <c r="DG1150"/>
      <c r="DH1150"/>
      <c r="DI1150"/>
      <c r="DJ1150"/>
      <c r="DK1150"/>
      <c r="DL1150"/>
      <c r="DM1150"/>
      <c r="DN1150"/>
      <c r="DO1150"/>
      <c r="DP1150"/>
      <c r="DQ1150"/>
      <c r="DR1150"/>
      <c r="DS1150"/>
      <c r="DT1150"/>
      <c r="DU1150"/>
      <c r="DV1150"/>
      <c r="DW1150"/>
      <c r="DX1150"/>
      <c r="DY1150"/>
      <c r="DZ1150"/>
      <c r="EA1150"/>
      <c r="EB1150"/>
      <c r="EC1150"/>
      <c r="ED1150"/>
      <c r="EE1150"/>
      <c r="EF1150"/>
      <c r="EG1150"/>
      <c r="EH1150"/>
      <c r="EI1150"/>
      <c r="EJ1150"/>
      <c r="EK1150"/>
      <c r="EL1150"/>
      <c r="EM1150"/>
      <c r="EN1150"/>
      <c r="EO1150"/>
      <c r="EP1150"/>
      <c r="EQ1150"/>
    </row>
    <row r="1151" spans="1:147" ht="16.5" customHeight="1" x14ac:dyDescent="0.25">
      <c r="A1151" s="113">
        <f>$A$1120+30</f>
        <v>336</v>
      </c>
      <c r="B1151" s="113" t="s">
        <v>1079</v>
      </c>
      <c r="C1151" s="113" t="s">
        <v>92</v>
      </c>
      <c r="D1151" s="113"/>
      <c r="E1151" s="113"/>
      <c r="F1151" s="113" t="s">
        <v>1048</v>
      </c>
      <c r="G1151" s="113" t="s">
        <v>406</v>
      </c>
      <c r="H1151" s="113"/>
      <c r="I1151" s="113"/>
      <c r="J1151" s="113" t="b">
        <f t="shared" si="185"/>
        <v>1</v>
      </c>
      <c r="K1151" s="113" t="b">
        <v>1</v>
      </c>
      <c r="L1151" s="113"/>
      <c r="M1151" s="113"/>
      <c r="N1151" s="113"/>
      <c r="O1151" s="113" t="str">
        <f t="shared" si="195"/>
        <v>$B$336</v>
      </c>
      <c r="P1151" s="113" t="str">
        <f t="shared" si="196"/>
        <v>$BK$336</v>
      </c>
      <c r="Q1151" s="113"/>
      <c r="R1151" s="113"/>
      <c r="S1151" s="113"/>
      <c r="T1151" s="113"/>
      <c r="U1151" s="113"/>
      <c r="V1151" s="113" t="s">
        <v>1342</v>
      </c>
      <c r="W1151" s="113"/>
      <c r="X1151" s="113"/>
      <c r="Y1151" s="113"/>
      <c r="Z1151" s="113"/>
      <c r="AA1151" s="113"/>
      <c r="AB1151" s="113"/>
      <c r="AC1151" s="113"/>
      <c r="AD1151" s="113"/>
      <c r="AE1151" s="113"/>
      <c r="AF1151" s="113"/>
      <c r="AG1151" s="113"/>
      <c r="AH1151" s="113"/>
      <c r="AI1151" s="113"/>
      <c r="AJ1151" s="113"/>
      <c r="AK1151" s="113"/>
      <c r="AL1151" s="113">
        <v>1</v>
      </c>
      <c r="AM1151" s="113"/>
      <c r="AN1151" s="113"/>
      <c r="AO1151" s="113"/>
      <c r="AP1151" s="113" t="b">
        <v>1</v>
      </c>
      <c r="AQ1151" s="132"/>
      <c r="AR1151" s="132"/>
      <c r="AS1151" s="132"/>
      <c r="AT1151" s="191"/>
      <c r="AU1151" s="191"/>
      <c r="AV1151" s="191"/>
      <c r="AW1151"/>
      <c r="AX1151"/>
      <c r="AY1151"/>
      <c r="AZ1151"/>
      <c r="BA1151"/>
      <c r="BB1151"/>
      <c r="BC1151"/>
      <c r="BD1151"/>
      <c r="BE1151"/>
      <c r="BF1151"/>
      <c r="BG1151"/>
      <c r="BH1151"/>
      <c r="BI1151"/>
      <c r="BJ1151"/>
      <c r="BK1151"/>
      <c r="BL1151"/>
      <c r="BM1151"/>
      <c r="BN1151"/>
      <c r="BO1151"/>
      <c r="BP1151"/>
      <c r="BQ1151"/>
      <c r="BR1151"/>
      <c r="BS1151"/>
      <c r="BT1151"/>
      <c r="BU1151"/>
      <c r="BV1151"/>
      <c r="BW1151"/>
      <c r="BX1151"/>
      <c r="BY1151"/>
      <c r="BZ1151"/>
      <c r="CA1151"/>
      <c r="CB1151"/>
      <c r="CC1151"/>
      <c r="CD1151"/>
      <c r="CE1151"/>
      <c r="CF1151"/>
      <c r="CG1151"/>
      <c r="CH1151"/>
      <c r="CI1151"/>
      <c r="CJ1151"/>
      <c r="CK1151"/>
      <c r="CL1151"/>
      <c r="CM1151"/>
      <c r="CN1151"/>
      <c r="CO1151"/>
      <c r="CP1151"/>
      <c r="CQ1151"/>
      <c r="CR1151"/>
      <c r="CS1151"/>
      <c r="CT1151"/>
      <c r="CU1151"/>
      <c r="CV1151"/>
      <c r="CW1151"/>
      <c r="CX1151"/>
      <c r="CY1151"/>
      <c r="CZ1151"/>
      <c r="DA1151"/>
      <c r="DB1151"/>
      <c r="DC1151"/>
      <c r="DD1151"/>
      <c r="DE1151"/>
      <c r="DF1151"/>
      <c r="DG1151"/>
      <c r="DH1151"/>
      <c r="DI1151"/>
      <c r="DJ1151"/>
      <c r="DK1151"/>
      <c r="DL1151"/>
      <c r="DM1151"/>
      <c r="DN1151"/>
      <c r="DO1151"/>
      <c r="DP1151"/>
      <c r="DQ1151"/>
      <c r="DR1151"/>
      <c r="DS1151"/>
      <c r="DT1151"/>
      <c r="DU1151"/>
      <c r="DV1151"/>
      <c r="DW1151"/>
      <c r="DX1151"/>
      <c r="DY1151"/>
      <c r="DZ1151"/>
      <c r="EA1151"/>
      <c r="EB1151"/>
      <c r="EC1151"/>
      <c r="ED1151"/>
      <c r="EE1151"/>
      <c r="EF1151"/>
      <c r="EG1151"/>
      <c r="EH1151"/>
      <c r="EI1151"/>
      <c r="EJ1151"/>
      <c r="EK1151"/>
      <c r="EL1151"/>
      <c r="EM1151"/>
      <c r="EN1151"/>
      <c r="EO1151"/>
      <c r="EP1151"/>
      <c r="EQ1151"/>
    </row>
    <row r="1152" spans="1:147" ht="16.5" customHeight="1" x14ac:dyDescent="0.25">
      <c r="A1152" s="113">
        <f>$A$1120+31</f>
        <v>337</v>
      </c>
      <c r="B1152" s="113" t="s">
        <v>1080</v>
      </c>
      <c r="C1152" s="113" t="s">
        <v>92</v>
      </c>
      <c r="D1152" s="113"/>
      <c r="E1152" s="113"/>
      <c r="F1152" s="113" t="s">
        <v>1048</v>
      </c>
      <c r="G1152" s="113" t="s">
        <v>406</v>
      </c>
      <c r="H1152" s="113"/>
      <c r="I1152" s="113"/>
      <c r="J1152" s="113" t="b">
        <f t="shared" si="185"/>
        <v>1</v>
      </c>
      <c r="K1152" s="113" t="b">
        <v>1</v>
      </c>
      <c r="L1152" s="113"/>
      <c r="M1152" s="113"/>
      <c r="N1152" s="113"/>
      <c r="O1152" s="113" t="str">
        <f t="shared" si="195"/>
        <v>$B$337</v>
      </c>
      <c r="P1152" s="113" t="str">
        <f t="shared" si="196"/>
        <v>$BK$337</v>
      </c>
      <c r="Q1152" s="113"/>
      <c r="R1152" s="113"/>
      <c r="S1152" s="113"/>
      <c r="T1152" s="113"/>
      <c r="U1152" s="113"/>
      <c r="V1152" s="113" t="s">
        <v>1342</v>
      </c>
      <c r="W1152" s="113"/>
      <c r="X1152" s="113"/>
      <c r="Y1152" s="113"/>
      <c r="Z1152" s="113"/>
      <c r="AA1152" s="113"/>
      <c r="AB1152" s="113"/>
      <c r="AC1152" s="113"/>
      <c r="AD1152" s="113"/>
      <c r="AE1152" s="113"/>
      <c r="AF1152" s="113"/>
      <c r="AG1152" s="113"/>
      <c r="AH1152" s="113"/>
      <c r="AI1152" s="113"/>
      <c r="AJ1152" s="113"/>
      <c r="AK1152" s="113"/>
      <c r="AL1152" s="113">
        <v>1</v>
      </c>
      <c r="AM1152" s="113"/>
      <c r="AN1152" s="113"/>
      <c r="AO1152" s="113"/>
      <c r="AP1152" s="113" t="b">
        <v>1</v>
      </c>
      <c r="AQ1152" s="161" t="s">
        <v>473</v>
      </c>
      <c r="AR1152" s="161"/>
      <c r="AS1152" s="132"/>
      <c r="AT1152" s="191"/>
      <c r="AU1152" s="191"/>
      <c r="AV1152" s="191"/>
      <c r="AW1152"/>
      <c r="AX1152"/>
      <c r="AY1152"/>
      <c r="AZ1152"/>
      <c r="BA1152"/>
      <c r="BB1152"/>
      <c r="BC1152"/>
      <c r="BD1152"/>
      <c r="BE1152"/>
      <c r="BF1152"/>
      <c r="BG1152"/>
      <c r="BH1152"/>
      <c r="BI1152"/>
      <c r="BJ1152"/>
      <c r="BK1152"/>
      <c r="BL1152"/>
      <c r="BM1152"/>
      <c r="BN1152"/>
      <c r="BO1152"/>
      <c r="BP1152"/>
      <c r="BQ1152"/>
      <c r="BR1152"/>
      <c r="BS1152"/>
      <c r="BT1152"/>
      <c r="BU1152"/>
      <c r="BV1152"/>
      <c r="BW1152"/>
      <c r="BX1152"/>
      <c r="BY1152"/>
      <c r="BZ1152"/>
      <c r="CA1152"/>
      <c r="CB1152"/>
      <c r="CC1152"/>
      <c r="CD1152"/>
      <c r="CE1152"/>
      <c r="CF1152"/>
      <c r="CG1152"/>
      <c r="CH1152"/>
      <c r="CI1152"/>
      <c r="CJ1152"/>
      <c r="CK1152"/>
      <c r="CL1152"/>
      <c r="CM1152"/>
      <c r="CN1152"/>
      <c r="CO1152"/>
      <c r="CP1152"/>
      <c r="CQ1152"/>
      <c r="CR1152"/>
      <c r="CS1152"/>
      <c r="CT1152"/>
      <c r="CU1152"/>
      <c r="CV1152"/>
      <c r="CW1152"/>
      <c r="CX1152"/>
      <c r="CY1152"/>
      <c r="CZ1152"/>
      <c r="DA1152"/>
      <c r="DB1152"/>
      <c r="DC1152"/>
      <c r="DD1152"/>
      <c r="DE1152"/>
      <c r="DF1152"/>
      <c r="DG1152"/>
      <c r="DH1152"/>
      <c r="DI1152"/>
      <c r="DJ1152"/>
      <c r="DK1152"/>
      <c r="DL1152"/>
      <c r="DM1152"/>
      <c r="DN1152"/>
      <c r="DO1152"/>
      <c r="DP1152"/>
      <c r="DQ1152"/>
      <c r="DR1152"/>
      <c r="DS1152"/>
      <c r="DT1152"/>
      <c r="DU1152"/>
      <c r="DV1152"/>
      <c r="DW1152"/>
      <c r="DX1152"/>
      <c r="DY1152"/>
      <c r="DZ1152"/>
      <c r="EA1152"/>
      <c r="EB1152"/>
      <c r="EC1152"/>
      <c r="ED1152"/>
      <c r="EE1152"/>
      <c r="EF1152"/>
      <c r="EG1152"/>
      <c r="EH1152"/>
      <c r="EI1152"/>
      <c r="EJ1152"/>
      <c r="EK1152"/>
      <c r="EL1152"/>
      <c r="EM1152"/>
      <c r="EN1152"/>
      <c r="EO1152"/>
      <c r="EP1152"/>
      <c r="EQ1152"/>
    </row>
    <row r="1153" spans="1:147" ht="16.5" customHeight="1" x14ac:dyDescent="0.25">
      <c r="A1153" s="113">
        <f>$A$1120+32</f>
        <v>338</v>
      </c>
      <c r="B1153" s="113" t="s">
        <v>1081</v>
      </c>
      <c r="C1153" s="113" t="s">
        <v>92</v>
      </c>
      <c r="D1153" s="113"/>
      <c r="E1153" s="113"/>
      <c r="F1153" s="113" t="s">
        <v>1048</v>
      </c>
      <c r="G1153" s="113" t="s">
        <v>406</v>
      </c>
      <c r="H1153" s="113"/>
      <c r="I1153" s="113"/>
      <c r="J1153" s="113" t="b">
        <f t="shared" si="185"/>
        <v>1</v>
      </c>
      <c r="K1153" s="113" t="b">
        <v>1</v>
      </c>
      <c r="L1153" s="113"/>
      <c r="M1153" s="113"/>
      <c r="N1153" s="113"/>
      <c r="O1153" s="113" t="str">
        <f t="shared" si="195"/>
        <v>$B$338</v>
      </c>
      <c r="P1153" s="113" t="str">
        <f t="shared" si="196"/>
        <v>$BK$338</v>
      </c>
      <c r="Q1153" s="113"/>
      <c r="R1153" s="113"/>
      <c r="S1153" s="113"/>
      <c r="T1153" s="113"/>
      <c r="U1153" s="113"/>
      <c r="V1153" s="113" t="s">
        <v>1342</v>
      </c>
      <c r="W1153" s="113"/>
      <c r="X1153" s="113"/>
      <c r="Y1153" s="113"/>
      <c r="Z1153" s="113"/>
      <c r="AA1153" s="113"/>
      <c r="AB1153" s="113"/>
      <c r="AC1153" s="113"/>
      <c r="AD1153" s="113"/>
      <c r="AE1153" s="113"/>
      <c r="AF1153" s="113"/>
      <c r="AG1153" s="113"/>
      <c r="AH1153" s="113"/>
      <c r="AI1153" s="113"/>
      <c r="AJ1153" s="113"/>
      <c r="AK1153" s="113"/>
      <c r="AL1153" s="113">
        <v>1</v>
      </c>
      <c r="AM1153" s="113"/>
      <c r="AN1153" s="113"/>
      <c r="AO1153" s="113"/>
      <c r="AP1153" s="113" t="b">
        <v>1</v>
      </c>
      <c r="AQ1153" s="161" t="s">
        <v>453</v>
      </c>
      <c r="AR1153" s="161"/>
      <c r="AS1153" s="132"/>
      <c r="AT1153" s="191">
        <f ca="1">SUM(AU1153:CZ1153)</f>
        <v>0</v>
      </c>
      <c r="AU1153" s="191">
        <f t="shared" ref="AU1153:AV1156" ca="1" si="199">AU1135-AU1141</f>
        <v>0</v>
      </c>
      <c r="AV1153" s="191">
        <f t="shared" ca="1" si="199"/>
        <v>0</v>
      </c>
      <c r="AW1153"/>
      <c r="AX1153"/>
      <c r="AY1153"/>
      <c r="AZ1153"/>
      <c r="BA1153"/>
      <c r="BB1153"/>
      <c r="BC1153"/>
      <c r="BD1153"/>
      <c r="BE1153"/>
      <c r="BF1153"/>
      <c r="BG1153"/>
      <c r="BH1153"/>
      <c r="BI1153"/>
      <c r="BJ1153"/>
      <c r="BK1153"/>
      <c r="BL1153"/>
      <c r="BM1153"/>
      <c r="BN1153"/>
      <c r="BO1153"/>
      <c r="BP1153"/>
      <c r="BQ1153"/>
      <c r="BR1153"/>
      <c r="BS1153"/>
      <c r="BT1153"/>
      <c r="BU1153"/>
      <c r="BV1153"/>
      <c r="BW1153"/>
      <c r="BX1153"/>
      <c r="BY1153"/>
      <c r="BZ1153"/>
      <c r="CA1153"/>
      <c r="CB1153"/>
      <c r="CC1153"/>
      <c r="CD1153"/>
      <c r="CE1153"/>
      <c r="CF1153"/>
      <c r="CG1153"/>
      <c r="CH1153"/>
      <c r="CI1153"/>
      <c r="CJ1153"/>
      <c r="CK1153"/>
      <c r="CL1153"/>
      <c r="CM1153"/>
      <c r="CN1153"/>
      <c r="CO1153"/>
      <c r="CP1153"/>
      <c r="CQ1153"/>
      <c r="CR1153"/>
      <c r="CS1153"/>
      <c r="CT1153"/>
      <c r="CU1153"/>
      <c r="CV1153"/>
      <c r="CW1153"/>
      <c r="CX1153"/>
      <c r="CY1153"/>
      <c r="CZ1153"/>
      <c r="DA1153"/>
      <c r="DB1153"/>
      <c r="DC1153"/>
      <c r="DD1153"/>
      <c r="DE1153"/>
      <c r="DF1153"/>
      <c r="DG1153"/>
      <c r="DH1153"/>
      <c r="DI1153"/>
      <c r="DJ1153"/>
      <c r="DK1153"/>
      <c r="DL1153"/>
      <c r="DM1153"/>
      <c r="DN1153"/>
      <c r="DO1153"/>
      <c r="DP1153"/>
      <c r="DQ1153"/>
      <c r="DR1153"/>
      <c r="DS1153"/>
      <c r="DT1153"/>
      <c r="DU1153"/>
      <c r="DV1153"/>
      <c r="DW1153"/>
      <c r="DX1153"/>
      <c r="DY1153"/>
      <c r="DZ1153"/>
      <c r="EA1153"/>
      <c r="EB1153"/>
      <c r="EC1153"/>
      <c r="ED1153"/>
      <c r="EE1153"/>
      <c r="EF1153"/>
      <c r="EG1153"/>
      <c r="EH1153"/>
      <c r="EI1153"/>
      <c r="EJ1153"/>
      <c r="EK1153"/>
      <c r="EL1153"/>
      <c r="EM1153"/>
      <c r="EN1153"/>
      <c r="EO1153"/>
      <c r="EP1153"/>
      <c r="EQ1153"/>
    </row>
    <row r="1154" spans="1:147" ht="16.5" customHeight="1" x14ac:dyDescent="0.25">
      <c r="A1154" s="113">
        <f>$A$1120+33</f>
        <v>339</v>
      </c>
      <c r="B1154" s="113" t="s">
        <v>1082</v>
      </c>
      <c r="C1154" s="113" t="s">
        <v>92</v>
      </c>
      <c r="D1154" s="113"/>
      <c r="E1154" s="113"/>
      <c r="F1154" s="113" t="s">
        <v>1048</v>
      </c>
      <c r="G1154" s="113" t="s">
        <v>406</v>
      </c>
      <c r="H1154" s="113"/>
      <c r="I1154" s="113"/>
      <c r="J1154" s="113" t="b">
        <f t="shared" si="185"/>
        <v>1</v>
      </c>
      <c r="K1154" s="113" t="b">
        <v>1</v>
      </c>
      <c r="L1154" s="113"/>
      <c r="M1154" s="113"/>
      <c r="N1154" s="113"/>
      <c r="O1154" s="113" t="str">
        <f t="shared" si="195"/>
        <v>$B$339</v>
      </c>
      <c r="P1154" s="113" t="str">
        <f t="shared" si="196"/>
        <v>$BK$339</v>
      </c>
      <c r="Q1154" s="113"/>
      <c r="R1154" s="113"/>
      <c r="S1154" s="113"/>
      <c r="T1154" s="113"/>
      <c r="U1154" s="113"/>
      <c r="V1154" s="113" t="s">
        <v>1342</v>
      </c>
      <c r="W1154" s="113"/>
      <c r="X1154" s="113"/>
      <c r="Y1154" s="113"/>
      <c r="Z1154" s="113"/>
      <c r="AA1154" s="113"/>
      <c r="AB1154" s="113"/>
      <c r="AC1154" s="113"/>
      <c r="AD1154" s="113"/>
      <c r="AE1154" s="113"/>
      <c r="AF1154" s="113"/>
      <c r="AG1154" s="113"/>
      <c r="AH1154" s="113"/>
      <c r="AI1154" s="113"/>
      <c r="AJ1154" s="113"/>
      <c r="AK1154" s="113"/>
      <c r="AL1154" s="113">
        <v>1</v>
      </c>
      <c r="AM1154" s="113"/>
      <c r="AN1154" s="113"/>
      <c r="AO1154" s="113"/>
      <c r="AP1154" s="113" t="b">
        <v>1</v>
      </c>
      <c r="AQ1154" s="132" t="s">
        <v>298</v>
      </c>
      <c r="AR1154" s="132"/>
      <c r="AS1154" s="132"/>
      <c r="AT1154" s="191">
        <f ca="1">SUM(AU1154:CZ1154)</f>
        <v>0</v>
      </c>
      <c r="AU1154" s="191">
        <f t="shared" ca="1" si="199"/>
        <v>0</v>
      </c>
      <c r="AV1154" s="191">
        <f t="shared" ca="1" si="199"/>
        <v>0</v>
      </c>
      <c r="AW1154"/>
      <c r="AX1154"/>
      <c r="AY1154"/>
      <c r="AZ1154"/>
      <c r="BA1154"/>
      <c r="BB1154"/>
      <c r="BC1154"/>
      <c r="BD1154"/>
      <c r="BE1154"/>
      <c r="BF1154"/>
      <c r="BG1154"/>
      <c r="BH1154"/>
      <c r="BI1154"/>
      <c r="BJ1154"/>
      <c r="BK1154"/>
      <c r="BL1154"/>
      <c r="BM1154"/>
      <c r="BN1154"/>
      <c r="BO1154"/>
      <c r="BP1154"/>
      <c r="BQ1154"/>
      <c r="BR1154"/>
      <c r="BS1154"/>
      <c r="BT1154"/>
      <c r="BU1154"/>
      <c r="BV1154"/>
      <c r="BW1154"/>
      <c r="BX1154"/>
      <c r="BY1154"/>
      <c r="BZ1154"/>
      <c r="CA1154"/>
      <c r="CB1154"/>
      <c r="CC1154"/>
      <c r="CD1154"/>
      <c r="CE1154"/>
      <c r="CF1154"/>
      <c r="CG1154"/>
      <c r="CH1154"/>
      <c r="CI1154"/>
      <c r="CJ1154"/>
      <c r="CK1154"/>
      <c r="CL1154"/>
      <c r="CM1154"/>
      <c r="CN1154"/>
      <c r="CO1154"/>
      <c r="CP1154"/>
      <c r="CQ1154"/>
      <c r="CR1154"/>
      <c r="CS1154"/>
      <c r="CT1154"/>
      <c r="CU1154"/>
      <c r="CV1154"/>
      <c r="CW1154"/>
      <c r="CX1154"/>
      <c r="CY1154"/>
      <c r="CZ1154"/>
      <c r="DA1154"/>
      <c r="DB1154"/>
      <c r="DC1154"/>
      <c r="DD1154"/>
      <c r="DE1154"/>
      <c r="DF1154"/>
      <c r="DG1154"/>
      <c r="DH1154"/>
      <c r="DI1154"/>
      <c r="DJ1154"/>
      <c r="DK1154"/>
      <c r="DL1154"/>
      <c r="DM1154"/>
      <c r="DN1154"/>
      <c r="DO1154"/>
      <c r="DP1154"/>
      <c r="DQ1154"/>
      <c r="DR1154"/>
      <c r="DS1154"/>
      <c r="DT1154"/>
      <c r="DU1154"/>
      <c r="DV1154"/>
      <c r="DW1154"/>
      <c r="DX1154"/>
      <c r="DY1154"/>
      <c r="DZ1154"/>
      <c r="EA1154"/>
      <c r="EB1154"/>
      <c r="EC1154"/>
      <c r="ED1154"/>
      <c r="EE1154"/>
      <c r="EF1154"/>
      <c r="EG1154"/>
      <c r="EH1154"/>
      <c r="EI1154"/>
      <c r="EJ1154"/>
      <c r="EK1154"/>
      <c r="EL1154"/>
      <c r="EM1154"/>
      <c r="EN1154"/>
      <c r="EO1154"/>
      <c r="EP1154"/>
      <c r="EQ1154"/>
    </row>
    <row r="1155" spans="1:147" ht="16.5" customHeight="1" x14ac:dyDescent="0.25">
      <c r="A1155" s="113">
        <f>$A$1120+34</f>
        <v>340</v>
      </c>
      <c r="B1155" s="113" t="s">
        <v>1083</v>
      </c>
      <c r="C1155" s="113" t="s">
        <v>92</v>
      </c>
      <c r="D1155" s="113"/>
      <c r="E1155" s="113"/>
      <c r="F1155" s="113" t="s">
        <v>1048</v>
      </c>
      <c r="G1155" s="113" t="s">
        <v>406</v>
      </c>
      <c r="H1155" s="113"/>
      <c r="I1155" s="113"/>
      <c r="J1155" s="113" t="b">
        <f t="shared" ref="J1155:J1186" si="200">$H$5</f>
        <v>1</v>
      </c>
      <c r="K1155" s="113" t="b">
        <v>1</v>
      </c>
      <c r="L1155" s="113"/>
      <c r="M1155" s="113"/>
      <c r="N1155" s="113"/>
      <c r="O1155" s="113" t="str">
        <f t="shared" si="195"/>
        <v>$B$340</v>
      </c>
      <c r="P1155" s="113" t="str">
        <f t="shared" si="196"/>
        <v>$BK$340</v>
      </c>
      <c r="Q1155" s="113"/>
      <c r="R1155" s="113"/>
      <c r="S1155" s="113"/>
      <c r="T1155" s="113"/>
      <c r="U1155" s="113"/>
      <c r="V1155" s="113" t="s">
        <v>1342</v>
      </c>
      <c r="W1155" s="113"/>
      <c r="X1155" s="113"/>
      <c r="Y1155" s="113"/>
      <c r="Z1155" s="113"/>
      <c r="AA1155" s="113"/>
      <c r="AB1155" s="113"/>
      <c r="AC1155" s="113"/>
      <c r="AD1155" s="113"/>
      <c r="AE1155" s="113"/>
      <c r="AF1155" s="113"/>
      <c r="AG1155" s="113"/>
      <c r="AH1155" s="113"/>
      <c r="AI1155" s="113"/>
      <c r="AJ1155" s="113"/>
      <c r="AK1155" s="113"/>
      <c r="AL1155" s="113">
        <v>1</v>
      </c>
      <c r="AM1155" s="113"/>
      <c r="AN1155" s="113"/>
      <c r="AO1155" s="113"/>
      <c r="AP1155" s="113" t="b">
        <v>1</v>
      </c>
      <c r="AQ1155" s="132" t="s">
        <v>468</v>
      </c>
      <c r="AR1155" s="132"/>
      <c r="AS1155" s="132"/>
      <c r="AT1155" s="191">
        <f ca="1">SUM(AU1155:CZ1155)</f>
        <v>0</v>
      </c>
      <c r="AU1155" s="191">
        <f t="shared" ca="1" si="199"/>
        <v>0</v>
      </c>
      <c r="AV1155" s="191">
        <f t="shared" ca="1" si="199"/>
        <v>0</v>
      </c>
      <c r="AW1155"/>
      <c r="AX1155"/>
      <c r="AY1155"/>
      <c r="AZ1155"/>
      <c r="BA1155"/>
      <c r="BB1155"/>
      <c r="BC1155"/>
      <c r="BD1155"/>
      <c r="BE1155"/>
      <c r="BF1155"/>
      <c r="BG1155"/>
      <c r="BH1155"/>
      <c r="BI1155"/>
      <c r="BJ1155"/>
      <c r="BK1155"/>
      <c r="BL1155"/>
      <c r="BM1155"/>
      <c r="BN1155"/>
      <c r="BO1155"/>
      <c r="BP1155"/>
      <c r="BQ1155"/>
      <c r="BR1155"/>
      <c r="BS1155"/>
      <c r="BT1155"/>
      <c r="BU1155"/>
      <c r="BV1155"/>
      <c r="BW1155"/>
      <c r="BX1155"/>
      <c r="BY1155"/>
      <c r="BZ1155"/>
      <c r="CA1155"/>
      <c r="CB1155"/>
      <c r="CC1155"/>
      <c r="CD1155"/>
      <c r="CE1155"/>
      <c r="CF1155"/>
      <c r="CG1155"/>
      <c r="CH1155"/>
      <c r="CI1155"/>
      <c r="CJ1155"/>
      <c r="CK1155"/>
      <c r="CL1155"/>
      <c r="CM1155"/>
      <c r="CN1155"/>
      <c r="CO1155"/>
      <c r="CP1155"/>
      <c r="CQ1155"/>
      <c r="CR1155"/>
      <c r="CS1155"/>
      <c r="CT1155"/>
      <c r="CU1155"/>
      <c r="CV1155"/>
      <c r="CW1155"/>
      <c r="CX1155"/>
      <c r="CY1155"/>
      <c r="CZ1155"/>
      <c r="DA1155"/>
      <c r="DB1155"/>
      <c r="DC1155"/>
      <c r="DD1155"/>
      <c r="DE1155"/>
      <c r="DF1155"/>
      <c r="DG1155"/>
      <c r="DH1155"/>
      <c r="DI1155"/>
      <c r="DJ1155"/>
      <c r="DK1155"/>
      <c r="DL1155"/>
      <c r="DM1155"/>
      <c r="DN1155"/>
      <c r="DO1155"/>
      <c r="DP1155"/>
      <c r="DQ1155"/>
      <c r="DR1155"/>
      <c r="DS1155"/>
      <c r="DT1155"/>
      <c r="DU1155"/>
      <c r="DV1155"/>
      <c r="DW1155"/>
      <c r="DX1155"/>
      <c r="DY1155"/>
      <c r="DZ1155"/>
      <c r="EA1155"/>
      <c r="EB1155"/>
      <c r="EC1155"/>
      <c r="ED1155"/>
      <c r="EE1155"/>
      <c r="EF1155"/>
      <c r="EG1155"/>
      <c r="EH1155"/>
      <c r="EI1155"/>
      <c r="EJ1155"/>
      <c r="EK1155"/>
      <c r="EL1155"/>
      <c r="EM1155"/>
      <c r="EN1155"/>
      <c r="EO1155"/>
      <c r="EP1155"/>
      <c r="EQ1155"/>
    </row>
    <row r="1156" spans="1:147" ht="16.5" customHeight="1" x14ac:dyDescent="0.25">
      <c r="A1156" s="113">
        <f>$A$1120+35</f>
        <v>341</v>
      </c>
      <c r="B1156" s="113" t="s">
        <v>1084</v>
      </c>
      <c r="C1156" s="113" t="s">
        <v>92</v>
      </c>
      <c r="D1156" s="113"/>
      <c r="E1156" s="113"/>
      <c r="F1156" s="113" t="s">
        <v>1048</v>
      </c>
      <c r="G1156" s="113" t="s">
        <v>406</v>
      </c>
      <c r="H1156" s="113"/>
      <c r="I1156" s="113"/>
      <c r="J1156" s="113" t="b">
        <f t="shared" si="200"/>
        <v>1</v>
      </c>
      <c r="K1156" s="113" t="b">
        <v>1</v>
      </c>
      <c r="L1156" s="113"/>
      <c r="M1156" s="113"/>
      <c r="N1156" s="113"/>
      <c r="O1156" s="113" t="str">
        <f t="shared" si="195"/>
        <v>$B$341</v>
      </c>
      <c r="P1156" s="113" t="str">
        <f t="shared" si="196"/>
        <v>$BK$341</v>
      </c>
      <c r="Q1156" s="113"/>
      <c r="R1156" s="113"/>
      <c r="S1156" s="113"/>
      <c r="T1156" s="113"/>
      <c r="U1156" s="113"/>
      <c r="V1156" s="113" t="s">
        <v>1342</v>
      </c>
      <c r="W1156" s="113"/>
      <c r="X1156" s="113"/>
      <c r="Y1156" s="113"/>
      <c r="Z1156" s="113"/>
      <c r="AA1156" s="113"/>
      <c r="AB1156" s="113"/>
      <c r="AC1156" s="113"/>
      <c r="AD1156" s="113"/>
      <c r="AE1156" s="113"/>
      <c r="AF1156" s="113"/>
      <c r="AG1156" s="113"/>
      <c r="AH1156" s="113"/>
      <c r="AI1156" s="113"/>
      <c r="AJ1156" s="113"/>
      <c r="AK1156" s="113"/>
      <c r="AL1156" s="113">
        <v>1</v>
      </c>
      <c r="AM1156" s="113"/>
      <c r="AN1156" s="113"/>
      <c r="AO1156" s="113"/>
      <c r="AP1156" s="113" t="b">
        <v>1</v>
      </c>
      <c r="AQ1156" s="169" t="s">
        <v>467</v>
      </c>
      <c r="AR1156" s="169"/>
      <c r="AS1156" s="169"/>
      <c r="AT1156" s="192">
        <f ca="1">SUM(AU1156:CZ1156)</f>
        <v>0</v>
      </c>
      <c r="AU1156" s="192">
        <f t="shared" ca="1" si="199"/>
        <v>0</v>
      </c>
      <c r="AV1156" s="192">
        <f t="shared" ca="1" si="199"/>
        <v>0</v>
      </c>
      <c r="AW1156"/>
      <c r="AX1156"/>
      <c r="AY1156"/>
      <c r="AZ1156"/>
      <c r="BA1156"/>
      <c r="BB1156"/>
      <c r="BC1156"/>
      <c r="BD1156"/>
      <c r="BE1156"/>
      <c r="BF1156"/>
      <c r="BG1156"/>
      <c r="BH1156"/>
      <c r="BI1156"/>
      <c r="BJ1156"/>
      <c r="BK1156"/>
      <c r="BL1156"/>
      <c r="BM1156"/>
      <c r="BN1156"/>
      <c r="BO1156"/>
      <c r="BP1156"/>
      <c r="BQ1156"/>
      <c r="BR1156"/>
      <c r="BS1156"/>
      <c r="BT1156"/>
      <c r="BU1156"/>
      <c r="BV1156"/>
      <c r="BW1156"/>
      <c r="BX1156"/>
      <c r="BY1156"/>
      <c r="BZ1156"/>
      <c r="CA1156"/>
      <c r="CB1156"/>
      <c r="CC1156"/>
      <c r="CD1156"/>
      <c r="CE1156"/>
      <c r="CF1156"/>
      <c r="CG1156"/>
      <c r="CH1156"/>
      <c r="CI1156"/>
      <c r="CJ1156"/>
      <c r="CK1156"/>
      <c r="CL1156"/>
      <c r="CM1156"/>
      <c r="CN1156"/>
      <c r="CO1156"/>
      <c r="CP1156"/>
      <c r="CQ1156"/>
      <c r="CR1156"/>
      <c r="CS1156"/>
      <c r="CT1156"/>
      <c r="CU1156"/>
      <c r="CV1156"/>
      <c r="CW1156"/>
      <c r="CX1156"/>
      <c r="CY1156"/>
      <c r="CZ1156"/>
      <c r="DA1156"/>
      <c r="DB1156"/>
      <c r="DC1156"/>
      <c r="DD1156"/>
      <c r="DE1156"/>
      <c r="DF1156"/>
      <c r="DG1156"/>
      <c r="DH1156"/>
      <c r="DI1156"/>
      <c r="DJ1156"/>
      <c r="DK1156"/>
      <c r="DL1156"/>
      <c r="DM1156"/>
      <c r="DN1156"/>
      <c r="DO1156"/>
      <c r="DP1156"/>
      <c r="DQ1156"/>
      <c r="DR1156"/>
      <c r="DS1156"/>
      <c r="DT1156"/>
      <c r="DU1156"/>
      <c r="DV1156"/>
      <c r="DW1156"/>
      <c r="DX1156"/>
      <c r="DY1156"/>
      <c r="DZ1156"/>
      <c r="EA1156"/>
      <c r="EB1156"/>
      <c r="EC1156"/>
      <c r="ED1156"/>
      <c r="EE1156"/>
      <c r="EF1156"/>
      <c r="EG1156"/>
      <c r="EH1156"/>
      <c r="EI1156"/>
      <c r="EJ1156"/>
      <c r="EK1156"/>
      <c r="EL1156"/>
      <c r="EM1156"/>
      <c r="EN1156"/>
      <c r="EO1156"/>
      <c r="EP1156"/>
      <c r="EQ1156"/>
    </row>
    <row r="1157" spans="1:147" ht="16.5" customHeight="1" x14ac:dyDescent="0.25">
      <c r="A1157" s="113">
        <f>$A$1120+36</f>
        <v>342</v>
      </c>
      <c r="B1157" s="113" t="s">
        <v>1540</v>
      </c>
      <c r="C1157" s="113" t="s">
        <v>92</v>
      </c>
      <c r="D1157" s="113"/>
      <c r="E1157" s="113"/>
      <c r="F1157" s="113" t="s">
        <v>1048</v>
      </c>
      <c r="G1157" s="113" t="s">
        <v>406</v>
      </c>
      <c r="H1157" s="113"/>
      <c r="I1157" s="113"/>
      <c r="J1157" s="113" t="b">
        <f t="shared" si="200"/>
        <v>1</v>
      </c>
      <c r="K1157" s="113" t="b">
        <v>1</v>
      </c>
      <c r="L1157" s="113"/>
      <c r="M1157" s="113"/>
      <c r="N1157" s="113"/>
      <c r="O1157" s="113" t="str">
        <f>"$B$"&amp;A1157</f>
        <v>$B$342</v>
      </c>
      <c r="P1157" s="113" t="str">
        <f>"$BK$"&amp;A1157</f>
        <v>$BK$342</v>
      </c>
      <c r="Q1157" s="113"/>
      <c r="R1157" s="113"/>
      <c r="S1157" s="113"/>
      <c r="T1157" s="113"/>
      <c r="U1157" s="113"/>
      <c r="V1157" s="113" t="s">
        <v>1342</v>
      </c>
      <c r="W1157" s="113"/>
      <c r="X1157" s="113"/>
      <c r="Y1157" s="113"/>
      <c r="Z1157" s="113"/>
      <c r="AA1157" s="113"/>
      <c r="AB1157" s="113"/>
      <c r="AC1157" s="113"/>
      <c r="AD1157" s="113"/>
      <c r="AE1157" s="113"/>
      <c r="AF1157" s="113"/>
      <c r="AG1157" s="113"/>
      <c r="AH1157" s="113"/>
      <c r="AI1157" s="113"/>
      <c r="AJ1157" s="113"/>
      <c r="AK1157" s="113"/>
      <c r="AL1157" s="113">
        <v>1</v>
      </c>
      <c r="AM1157" s="113"/>
      <c r="AN1157" s="113"/>
      <c r="AO1157" s="113"/>
      <c r="AP1157" s="113" t="b">
        <v>1</v>
      </c>
      <c r="AQ1157" s="149"/>
      <c r="AR1157" s="149"/>
      <c r="AS1157" s="149"/>
      <c r="AT1157" s="243"/>
      <c r="AU1157" s="243"/>
      <c r="AV1157" s="243"/>
      <c r="AW1157"/>
      <c r="AX1157"/>
      <c r="AY1157"/>
      <c r="AZ1157"/>
      <c r="BA1157"/>
      <c r="BB1157"/>
      <c r="BC1157"/>
      <c r="BD1157"/>
      <c r="BE1157"/>
      <c r="BF1157"/>
      <c r="BG1157"/>
      <c r="BH1157"/>
      <c r="BI1157"/>
      <c r="BJ1157"/>
      <c r="BK1157"/>
      <c r="BL1157"/>
      <c r="BM1157"/>
      <c r="BN1157"/>
      <c r="BO1157"/>
      <c r="BP1157"/>
      <c r="BQ1157"/>
      <c r="BR1157"/>
      <c r="BS1157"/>
      <c r="BT1157"/>
      <c r="BU1157"/>
      <c r="BV1157"/>
      <c r="BW1157"/>
      <c r="BX1157"/>
      <c r="BY1157"/>
      <c r="BZ1157"/>
      <c r="CA1157"/>
      <c r="CB1157"/>
      <c r="CC1157"/>
      <c r="CD1157"/>
      <c r="CE1157"/>
      <c r="CF1157"/>
      <c r="CG1157"/>
      <c r="CH1157"/>
      <c r="CI1157"/>
      <c r="CJ1157"/>
      <c r="CK1157"/>
      <c r="CL1157"/>
      <c r="CM1157"/>
      <c r="CN1157"/>
      <c r="CO1157"/>
      <c r="CP1157"/>
      <c r="CQ1157"/>
      <c r="CR1157"/>
      <c r="CS1157"/>
      <c r="CT1157"/>
      <c r="CU1157"/>
      <c r="CV1157"/>
      <c r="CW1157"/>
      <c r="CX1157"/>
      <c r="CY1157"/>
      <c r="CZ1157"/>
      <c r="DA1157"/>
      <c r="DB1157"/>
      <c r="DC1157"/>
      <c r="DD1157"/>
      <c r="DE1157"/>
      <c r="DF1157"/>
      <c r="DG1157"/>
      <c r="DH1157"/>
      <c r="DI1157"/>
      <c r="DJ1157"/>
      <c r="DK1157"/>
      <c r="DL1157"/>
      <c r="DM1157"/>
      <c r="DN1157"/>
      <c r="DO1157"/>
      <c r="DP1157"/>
      <c r="DQ1157"/>
      <c r="DR1157"/>
      <c r="DS1157"/>
      <c r="DT1157"/>
      <c r="DU1157"/>
      <c r="DV1157"/>
      <c r="DW1157"/>
      <c r="DX1157"/>
      <c r="DY1157"/>
      <c r="DZ1157"/>
      <c r="EA1157"/>
      <c r="EB1157"/>
      <c r="EC1157"/>
      <c r="ED1157"/>
      <c r="EE1157"/>
      <c r="EF1157"/>
      <c r="EG1157"/>
      <c r="EH1157"/>
      <c r="EI1157"/>
      <c r="EJ1157"/>
      <c r="EK1157"/>
      <c r="EL1157"/>
      <c r="EM1157"/>
      <c r="EN1157"/>
      <c r="EO1157"/>
      <c r="EP1157"/>
      <c r="EQ1157"/>
    </row>
    <row r="1158" spans="1:147" ht="16.5" customHeight="1" x14ac:dyDescent="0.25">
      <c r="A1158" s="113">
        <f>$A$1120+37</f>
        <v>343</v>
      </c>
      <c r="B1158" s="113" t="s">
        <v>1541</v>
      </c>
      <c r="C1158" s="113" t="s">
        <v>92</v>
      </c>
      <c r="D1158" s="113"/>
      <c r="E1158" s="113"/>
      <c r="F1158" s="113" t="s">
        <v>1048</v>
      </c>
      <c r="G1158" s="113" t="s">
        <v>406</v>
      </c>
      <c r="H1158" s="113"/>
      <c r="I1158" s="113"/>
      <c r="J1158" s="113" t="b">
        <f t="shared" si="200"/>
        <v>1</v>
      </c>
      <c r="K1158" s="113" t="b">
        <v>1</v>
      </c>
      <c r="L1158" s="113"/>
      <c r="M1158" s="113"/>
      <c r="N1158" s="113"/>
      <c r="O1158" s="113" t="str">
        <f>"$B$"&amp;A1158</f>
        <v>$B$343</v>
      </c>
      <c r="P1158" s="113" t="str">
        <f>"$BK$"&amp;A1158</f>
        <v>$BK$343</v>
      </c>
      <c r="Q1158" s="113"/>
      <c r="R1158" s="113"/>
      <c r="S1158" s="113"/>
      <c r="T1158" s="113"/>
      <c r="U1158" s="113"/>
      <c r="V1158" s="113" t="s">
        <v>1342</v>
      </c>
      <c r="W1158" s="113"/>
      <c r="X1158" s="113"/>
      <c r="Y1158" s="113"/>
      <c r="Z1158" s="113"/>
      <c r="AA1158" s="113"/>
      <c r="AB1158" s="113"/>
      <c r="AC1158" s="113"/>
      <c r="AD1158" s="113"/>
      <c r="AE1158" s="113"/>
      <c r="AF1158" s="113"/>
      <c r="AG1158" s="113"/>
      <c r="AH1158" s="113"/>
      <c r="AI1158" s="113"/>
      <c r="AJ1158" s="113"/>
      <c r="AK1158" s="113"/>
      <c r="AL1158" s="113">
        <v>1</v>
      </c>
      <c r="AM1158" s="113"/>
      <c r="AN1158" s="113"/>
      <c r="AO1158" s="113"/>
      <c r="AP1158" s="113" t="b">
        <v>1</v>
      </c>
      <c r="AQ1158" s="149"/>
      <c r="AR1158" s="149"/>
      <c r="AS1158" s="149"/>
      <c r="AT1158" s="243"/>
      <c r="AU1158" s="243"/>
      <c r="AV1158" s="243"/>
      <c r="AW1158"/>
      <c r="AX1158"/>
      <c r="AY1158"/>
      <c r="AZ1158"/>
      <c r="BA1158"/>
      <c r="BB1158"/>
      <c r="BC1158"/>
      <c r="BD1158"/>
      <c r="BE1158"/>
      <c r="BF1158"/>
      <c r="BG1158"/>
      <c r="BH1158"/>
      <c r="BI1158"/>
      <c r="BJ1158"/>
      <c r="BK1158"/>
      <c r="BL1158"/>
      <c r="BM1158"/>
      <c r="BN1158"/>
      <c r="BO1158"/>
      <c r="BP1158"/>
      <c r="BQ1158"/>
      <c r="BR1158"/>
      <c r="BS1158"/>
      <c r="BT1158"/>
      <c r="BU1158"/>
      <c r="BV1158"/>
      <c r="BW1158"/>
      <c r="BX1158"/>
      <c r="BY1158"/>
      <c r="BZ1158"/>
      <c r="CA1158"/>
      <c r="CB1158"/>
      <c r="CC1158"/>
      <c r="CD1158"/>
      <c r="CE1158"/>
      <c r="CF1158"/>
      <c r="CG1158"/>
      <c r="CH1158"/>
      <c r="CI1158"/>
      <c r="CJ1158"/>
      <c r="CK1158"/>
      <c r="CL1158"/>
      <c r="CM1158"/>
      <c r="CN1158"/>
      <c r="CO1158"/>
      <c r="CP1158"/>
      <c r="CQ1158"/>
      <c r="CR1158"/>
      <c r="CS1158"/>
      <c r="CT1158"/>
      <c r="CU1158"/>
      <c r="CV1158"/>
      <c r="CW1158"/>
      <c r="CX1158"/>
      <c r="CY1158"/>
      <c r="CZ1158"/>
      <c r="DA1158"/>
      <c r="DB1158"/>
      <c r="DC1158"/>
      <c r="DD1158"/>
      <c r="DE1158"/>
      <c r="DF1158"/>
      <c r="DG1158"/>
      <c r="DH1158"/>
      <c r="DI1158"/>
      <c r="DJ1158"/>
      <c r="DK1158"/>
      <c r="DL1158"/>
      <c r="DM1158"/>
      <c r="DN1158"/>
      <c r="DO1158"/>
      <c r="DP1158"/>
      <c r="DQ1158"/>
      <c r="DR1158"/>
      <c r="DS1158"/>
      <c r="DT1158"/>
      <c r="DU1158"/>
      <c r="DV1158"/>
      <c r="DW1158"/>
      <c r="DX1158"/>
      <c r="DY1158"/>
      <c r="DZ1158"/>
      <c r="EA1158"/>
      <c r="EB1158"/>
      <c r="EC1158"/>
      <c r="ED1158"/>
      <c r="EE1158"/>
      <c r="EF1158"/>
      <c r="EG1158"/>
      <c r="EH1158"/>
      <c r="EI1158"/>
      <c r="EJ1158"/>
      <c r="EK1158"/>
      <c r="EL1158"/>
      <c r="EM1158"/>
      <c r="EN1158"/>
      <c r="EO1158"/>
      <c r="EP1158"/>
      <c r="EQ1158"/>
    </row>
    <row r="1159" spans="1:147" ht="16.5" customHeight="1" x14ac:dyDescent="0.25">
      <c r="A1159" s="113">
        <f>$A$1120+38</f>
        <v>344</v>
      </c>
      <c r="B1159" s="113" t="s">
        <v>1542</v>
      </c>
      <c r="C1159" s="113" t="s">
        <v>92</v>
      </c>
      <c r="D1159" s="113"/>
      <c r="E1159" s="113"/>
      <c r="F1159" s="113" t="s">
        <v>1048</v>
      </c>
      <c r="G1159" s="113" t="s">
        <v>406</v>
      </c>
      <c r="H1159" s="113"/>
      <c r="I1159" s="113"/>
      <c r="J1159" s="113" t="b">
        <f t="shared" si="200"/>
        <v>1</v>
      </c>
      <c r="K1159" s="113" t="b">
        <v>1</v>
      </c>
      <c r="L1159" s="113"/>
      <c r="M1159" s="113"/>
      <c r="N1159" s="113"/>
      <c r="O1159" s="113" t="str">
        <f t="shared" ref="O1159:O1170" si="201">"$B$"&amp;A1159</f>
        <v>$B$344</v>
      </c>
      <c r="P1159" s="113" t="str">
        <f t="shared" ref="P1159:P1170" si="202">"$BK$"&amp;A1159</f>
        <v>$BK$344</v>
      </c>
      <c r="Q1159" s="113"/>
      <c r="R1159" s="113"/>
      <c r="S1159" s="113"/>
      <c r="T1159" s="113">
        <v>0</v>
      </c>
      <c r="U1159" s="113"/>
      <c r="V1159" s="113" t="s">
        <v>1342</v>
      </c>
      <c r="W1159" s="113"/>
      <c r="X1159" s="113"/>
      <c r="Y1159" s="113"/>
      <c r="Z1159" s="113"/>
      <c r="AA1159" s="113"/>
      <c r="AB1159" s="113"/>
      <c r="AC1159" s="113"/>
      <c r="AD1159" s="113"/>
      <c r="AE1159" s="113"/>
      <c r="AF1159" s="113"/>
      <c r="AG1159" s="113"/>
      <c r="AH1159" s="113"/>
      <c r="AI1159" s="113"/>
      <c r="AJ1159" s="113"/>
      <c r="AK1159" s="113"/>
      <c r="AL1159" s="113">
        <v>1</v>
      </c>
      <c r="AM1159" s="113"/>
      <c r="AN1159" s="113"/>
      <c r="AO1159" s="113"/>
      <c r="AP1159" s="113" t="b">
        <v>1</v>
      </c>
      <c r="AQ1159" s="253" t="s">
        <v>364</v>
      </c>
      <c r="AR1159" s="170"/>
      <c r="AS1159" s="170"/>
      <c r="AT1159" s="191">
        <f>SUM(AU1159:CZ1159)</f>
        <v>0</v>
      </c>
      <c r="AU1159" s="191">
        <f>(SUM('Drift - før projektC'!$N:$N))/1000</f>
        <v>0</v>
      </c>
      <c r="AV1159" s="191">
        <f>(SUM('Drift - før projektC'!$N:$N))/1000</f>
        <v>0</v>
      </c>
      <c r="AW1159"/>
      <c r="AX1159"/>
      <c r="AY1159"/>
      <c r="AZ1159"/>
      <c r="BA1159"/>
      <c r="BB1159"/>
      <c r="BC1159"/>
      <c r="BD1159"/>
      <c r="BE1159"/>
      <c r="BF1159"/>
      <c r="BG1159"/>
      <c r="BH1159"/>
      <c r="BI1159"/>
      <c r="BJ1159"/>
      <c r="BK1159"/>
      <c r="BL1159"/>
      <c r="BM1159"/>
      <c r="BN1159"/>
      <c r="BO1159"/>
      <c r="BP1159"/>
      <c r="BQ1159"/>
      <c r="BR1159"/>
      <c r="BS1159"/>
      <c r="BT1159"/>
      <c r="BU1159"/>
      <c r="BV1159"/>
      <c r="BW1159"/>
      <c r="BX1159"/>
      <c r="BY1159"/>
      <c r="BZ1159"/>
      <c r="CA1159"/>
      <c r="CB1159"/>
      <c r="CC1159"/>
      <c r="CD1159"/>
      <c r="CE1159"/>
      <c r="CF1159"/>
      <c r="CG1159"/>
      <c r="CH1159"/>
      <c r="CI1159"/>
      <c r="CJ1159"/>
      <c r="CK1159"/>
      <c r="CL1159"/>
      <c r="CM1159"/>
      <c r="CN1159"/>
      <c r="CO1159"/>
      <c r="CP1159"/>
      <c r="CQ1159"/>
      <c r="CR1159"/>
      <c r="CS1159"/>
      <c r="CT1159"/>
      <c r="CU1159"/>
      <c r="CV1159"/>
      <c r="CW1159"/>
      <c r="CX1159"/>
      <c r="CY1159"/>
      <c r="CZ1159"/>
      <c r="DA1159"/>
      <c r="DB1159"/>
      <c r="DC1159"/>
      <c r="DD1159"/>
      <c r="DE1159"/>
      <c r="DF1159"/>
      <c r="DG1159"/>
      <c r="DH1159"/>
      <c r="DI1159"/>
      <c r="DJ1159"/>
      <c r="DK1159"/>
      <c r="DL1159"/>
      <c r="DM1159"/>
      <c r="DN1159"/>
      <c r="DO1159"/>
      <c r="DP1159"/>
      <c r="DQ1159"/>
      <c r="DR1159"/>
      <c r="DS1159"/>
      <c r="DT1159"/>
      <c r="DU1159"/>
      <c r="DV1159"/>
      <c r="DW1159"/>
      <c r="DX1159"/>
      <c r="DY1159"/>
      <c r="DZ1159"/>
      <c r="EA1159"/>
      <c r="EB1159"/>
      <c r="EC1159"/>
      <c r="ED1159"/>
      <c r="EE1159"/>
      <c r="EF1159"/>
      <c r="EG1159"/>
      <c r="EH1159"/>
      <c r="EI1159"/>
      <c r="EJ1159"/>
      <c r="EK1159"/>
      <c r="EL1159"/>
      <c r="EM1159"/>
      <c r="EN1159"/>
      <c r="EO1159"/>
      <c r="EP1159"/>
      <c r="EQ1159"/>
    </row>
    <row r="1160" spans="1:147" ht="16.5" customHeight="1" x14ac:dyDescent="0.25">
      <c r="A1160" s="113">
        <f>$A$1120+39</f>
        <v>345</v>
      </c>
      <c r="B1160" s="113" t="s">
        <v>1543</v>
      </c>
      <c r="C1160" s="113" t="s">
        <v>92</v>
      </c>
      <c r="D1160" s="113"/>
      <c r="E1160" s="113"/>
      <c r="F1160" s="113" t="s">
        <v>1048</v>
      </c>
      <c r="G1160" s="113" t="s">
        <v>406</v>
      </c>
      <c r="H1160" s="113"/>
      <c r="I1160" s="113"/>
      <c r="J1160" s="113" t="b">
        <f t="shared" si="200"/>
        <v>1</v>
      </c>
      <c r="K1160" s="113" t="b">
        <v>1</v>
      </c>
      <c r="L1160" s="113"/>
      <c r="M1160" s="113"/>
      <c r="N1160" s="113"/>
      <c r="O1160" s="113" t="str">
        <f t="shared" ref="O1160:O1164" si="203">"$B$"&amp;A1160</f>
        <v>$B$345</v>
      </c>
      <c r="P1160" s="113" t="str">
        <f t="shared" ref="P1160:P1164" si="204">"$BK$"&amp;A1160</f>
        <v>$BK$345</v>
      </c>
      <c r="Q1160" s="113"/>
      <c r="R1160" s="113"/>
      <c r="S1160" s="113"/>
      <c r="T1160" s="113">
        <v>0</v>
      </c>
      <c r="U1160" s="113"/>
      <c r="V1160" s="113" t="s">
        <v>1342</v>
      </c>
      <c r="W1160" s="113"/>
      <c r="X1160" s="113"/>
      <c r="Y1160" s="113"/>
      <c r="Z1160" s="113"/>
      <c r="AA1160" s="113"/>
      <c r="AB1160" s="113"/>
      <c r="AC1160" s="113"/>
      <c r="AD1160" s="113"/>
      <c r="AE1160" s="113"/>
      <c r="AF1160" s="113"/>
      <c r="AG1160" s="113"/>
      <c r="AH1160" s="113"/>
      <c r="AI1160" s="113"/>
      <c r="AJ1160" s="113"/>
      <c r="AK1160" s="113"/>
      <c r="AL1160" s="113">
        <v>1</v>
      </c>
      <c r="AM1160" s="113"/>
      <c r="AN1160" s="113"/>
      <c r="AO1160" s="113"/>
      <c r="AP1160" s="113" t="b">
        <v>1</v>
      </c>
      <c r="AQ1160" s="252"/>
      <c r="AR1160" s="170"/>
      <c r="AS1160" s="170"/>
      <c r="AT1160" s="191"/>
      <c r="AU1160" s="191"/>
      <c r="AV1160" s="191"/>
      <c r="AW1160"/>
      <c r="AX1160"/>
      <c r="AY1160"/>
      <c r="AZ1160"/>
      <c r="BA1160"/>
      <c r="BB1160"/>
      <c r="BC1160"/>
      <c r="BD1160"/>
      <c r="BE1160"/>
      <c r="BF1160"/>
      <c r="BG1160"/>
      <c r="BH1160"/>
      <c r="BI1160"/>
      <c r="BJ1160"/>
      <c r="BK1160"/>
      <c r="BL1160"/>
      <c r="BM1160"/>
      <c r="BN1160"/>
      <c r="BO1160"/>
      <c r="BP1160"/>
      <c r="BQ1160"/>
      <c r="BR1160"/>
      <c r="BS1160"/>
      <c r="BT1160"/>
      <c r="BU1160"/>
      <c r="BV1160"/>
      <c r="BW1160"/>
      <c r="BX1160"/>
      <c r="BY1160"/>
      <c r="BZ1160"/>
      <c r="CA1160"/>
      <c r="CB1160"/>
      <c r="CC1160"/>
      <c r="CD1160"/>
      <c r="CE1160"/>
      <c r="CF1160"/>
      <c r="CG1160"/>
      <c r="CH1160"/>
      <c r="CI1160"/>
      <c r="CJ1160"/>
      <c r="CK1160"/>
      <c r="CL1160"/>
      <c r="CM1160"/>
      <c r="CN1160"/>
      <c r="CO1160"/>
      <c r="CP1160"/>
      <c r="CQ1160"/>
      <c r="CR1160"/>
      <c r="CS1160"/>
      <c r="CT1160"/>
      <c r="CU1160"/>
      <c r="CV1160"/>
      <c r="CW1160"/>
      <c r="CX1160"/>
      <c r="CY1160"/>
      <c r="CZ1160"/>
      <c r="DA1160"/>
      <c r="DB1160"/>
      <c r="DC1160"/>
      <c r="DD1160"/>
      <c r="DE1160"/>
      <c r="DF1160"/>
      <c r="DG1160"/>
      <c r="DH1160"/>
      <c r="DI1160"/>
      <c r="DJ1160"/>
      <c r="DK1160"/>
      <c r="DL1160"/>
      <c r="DM1160"/>
      <c r="DN1160"/>
      <c r="DO1160"/>
      <c r="DP1160"/>
      <c r="DQ1160"/>
      <c r="DR1160"/>
      <c r="DS1160"/>
      <c r="DT1160"/>
      <c r="DU1160"/>
      <c r="DV1160"/>
      <c r="DW1160"/>
      <c r="DX1160"/>
      <c r="DY1160"/>
      <c r="DZ1160"/>
      <c r="EA1160"/>
      <c r="EB1160"/>
      <c r="EC1160"/>
      <c r="ED1160"/>
      <c r="EE1160"/>
      <c r="EF1160"/>
      <c r="EG1160"/>
      <c r="EH1160"/>
      <c r="EI1160"/>
      <c r="EJ1160"/>
      <c r="EK1160"/>
      <c r="EL1160"/>
      <c r="EM1160"/>
      <c r="EN1160"/>
      <c r="EO1160"/>
      <c r="EP1160"/>
      <c r="EQ1160"/>
    </row>
    <row r="1161" spans="1:147" ht="16.5" customHeight="1" x14ac:dyDescent="0.25">
      <c r="A1161" s="113">
        <f>$A$1120+40</f>
        <v>346</v>
      </c>
      <c r="B1161" s="113" t="s">
        <v>1544</v>
      </c>
      <c r="C1161" s="113" t="s">
        <v>92</v>
      </c>
      <c r="D1161" s="113"/>
      <c r="E1161" s="113"/>
      <c r="F1161" s="113" t="s">
        <v>1048</v>
      </c>
      <c r="G1161" s="113" t="s">
        <v>406</v>
      </c>
      <c r="H1161" s="113"/>
      <c r="I1161" s="113"/>
      <c r="J1161" s="113" t="b">
        <f t="shared" si="200"/>
        <v>1</v>
      </c>
      <c r="K1161" s="113" t="b">
        <v>1</v>
      </c>
      <c r="L1161" s="113"/>
      <c r="M1161" s="113"/>
      <c r="N1161" s="113"/>
      <c r="O1161" s="113" t="str">
        <f t="shared" si="203"/>
        <v>$B$346</v>
      </c>
      <c r="P1161" s="113" t="str">
        <f t="shared" si="204"/>
        <v>$BK$346</v>
      </c>
      <c r="Q1161" s="113"/>
      <c r="R1161" s="113"/>
      <c r="S1161" s="113"/>
      <c r="T1161" s="113">
        <v>0</v>
      </c>
      <c r="U1161" s="113"/>
      <c r="V1161" s="113" t="s">
        <v>1342</v>
      </c>
      <c r="W1161" s="113"/>
      <c r="X1161" s="113"/>
      <c r="Y1161" s="113"/>
      <c r="Z1161" s="113"/>
      <c r="AA1161" s="113"/>
      <c r="AB1161" s="113"/>
      <c r="AC1161" s="113"/>
      <c r="AD1161" s="113"/>
      <c r="AE1161" s="113"/>
      <c r="AF1161" s="113"/>
      <c r="AG1161" s="113"/>
      <c r="AH1161" s="113"/>
      <c r="AI1161" s="113"/>
      <c r="AJ1161" s="113"/>
      <c r="AK1161" s="113"/>
      <c r="AL1161" s="113">
        <v>1</v>
      </c>
      <c r="AM1161" s="113"/>
      <c r="AN1161" s="113"/>
      <c r="AO1161" s="113"/>
      <c r="AP1161" s="113" t="b">
        <v>1</v>
      </c>
      <c r="AQ1161" s="253" t="s">
        <v>1612</v>
      </c>
      <c r="AR1161" s="170"/>
      <c r="AS1161" s="170"/>
      <c r="AT1161" s="191"/>
      <c r="AU1161" s="191"/>
      <c r="AV1161" s="191"/>
      <c r="AW1161"/>
      <c r="AX1161"/>
      <c r="AY1161"/>
      <c r="AZ1161"/>
      <c r="BA1161"/>
      <c r="BB1161"/>
      <c r="BC1161"/>
      <c r="BD1161"/>
      <c r="BE1161"/>
      <c r="BF1161"/>
      <c r="BG1161"/>
      <c r="BH1161"/>
      <c r="BI1161"/>
      <c r="BJ1161"/>
      <c r="BK1161"/>
      <c r="BL1161"/>
      <c r="BM1161"/>
      <c r="BN1161"/>
      <c r="BO1161"/>
      <c r="BP1161"/>
      <c r="BQ1161"/>
      <c r="BR1161"/>
      <c r="BS1161"/>
      <c r="BT1161"/>
      <c r="BU1161"/>
      <c r="BV1161"/>
      <c r="BW1161"/>
      <c r="BX1161"/>
      <c r="BY1161"/>
      <c r="BZ1161"/>
      <c r="CA1161"/>
      <c r="CB1161"/>
      <c r="CC1161"/>
      <c r="CD1161"/>
      <c r="CE1161"/>
      <c r="CF1161"/>
      <c r="CG1161"/>
      <c r="CH1161"/>
      <c r="CI1161"/>
      <c r="CJ1161"/>
      <c r="CK1161"/>
      <c r="CL1161"/>
      <c r="CM1161"/>
      <c r="CN1161"/>
      <c r="CO1161"/>
      <c r="CP1161"/>
      <c r="CQ1161"/>
      <c r="CR1161"/>
      <c r="CS1161"/>
      <c r="CT1161"/>
      <c r="CU1161"/>
      <c r="CV1161"/>
      <c r="CW1161"/>
      <c r="CX1161"/>
      <c r="CY1161"/>
      <c r="CZ1161"/>
      <c r="DA1161"/>
      <c r="DB1161"/>
      <c r="DC1161"/>
      <c r="DD1161"/>
      <c r="DE1161"/>
      <c r="DF1161"/>
      <c r="DG1161"/>
      <c r="DH1161"/>
      <c r="DI1161"/>
      <c r="DJ1161"/>
      <c r="DK1161"/>
      <c r="DL1161"/>
      <c r="DM1161"/>
      <c r="DN1161"/>
      <c r="DO1161"/>
      <c r="DP1161"/>
      <c r="DQ1161"/>
      <c r="DR1161"/>
      <c r="DS1161"/>
      <c r="DT1161"/>
      <c r="DU1161"/>
      <c r="DV1161"/>
      <c r="DW1161"/>
      <c r="DX1161"/>
      <c r="DY1161"/>
      <c r="DZ1161"/>
      <c r="EA1161"/>
      <c r="EB1161"/>
      <c r="EC1161"/>
      <c r="ED1161"/>
      <c r="EE1161"/>
      <c r="EF1161"/>
      <c r="EG1161"/>
      <c r="EH1161"/>
      <c r="EI1161"/>
      <c r="EJ1161"/>
      <c r="EK1161"/>
      <c r="EL1161"/>
      <c r="EM1161"/>
      <c r="EN1161"/>
      <c r="EO1161"/>
      <c r="EP1161"/>
      <c r="EQ1161"/>
    </row>
    <row r="1162" spans="1:147" ht="16.5" customHeight="1" x14ac:dyDescent="0.25">
      <c r="A1162" s="113">
        <f>$A$1120+41</f>
        <v>347</v>
      </c>
      <c r="B1162" s="113" t="s">
        <v>1545</v>
      </c>
      <c r="C1162" s="113" t="s">
        <v>92</v>
      </c>
      <c r="D1162" s="113"/>
      <c r="E1162" s="113"/>
      <c r="F1162" s="113" t="s">
        <v>1048</v>
      </c>
      <c r="G1162" s="113" t="s">
        <v>406</v>
      </c>
      <c r="H1162" s="113"/>
      <c r="I1162" s="113"/>
      <c r="J1162" s="113" t="b">
        <f t="shared" si="200"/>
        <v>1</v>
      </c>
      <c r="K1162" s="113" t="b">
        <v>1</v>
      </c>
      <c r="L1162" s="113"/>
      <c r="M1162" s="113"/>
      <c r="N1162" s="113"/>
      <c r="O1162" s="113" t="str">
        <f t="shared" si="203"/>
        <v>$B$347</v>
      </c>
      <c r="P1162" s="113" t="str">
        <f t="shared" si="204"/>
        <v>$BK$347</v>
      </c>
      <c r="Q1162" s="113"/>
      <c r="R1162" s="113"/>
      <c r="S1162" s="113"/>
      <c r="T1162" s="113">
        <v>0</v>
      </c>
      <c r="U1162" s="113"/>
      <c r="V1162" s="113" t="s">
        <v>1342</v>
      </c>
      <c r="W1162" s="113"/>
      <c r="X1162" s="113"/>
      <c r="Y1162" s="113"/>
      <c r="Z1162" s="113"/>
      <c r="AA1162" s="113"/>
      <c r="AB1162" s="113"/>
      <c r="AC1162" s="113"/>
      <c r="AD1162" s="113"/>
      <c r="AE1162" s="113"/>
      <c r="AF1162" s="113"/>
      <c r="AG1162" s="113"/>
      <c r="AH1162" s="113"/>
      <c r="AI1162" s="113"/>
      <c r="AJ1162" s="113"/>
      <c r="AK1162" s="113"/>
      <c r="AL1162" s="113">
        <v>1</v>
      </c>
      <c r="AM1162" s="113"/>
      <c r="AN1162" s="113"/>
      <c r="AO1162" s="113"/>
      <c r="AP1162" s="113" t="b">
        <v>1</v>
      </c>
      <c r="AQ1162" s="252" t="s">
        <v>453</v>
      </c>
      <c r="AR1162" s="170"/>
      <c r="AS1162" s="170"/>
      <c r="AT1162" s="191">
        <f ca="1">SUM(AU1162:CZ1162)</f>
        <v>0</v>
      </c>
      <c r="AU1162" s="191">
        <f ca="1">(IF(MasterSheet_f_FP_CfgGroup2R2_VS,IF(MasterSheet_f_FP_CfgGroup1R3_VS,SUMIF('Drift - fremtidig uden projektE'!$C:$C,OFFSET(Businesscasen_f_BCM_subcat18_Table1_start,0,COLUMN()-COLUMN(Businesscasen_f_BCM_subcat18_Table1_start)),'Drift - fremtidig uden projektE'!$P:$P),SUMIF('Drift - fremtidig uden projektE'!$C:$C,OFFSET(Businesscasen_f_BCM_subcat18_Table1_start,0,COLUMN()-COLUMN(Businesscasen_f_BCM_subcat18_Table1_start)),'Drift - fremtidig uden projektE'!$P:$P)),IF(MasterSheet_f_FP_CfgGroup1R3_VS,SUMIF('Drift - fremtidig uden projektE'!$C:$C,OFFSET(Businesscasen_f_BCM_subcat18_Table1_start,0,COLUMN()-COLUMN(Businesscasen_f_BCM_subcat18_Table1_start)),'Drift - fremtidig uden projektE'!$O:$O),SUMIF('Drift - fremtidig uden projektE'!$C:$C,OFFSET(Businesscasen_f_BCM_subcat18_Table1_start,0,COLUMN()-COLUMN(Businesscasen_f_BCM_subcat18_Table1_start)),'Drift - fremtidig uden projektE'!$O:$O))))/1000</f>
        <v>0</v>
      </c>
      <c r="AV1162" s="191">
        <f ca="1">(IF(MasterSheet_f_FP_CfgGroup2R2_VS,IF(MasterSheet_f_FP_CfgGroup1R3_VS,SUMIF('Drift - fremtidig uden projektE'!$C:$C,OFFSET(Businesscasen_f_BCM_subcat18_Table1_start,0,COLUMN()-COLUMN(Businesscasen_f_BCM_subcat18_Table1_start)),'Drift - fremtidig uden projektE'!$P:$P),SUMIF('Drift - fremtidig uden projektE'!$C:$C,OFFSET(Businesscasen_f_BCM_subcat18_Table1_start,0,COLUMN()-COLUMN(Businesscasen_f_BCM_subcat18_Table1_start)),'Drift - fremtidig uden projektE'!$P:$P)),IF(MasterSheet_f_FP_CfgGroup1R3_VS,SUMIF('Drift - fremtidig uden projektE'!$C:$C,OFFSET(Businesscasen_f_BCM_subcat18_Table1_start,0,COLUMN()-COLUMN(Businesscasen_f_BCM_subcat18_Table1_start)),'Drift - fremtidig uden projektE'!$O:$O),SUMIF('Drift - fremtidig uden projektE'!$C:$C,OFFSET(Businesscasen_f_BCM_subcat18_Table1_start,0,COLUMN()-COLUMN(Businesscasen_f_BCM_subcat18_Table1_start)),'Drift - fremtidig uden projektE'!$O:$O))))/1000</f>
        <v>0</v>
      </c>
      <c r="AW1162"/>
      <c r="AX1162"/>
      <c r="AY1162"/>
      <c r="AZ1162"/>
      <c r="BA1162"/>
      <c r="BB1162"/>
      <c r="BC1162"/>
      <c r="BD1162"/>
      <c r="BE1162"/>
      <c r="BF1162"/>
      <c r="BG1162"/>
      <c r="BH1162"/>
      <c r="BI1162"/>
      <c r="BJ1162"/>
      <c r="BK1162"/>
      <c r="BL1162"/>
      <c r="BM1162"/>
      <c r="BN1162"/>
      <c r="BO1162"/>
      <c r="BP1162"/>
      <c r="BQ1162"/>
      <c r="BR1162"/>
      <c r="BS1162"/>
      <c r="BT1162"/>
      <c r="BU1162"/>
      <c r="BV1162"/>
      <c r="BW1162"/>
      <c r="BX1162"/>
      <c r="BY1162"/>
      <c r="BZ1162"/>
      <c r="CA1162"/>
      <c r="CB1162"/>
      <c r="CC1162"/>
      <c r="CD1162"/>
      <c r="CE1162"/>
      <c r="CF1162"/>
      <c r="CG1162"/>
      <c r="CH1162"/>
      <c r="CI1162"/>
      <c r="CJ1162"/>
      <c r="CK1162"/>
      <c r="CL1162"/>
      <c r="CM1162"/>
      <c r="CN1162"/>
      <c r="CO1162"/>
      <c r="CP1162"/>
      <c r="CQ1162"/>
      <c r="CR1162"/>
      <c r="CS1162"/>
      <c r="CT1162"/>
      <c r="CU1162"/>
      <c r="CV1162"/>
      <c r="CW1162"/>
      <c r="CX1162"/>
      <c r="CY1162"/>
      <c r="CZ1162"/>
      <c r="DA1162"/>
      <c r="DB1162"/>
      <c r="DC1162"/>
      <c r="DD1162"/>
      <c r="DE1162"/>
      <c r="DF1162"/>
      <c r="DG1162"/>
      <c r="DH1162"/>
      <c r="DI1162"/>
      <c r="DJ1162"/>
      <c r="DK1162"/>
      <c r="DL1162"/>
      <c r="DM1162"/>
      <c r="DN1162"/>
      <c r="DO1162"/>
      <c r="DP1162"/>
      <c r="DQ1162"/>
      <c r="DR1162"/>
      <c r="DS1162"/>
      <c r="DT1162"/>
      <c r="DU1162"/>
      <c r="DV1162"/>
      <c r="DW1162"/>
      <c r="DX1162"/>
      <c r="DY1162"/>
      <c r="DZ1162"/>
      <c r="EA1162"/>
      <c r="EB1162"/>
      <c r="EC1162"/>
      <c r="ED1162"/>
      <c r="EE1162"/>
      <c r="EF1162"/>
      <c r="EG1162"/>
      <c r="EH1162"/>
      <c r="EI1162"/>
      <c r="EJ1162"/>
      <c r="EK1162"/>
      <c r="EL1162"/>
      <c r="EM1162"/>
      <c r="EN1162"/>
      <c r="EO1162"/>
      <c r="EP1162"/>
      <c r="EQ1162"/>
    </row>
    <row r="1163" spans="1:147" ht="16.5" customHeight="1" x14ac:dyDescent="0.25">
      <c r="A1163" s="113">
        <f>$A$1120+42</f>
        <v>348</v>
      </c>
      <c r="B1163" s="113" t="s">
        <v>1546</v>
      </c>
      <c r="C1163" s="113" t="s">
        <v>92</v>
      </c>
      <c r="D1163" s="113"/>
      <c r="E1163" s="113"/>
      <c r="F1163" s="113" t="s">
        <v>1048</v>
      </c>
      <c r="G1163" s="113" t="s">
        <v>406</v>
      </c>
      <c r="H1163" s="113"/>
      <c r="I1163" s="113"/>
      <c r="J1163" s="113" t="b">
        <f t="shared" si="200"/>
        <v>1</v>
      </c>
      <c r="K1163" s="113" t="b">
        <v>1</v>
      </c>
      <c r="L1163" s="113"/>
      <c r="M1163" s="113"/>
      <c r="N1163" s="113"/>
      <c r="O1163" s="113" t="str">
        <f t="shared" si="203"/>
        <v>$B$348</v>
      </c>
      <c r="P1163" s="113" t="str">
        <f t="shared" si="204"/>
        <v>$BK$348</v>
      </c>
      <c r="Q1163" s="113"/>
      <c r="R1163" s="113"/>
      <c r="S1163" s="113"/>
      <c r="T1163" s="113">
        <v>0</v>
      </c>
      <c r="U1163" s="113"/>
      <c r="V1163" s="113" t="s">
        <v>1342</v>
      </c>
      <c r="W1163" s="113"/>
      <c r="X1163" s="113"/>
      <c r="Y1163" s="113"/>
      <c r="Z1163" s="113"/>
      <c r="AA1163" s="113"/>
      <c r="AB1163" s="113"/>
      <c r="AC1163" s="113"/>
      <c r="AD1163" s="113"/>
      <c r="AE1163" s="113"/>
      <c r="AF1163" s="113"/>
      <c r="AG1163" s="113"/>
      <c r="AH1163" s="113"/>
      <c r="AI1163" s="113"/>
      <c r="AJ1163" s="113"/>
      <c r="AK1163" s="113"/>
      <c r="AL1163" s="113">
        <v>1</v>
      </c>
      <c r="AM1163" s="113"/>
      <c r="AN1163" s="113"/>
      <c r="AO1163" s="113"/>
      <c r="AP1163" s="113" t="b">
        <v>1</v>
      </c>
      <c r="AQ1163" s="252" t="s">
        <v>298</v>
      </c>
      <c r="AR1163" s="170"/>
      <c r="AS1163" s="170"/>
      <c r="AT1163" s="191">
        <f ca="1">SUM(AU1163:CZ1163)</f>
        <v>0</v>
      </c>
      <c r="AU1163" s="191">
        <f ca="1">(IF(MasterSheet_f_FP_CfgGroup1R3_VS,SUMIF('Drift - fremtidig uden projektE'!$C:$C,OFFSET(Businesscasen_f_BCM_subcat18_Table1_start,0,COLUMN()-COLUMN(Businesscasen_f_BCM_subcat18_Table1_start)),'Drift - fremtidig uden projektE'!$N:$N),SUMIF('Drift - fremtidig uden projektE'!$C:$C,OFFSET(Businesscasen_f_BCM_subcat18_Table1_start,0,COLUMN()-COLUMN(Businesscasen_f_BCM_subcat18_Table1_start)),'Drift - fremtidig uden projektE'!$N:$N)))/1000</f>
        <v>0</v>
      </c>
      <c r="AV1163" s="191">
        <f ca="1">(IF(MasterSheet_f_FP_CfgGroup1R3_VS,SUMIF('Drift - fremtidig uden projektE'!$C:$C,OFFSET(Businesscasen_f_BCM_subcat18_Table1_start,0,COLUMN()-COLUMN(Businesscasen_f_BCM_subcat18_Table1_start)),'Drift - fremtidig uden projektE'!$N:$N),SUMIF('Drift - fremtidig uden projektE'!$C:$C,OFFSET(Businesscasen_f_BCM_subcat18_Table1_start,0,COLUMN()-COLUMN(Businesscasen_f_BCM_subcat18_Table1_start)),'Drift - fremtidig uden projektE'!$N:$N)))/1000</f>
        <v>0</v>
      </c>
      <c r="AW1163"/>
      <c r="AX1163"/>
      <c r="AY1163"/>
      <c r="AZ1163"/>
      <c r="BA1163"/>
      <c r="BB1163"/>
      <c r="BC1163"/>
      <c r="BD1163"/>
      <c r="BE1163"/>
      <c r="BF1163"/>
      <c r="BG1163"/>
      <c r="BH1163"/>
      <c r="BI1163"/>
      <c r="BJ1163"/>
      <c r="BK1163"/>
      <c r="BL1163"/>
      <c r="BM1163"/>
      <c r="BN1163"/>
      <c r="BO1163"/>
      <c r="BP1163"/>
      <c r="BQ1163"/>
      <c r="BR1163"/>
      <c r="BS1163"/>
      <c r="BT1163"/>
      <c r="BU1163"/>
      <c r="BV1163"/>
      <c r="BW1163"/>
      <c r="BX1163"/>
      <c r="BY1163"/>
      <c r="BZ1163"/>
      <c r="CA1163"/>
      <c r="CB1163"/>
      <c r="CC1163"/>
      <c r="CD1163"/>
      <c r="CE1163"/>
      <c r="CF1163"/>
      <c r="CG1163"/>
      <c r="CH1163"/>
      <c r="CI1163"/>
      <c r="CJ1163"/>
      <c r="CK1163"/>
      <c r="CL1163"/>
      <c r="CM1163"/>
      <c r="CN1163"/>
      <c r="CO1163"/>
      <c r="CP1163"/>
      <c r="CQ1163"/>
      <c r="CR1163"/>
      <c r="CS1163"/>
      <c r="CT1163"/>
      <c r="CU1163"/>
      <c r="CV1163"/>
      <c r="CW1163"/>
      <c r="CX1163"/>
      <c r="CY1163"/>
      <c r="CZ1163"/>
      <c r="DA1163"/>
      <c r="DB1163"/>
      <c r="DC1163"/>
      <c r="DD1163"/>
      <c r="DE1163"/>
      <c r="DF1163"/>
      <c r="DG1163"/>
      <c r="DH1163"/>
      <c r="DI1163"/>
      <c r="DJ1163"/>
      <c r="DK1163"/>
      <c r="DL1163"/>
      <c r="DM1163"/>
      <c r="DN1163"/>
      <c r="DO1163"/>
      <c r="DP1163"/>
      <c r="DQ1163"/>
      <c r="DR1163"/>
      <c r="DS1163"/>
      <c r="DT1163"/>
      <c r="DU1163"/>
      <c r="DV1163"/>
      <c r="DW1163"/>
      <c r="DX1163"/>
      <c r="DY1163"/>
      <c r="DZ1163"/>
      <c r="EA1163"/>
      <c r="EB1163"/>
      <c r="EC1163"/>
      <c r="ED1163"/>
      <c r="EE1163"/>
      <c r="EF1163"/>
      <c r="EG1163"/>
      <c r="EH1163"/>
      <c r="EI1163"/>
      <c r="EJ1163"/>
      <c r="EK1163"/>
      <c r="EL1163"/>
      <c r="EM1163"/>
      <c r="EN1163"/>
      <c r="EO1163"/>
      <c r="EP1163"/>
      <c r="EQ1163"/>
    </row>
    <row r="1164" spans="1:147" ht="16.5" customHeight="1" x14ac:dyDescent="0.25">
      <c r="A1164" s="113">
        <f>$A$1120+43</f>
        <v>349</v>
      </c>
      <c r="B1164" s="113" t="s">
        <v>1547</v>
      </c>
      <c r="C1164" s="113" t="s">
        <v>92</v>
      </c>
      <c r="D1164" s="113"/>
      <c r="E1164" s="113"/>
      <c r="F1164" s="113" t="s">
        <v>1048</v>
      </c>
      <c r="G1164" s="113" t="s">
        <v>406</v>
      </c>
      <c r="H1164" s="113"/>
      <c r="I1164" s="113"/>
      <c r="J1164" s="113" t="b">
        <f t="shared" si="200"/>
        <v>1</v>
      </c>
      <c r="K1164" s="113" t="b">
        <v>1</v>
      </c>
      <c r="L1164" s="113"/>
      <c r="M1164" s="113"/>
      <c r="N1164" s="113"/>
      <c r="O1164" s="113" t="str">
        <f t="shared" si="203"/>
        <v>$B$349</v>
      </c>
      <c r="P1164" s="113" t="str">
        <f t="shared" si="204"/>
        <v>$BK$349</v>
      </c>
      <c r="Q1164" s="113"/>
      <c r="R1164" s="113"/>
      <c r="S1164" s="113"/>
      <c r="T1164" s="113">
        <v>0</v>
      </c>
      <c r="U1164" s="113"/>
      <c r="V1164" s="113" t="s">
        <v>1342</v>
      </c>
      <c r="W1164" s="113"/>
      <c r="X1164" s="113"/>
      <c r="Y1164" s="113"/>
      <c r="Z1164" s="113"/>
      <c r="AA1164" s="113"/>
      <c r="AB1164" s="113"/>
      <c r="AC1164" s="113"/>
      <c r="AD1164" s="113"/>
      <c r="AE1164" s="113"/>
      <c r="AF1164" s="113"/>
      <c r="AG1164" s="113"/>
      <c r="AH1164" s="113"/>
      <c r="AI1164" s="113"/>
      <c r="AJ1164" s="113"/>
      <c r="AK1164" s="113"/>
      <c r="AL1164" s="113">
        <v>1</v>
      </c>
      <c r="AM1164" s="113"/>
      <c r="AN1164" s="113"/>
      <c r="AO1164" s="113"/>
      <c r="AP1164" s="113" t="b">
        <v>1</v>
      </c>
      <c r="AQ1164" s="252" t="s">
        <v>497</v>
      </c>
      <c r="AR1164" s="170"/>
      <c r="AS1164" s="170"/>
      <c r="AT1164" s="191">
        <f ca="1">SUM(AU1164:CZ1164)</f>
        <v>0</v>
      </c>
      <c r="AU1164" s="191">
        <f ca="1">(IF(MasterSheet_f_FP_CfgGroup1R3_VS,SUMIF('Drift - fremtidig uden projektE'!$C:$C,OFFSET(Businesscasen_f_BCM_subcat18_Table1_start,0,COLUMN()-COLUMN(Businesscasen_f_BCM_subcat18_Table1_start)),'Drift - fremtidig uden projektE'!$R:$R),SUMIF('Drift - fremtidig uden projektE'!$C:$C,OFFSET(Businesscasen_f_BCM_subcat18_Table1_start,0,COLUMN()-COLUMN(Businesscasen_f_BCM_subcat18_Table1_start)),'Drift - fremtidig uden projektE'!$R:$R)))/1000</f>
        <v>0</v>
      </c>
      <c r="AV1164" s="191">
        <f ca="1">(IF(MasterSheet_f_FP_CfgGroup1R3_VS,SUMIF('Drift - fremtidig uden projektE'!$C:$C,OFFSET(Businesscasen_f_BCM_subcat18_Table1_start,0,COLUMN()-COLUMN(Businesscasen_f_BCM_subcat18_Table1_start)),'Drift - fremtidig uden projektE'!$R:$R),SUMIF('Drift - fremtidig uden projektE'!$C:$C,OFFSET(Businesscasen_f_BCM_subcat18_Table1_start,0,COLUMN()-COLUMN(Businesscasen_f_BCM_subcat18_Table1_start)),'Drift - fremtidig uden projektE'!$R:$R)))/1000</f>
        <v>0</v>
      </c>
      <c r="AW1164"/>
      <c r="AX1164"/>
      <c r="AY1164"/>
      <c r="AZ1164"/>
      <c r="BA1164"/>
      <c r="BB1164"/>
      <c r="BC1164"/>
      <c r="BD1164"/>
      <c r="BE1164"/>
      <c r="BF1164"/>
      <c r="BG1164"/>
      <c r="BH1164"/>
      <c r="BI1164"/>
      <c r="BJ1164"/>
      <c r="BK1164"/>
      <c r="BL1164"/>
      <c r="BM1164"/>
      <c r="BN1164"/>
      <c r="BO1164"/>
      <c r="BP1164"/>
      <c r="BQ1164"/>
      <c r="BR1164"/>
      <c r="BS1164"/>
      <c r="BT1164"/>
      <c r="BU1164"/>
      <c r="BV1164"/>
      <c r="BW1164"/>
      <c r="BX1164"/>
      <c r="BY1164"/>
      <c r="BZ1164"/>
      <c r="CA1164"/>
      <c r="CB1164"/>
      <c r="CC1164"/>
      <c r="CD1164"/>
      <c r="CE1164"/>
      <c r="CF1164"/>
      <c r="CG1164"/>
      <c r="CH1164"/>
      <c r="CI1164"/>
      <c r="CJ1164"/>
      <c r="CK1164"/>
      <c r="CL1164"/>
      <c r="CM1164"/>
      <c r="CN1164"/>
      <c r="CO1164"/>
      <c r="CP1164"/>
      <c r="CQ1164"/>
      <c r="CR1164"/>
      <c r="CS1164"/>
      <c r="CT1164"/>
      <c r="CU1164"/>
      <c r="CV1164"/>
      <c r="CW1164"/>
      <c r="CX1164"/>
      <c r="CY1164"/>
      <c r="CZ1164"/>
      <c r="DA1164"/>
      <c r="DB1164"/>
      <c r="DC1164"/>
      <c r="DD1164"/>
      <c r="DE1164"/>
      <c r="DF1164"/>
      <c r="DG1164"/>
      <c r="DH1164"/>
      <c r="DI1164"/>
      <c r="DJ1164"/>
      <c r="DK1164"/>
      <c r="DL1164"/>
      <c r="DM1164"/>
      <c r="DN1164"/>
      <c r="DO1164"/>
      <c r="DP1164"/>
      <c r="DQ1164"/>
      <c r="DR1164"/>
      <c r="DS1164"/>
      <c r="DT1164"/>
      <c r="DU1164"/>
      <c r="DV1164"/>
      <c r="DW1164"/>
      <c r="DX1164"/>
      <c r="DY1164"/>
      <c r="DZ1164"/>
      <c r="EA1164"/>
      <c r="EB1164"/>
      <c r="EC1164"/>
      <c r="ED1164"/>
      <c r="EE1164"/>
      <c r="EF1164"/>
      <c r="EG1164"/>
      <c r="EH1164"/>
      <c r="EI1164"/>
      <c r="EJ1164"/>
      <c r="EK1164"/>
      <c r="EL1164"/>
      <c r="EM1164"/>
      <c r="EN1164"/>
      <c r="EO1164"/>
      <c r="EP1164"/>
      <c r="EQ1164"/>
    </row>
    <row r="1165" spans="1:147" ht="16.5" customHeight="1" x14ac:dyDescent="0.25">
      <c r="A1165" s="113">
        <f>$A$1120+44</f>
        <v>350</v>
      </c>
      <c r="B1165" s="113" t="s">
        <v>1548</v>
      </c>
      <c r="C1165" s="113" t="s">
        <v>92</v>
      </c>
      <c r="D1165" s="113"/>
      <c r="E1165" s="113"/>
      <c r="F1165" s="113" t="s">
        <v>1048</v>
      </c>
      <c r="G1165" s="113" t="s">
        <v>406</v>
      </c>
      <c r="H1165" s="113"/>
      <c r="I1165" s="113"/>
      <c r="J1165" s="113" t="b">
        <f t="shared" si="200"/>
        <v>1</v>
      </c>
      <c r="K1165" s="113" t="b">
        <v>1</v>
      </c>
      <c r="L1165" s="113"/>
      <c r="M1165" s="113"/>
      <c r="N1165" s="113"/>
      <c r="O1165" s="113" t="str">
        <f>"$B$"&amp;A1165</f>
        <v>$B$350</v>
      </c>
      <c r="P1165" s="113" t="str">
        <f>"$BK$"&amp;A1165</f>
        <v>$BK$350</v>
      </c>
      <c r="Q1165" s="113"/>
      <c r="R1165" s="113"/>
      <c r="S1165" s="113"/>
      <c r="T1165" s="113">
        <v>0</v>
      </c>
      <c r="U1165" s="113"/>
      <c r="V1165" s="113" t="s">
        <v>1342</v>
      </c>
      <c r="W1165" s="113"/>
      <c r="X1165" s="113"/>
      <c r="Y1165" s="113"/>
      <c r="Z1165" s="113"/>
      <c r="AA1165" s="113"/>
      <c r="AB1165" s="113"/>
      <c r="AC1165" s="113"/>
      <c r="AD1165" s="113"/>
      <c r="AE1165" s="113"/>
      <c r="AF1165" s="113"/>
      <c r="AG1165" s="113"/>
      <c r="AH1165" s="113"/>
      <c r="AI1165" s="113"/>
      <c r="AJ1165" s="113"/>
      <c r="AK1165" s="113"/>
      <c r="AL1165" s="113">
        <v>1</v>
      </c>
      <c r="AM1165" s="113"/>
      <c r="AN1165" s="113"/>
      <c r="AO1165" s="113"/>
      <c r="AP1165" s="113" t="b">
        <v>1</v>
      </c>
      <c r="AQ1165" s="252" t="s">
        <v>498</v>
      </c>
      <c r="AR1165" s="170"/>
      <c r="AS1165" s="170"/>
      <c r="AT1165" s="191">
        <f ca="1">SUM(AU1165:CZ1165)</f>
        <v>0</v>
      </c>
      <c r="AU1165" s="191">
        <f ca="1">(IF(MasterSheet_f_FP_CfgGroup1R3_VS,SUMIF('Drift - fremtidig uden projektE'!$C:$C,OFFSET(Businesscasen_f_BCM_subcat18_Table1_start,0,COLUMN()-COLUMN(Businesscasen_f_BCM_subcat18_Table1_start)),'Drift - fremtidig uden projektE'!$Q:$Q),SUMIF('Drift - fremtidig uden projektE'!$C:$C,OFFSET(Businesscasen_f_BCM_subcat18_Table1_start,0,COLUMN()-COLUMN(Businesscasen_f_BCM_subcat18_Table1_start)),'Drift - fremtidig uden projektE'!$Q:$Q)))/1000</f>
        <v>0</v>
      </c>
      <c r="AV1165" s="191">
        <f ca="1">(IF(MasterSheet_f_FP_CfgGroup1R3_VS,SUMIF('Drift - fremtidig uden projektE'!$C:$C,OFFSET(Businesscasen_f_BCM_subcat18_Table1_start,0,COLUMN()-COLUMN(Businesscasen_f_BCM_subcat18_Table1_start)),'Drift - fremtidig uden projektE'!$Q:$Q),SUMIF('Drift - fremtidig uden projektE'!$C:$C,OFFSET(Businesscasen_f_BCM_subcat18_Table1_start,0,COLUMN()-COLUMN(Businesscasen_f_BCM_subcat18_Table1_start)),'Drift - fremtidig uden projektE'!$Q:$Q)))/1000</f>
        <v>0</v>
      </c>
      <c r="AW1165"/>
      <c r="AX1165"/>
      <c r="AY1165"/>
      <c r="AZ1165"/>
      <c r="BA1165"/>
      <c r="BB1165"/>
      <c r="BC1165"/>
      <c r="BD1165"/>
      <c r="BE1165"/>
      <c r="BF1165"/>
      <c r="BG1165"/>
      <c r="BH1165"/>
      <c r="BI1165"/>
      <c r="BJ1165"/>
      <c r="BK1165"/>
      <c r="BL1165"/>
      <c r="BM1165"/>
      <c r="BN1165"/>
      <c r="BO1165"/>
      <c r="BP1165"/>
      <c r="BQ1165"/>
      <c r="BR1165"/>
      <c r="BS1165"/>
      <c r="BT1165"/>
      <c r="BU1165"/>
      <c r="BV1165"/>
      <c r="BW1165"/>
      <c r="BX1165"/>
      <c r="BY1165"/>
      <c r="BZ1165"/>
      <c r="CA1165"/>
      <c r="CB1165"/>
      <c r="CC1165"/>
      <c r="CD1165"/>
      <c r="CE1165"/>
      <c r="CF1165"/>
      <c r="CG1165"/>
      <c r="CH1165"/>
      <c r="CI1165"/>
      <c r="CJ1165"/>
      <c r="CK1165"/>
      <c r="CL1165"/>
      <c r="CM1165"/>
      <c r="CN1165"/>
      <c r="CO1165"/>
      <c r="CP1165"/>
      <c r="CQ1165"/>
      <c r="CR1165"/>
      <c r="CS1165"/>
      <c r="CT1165"/>
      <c r="CU1165"/>
      <c r="CV1165"/>
      <c r="CW1165"/>
      <c r="CX1165"/>
      <c r="CY1165"/>
      <c r="CZ1165"/>
      <c r="DA1165"/>
      <c r="DB1165"/>
      <c r="DC1165"/>
      <c r="DD1165"/>
      <c r="DE1165"/>
      <c r="DF1165"/>
      <c r="DG1165"/>
      <c r="DH1165"/>
      <c r="DI1165"/>
      <c r="DJ1165"/>
      <c r="DK1165"/>
      <c r="DL1165"/>
      <c r="DM1165"/>
      <c r="DN1165"/>
      <c r="DO1165"/>
      <c r="DP1165"/>
      <c r="DQ1165"/>
      <c r="DR1165"/>
      <c r="DS1165"/>
      <c r="DT1165"/>
      <c r="DU1165"/>
      <c r="DV1165"/>
      <c r="DW1165"/>
      <c r="DX1165"/>
      <c r="DY1165"/>
      <c r="DZ1165"/>
      <c r="EA1165"/>
      <c r="EB1165"/>
      <c r="EC1165"/>
      <c r="ED1165"/>
      <c r="EE1165"/>
      <c r="EF1165"/>
      <c r="EG1165"/>
      <c r="EH1165"/>
      <c r="EI1165"/>
      <c r="EJ1165"/>
      <c r="EK1165"/>
      <c r="EL1165"/>
      <c r="EM1165"/>
      <c r="EN1165"/>
      <c r="EO1165"/>
      <c r="EP1165"/>
      <c r="EQ1165"/>
    </row>
    <row r="1166" spans="1:147" ht="16.5" customHeight="1" x14ac:dyDescent="0.25">
      <c r="A1166" s="113">
        <f>$A$1120+45</f>
        <v>351</v>
      </c>
      <c r="B1166" s="113" t="s">
        <v>1601</v>
      </c>
      <c r="C1166" s="113" t="s">
        <v>92</v>
      </c>
      <c r="D1166" s="113"/>
      <c r="E1166" s="113"/>
      <c r="F1166" s="113" t="s">
        <v>1048</v>
      </c>
      <c r="G1166" s="113" t="s">
        <v>406</v>
      </c>
      <c r="H1166" s="113"/>
      <c r="I1166" s="113"/>
      <c r="J1166" s="113" t="b">
        <f t="shared" si="200"/>
        <v>1</v>
      </c>
      <c r="K1166" s="113" t="b">
        <v>1</v>
      </c>
      <c r="L1166" s="113"/>
      <c r="M1166" s="113"/>
      <c r="N1166" s="113"/>
      <c r="O1166" s="113" t="str">
        <f t="shared" si="201"/>
        <v>$B$351</v>
      </c>
      <c r="P1166" s="113" t="str">
        <f t="shared" si="202"/>
        <v>$BK$351</v>
      </c>
      <c r="Q1166" s="113"/>
      <c r="R1166" s="113"/>
      <c r="S1166" s="113"/>
      <c r="T1166" s="113">
        <v>0</v>
      </c>
      <c r="U1166" s="113"/>
      <c r="V1166" s="113" t="s">
        <v>1342</v>
      </c>
      <c r="W1166" s="113"/>
      <c r="X1166" s="113"/>
      <c r="Y1166" s="113"/>
      <c r="Z1166" s="113"/>
      <c r="AA1166" s="113"/>
      <c r="AB1166" s="113"/>
      <c r="AC1166" s="113"/>
      <c r="AD1166" s="113"/>
      <c r="AE1166" s="113"/>
      <c r="AF1166" s="113"/>
      <c r="AG1166" s="113"/>
      <c r="AH1166" s="113"/>
      <c r="AI1166" s="113"/>
      <c r="AJ1166" s="113"/>
      <c r="AK1166" s="113"/>
      <c r="AL1166" s="113">
        <v>1</v>
      </c>
      <c r="AM1166" s="113"/>
      <c r="AN1166" s="113"/>
      <c r="AO1166" s="113"/>
      <c r="AP1166" s="113" t="b">
        <v>1</v>
      </c>
      <c r="AQ1166" s="252"/>
      <c r="AR1166" s="170"/>
      <c r="AS1166" s="170"/>
      <c r="AT1166" s="191"/>
      <c r="AU1166" s="191"/>
      <c r="AV1166" s="191"/>
      <c r="AW1166"/>
      <c r="AX1166"/>
      <c r="AY1166"/>
      <c r="AZ1166"/>
      <c r="BA1166"/>
      <c r="BB1166"/>
      <c r="BC1166"/>
      <c r="BD1166"/>
      <c r="BE1166"/>
      <c r="BF1166"/>
      <c r="BG1166"/>
      <c r="BH1166"/>
      <c r="BI1166"/>
      <c r="BJ1166"/>
      <c r="BK1166"/>
      <c r="BL1166"/>
      <c r="BM1166"/>
      <c r="BN1166"/>
      <c r="BO1166"/>
      <c r="BP1166"/>
      <c r="BQ1166"/>
      <c r="BR1166"/>
      <c r="BS1166"/>
      <c r="BT1166"/>
      <c r="BU1166"/>
      <c r="BV1166"/>
      <c r="BW1166"/>
      <c r="BX1166"/>
      <c r="BY1166"/>
      <c r="BZ1166"/>
      <c r="CA1166"/>
      <c r="CB1166"/>
      <c r="CC1166"/>
      <c r="CD1166"/>
      <c r="CE1166"/>
      <c r="CF1166"/>
      <c r="CG1166"/>
      <c r="CH1166"/>
      <c r="CI1166"/>
      <c r="CJ1166"/>
      <c r="CK1166"/>
      <c r="CL1166"/>
      <c r="CM1166"/>
      <c r="CN1166"/>
      <c r="CO1166"/>
      <c r="CP1166"/>
      <c r="CQ1166"/>
      <c r="CR1166"/>
      <c r="CS1166"/>
      <c r="CT1166"/>
      <c r="CU1166"/>
      <c r="CV1166"/>
      <c r="CW1166"/>
      <c r="CX1166"/>
      <c r="CY1166"/>
      <c r="CZ1166"/>
      <c r="DA1166"/>
      <c r="DB1166"/>
      <c r="DC1166"/>
      <c r="DD1166"/>
      <c r="DE1166"/>
      <c r="DF1166"/>
      <c r="DG1166"/>
      <c r="DH1166"/>
      <c r="DI1166"/>
      <c r="DJ1166"/>
      <c r="DK1166"/>
      <c r="DL1166"/>
      <c r="DM1166"/>
      <c r="DN1166"/>
      <c r="DO1166"/>
      <c r="DP1166"/>
      <c r="DQ1166"/>
      <c r="DR1166"/>
      <c r="DS1166"/>
      <c r="DT1166"/>
      <c r="DU1166"/>
      <c r="DV1166"/>
      <c r="DW1166"/>
      <c r="DX1166"/>
      <c r="DY1166"/>
      <c r="DZ1166"/>
      <c r="EA1166"/>
      <c r="EB1166"/>
      <c r="EC1166"/>
      <c r="ED1166"/>
      <c r="EE1166"/>
      <c r="EF1166"/>
      <c r="EG1166"/>
      <c r="EH1166"/>
      <c r="EI1166"/>
      <c r="EJ1166"/>
      <c r="EK1166"/>
      <c r="EL1166"/>
      <c r="EM1166"/>
      <c r="EN1166"/>
      <c r="EO1166"/>
      <c r="EP1166"/>
      <c r="EQ1166"/>
    </row>
    <row r="1167" spans="1:147" ht="16.5" customHeight="1" x14ac:dyDescent="0.25">
      <c r="A1167" s="113">
        <f>$A$1120+46</f>
        <v>352</v>
      </c>
      <c r="B1167" s="113" t="s">
        <v>1602</v>
      </c>
      <c r="C1167" s="113" t="s">
        <v>92</v>
      </c>
      <c r="D1167" s="113"/>
      <c r="E1167" s="113"/>
      <c r="F1167" s="113" t="s">
        <v>1048</v>
      </c>
      <c r="G1167" s="113" t="s">
        <v>406</v>
      </c>
      <c r="H1167" s="113"/>
      <c r="I1167" s="113"/>
      <c r="J1167" s="113" t="b">
        <f t="shared" si="200"/>
        <v>1</v>
      </c>
      <c r="K1167" s="113" t="b">
        <v>1</v>
      </c>
      <c r="L1167" s="113"/>
      <c r="M1167" s="113"/>
      <c r="N1167" s="113"/>
      <c r="O1167" s="113" t="str">
        <f t="shared" si="201"/>
        <v>$B$352</v>
      </c>
      <c r="P1167" s="113" t="str">
        <f t="shared" si="202"/>
        <v>$BK$352</v>
      </c>
      <c r="Q1167" s="113"/>
      <c r="R1167" s="113"/>
      <c r="S1167" s="113"/>
      <c r="T1167" s="113">
        <v>0</v>
      </c>
      <c r="U1167" s="113"/>
      <c r="V1167" s="113" t="s">
        <v>1342</v>
      </c>
      <c r="W1167" s="113"/>
      <c r="X1167" s="113"/>
      <c r="Y1167" s="113"/>
      <c r="Z1167" s="113"/>
      <c r="AA1167" s="113"/>
      <c r="AB1167" s="113"/>
      <c r="AC1167" s="113"/>
      <c r="AD1167" s="113"/>
      <c r="AE1167" s="113"/>
      <c r="AF1167" s="113"/>
      <c r="AG1167" s="113"/>
      <c r="AH1167" s="113"/>
      <c r="AI1167" s="113"/>
      <c r="AJ1167" s="113"/>
      <c r="AK1167" s="113"/>
      <c r="AL1167" s="113">
        <v>1</v>
      </c>
      <c r="AM1167" s="113"/>
      <c r="AN1167" s="113"/>
      <c r="AO1167" s="113"/>
      <c r="AP1167" s="113" t="b">
        <v>1</v>
      </c>
      <c r="AQ1167" s="253" t="s">
        <v>1613</v>
      </c>
      <c r="AR1167" s="170"/>
      <c r="AS1167" s="170"/>
      <c r="AT1167" s="191"/>
      <c r="AU1167" s="191"/>
      <c r="AV1167" s="191"/>
      <c r="AW1167"/>
      <c r="AX1167"/>
      <c r="AY1167"/>
      <c r="AZ1167"/>
      <c r="BA1167"/>
      <c r="BB1167"/>
      <c r="BC1167"/>
      <c r="BD1167"/>
      <c r="BE1167"/>
      <c r="BF1167"/>
      <c r="BG1167"/>
      <c r="BH1167"/>
      <c r="BI1167"/>
      <c r="BJ1167"/>
      <c r="BK1167"/>
      <c r="BL1167"/>
      <c r="BM1167"/>
      <c r="BN1167"/>
      <c r="BO1167"/>
      <c r="BP1167"/>
      <c r="BQ1167"/>
      <c r="BR1167"/>
      <c r="BS1167"/>
      <c r="BT1167"/>
      <c r="BU1167"/>
      <c r="BV1167"/>
      <c r="BW1167"/>
      <c r="BX1167"/>
      <c r="BY1167"/>
      <c r="BZ1167"/>
      <c r="CA1167"/>
      <c r="CB1167"/>
      <c r="CC1167"/>
      <c r="CD1167"/>
      <c r="CE1167"/>
      <c r="CF1167"/>
      <c r="CG1167"/>
      <c r="CH1167"/>
      <c r="CI1167"/>
      <c r="CJ1167"/>
      <c r="CK1167"/>
      <c r="CL1167"/>
      <c r="CM1167"/>
      <c r="CN1167"/>
      <c r="CO1167"/>
      <c r="CP1167"/>
      <c r="CQ1167"/>
      <c r="CR1167"/>
      <c r="CS1167"/>
      <c r="CT1167"/>
      <c r="CU1167"/>
      <c r="CV1167"/>
      <c r="CW1167"/>
      <c r="CX1167"/>
      <c r="CY1167"/>
      <c r="CZ1167"/>
      <c r="DA1167"/>
      <c r="DB1167"/>
      <c r="DC1167"/>
      <c r="DD1167"/>
      <c r="DE1167"/>
      <c r="DF1167"/>
      <c r="DG1167"/>
      <c r="DH1167"/>
      <c r="DI1167"/>
      <c r="DJ1167"/>
      <c r="DK1167"/>
      <c r="DL1167"/>
      <c r="DM1167"/>
      <c r="DN1167"/>
      <c r="DO1167"/>
      <c r="DP1167"/>
      <c r="DQ1167"/>
      <c r="DR1167"/>
      <c r="DS1167"/>
      <c r="DT1167"/>
      <c r="DU1167"/>
      <c r="DV1167"/>
      <c r="DW1167"/>
      <c r="DX1167"/>
      <c r="DY1167"/>
      <c r="DZ1167"/>
      <c r="EA1167"/>
      <c r="EB1167"/>
      <c r="EC1167"/>
      <c r="ED1167"/>
      <c r="EE1167"/>
      <c r="EF1167"/>
      <c r="EG1167"/>
      <c r="EH1167"/>
      <c r="EI1167"/>
      <c r="EJ1167"/>
      <c r="EK1167"/>
      <c r="EL1167"/>
      <c r="EM1167"/>
      <c r="EN1167"/>
      <c r="EO1167"/>
      <c r="EP1167"/>
      <c r="EQ1167"/>
    </row>
    <row r="1168" spans="1:147" ht="16.5" customHeight="1" x14ac:dyDescent="0.25">
      <c r="A1168" s="113">
        <f>$A$1120+47</f>
        <v>353</v>
      </c>
      <c r="B1168" s="113" t="s">
        <v>1603</v>
      </c>
      <c r="C1168" s="113" t="s">
        <v>92</v>
      </c>
      <c r="D1168" s="113"/>
      <c r="E1168" s="113"/>
      <c r="F1168" s="113" t="s">
        <v>1048</v>
      </c>
      <c r="G1168" s="113" t="s">
        <v>406</v>
      </c>
      <c r="H1168" s="113"/>
      <c r="I1168" s="113"/>
      <c r="J1168" s="113" t="b">
        <f t="shared" si="200"/>
        <v>1</v>
      </c>
      <c r="K1168" s="113" t="b">
        <v>1</v>
      </c>
      <c r="L1168" s="113"/>
      <c r="M1168" s="113"/>
      <c r="N1168" s="113"/>
      <c r="O1168" s="113" t="str">
        <f t="shared" si="201"/>
        <v>$B$353</v>
      </c>
      <c r="P1168" s="113" t="str">
        <f t="shared" si="202"/>
        <v>$BK$353</v>
      </c>
      <c r="Q1168" s="113"/>
      <c r="R1168" s="113"/>
      <c r="S1168" s="113"/>
      <c r="T1168" s="113">
        <v>0</v>
      </c>
      <c r="U1168" s="113"/>
      <c r="V1168" s="113" t="s">
        <v>1342</v>
      </c>
      <c r="W1168" s="113"/>
      <c r="X1168" s="113"/>
      <c r="Y1168" s="113"/>
      <c r="Z1168" s="113"/>
      <c r="AA1168" s="113"/>
      <c r="AB1168" s="113"/>
      <c r="AC1168" s="113"/>
      <c r="AD1168" s="113"/>
      <c r="AE1168" s="113"/>
      <c r="AF1168" s="113"/>
      <c r="AG1168" s="113"/>
      <c r="AH1168" s="113"/>
      <c r="AI1168" s="113"/>
      <c r="AJ1168" s="113"/>
      <c r="AK1168" s="113"/>
      <c r="AL1168" s="113">
        <v>1</v>
      </c>
      <c r="AM1168" s="113"/>
      <c r="AN1168" s="113"/>
      <c r="AO1168" s="113"/>
      <c r="AP1168" s="113" t="b">
        <v>1</v>
      </c>
      <c r="AQ1168" s="252" t="s">
        <v>453</v>
      </c>
      <c r="AR1168" s="170"/>
      <c r="AS1168" s="170"/>
      <c r="AT1168" s="191">
        <f ca="1">SUM(AU1168:CZ1168)</f>
        <v>0</v>
      </c>
      <c r="AU1168" s="191">
        <f ca="1">(IF(MasterSheet_f_FP_CfgGroup2R2_VS,IF(MasterSheet_f_FP_CfgGroup1R3_VS,SUMIF('Drift - med projektE'!$C:$C,OFFSET(Businesscasen_f_BCM_subcat18_Table1_start,0,COLUMN()-COLUMN(Businesscasen_f_BCM_subcat18_Table1_start)),'Drift - med projektE'!$P:$P),SUMIF('Drift - med projektE'!$C:$C,OFFSET(Businesscasen_f_BCM_subcat18_Table1_start,0,COLUMN()-COLUMN(Businesscasen_f_BCM_subcat18_Table1_start)),'Drift - med projektE'!$P:$P)),IF(MasterSheet_f_FP_CfgGroup1R3_VS,SUMIF('Drift - med projektE'!$C:$C,OFFSET(Businesscasen_f_BCM_subcat18_Table1_start,0,COLUMN()-COLUMN(Businesscasen_f_BCM_subcat18_Table1_start)),'Drift - med projektE'!$O:$O),SUMIF('Drift - med projektE'!$C:$C,OFFSET(Businesscasen_f_BCM_subcat18_Table1_start,0,COLUMN()-COLUMN(Businesscasen_f_BCM_subcat18_Table1_start)),'Drift - med projektE'!$O:$O))))/1000</f>
        <v>0</v>
      </c>
      <c r="AV1168" s="191">
        <f ca="1">(IF(MasterSheet_f_FP_CfgGroup2R2_VS,IF(MasterSheet_f_FP_CfgGroup1R3_VS,SUMIF('Drift - med projektE'!$C:$C,OFFSET(Businesscasen_f_BCM_subcat18_Table1_start,0,COLUMN()-COLUMN(Businesscasen_f_BCM_subcat18_Table1_start)),'Drift - med projektE'!$P:$P),SUMIF('Drift - med projektE'!$C:$C,OFFSET(Businesscasen_f_BCM_subcat18_Table1_start,0,COLUMN()-COLUMN(Businesscasen_f_BCM_subcat18_Table1_start)),'Drift - med projektE'!$P:$P)),IF(MasterSheet_f_FP_CfgGroup1R3_VS,SUMIF('Drift - med projektE'!$C:$C,OFFSET(Businesscasen_f_BCM_subcat18_Table1_start,0,COLUMN()-COLUMN(Businesscasen_f_BCM_subcat18_Table1_start)),'Drift - med projektE'!$O:$O),SUMIF('Drift - med projektE'!$C:$C,OFFSET(Businesscasen_f_BCM_subcat18_Table1_start,0,COLUMN()-COLUMN(Businesscasen_f_BCM_subcat18_Table1_start)),'Drift - med projektE'!$O:$O))))/1000</f>
        <v>0</v>
      </c>
      <c r="AW1168"/>
      <c r="AX1168"/>
      <c r="AY1168"/>
      <c r="AZ1168"/>
      <c r="BA1168"/>
      <c r="BB1168"/>
      <c r="BC1168"/>
      <c r="BD1168"/>
      <c r="BE1168"/>
      <c r="BF1168"/>
      <c r="BG1168"/>
      <c r="BH1168"/>
      <c r="BI1168"/>
      <c r="BJ1168"/>
      <c r="BK1168"/>
      <c r="BL1168"/>
      <c r="BM1168"/>
      <c r="BN1168"/>
      <c r="BO1168"/>
      <c r="BP1168"/>
      <c r="BQ1168"/>
      <c r="BR1168"/>
      <c r="BS1168"/>
      <c r="BT1168"/>
      <c r="BU1168"/>
      <c r="BV1168"/>
      <c r="BW1168"/>
      <c r="BX1168"/>
      <c r="BY1168"/>
      <c r="BZ1168"/>
      <c r="CA1168"/>
      <c r="CB1168"/>
      <c r="CC1168"/>
      <c r="CD1168"/>
      <c r="CE1168"/>
      <c r="CF1168"/>
      <c r="CG1168"/>
      <c r="CH1168"/>
      <c r="CI1168"/>
      <c r="CJ1168"/>
      <c r="CK1168"/>
      <c r="CL1168"/>
      <c r="CM1168"/>
      <c r="CN1168"/>
      <c r="CO1168"/>
      <c r="CP1168"/>
      <c r="CQ1168"/>
      <c r="CR1168"/>
      <c r="CS1168"/>
      <c r="CT1168"/>
      <c r="CU1168"/>
      <c r="CV1168"/>
      <c r="CW1168"/>
      <c r="CX1168"/>
      <c r="CY1168"/>
      <c r="CZ1168"/>
      <c r="DA1168"/>
      <c r="DB1168"/>
      <c r="DC1168"/>
      <c r="DD1168"/>
      <c r="DE1168"/>
      <c r="DF1168"/>
      <c r="DG1168"/>
      <c r="DH1168"/>
      <c r="DI1168"/>
      <c r="DJ1168"/>
      <c r="DK1168"/>
      <c r="DL1168"/>
      <c r="DM1168"/>
      <c r="DN1168"/>
      <c r="DO1168"/>
      <c r="DP1168"/>
      <c r="DQ1168"/>
      <c r="DR1168"/>
      <c r="DS1168"/>
      <c r="DT1168"/>
      <c r="DU1168"/>
      <c r="DV1168"/>
      <c r="DW1168"/>
      <c r="DX1168"/>
      <c r="DY1168"/>
      <c r="DZ1168"/>
      <c r="EA1168"/>
      <c r="EB1168"/>
      <c r="EC1168"/>
      <c r="ED1168"/>
      <c r="EE1168"/>
      <c r="EF1168"/>
      <c r="EG1168"/>
      <c r="EH1168"/>
      <c r="EI1168"/>
      <c r="EJ1168"/>
      <c r="EK1168"/>
      <c r="EL1168"/>
      <c r="EM1168"/>
      <c r="EN1168"/>
      <c r="EO1168"/>
      <c r="EP1168"/>
      <c r="EQ1168"/>
    </row>
    <row r="1169" spans="1:147" ht="16.5" customHeight="1" x14ac:dyDescent="0.25">
      <c r="A1169" s="113">
        <f>$A$1120+48</f>
        <v>354</v>
      </c>
      <c r="B1169" s="113" t="s">
        <v>1604</v>
      </c>
      <c r="C1169" s="113" t="s">
        <v>92</v>
      </c>
      <c r="D1169" s="113"/>
      <c r="E1169" s="113"/>
      <c r="F1169" s="113" t="s">
        <v>1048</v>
      </c>
      <c r="G1169" s="113" t="s">
        <v>406</v>
      </c>
      <c r="H1169" s="113"/>
      <c r="I1169" s="113"/>
      <c r="J1169" s="113" t="b">
        <f t="shared" si="200"/>
        <v>1</v>
      </c>
      <c r="K1169" s="113" t="b">
        <v>1</v>
      </c>
      <c r="L1169" s="113"/>
      <c r="M1169" s="113"/>
      <c r="N1169" s="113"/>
      <c r="O1169" s="113" t="str">
        <f t="shared" si="201"/>
        <v>$B$354</v>
      </c>
      <c r="P1169" s="113" t="str">
        <f t="shared" si="202"/>
        <v>$BK$354</v>
      </c>
      <c r="Q1169" s="113"/>
      <c r="R1169" s="113"/>
      <c r="S1169" s="113"/>
      <c r="T1169" s="113">
        <v>0</v>
      </c>
      <c r="U1169" s="113"/>
      <c r="V1169" s="113" t="s">
        <v>1342</v>
      </c>
      <c r="W1169" s="113"/>
      <c r="X1169" s="113"/>
      <c r="Y1169" s="113"/>
      <c r="Z1169" s="113"/>
      <c r="AA1169" s="113"/>
      <c r="AB1169" s="113"/>
      <c r="AC1169" s="113"/>
      <c r="AD1169" s="113"/>
      <c r="AE1169" s="113"/>
      <c r="AF1169" s="113"/>
      <c r="AG1169" s="113"/>
      <c r="AH1169" s="113"/>
      <c r="AI1169" s="113"/>
      <c r="AJ1169" s="113"/>
      <c r="AK1169" s="113"/>
      <c r="AL1169" s="113">
        <v>1</v>
      </c>
      <c r="AM1169" s="113"/>
      <c r="AN1169" s="113"/>
      <c r="AO1169" s="113"/>
      <c r="AP1169" s="113" t="b">
        <v>1</v>
      </c>
      <c r="AQ1169" s="252" t="s">
        <v>298</v>
      </c>
      <c r="AR1169" s="170"/>
      <c r="AS1169" s="170"/>
      <c r="AT1169" s="191">
        <f ca="1">SUM(AU1169:CZ1169)</f>
        <v>0</v>
      </c>
      <c r="AU1169" s="191">
        <f ca="1">(IF(MasterSheet_f_FP_CfgGroup1R3_VS,SUMIF('Drift - med projektE'!$C:$C,OFFSET(Businesscasen_f_BCM_subcat18_Table1_start,0,COLUMN()-COLUMN(Businesscasen_f_BCM_subcat18_Table1_start)),'Drift - med projektE'!$N:$N),SUMIF('Drift - med projektE'!$C:$C,OFFSET(Businesscasen_f_BCM_subcat18_Table1_start,0,COLUMN()-COLUMN(Businesscasen_f_BCM_subcat18_Table1_start)),'Drift - med projektE'!$N:$N)))/1000</f>
        <v>0</v>
      </c>
      <c r="AV1169" s="191">
        <f ca="1">(IF(MasterSheet_f_FP_CfgGroup1R3_VS,SUMIF('Drift - med projektE'!$C:$C,OFFSET(Businesscasen_f_BCM_subcat18_Table1_start,0,COLUMN()-COLUMN(Businesscasen_f_BCM_subcat18_Table1_start)),'Drift - med projektE'!$N:$N),SUMIF('Drift - med projektE'!$C:$C,OFFSET(Businesscasen_f_BCM_subcat18_Table1_start,0,COLUMN()-COLUMN(Businesscasen_f_BCM_subcat18_Table1_start)),'Drift - med projektE'!$N:$N)))/1000</f>
        <v>0</v>
      </c>
      <c r="AW1169"/>
      <c r="AX1169"/>
      <c r="AY1169"/>
      <c r="AZ1169"/>
      <c r="BA1169"/>
      <c r="BB1169"/>
      <c r="BC1169"/>
      <c r="BD1169"/>
      <c r="BE1169"/>
      <c r="BF1169"/>
      <c r="BG1169"/>
      <c r="BH1169"/>
      <c r="BI1169"/>
      <c r="BJ1169"/>
      <c r="BK1169"/>
      <c r="BL1169"/>
      <c r="BM1169"/>
      <c r="BN1169"/>
      <c r="BO1169"/>
      <c r="BP1169"/>
      <c r="BQ1169"/>
      <c r="BR1169"/>
      <c r="BS1169"/>
      <c r="BT1169"/>
      <c r="BU1169"/>
      <c r="BV1169"/>
      <c r="BW1169"/>
      <c r="BX1169"/>
      <c r="BY1169"/>
      <c r="BZ1169"/>
      <c r="CA1169"/>
      <c r="CB1169"/>
      <c r="CC1169"/>
      <c r="CD1169"/>
      <c r="CE1169"/>
      <c r="CF1169"/>
      <c r="CG1169"/>
      <c r="CH1169"/>
      <c r="CI1169"/>
      <c r="CJ1169"/>
      <c r="CK1169"/>
      <c r="CL1169"/>
      <c r="CM1169"/>
      <c r="CN1169"/>
      <c r="CO1169"/>
      <c r="CP1169"/>
      <c r="CQ1169"/>
      <c r="CR1169"/>
      <c r="CS1169"/>
      <c r="CT1169"/>
      <c r="CU1169"/>
      <c r="CV1169"/>
      <c r="CW1169"/>
      <c r="CX1169"/>
      <c r="CY1169"/>
      <c r="CZ1169"/>
      <c r="DA1169"/>
      <c r="DB1169"/>
      <c r="DC1169"/>
      <c r="DD1169"/>
      <c r="DE1169"/>
      <c r="DF1169"/>
      <c r="DG1169"/>
      <c r="DH1169"/>
      <c r="DI1169"/>
      <c r="DJ1169"/>
      <c r="DK1169"/>
      <c r="DL1169"/>
      <c r="DM1169"/>
      <c r="DN1169"/>
      <c r="DO1169"/>
      <c r="DP1169"/>
      <c r="DQ1169"/>
      <c r="DR1169"/>
      <c r="DS1169"/>
      <c r="DT1169"/>
      <c r="DU1169"/>
      <c r="DV1169"/>
      <c r="DW1169"/>
      <c r="DX1169"/>
      <c r="DY1169"/>
      <c r="DZ1169"/>
      <c r="EA1169"/>
      <c r="EB1169"/>
      <c r="EC1169"/>
      <c r="ED1169"/>
      <c r="EE1169"/>
      <c r="EF1169"/>
      <c r="EG1169"/>
      <c r="EH1169"/>
      <c r="EI1169"/>
      <c r="EJ1169"/>
      <c r="EK1169"/>
      <c r="EL1169"/>
      <c r="EM1169"/>
      <c r="EN1169"/>
      <c r="EO1169"/>
      <c r="EP1169"/>
      <c r="EQ1169"/>
    </row>
    <row r="1170" spans="1:147" ht="16.5" customHeight="1" x14ac:dyDescent="0.25">
      <c r="A1170" s="113">
        <f>$A$1120+49</f>
        <v>355</v>
      </c>
      <c r="B1170" s="113" t="s">
        <v>1605</v>
      </c>
      <c r="C1170" s="113" t="s">
        <v>92</v>
      </c>
      <c r="D1170" s="113"/>
      <c r="E1170" s="113"/>
      <c r="F1170" s="113" t="s">
        <v>1048</v>
      </c>
      <c r="G1170" s="113" t="s">
        <v>406</v>
      </c>
      <c r="H1170" s="113"/>
      <c r="I1170" s="113"/>
      <c r="J1170" s="113" t="b">
        <f t="shared" si="200"/>
        <v>1</v>
      </c>
      <c r="K1170" s="113" t="b">
        <v>1</v>
      </c>
      <c r="L1170" s="113"/>
      <c r="M1170" s="113"/>
      <c r="N1170" s="113"/>
      <c r="O1170" s="113" t="str">
        <f t="shared" si="201"/>
        <v>$B$355</v>
      </c>
      <c r="P1170" s="113" t="str">
        <f t="shared" si="202"/>
        <v>$BK$355</v>
      </c>
      <c r="Q1170" s="113"/>
      <c r="R1170" s="113"/>
      <c r="S1170" s="113"/>
      <c r="T1170" s="113">
        <v>0</v>
      </c>
      <c r="U1170" s="113"/>
      <c r="V1170" s="113" t="s">
        <v>1342</v>
      </c>
      <c r="W1170" s="113"/>
      <c r="X1170" s="113"/>
      <c r="Y1170" s="113"/>
      <c r="Z1170" s="113"/>
      <c r="AA1170" s="113"/>
      <c r="AB1170" s="113"/>
      <c r="AC1170" s="113"/>
      <c r="AD1170" s="113"/>
      <c r="AE1170" s="113"/>
      <c r="AF1170" s="113"/>
      <c r="AG1170" s="113"/>
      <c r="AH1170" s="113"/>
      <c r="AI1170" s="113"/>
      <c r="AJ1170" s="113"/>
      <c r="AK1170" s="113"/>
      <c r="AL1170" s="113">
        <v>1</v>
      </c>
      <c r="AM1170" s="113"/>
      <c r="AN1170" s="113"/>
      <c r="AO1170" s="113"/>
      <c r="AP1170" s="113" t="b">
        <v>1</v>
      </c>
      <c r="AQ1170" s="252" t="s">
        <v>495</v>
      </c>
      <c r="AR1170" s="170"/>
      <c r="AS1170" s="170"/>
      <c r="AT1170" s="191">
        <f ca="1">SUM(AU1170:CZ1170)</f>
        <v>0</v>
      </c>
      <c r="AU1170" s="191">
        <f ca="1">(IF(MasterSheet_f_FP_CfgGroup1R3_VS,SUMIF('Drift - med projektE'!$C:$C,OFFSET(Businesscasen_f_BCM_subcat18_Table1_start,0,COLUMN()-COLUMN(Businesscasen_f_BCM_subcat18_Table1_start)),'Drift - med projektE'!$Q:$Q),SUMIF('Drift - med projektE'!$C:$C,OFFSET(Businesscasen_f_BCM_subcat18_Table1_start,0,COLUMN()-COLUMN(Businesscasen_f_BCM_subcat18_Table1_start)),'Drift - med projektE'!$Q:$Q)))/1000</f>
        <v>0</v>
      </c>
      <c r="AV1170" s="191">
        <f ca="1">(IF(MasterSheet_f_FP_CfgGroup1R3_VS,SUMIF('Drift - med projektE'!$C:$C,OFFSET(Businesscasen_f_BCM_subcat18_Table1_start,0,COLUMN()-COLUMN(Businesscasen_f_BCM_subcat18_Table1_start)),'Drift - med projektE'!$Q:$Q),SUMIF('Drift - med projektE'!$C:$C,OFFSET(Businesscasen_f_BCM_subcat18_Table1_start,0,COLUMN()-COLUMN(Businesscasen_f_BCM_subcat18_Table1_start)),'Drift - med projektE'!$Q:$Q)))/1000</f>
        <v>0</v>
      </c>
      <c r="AW1170"/>
      <c r="AX1170"/>
      <c r="AY1170"/>
      <c r="AZ1170"/>
      <c r="BA1170"/>
      <c r="BB1170"/>
      <c r="BC1170"/>
      <c r="BD1170"/>
      <c r="BE1170"/>
      <c r="BF1170"/>
      <c r="BG1170"/>
      <c r="BH1170"/>
      <c r="BI1170"/>
      <c r="BJ1170"/>
      <c r="BK1170"/>
      <c r="BL1170"/>
      <c r="BM1170"/>
      <c r="BN1170"/>
      <c r="BO1170"/>
      <c r="BP1170"/>
      <c r="BQ1170"/>
      <c r="BR1170"/>
      <c r="BS1170"/>
      <c r="BT1170"/>
      <c r="BU1170"/>
      <c r="BV1170"/>
      <c r="BW1170"/>
      <c r="BX1170"/>
      <c r="BY1170"/>
      <c r="BZ1170"/>
      <c r="CA1170"/>
      <c r="CB1170"/>
      <c r="CC1170"/>
      <c r="CD1170"/>
      <c r="CE1170"/>
      <c r="CF1170"/>
      <c r="CG1170"/>
      <c r="CH1170"/>
      <c r="CI1170"/>
      <c r="CJ1170"/>
      <c r="CK1170"/>
      <c r="CL1170"/>
      <c r="CM1170"/>
      <c r="CN1170"/>
      <c r="CO1170"/>
      <c r="CP1170"/>
      <c r="CQ1170"/>
      <c r="CR1170"/>
      <c r="CS1170"/>
      <c r="CT1170"/>
      <c r="CU1170"/>
      <c r="CV1170"/>
      <c r="CW1170"/>
      <c r="CX1170"/>
      <c r="CY1170"/>
      <c r="CZ1170"/>
      <c r="DA1170"/>
      <c r="DB1170"/>
      <c r="DC1170"/>
      <c r="DD1170"/>
      <c r="DE1170"/>
      <c r="DF1170"/>
      <c r="DG1170"/>
      <c r="DH1170"/>
      <c r="DI1170"/>
      <c r="DJ1170"/>
      <c r="DK1170"/>
      <c r="DL1170"/>
      <c r="DM1170"/>
      <c r="DN1170"/>
      <c r="DO1170"/>
      <c r="DP1170"/>
      <c r="DQ1170"/>
      <c r="DR1170"/>
      <c r="DS1170"/>
      <c r="DT1170"/>
      <c r="DU1170"/>
      <c r="DV1170"/>
      <c r="DW1170"/>
      <c r="DX1170"/>
      <c r="DY1170"/>
      <c r="DZ1170"/>
      <c r="EA1170"/>
      <c r="EB1170"/>
      <c r="EC1170"/>
      <c r="ED1170"/>
      <c r="EE1170"/>
      <c r="EF1170"/>
      <c r="EG1170"/>
      <c r="EH1170"/>
      <c r="EI1170"/>
      <c r="EJ1170"/>
      <c r="EK1170"/>
      <c r="EL1170"/>
      <c r="EM1170"/>
      <c r="EN1170"/>
      <c r="EO1170"/>
      <c r="EP1170"/>
      <c r="EQ1170"/>
    </row>
    <row r="1171" spans="1:147" ht="16.5" customHeight="1" x14ac:dyDescent="0.25">
      <c r="A1171" s="113">
        <f>$A$1120+50</f>
        <v>356</v>
      </c>
      <c r="B1171" s="113" t="s">
        <v>1606</v>
      </c>
      <c r="C1171" s="113" t="s">
        <v>92</v>
      </c>
      <c r="D1171" s="113"/>
      <c r="E1171" s="113"/>
      <c r="F1171" s="113" t="s">
        <v>1048</v>
      </c>
      <c r="G1171" s="113" t="s">
        <v>406</v>
      </c>
      <c r="H1171" s="113"/>
      <c r="I1171" s="113"/>
      <c r="J1171" s="113" t="b">
        <f t="shared" si="200"/>
        <v>1</v>
      </c>
      <c r="K1171" s="113" t="b">
        <v>1</v>
      </c>
      <c r="L1171" s="113"/>
      <c r="M1171" s="113"/>
      <c r="N1171" s="113"/>
      <c r="O1171" s="113" t="str">
        <f>"$B$"&amp;A1171</f>
        <v>$B$356</v>
      </c>
      <c r="P1171" s="113" t="str">
        <f>"$BK$"&amp;A1171</f>
        <v>$BK$356</v>
      </c>
      <c r="Q1171" s="113"/>
      <c r="R1171" s="113"/>
      <c r="S1171" s="113"/>
      <c r="T1171" s="113">
        <v>0</v>
      </c>
      <c r="U1171" s="113"/>
      <c r="V1171" s="113" t="s">
        <v>1342</v>
      </c>
      <c r="W1171" s="113"/>
      <c r="X1171" s="113"/>
      <c r="Y1171" s="113"/>
      <c r="Z1171" s="113"/>
      <c r="AA1171" s="113"/>
      <c r="AB1171" s="113"/>
      <c r="AC1171" s="113"/>
      <c r="AD1171" s="113"/>
      <c r="AE1171" s="113"/>
      <c r="AF1171" s="113"/>
      <c r="AG1171" s="113"/>
      <c r="AH1171" s="113"/>
      <c r="AI1171" s="113"/>
      <c r="AJ1171" s="113"/>
      <c r="AK1171" s="113"/>
      <c r="AL1171" s="113">
        <v>1</v>
      </c>
      <c r="AM1171" s="113"/>
      <c r="AN1171" s="113"/>
      <c r="AO1171" s="113"/>
      <c r="AP1171" s="113" t="b">
        <v>1</v>
      </c>
      <c r="AQ1171" s="252" t="s">
        <v>496</v>
      </c>
      <c r="AR1171" s="170"/>
      <c r="AS1171" s="170"/>
      <c r="AT1171" s="191">
        <f ca="1">SUM(AU1171:CZ1171)</f>
        <v>0</v>
      </c>
      <c r="AU1171" s="191">
        <f ca="1">(IF(MasterSheet_f_FP_CfgGroup1R3_VS,SUMIF('Drift - med projektE'!$C:$C,OFFSET(Businesscasen_f_BCM_subcat18_Table1_start,0,COLUMN()-COLUMN(Businesscasen_f_BCM_subcat18_Table1_start)),'Drift - med projektE'!$R:$R),SUMIF('Drift - med projektE'!$C:$C,OFFSET(Businesscasen_f_BCM_subcat18_Table1_start,0,COLUMN()-COLUMN(Businesscasen_f_BCM_subcat18_Table1_start)),'Drift - med projektE'!$R:$R)))/1000</f>
        <v>0</v>
      </c>
      <c r="AV1171" s="191">
        <f ca="1">(IF(MasterSheet_f_FP_CfgGroup1R3_VS,SUMIF('Drift - med projektE'!$C:$C,OFFSET(Businesscasen_f_BCM_subcat18_Table1_start,0,COLUMN()-COLUMN(Businesscasen_f_BCM_subcat18_Table1_start)),'Drift - med projektE'!$R:$R),SUMIF('Drift - med projektE'!$C:$C,OFFSET(Businesscasen_f_BCM_subcat18_Table1_start,0,COLUMN()-COLUMN(Businesscasen_f_BCM_subcat18_Table1_start)),'Drift - med projektE'!$R:$R)))/1000</f>
        <v>0</v>
      </c>
      <c r="AW1171"/>
      <c r="AX1171"/>
      <c r="AY1171"/>
      <c r="AZ1171"/>
      <c r="BA1171"/>
      <c r="BB1171"/>
      <c r="BC1171"/>
      <c r="BD1171"/>
      <c r="BE1171"/>
      <c r="BF1171"/>
      <c r="BG1171"/>
      <c r="BH1171"/>
      <c r="BI1171"/>
      <c r="BJ1171"/>
      <c r="BK1171"/>
      <c r="BL1171"/>
      <c r="BM1171"/>
      <c r="BN1171"/>
      <c r="BO1171"/>
      <c r="BP1171"/>
      <c r="BQ1171"/>
      <c r="BR1171"/>
      <c r="BS1171"/>
      <c r="BT1171"/>
      <c r="BU1171"/>
      <c r="BV1171"/>
      <c r="BW1171"/>
      <c r="BX1171"/>
      <c r="BY1171"/>
      <c r="BZ1171"/>
      <c r="CA1171"/>
      <c r="CB1171"/>
      <c r="CC1171"/>
      <c r="CD1171"/>
      <c r="CE1171"/>
      <c r="CF1171"/>
      <c r="CG1171"/>
      <c r="CH1171"/>
      <c r="CI1171"/>
      <c r="CJ1171"/>
      <c r="CK1171"/>
      <c r="CL1171"/>
      <c r="CM1171"/>
      <c r="CN1171"/>
      <c r="CO1171"/>
      <c r="CP1171"/>
      <c r="CQ1171"/>
      <c r="CR1171"/>
      <c r="CS1171"/>
      <c r="CT1171"/>
      <c r="CU1171"/>
      <c r="CV1171"/>
      <c r="CW1171"/>
      <c r="CX1171"/>
      <c r="CY1171"/>
      <c r="CZ1171"/>
      <c r="DA1171"/>
      <c r="DB1171"/>
      <c r="DC1171"/>
      <c r="DD1171"/>
      <c r="DE1171"/>
      <c r="DF1171"/>
      <c r="DG1171"/>
      <c r="DH1171"/>
      <c r="DI1171"/>
      <c r="DJ1171"/>
      <c r="DK1171"/>
      <c r="DL1171"/>
      <c r="DM1171"/>
      <c r="DN1171"/>
      <c r="DO1171"/>
      <c r="DP1171"/>
      <c r="DQ1171"/>
      <c r="DR1171"/>
      <c r="DS1171"/>
      <c r="DT1171"/>
      <c r="DU1171"/>
      <c r="DV1171"/>
      <c r="DW1171"/>
      <c r="DX1171"/>
      <c r="DY1171"/>
      <c r="DZ1171"/>
      <c r="EA1171"/>
      <c r="EB1171"/>
      <c r="EC1171"/>
      <c r="ED1171"/>
      <c r="EE1171"/>
      <c r="EF1171"/>
      <c r="EG1171"/>
      <c r="EH1171"/>
      <c r="EI1171"/>
      <c r="EJ1171"/>
      <c r="EK1171"/>
      <c r="EL1171"/>
      <c r="EM1171"/>
      <c r="EN1171"/>
      <c r="EO1171"/>
      <c r="EP1171"/>
      <c r="EQ1171"/>
    </row>
    <row r="1172" spans="1:147" ht="16.5" customHeight="1" x14ac:dyDescent="0.25">
      <c r="A1172" s="113">
        <f>$A$1120+51</f>
        <v>357</v>
      </c>
      <c r="B1172" s="113" t="s">
        <v>1614</v>
      </c>
      <c r="C1172" s="113" t="s">
        <v>92</v>
      </c>
      <c r="D1172" s="113"/>
      <c r="E1172" s="113"/>
      <c r="F1172" s="113" t="s">
        <v>1048</v>
      </c>
      <c r="G1172" s="113" t="s">
        <v>406</v>
      </c>
      <c r="H1172" s="113"/>
      <c r="I1172" s="113"/>
      <c r="J1172" s="113" t="b">
        <f t="shared" si="200"/>
        <v>1</v>
      </c>
      <c r="K1172" s="113" t="b">
        <v>1</v>
      </c>
      <c r="L1172" s="113"/>
      <c r="M1172" s="113"/>
      <c r="N1172" s="113"/>
      <c r="O1172" s="113" t="str">
        <f t="shared" ref="O1172:O1176" si="205">"$B$"&amp;A1172</f>
        <v>$B$357</v>
      </c>
      <c r="P1172" s="113" t="str">
        <f t="shared" ref="P1172:P1176" si="206">"$BK$"&amp;A1172</f>
        <v>$BK$357</v>
      </c>
      <c r="Q1172" s="113"/>
      <c r="R1172" s="113"/>
      <c r="S1172" s="113"/>
      <c r="T1172" s="113">
        <v>0</v>
      </c>
      <c r="U1172" s="113"/>
      <c r="V1172" s="113" t="s">
        <v>1342</v>
      </c>
      <c r="W1172" s="113"/>
      <c r="X1172" s="113"/>
      <c r="Y1172" s="113"/>
      <c r="Z1172" s="113"/>
      <c r="AA1172" s="113"/>
      <c r="AB1172" s="113"/>
      <c r="AC1172" s="113"/>
      <c r="AD1172" s="113"/>
      <c r="AE1172" s="113"/>
      <c r="AF1172" s="113"/>
      <c r="AG1172" s="113"/>
      <c r="AH1172" s="113"/>
      <c r="AI1172" s="113"/>
      <c r="AJ1172" s="113"/>
      <c r="AK1172" s="113"/>
      <c r="AL1172" s="113">
        <v>1</v>
      </c>
      <c r="AM1172" s="113"/>
      <c r="AN1172" s="113"/>
      <c r="AO1172" s="113"/>
      <c r="AP1172" s="113" t="b">
        <v>1</v>
      </c>
      <c r="AQ1172" s="252"/>
      <c r="AR1172" s="170"/>
      <c r="AS1172" s="170"/>
      <c r="AT1172" s="191"/>
      <c r="AU1172" s="191"/>
      <c r="AV1172" s="191"/>
      <c r="AW1172"/>
      <c r="AX1172"/>
      <c r="AY1172"/>
      <c r="AZ1172"/>
      <c r="BA1172"/>
      <c r="BB1172"/>
      <c r="BC1172"/>
      <c r="BD1172"/>
      <c r="BE1172"/>
      <c r="BF1172"/>
      <c r="BG1172"/>
      <c r="BH1172"/>
      <c r="BI1172"/>
      <c r="BJ1172"/>
      <c r="BK1172"/>
      <c r="BL1172"/>
      <c r="BM1172"/>
      <c r="BN1172"/>
      <c r="BO1172"/>
      <c r="BP1172"/>
      <c r="BQ1172"/>
      <c r="BR1172"/>
      <c r="BS1172"/>
      <c r="BT1172"/>
      <c r="BU1172"/>
      <c r="BV1172"/>
      <c r="BW1172"/>
      <c r="BX1172"/>
      <c r="BY1172"/>
      <c r="BZ1172"/>
      <c r="CA1172"/>
      <c r="CB1172"/>
      <c r="CC1172"/>
      <c r="CD1172"/>
      <c r="CE1172"/>
      <c r="CF1172"/>
      <c r="CG1172"/>
      <c r="CH1172"/>
      <c r="CI1172"/>
      <c r="CJ1172"/>
      <c r="CK1172"/>
      <c r="CL1172"/>
      <c r="CM1172"/>
      <c r="CN1172"/>
      <c r="CO1172"/>
      <c r="CP1172"/>
      <c r="CQ1172"/>
      <c r="CR1172"/>
      <c r="CS1172"/>
      <c r="CT1172"/>
      <c r="CU1172"/>
      <c r="CV1172"/>
      <c r="CW1172"/>
      <c r="CX1172"/>
      <c r="CY1172"/>
      <c r="CZ1172"/>
      <c r="DA1172"/>
      <c r="DB1172"/>
      <c r="DC1172"/>
      <c r="DD1172"/>
      <c r="DE1172"/>
      <c r="DF1172"/>
      <c r="DG1172"/>
      <c r="DH1172"/>
      <c r="DI1172"/>
      <c r="DJ1172"/>
      <c r="DK1172"/>
      <c r="DL1172"/>
      <c r="DM1172"/>
      <c r="DN1172"/>
      <c r="DO1172"/>
      <c r="DP1172"/>
      <c r="DQ1172"/>
      <c r="DR1172"/>
      <c r="DS1172"/>
      <c r="DT1172"/>
      <c r="DU1172"/>
      <c r="DV1172"/>
      <c r="DW1172"/>
      <c r="DX1172"/>
      <c r="DY1172"/>
      <c r="DZ1172"/>
      <c r="EA1172"/>
      <c r="EB1172"/>
      <c r="EC1172"/>
      <c r="ED1172"/>
      <c r="EE1172"/>
      <c r="EF1172"/>
      <c r="EG1172"/>
      <c r="EH1172"/>
      <c r="EI1172"/>
      <c r="EJ1172"/>
      <c r="EK1172"/>
      <c r="EL1172"/>
      <c r="EM1172"/>
      <c r="EN1172"/>
      <c r="EO1172"/>
      <c r="EP1172"/>
      <c r="EQ1172"/>
    </row>
    <row r="1173" spans="1:147" ht="16.5" customHeight="1" x14ac:dyDescent="0.25">
      <c r="A1173" s="113">
        <f>$A$1120+52</f>
        <v>358</v>
      </c>
      <c r="B1173" s="113" t="s">
        <v>1615</v>
      </c>
      <c r="C1173" s="113" t="s">
        <v>92</v>
      </c>
      <c r="D1173" s="113"/>
      <c r="E1173" s="113"/>
      <c r="F1173" s="113" t="s">
        <v>1048</v>
      </c>
      <c r="G1173" s="113" t="s">
        <v>406</v>
      </c>
      <c r="H1173" s="113"/>
      <c r="I1173" s="113"/>
      <c r="J1173" s="113" t="b">
        <f t="shared" si="200"/>
        <v>1</v>
      </c>
      <c r="K1173" s="113" t="b">
        <v>1</v>
      </c>
      <c r="L1173" s="113"/>
      <c r="M1173" s="113"/>
      <c r="N1173" s="113"/>
      <c r="O1173" s="113" t="str">
        <f t="shared" si="205"/>
        <v>$B$358</v>
      </c>
      <c r="P1173" s="113" t="str">
        <f t="shared" si="206"/>
        <v>$BK$358</v>
      </c>
      <c r="Q1173" s="113"/>
      <c r="R1173" s="113"/>
      <c r="S1173" s="113"/>
      <c r="T1173" s="113">
        <v>0</v>
      </c>
      <c r="U1173" s="113"/>
      <c r="V1173" s="113" t="s">
        <v>1342</v>
      </c>
      <c r="W1173" s="113"/>
      <c r="X1173" s="113"/>
      <c r="Y1173" s="113"/>
      <c r="Z1173" s="113"/>
      <c r="AA1173" s="113"/>
      <c r="AB1173" s="113"/>
      <c r="AC1173" s="113"/>
      <c r="AD1173" s="113"/>
      <c r="AE1173" s="113"/>
      <c r="AF1173" s="113"/>
      <c r="AG1173" s="113"/>
      <c r="AH1173" s="113"/>
      <c r="AI1173" s="113"/>
      <c r="AJ1173" s="113"/>
      <c r="AK1173" s="113"/>
      <c r="AL1173" s="113">
        <v>1</v>
      </c>
      <c r="AM1173" s="113"/>
      <c r="AN1173" s="113"/>
      <c r="AO1173" s="113"/>
      <c r="AP1173" s="113" t="b">
        <v>1</v>
      </c>
      <c r="AQ1173" s="253" t="s">
        <v>1620</v>
      </c>
      <c r="AR1173" s="170"/>
      <c r="AS1173" s="170"/>
      <c r="AT1173" s="191"/>
      <c r="AU1173" s="191"/>
      <c r="AV1173" s="191"/>
      <c r="AW1173"/>
      <c r="AX1173"/>
      <c r="AY1173"/>
      <c r="AZ1173"/>
      <c r="BA1173"/>
      <c r="BB1173"/>
      <c r="BC1173"/>
      <c r="BD1173"/>
      <c r="BE1173"/>
      <c r="BF1173"/>
      <c r="BG1173"/>
      <c r="BH1173"/>
      <c r="BI1173"/>
      <c r="BJ1173"/>
      <c r="BK1173"/>
      <c r="BL1173"/>
      <c r="BM1173"/>
      <c r="BN1173"/>
      <c r="BO1173"/>
      <c r="BP1173"/>
      <c r="BQ1173"/>
      <c r="BR1173"/>
      <c r="BS1173"/>
      <c r="BT1173"/>
      <c r="BU1173"/>
      <c r="BV1173"/>
      <c r="BW1173"/>
      <c r="BX1173"/>
      <c r="BY1173"/>
      <c r="BZ1173"/>
      <c r="CA1173"/>
      <c r="CB1173"/>
      <c r="CC1173"/>
      <c r="CD1173"/>
      <c r="CE1173"/>
      <c r="CF1173"/>
      <c r="CG1173"/>
      <c r="CH1173"/>
      <c r="CI1173"/>
      <c r="CJ1173"/>
      <c r="CK1173"/>
      <c r="CL1173"/>
      <c r="CM1173"/>
      <c r="CN1173"/>
      <c r="CO1173"/>
      <c r="CP1173"/>
      <c r="CQ1173"/>
      <c r="CR1173"/>
      <c r="CS1173"/>
      <c r="CT1173"/>
      <c r="CU1173"/>
      <c r="CV1173"/>
      <c r="CW1173"/>
      <c r="CX1173"/>
      <c r="CY1173"/>
      <c r="CZ1173"/>
      <c r="DA1173"/>
      <c r="DB1173"/>
      <c r="DC1173"/>
      <c r="DD1173"/>
      <c r="DE1173"/>
      <c r="DF1173"/>
      <c r="DG1173"/>
      <c r="DH1173"/>
      <c r="DI1173"/>
      <c r="DJ1173"/>
      <c r="DK1173"/>
      <c r="DL1173"/>
      <c r="DM1173"/>
      <c r="DN1173"/>
      <c r="DO1173"/>
      <c r="DP1173"/>
      <c r="DQ1173"/>
      <c r="DR1173"/>
      <c r="DS1173"/>
      <c r="DT1173"/>
      <c r="DU1173"/>
      <c r="DV1173"/>
      <c r="DW1173"/>
      <c r="DX1173"/>
      <c r="DY1173"/>
      <c r="DZ1173"/>
      <c r="EA1173"/>
      <c r="EB1173"/>
      <c r="EC1173"/>
      <c r="ED1173"/>
      <c r="EE1173"/>
      <c r="EF1173"/>
      <c r="EG1173"/>
      <c r="EH1173"/>
      <c r="EI1173"/>
      <c r="EJ1173"/>
      <c r="EK1173"/>
      <c r="EL1173"/>
      <c r="EM1173"/>
      <c r="EN1173"/>
      <c r="EO1173"/>
      <c r="EP1173"/>
      <c r="EQ1173"/>
    </row>
    <row r="1174" spans="1:147" ht="16.5" customHeight="1" x14ac:dyDescent="0.25">
      <c r="A1174" s="113">
        <f>$A$1120+53</f>
        <v>359</v>
      </c>
      <c r="B1174" s="113" t="s">
        <v>1616</v>
      </c>
      <c r="C1174" s="113" t="s">
        <v>92</v>
      </c>
      <c r="D1174" s="113"/>
      <c r="E1174" s="113"/>
      <c r="F1174" s="113" t="s">
        <v>1048</v>
      </c>
      <c r="G1174" s="113" t="s">
        <v>406</v>
      </c>
      <c r="H1174" s="113"/>
      <c r="I1174" s="113"/>
      <c r="J1174" s="113" t="b">
        <f t="shared" si="200"/>
        <v>1</v>
      </c>
      <c r="K1174" s="113" t="b">
        <v>1</v>
      </c>
      <c r="L1174" s="113"/>
      <c r="M1174" s="113"/>
      <c r="N1174" s="113"/>
      <c r="O1174" s="113" t="str">
        <f t="shared" si="205"/>
        <v>$B$359</v>
      </c>
      <c r="P1174" s="113" t="str">
        <f t="shared" si="206"/>
        <v>$BK$359</v>
      </c>
      <c r="Q1174" s="113"/>
      <c r="R1174" s="113"/>
      <c r="S1174" s="113"/>
      <c r="T1174" s="113">
        <v>0</v>
      </c>
      <c r="U1174" s="113"/>
      <c r="V1174" s="113" t="s">
        <v>1342</v>
      </c>
      <c r="W1174" s="113"/>
      <c r="X1174" s="113"/>
      <c r="Y1174" s="113"/>
      <c r="Z1174" s="113"/>
      <c r="AA1174" s="113"/>
      <c r="AB1174" s="113"/>
      <c r="AC1174" s="113"/>
      <c r="AD1174" s="113"/>
      <c r="AE1174" s="113"/>
      <c r="AF1174" s="113"/>
      <c r="AG1174" s="113"/>
      <c r="AH1174" s="113"/>
      <c r="AI1174" s="113"/>
      <c r="AJ1174" s="113"/>
      <c r="AK1174" s="113"/>
      <c r="AL1174" s="113">
        <v>1</v>
      </c>
      <c r="AM1174" s="113"/>
      <c r="AN1174" s="113"/>
      <c r="AO1174" s="113"/>
      <c r="AP1174" s="113" t="b">
        <v>1</v>
      </c>
      <c r="AQ1174" s="252" t="s">
        <v>453</v>
      </c>
      <c r="AR1174" s="170"/>
      <c r="AS1174" s="170"/>
      <c r="AT1174" s="191">
        <f ca="1">SUM(AU1174:CZ1174)</f>
        <v>0</v>
      </c>
      <c r="AU1174" s="191">
        <f t="shared" ref="AU1174:AU1177" ca="1" si="207">AU1162-AU1168</f>
        <v>0</v>
      </c>
      <c r="AV1174" s="191">
        <f t="shared" ref="AV1174" ca="1" si="208">AV1162-AV1168</f>
        <v>0</v>
      </c>
      <c r="AW1174"/>
      <c r="AX1174"/>
      <c r="AY1174"/>
      <c r="AZ1174"/>
      <c r="BA1174"/>
      <c r="BB1174"/>
      <c r="BC1174"/>
      <c r="BD1174"/>
      <c r="BE1174"/>
      <c r="BF1174"/>
      <c r="BG1174"/>
      <c r="BH1174"/>
      <c r="BI1174"/>
      <c r="BJ1174"/>
      <c r="BK1174"/>
      <c r="BL1174"/>
      <c r="BM1174"/>
      <c r="BN1174"/>
      <c r="BO1174"/>
      <c r="BP1174"/>
      <c r="BQ1174"/>
      <c r="BR1174"/>
      <c r="BS1174"/>
      <c r="BT1174"/>
      <c r="BU1174"/>
      <c r="BV1174"/>
      <c r="BW1174"/>
      <c r="BX1174"/>
      <c r="BY1174"/>
      <c r="BZ1174"/>
      <c r="CA1174"/>
      <c r="CB1174"/>
      <c r="CC1174"/>
      <c r="CD1174"/>
      <c r="CE1174"/>
      <c r="CF1174"/>
      <c r="CG1174"/>
      <c r="CH1174"/>
      <c r="CI1174"/>
      <c r="CJ1174"/>
      <c r="CK1174"/>
      <c r="CL1174"/>
      <c r="CM1174"/>
      <c r="CN1174"/>
      <c r="CO1174"/>
      <c r="CP1174"/>
      <c r="CQ1174"/>
      <c r="CR1174"/>
      <c r="CS1174"/>
      <c r="CT1174"/>
      <c r="CU1174"/>
      <c r="CV1174"/>
      <c r="CW1174"/>
      <c r="CX1174"/>
      <c r="CY1174"/>
      <c r="CZ1174"/>
      <c r="DA1174"/>
      <c r="DB1174"/>
      <c r="DC1174"/>
      <c r="DD1174"/>
      <c r="DE1174"/>
      <c r="DF1174"/>
      <c r="DG1174"/>
      <c r="DH1174"/>
      <c r="DI1174"/>
      <c r="DJ1174"/>
      <c r="DK1174"/>
      <c r="DL1174"/>
      <c r="DM1174"/>
      <c r="DN1174"/>
      <c r="DO1174"/>
      <c r="DP1174"/>
      <c r="DQ1174"/>
      <c r="DR1174"/>
      <c r="DS1174"/>
      <c r="DT1174"/>
      <c r="DU1174"/>
      <c r="DV1174"/>
      <c r="DW1174"/>
      <c r="DX1174"/>
      <c r="DY1174"/>
      <c r="DZ1174"/>
      <c r="EA1174"/>
      <c r="EB1174"/>
      <c r="EC1174"/>
      <c r="ED1174"/>
      <c r="EE1174"/>
      <c r="EF1174"/>
      <c r="EG1174"/>
      <c r="EH1174"/>
      <c r="EI1174"/>
      <c r="EJ1174"/>
      <c r="EK1174"/>
      <c r="EL1174"/>
      <c r="EM1174"/>
      <c r="EN1174"/>
      <c r="EO1174"/>
      <c r="EP1174"/>
      <c r="EQ1174"/>
    </row>
    <row r="1175" spans="1:147" ht="16.5" customHeight="1" x14ac:dyDescent="0.25">
      <c r="A1175" s="113">
        <f>$A$1120+54</f>
        <v>360</v>
      </c>
      <c r="B1175" s="113" t="s">
        <v>1617</v>
      </c>
      <c r="C1175" s="113" t="s">
        <v>92</v>
      </c>
      <c r="D1175" s="113"/>
      <c r="E1175" s="113"/>
      <c r="F1175" s="113" t="s">
        <v>1048</v>
      </c>
      <c r="G1175" s="113" t="s">
        <v>406</v>
      </c>
      <c r="H1175" s="113"/>
      <c r="I1175" s="113"/>
      <c r="J1175" s="113" t="b">
        <f t="shared" si="200"/>
        <v>1</v>
      </c>
      <c r="K1175" s="113" t="b">
        <v>1</v>
      </c>
      <c r="L1175" s="113"/>
      <c r="M1175" s="113"/>
      <c r="N1175" s="113"/>
      <c r="O1175" s="113" t="str">
        <f t="shared" si="205"/>
        <v>$B$360</v>
      </c>
      <c r="P1175" s="113" t="str">
        <f t="shared" si="206"/>
        <v>$BK$360</v>
      </c>
      <c r="Q1175" s="113"/>
      <c r="R1175" s="113"/>
      <c r="S1175" s="113"/>
      <c r="T1175" s="113">
        <v>0</v>
      </c>
      <c r="U1175" s="113"/>
      <c r="V1175" s="113" t="s">
        <v>1342</v>
      </c>
      <c r="W1175" s="113"/>
      <c r="X1175" s="113"/>
      <c r="Y1175" s="113"/>
      <c r="Z1175" s="113"/>
      <c r="AA1175" s="113"/>
      <c r="AB1175" s="113"/>
      <c r="AC1175" s="113"/>
      <c r="AD1175" s="113"/>
      <c r="AE1175" s="113"/>
      <c r="AF1175" s="113"/>
      <c r="AG1175" s="113"/>
      <c r="AH1175" s="113"/>
      <c r="AI1175" s="113"/>
      <c r="AJ1175" s="113"/>
      <c r="AK1175" s="113"/>
      <c r="AL1175" s="113">
        <v>1</v>
      </c>
      <c r="AM1175" s="113"/>
      <c r="AN1175" s="113"/>
      <c r="AO1175" s="113"/>
      <c r="AP1175" s="113" t="b">
        <v>1</v>
      </c>
      <c r="AQ1175" s="252" t="s">
        <v>298</v>
      </c>
      <c r="AR1175" s="170"/>
      <c r="AS1175" s="170"/>
      <c r="AT1175" s="191">
        <f ca="1">SUM(AU1175:CZ1175)</f>
        <v>0</v>
      </c>
      <c r="AU1175" s="191">
        <f t="shared" ca="1" si="207"/>
        <v>0</v>
      </c>
      <c r="AV1175" s="191">
        <f t="shared" ref="AV1175" ca="1" si="209">AV1163-AV1169</f>
        <v>0</v>
      </c>
      <c r="AW1175"/>
      <c r="AX1175"/>
      <c r="AY1175"/>
      <c r="AZ1175"/>
      <c r="BA1175"/>
      <c r="BB1175"/>
      <c r="BC1175"/>
      <c r="BD1175"/>
      <c r="BE1175"/>
      <c r="BF1175"/>
      <c r="BG1175"/>
      <c r="BH1175"/>
      <c r="BI1175"/>
      <c r="BJ1175"/>
      <c r="BK1175"/>
      <c r="BL1175"/>
      <c r="BM1175"/>
      <c r="BN1175"/>
      <c r="BO1175"/>
      <c r="BP1175"/>
      <c r="BQ1175"/>
      <c r="BR1175"/>
      <c r="BS1175"/>
      <c r="BT1175"/>
      <c r="BU1175"/>
      <c r="BV1175"/>
      <c r="BW1175"/>
      <c r="BX1175"/>
      <c r="BY1175"/>
      <c r="BZ1175"/>
      <c r="CA1175"/>
      <c r="CB1175"/>
      <c r="CC1175"/>
      <c r="CD1175"/>
      <c r="CE1175"/>
      <c r="CF1175"/>
      <c r="CG1175"/>
      <c r="CH1175"/>
      <c r="CI1175"/>
      <c r="CJ1175"/>
      <c r="CK1175"/>
      <c r="CL1175"/>
      <c r="CM1175"/>
      <c r="CN1175"/>
      <c r="CO1175"/>
      <c r="CP1175"/>
      <c r="CQ1175"/>
      <c r="CR1175"/>
      <c r="CS1175"/>
      <c r="CT1175"/>
      <c r="CU1175"/>
      <c r="CV1175"/>
      <c r="CW1175"/>
      <c r="CX1175"/>
      <c r="CY1175"/>
      <c r="CZ1175"/>
      <c r="DA1175"/>
      <c r="DB1175"/>
      <c r="DC1175"/>
      <c r="DD1175"/>
      <c r="DE1175"/>
      <c r="DF1175"/>
      <c r="DG1175"/>
      <c r="DH1175"/>
      <c r="DI1175"/>
      <c r="DJ1175"/>
      <c r="DK1175"/>
      <c r="DL1175"/>
      <c r="DM1175"/>
      <c r="DN1175"/>
      <c r="DO1175"/>
      <c r="DP1175"/>
      <c r="DQ1175"/>
      <c r="DR1175"/>
      <c r="DS1175"/>
      <c r="DT1175"/>
      <c r="DU1175"/>
      <c r="DV1175"/>
      <c r="DW1175"/>
      <c r="DX1175"/>
      <c r="DY1175"/>
      <c r="DZ1175"/>
      <c r="EA1175"/>
      <c r="EB1175"/>
      <c r="EC1175"/>
      <c r="ED1175"/>
      <c r="EE1175"/>
      <c r="EF1175"/>
      <c r="EG1175"/>
      <c r="EH1175"/>
      <c r="EI1175"/>
      <c r="EJ1175"/>
      <c r="EK1175"/>
      <c r="EL1175"/>
      <c r="EM1175"/>
      <c r="EN1175"/>
      <c r="EO1175"/>
      <c r="EP1175"/>
      <c r="EQ1175"/>
    </row>
    <row r="1176" spans="1:147" ht="16.5" customHeight="1" x14ac:dyDescent="0.25">
      <c r="A1176" s="113">
        <f>$A$1120+55</f>
        <v>361</v>
      </c>
      <c r="B1176" s="113" t="s">
        <v>1618</v>
      </c>
      <c r="C1176" s="113" t="s">
        <v>92</v>
      </c>
      <c r="D1176" s="113"/>
      <c r="E1176" s="113"/>
      <c r="F1176" s="113" t="s">
        <v>1048</v>
      </c>
      <c r="G1176" s="113" t="s">
        <v>406</v>
      </c>
      <c r="H1176" s="113"/>
      <c r="I1176" s="113"/>
      <c r="J1176" s="113" t="b">
        <f t="shared" si="200"/>
        <v>1</v>
      </c>
      <c r="K1176" s="113" t="b">
        <v>1</v>
      </c>
      <c r="L1176" s="113"/>
      <c r="M1176" s="113"/>
      <c r="N1176" s="113"/>
      <c r="O1176" s="113" t="str">
        <f t="shared" si="205"/>
        <v>$B$361</v>
      </c>
      <c r="P1176" s="113" t="str">
        <f t="shared" si="206"/>
        <v>$BK$361</v>
      </c>
      <c r="Q1176" s="113"/>
      <c r="R1176" s="113"/>
      <c r="S1176" s="113"/>
      <c r="T1176" s="113">
        <v>0</v>
      </c>
      <c r="U1176" s="113"/>
      <c r="V1176" s="113" t="s">
        <v>1342</v>
      </c>
      <c r="W1176" s="113"/>
      <c r="X1176" s="113"/>
      <c r="Y1176" s="113"/>
      <c r="Z1176" s="113"/>
      <c r="AA1176" s="113"/>
      <c r="AB1176" s="113"/>
      <c r="AC1176" s="113"/>
      <c r="AD1176" s="113"/>
      <c r="AE1176" s="113"/>
      <c r="AF1176" s="113"/>
      <c r="AG1176" s="113"/>
      <c r="AH1176" s="113"/>
      <c r="AI1176" s="113"/>
      <c r="AJ1176" s="113"/>
      <c r="AK1176" s="113"/>
      <c r="AL1176" s="113">
        <v>1</v>
      </c>
      <c r="AM1176" s="113"/>
      <c r="AN1176" s="113"/>
      <c r="AO1176" s="113"/>
      <c r="AP1176" s="113" t="b">
        <v>1</v>
      </c>
      <c r="AQ1176" s="252" t="s">
        <v>495</v>
      </c>
      <c r="AR1176" s="170"/>
      <c r="AS1176" s="170"/>
      <c r="AT1176" s="191">
        <f ca="1">SUM(AU1176:CZ1176)</f>
        <v>0</v>
      </c>
      <c r="AU1176" s="191">
        <f t="shared" ca="1" si="207"/>
        <v>0</v>
      </c>
      <c r="AV1176" s="191">
        <f t="shared" ref="AV1176" ca="1" si="210">AV1164-AV1170</f>
        <v>0</v>
      </c>
      <c r="AW1176"/>
      <c r="AX1176"/>
      <c r="AY1176"/>
      <c r="AZ1176"/>
      <c r="BA1176"/>
      <c r="BB1176"/>
      <c r="BC1176"/>
      <c r="BD1176"/>
      <c r="BE1176"/>
      <c r="BF1176"/>
      <c r="BG1176"/>
      <c r="BH1176"/>
      <c r="BI1176"/>
      <c r="BJ1176"/>
      <c r="BK1176"/>
      <c r="BL1176"/>
      <c r="BM1176"/>
      <c r="BN1176"/>
      <c r="BO1176"/>
      <c r="BP1176"/>
      <c r="BQ1176"/>
      <c r="BR1176"/>
      <c r="BS1176"/>
      <c r="BT1176"/>
      <c r="BU1176"/>
      <c r="BV1176"/>
      <c r="BW1176"/>
      <c r="BX1176"/>
      <c r="BY1176"/>
      <c r="BZ1176"/>
      <c r="CA1176"/>
      <c r="CB1176"/>
      <c r="CC1176"/>
      <c r="CD1176"/>
      <c r="CE1176"/>
      <c r="CF1176"/>
      <c r="CG1176"/>
      <c r="CH1176"/>
      <c r="CI1176"/>
      <c r="CJ1176"/>
      <c r="CK1176"/>
      <c r="CL1176"/>
      <c r="CM1176"/>
      <c r="CN1176"/>
      <c r="CO1176"/>
      <c r="CP1176"/>
      <c r="CQ1176"/>
      <c r="CR1176"/>
      <c r="CS1176"/>
      <c r="CT1176"/>
      <c r="CU1176"/>
      <c r="CV1176"/>
      <c r="CW1176"/>
      <c r="CX1176"/>
      <c r="CY1176"/>
      <c r="CZ1176"/>
      <c r="DA1176"/>
      <c r="DB1176"/>
      <c r="DC1176"/>
      <c r="DD1176"/>
      <c r="DE1176"/>
      <c r="DF1176"/>
      <c r="DG1176"/>
      <c r="DH1176"/>
      <c r="DI1176"/>
      <c r="DJ1176"/>
      <c r="DK1176"/>
      <c r="DL1176"/>
      <c r="DM1176"/>
      <c r="DN1176"/>
      <c r="DO1176"/>
      <c r="DP1176"/>
      <c r="DQ1176"/>
      <c r="DR1176"/>
      <c r="DS1176"/>
      <c r="DT1176"/>
      <c r="DU1176"/>
      <c r="DV1176"/>
      <c r="DW1176"/>
      <c r="DX1176"/>
      <c r="DY1176"/>
      <c r="DZ1176"/>
      <c r="EA1176"/>
      <c r="EB1176"/>
      <c r="EC1176"/>
      <c r="ED1176"/>
      <c r="EE1176"/>
      <c r="EF1176"/>
      <c r="EG1176"/>
      <c r="EH1176"/>
      <c r="EI1176"/>
      <c r="EJ1176"/>
      <c r="EK1176"/>
      <c r="EL1176"/>
      <c r="EM1176"/>
      <c r="EN1176"/>
      <c r="EO1176"/>
      <c r="EP1176"/>
      <c r="EQ1176"/>
    </row>
    <row r="1177" spans="1:147" ht="16.5" customHeight="1" x14ac:dyDescent="0.25">
      <c r="A1177" s="113">
        <f>$A$1120+56</f>
        <v>362</v>
      </c>
      <c r="B1177" s="113" t="s">
        <v>1619</v>
      </c>
      <c r="C1177" s="113" t="s">
        <v>92</v>
      </c>
      <c r="D1177" s="113"/>
      <c r="E1177" s="113"/>
      <c r="F1177" s="113" t="s">
        <v>1048</v>
      </c>
      <c r="G1177" s="113" t="s">
        <v>406</v>
      </c>
      <c r="H1177" s="113"/>
      <c r="I1177" s="113"/>
      <c r="J1177" s="113" t="b">
        <f t="shared" si="200"/>
        <v>1</v>
      </c>
      <c r="K1177" s="113" t="b">
        <v>1</v>
      </c>
      <c r="L1177" s="113"/>
      <c r="M1177" s="113"/>
      <c r="N1177" s="113"/>
      <c r="O1177" s="113" t="str">
        <f>"$B$"&amp;A1177</f>
        <v>$B$362</v>
      </c>
      <c r="P1177" s="113" t="str">
        <f>"$BK$"&amp;A1177</f>
        <v>$BK$362</v>
      </c>
      <c r="Q1177" s="113"/>
      <c r="R1177" s="113"/>
      <c r="S1177" s="113"/>
      <c r="T1177" s="113">
        <v>0</v>
      </c>
      <c r="U1177" s="113"/>
      <c r="V1177" s="113" t="s">
        <v>1342</v>
      </c>
      <c r="W1177" s="113"/>
      <c r="X1177" s="113"/>
      <c r="Y1177" s="113"/>
      <c r="Z1177" s="113"/>
      <c r="AA1177" s="113"/>
      <c r="AB1177" s="113"/>
      <c r="AC1177" s="113"/>
      <c r="AD1177" s="113"/>
      <c r="AE1177" s="113"/>
      <c r="AF1177" s="113"/>
      <c r="AG1177" s="113"/>
      <c r="AH1177" s="113"/>
      <c r="AI1177" s="113"/>
      <c r="AJ1177" s="113"/>
      <c r="AK1177" s="113"/>
      <c r="AL1177" s="113">
        <v>1</v>
      </c>
      <c r="AM1177" s="113"/>
      <c r="AN1177" s="113"/>
      <c r="AO1177" s="113"/>
      <c r="AP1177" s="113" t="b">
        <v>1</v>
      </c>
      <c r="AQ1177" s="252" t="s">
        <v>496</v>
      </c>
      <c r="AR1177" s="170"/>
      <c r="AS1177" s="170"/>
      <c r="AT1177" s="191">
        <f ca="1">SUM(AU1177:CZ1177)</f>
        <v>0</v>
      </c>
      <c r="AU1177" s="191">
        <f t="shared" ca="1" si="207"/>
        <v>0</v>
      </c>
      <c r="AV1177" s="191">
        <f t="shared" ref="AV1177" ca="1" si="211">AV1165-AV1171</f>
        <v>0</v>
      </c>
      <c r="AW1177"/>
      <c r="AX1177"/>
      <c r="AY1177"/>
      <c r="AZ1177"/>
      <c r="BA1177"/>
      <c r="BB1177"/>
      <c r="BC1177"/>
      <c r="BD1177"/>
      <c r="BE1177"/>
      <c r="BF1177"/>
      <c r="BG1177"/>
      <c r="BH1177"/>
      <c r="BI1177"/>
      <c r="BJ1177"/>
      <c r="BK1177"/>
      <c r="BL1177"/>
      <c r="BM1177"/>
      <c r="BN1177"/>
      <c r="BO1177"/>
      <c r="BP1177"/>
      <c r="BQ1177"/>
      <c r="BR1177"/>
      <c r="BS1177"/>
      <c r="BT1177"/>
      <c r="BU1177"/>
      <c r="BV1177"/>
      <c r="BW1177"/>
      <c r="BX1177"/>
      <c r="BY1177"/>
      <c r="BZ1177"/>
      <c r="CA1177"/>
      <c r="CB1177"/>
      <c r="CC1177"/>
      <c r="CD1177"/>
      <c r="CE1177"/>
      <c r="CF1177"/>
      <c r="CG1177"/>
      <c r="CH1177"/>
      <c r="CI1177"/>
      <c r="CJ1177"/>
      <c r="CK1177"/>
      <c r="CL1177"/>
      <c r="CM1177"/>
      <c r="CN1177"/>
      <c r="CO1177"/>
      <c r="CP1177"/>
      <c r="CQ1177"/>
      <c r="CR1177"/>
      <c r="CS1177"/>
      <c r="CT1177"/>
      <c r="CU1177"/>
      <c r="CV1177"/>
      <c r="CW1177"/>
      <c r="CX1177"/>
      <c r="CY1177"/>
      <c r="CZ1177"/>
      <c r="DA1177"/>
      <c r="DB1177"/>
      <c r="DC1177"/>
      <c r="DD1177"/>
      <c r="DE1177"/>
      <c r="DF1177"/>
      <c r="DG1177"/>
      <c r="DH1177"/>
      <c r="DI1177"/>
      <c r="DJ1177"/>
      <c r="DK1177"/>
      <c r="DL1177"/>
      <c r="DM1177"/>
      <c r="DN1177"/>
      <c r="DO1177"/>
      <c r="DP1177"/>
      <c r="DQ1177"/>
      <c r="DR1177"/>
      <c r="DS1177"/>
      <c r="DT1177"/>
      <c r="DU1177"/>
      <c r="DV1177"/>
      <c r="DW1177"/>
      <c r="DX1177"/>
      <c r="DY1177"/>
      <c r="DZ1177"/>
      <c r="EA1177"/>
      <c r="EB1177"/>
      <c r="EC1177"/>
      <c r="ED1177"/>
      <c r="EE1177"/>
      <c r="EF1177"/>
      <c r="EG1177"/>
      <c r="EH1177"/>
      <c r="EI1177"/>
      <c r="EJ1177"/>
      <c r="EK1177"/>
      <c r="EL1177"/>
      <c r="EM1177"/>
      <c r="EN1177"/>
      <c r="EO1177"/>
      <c r="EP1177"/>
      <c r="EQ1177"/>
    </row>
    <row r="1178" spans="1:147" ht="16.5" customHeight="1" x14ac:dyDescent="0.25">
      <c r="A1178" s="113">
        <f>$A$1120+57</f>
        <v>363</v>
      </c>
      <c r="B1178" s="113" t="s">
        <v>1622</v>
      </c>
      <c r="C1178" s="113" t="s">
        <v>92</v>
      </c>
      <c r="D1178" s="113"/>
      <c r="E1178" s="113"/>
      <c r="F1178" s="113" t="s">
        <v>1048</v>
      </c>
      <c r="G1178" s="113" t="s">
        <v>406</v>
      </c>
      <c r="H1178" s="113"/>
      <c r="I1178" s="113"/>
      <c r="J1178" s="113" t="b">
        <f t="shared" si="200"/>
        <v>1</v>
      </c>
      <c r="K1178" s="113" t="b">
        <v>1</v>
      </c>
      <c r="L1178" s="113"/>
      <c r="M1178" s="113"/>
      <c r="N1178" s="113"/>
      <c r="O1178" s="113" t="str">
        <f t="shared" ref="O1178:O1179" si="212">"$B$"&amp;A1178</f>
        <v>$B$363</v>
      </c>
      <c r="P1178" s="113" t="str">
        <f t="shared" ref="P1178:P1179" si="213">"$BK$"&amp;A1178</f>
        <v>$BK$363</v>
      </c>
      <c r="Q1178" s="113"/>
      <c r="R1178" s="113"/>
      <c r="S1178" s="113"/>
      <c r="T1178" s="113">
        <v>0</v>
      </c>
      <c r="U1178" s="113"/>
      <c r="V1178" s="113" t="s">
        <v>1342</v>
      </c>
      <c r="W1178" s="113"/>
      <c r="X1178" s="113"/>
      <c r="Y1178" s="113"/>
      <c r="Z1178" s="113"/>
      <c r="AA1178" s="113"/>
      <c r="AB1178" s="113"/>
      <c r="AC1178" s="113"/>
      <c r="AD1178" s="113"/>
      <c r="AE1178" s="113"/>
      <c r="AF1178" s="113"/>
      <c r="AG1178" s="113"/>
      <c r="AH1178" s="113"/>
      <c r="AI1178" s="113"/>
      <c r="AJ1178" s="113"/>
      <c r="AK1178" s="113"/>
      <c r="AL1178" s="113">
        <v>1</v>
      </c>
      <c r="AM1178" s="113"/>
      <c r="AN1178" s="113"/>
      <c r="AO1178" s="113"/>
      <c r="AP1178" s="113" t="b">
        <v>1</v>
      </c>
      <c r="AQ1178" s="253" t="s">
        <v>1621</v>
      </c>
      <c r="AR1178" s="170"/>
      <c r="AS1178" s="170"/>
      <c r="AT1178" s="191"/>
      <c r="AU1178" s="191"/>
      <c r="AV1178" s="191"/>
      <c r="AW1178"/>
      <c r="AX1178"/>
      <c r="AY1178"/>
      <c r="AZ1178"/>
      <c r="BA1178"/>
      <c r="BB1178"/>
      <c r="BC1178"/>
      <c r="BD1178"/>
      <c r="BE1178"/>
      <c r="BF1178"/>
      <c r="BG1178"/>
      <c r="BH1178"/>
      <c r="BI1178"/>
      <c r="BJ1178"/>
      <c r="BK1178"/>
      <c r="BL1178"/>
      <c r="BM1178"/>
      <c r="BN1178"/>
      <c r="BO1178"/>
      <c r="BP1178"/>
      <c r="BQ1178"/>
      <c r="BR1178"/>
      <c r="BS1178"/>
      <c r="BT1178"/>
      <c r="BU1178"/>
      <c r="BV1178"/>
      <c r="BW1178"/>
      <c r="BX1178"/>
      <c r="BY1178"/>
      <c r="BZ1178"/>
      <c r="CA1178"/>
      <c r="CB1178"/>
      <c r="CC1178"/>
      <c r="CD1178"/>
      <c r="CE1178"/>
      <c r="CF1178"/>
      <c r="CG1178"/>
      <c r="CH1178"/>
      <c r="CI1178"/>
      <c r="CJ1178"/>
      <c r="CK1178"/>
      <c r="CL1178"/>
      <c r="CM1178"/>
      <c r="CN1178"/>
      <c r="CO1178"/>
      <c r="CP1178"/>
      <c r="CQ1178"/>
      <c r="CR1178"/>
      <c r="CS1178"/>
      <c r="CT1178"/>
      <c r="CU1178"/>
      <c r="CV1178"/>
      <c r="CW1178"/>
      <c r="CX1178"/>
      <c r="CY1178"/>
      <c r="CZ1178"/>
      <c r="DA1178"/>
      <c r="DB1178"/>
      <c r="DC1178"/>
      <c r="DD1178"/>
      <c r="DE1178"/>
      <c r="DF1178"/>
      <c r="DG1178"/>
      <c r="DH1178"/>
      <c r="DI1178"/>
      <c r="DJ1178"/>
      <c r="DK1178"/>
      <c r="DL1178"/>
      <c r="DM1178"/>
      <c r="DN1178"/>
      <c r="DO1178"/>
      <c r="DP1178"/>
      <c r="DQ1178"/>
      <c r="DR1178"/>
      <c r="DS1178"/>
      <c r="DT1178"/>
      <c r="DU1178"/>
      <c r="DV1178"/>
      <c r="DW1178"/>
      <c r="DX1178"/>
      <c r="DY1178"/>
      <c r="DZ1178"/>
      <c r="EA1178"/>
      <c r="EB1178"/>
      <c r="EC1178"/>
      <c r="ED1178"/>
      <c r="EE1178"/>
      <c r="EF1178"/>
      <c r="EG1178"/>
      <c r="EH1178"/>
      <c r="EI1178"/>
      <c r="EJ1178"/>
      <c r="EK1178"/>
      <c r="EL1178"/>
      <c r="EM1178"/>
      <c r="EN1178"/>
      <c r="EO1178"/>
      <c r="EP1178"/>
      <c r="EQ1178"/>
    </row>
    <row r="1179" spans="1:147" ht="16.5" customHeight="1" x14ac:dyDescent="0.25">
      <c r="A1179" s="113">
        <f>$A$1120+58</f>
        <v>364</v>
      </c>
      <c r="B1179" s="113" t="s">
        <v>1623</v>
      </c>
      <c r="C1179" s="113" t="s">
        <v>92</v>
      </c>
      <c r="D1179" s="113"/>
      <c r="E1179" s="113"/>
      <c r="F1179" s="113" t="s">
        <v>1048</v>
      </c>
      <c r="G1179" s="113" t="s">
        <v>406</v>
      </c>
      <c r="H1179" s="113"/>
      <c r="I1179" s="113"/>
      <c r="J1179" s="113" t="b">
        <f t="shared" si="200"/>
        <v>1</v>
      </c>
      <c r="K1179" s="113" t="b">
        <v>1</v>
      </c>
      <c r="L1179" s="113"/>
      <c r="M1179" s="113"/>
      <c r="N1179" s="113"/>
      <c r="O1179" s="113" t="str">
        <f t="shared" si="212"/>
        <v>$B$364</v>
      </c>
      <c r="P1179" s="113" t="str">
        <f t="shared" si="213"/>
        <v>$BK$364</v>
      </c>
      <c r="Q1179" s="113"/>
      <c r="R1179" s="113"/>
      <c r="S1179" s="113"/>
      <c r="T1179" s="113">
        <v>0</v>
      </c>
      <c r="U1179" s="113"/>
      <c r="V1179" s="113" t="s">
        <v>1342</v>
      </c>
      <c r="W1179" s="113"/>
      <c r="X1179" s="113"/>
      <c r="Y1179" s="113"/>
      <c r="Z1179" s="113"/>
      <c r="AA1179" s="113"/>
      <c r="AB1179" s="113"/>
      <c r="AC1179" s="113"/>
      <c r="AD1179" s="113"/>
      <c r="AE1179" s="113"/>
      <c r="AF1179" s="113"/>
      <c r="AG1179" s="113"/>
      <c r="AH1179" s="113"/>
      <c r="AI1179" s="113"/>
      <c r="AJ1179" s="113"/>
      <c r="AK1179" s="113"/>
      <c r="AL1179" s="113">
        <v>1</v>
      </c>
      <c r="AM1179" s="113"/>
      <c r="AN1179" s="113"/>
      <c r="AO1179" s="113"/>
      <c r="AP1179" s="113" t="b">
        <v>1</v>
      </c>
      <c r="AQ1179" s="252" t="s">
        <v>453</v>
      </c>
      <c r="AR1179" s="170"/>
      <c r="AS1179" s="170"/>
      <c r="AT1179" s="191">
        <f ca="1">SUM(AU1179:CZ1179)</f>
        <v>0</v>
      </c>
      <c r="AU1179" s="191">
        <f t="shared" ref="AU1179" ca="1" si="214">(AU1174+AU1135)-AU1141</f>
        <v>0</v>
      </c>
      <c r="AV1179" s="191">
        <f t="shared" ref="AV1179" ca="1" si="215">(AV1174+AV1135)-AV1141</f>
        <v>0</v>
      </c>
      <c r="AW1179"/>
      <c r="AX1179"/>
      <c r="AY1179"/>
      <c r="AZ1179"/>
      <c r="BA1179"/>
      <c r="BB1179"/>
      <c r="BC1179"/>
      <c r="BD1179"/>
      <c r="BE1179"/>
      <c r="BF1179"/>
      <c r="BG1179"/>
      <c r="BH1179"/>
      <c r="BI1179"/>
      <c r="BJ1179"/>
      <c r="BK1179"/>
      <c r="BL1179"/>
      <c r="BM1179"/>
      <c r="BN1179"/>
      <c r="BO1179"/>
      <c r="BP1179"/>
      <c r="BQ1179"/>
      <c r="BR1179"/>
      <c r="BS1179"/>
      <c r="BT1179"/>
      <c r="BU1179"/>
      <c r="BV1179"/>
      <c r="BW1179"/>
      <c r="BX1179"/>
      <c r="BY1179"/>
      <c r="BZ1179"/>
      <c r="CA1179"/>
      <c r="CB1179"/>
      <c r="CC1179"/>
      <c r="CD1179"/>
      <c r="CE1179"/>
      <c r="CF1179"/>
      <c r="CG1179"/>
      <c r="CH1179"/>
      <c r="CI1179"/>
      <c r="CJ1179"/>
      <c r="CK1179"/>
      <c r="CL1179"/>
      <c r="CM1179"/>
      <c r="CN1179"/>
      <c r="CO1179"/>
      <c r="CP1179"/>
      <c r="CQ1179"/>
      <c r="CR1179"/>
      <c r="CS1179"/>
      <c r="CT1179"/>
      <c r="CU1179"/>
      <c r="CV1179"/>
      <c r="CW1179"/>
      <c r="CX1179"/>
      <c r="CY1179"/>
      <c r="CZ1179"/>
      <c r="DA1179"/>
      <c r="DB1179"/>
      <c r="DC1179"/>
      <c r="DD1179"/>
      <c r="DE1179"/>
      <c r="DF1179"/>
      <c r="DG1179"/>
      <c r="DH1179"/>
      <c r="DI1179"/>
      <c r="DJ1179"/>
      <c r="DK1179"/>
      <c r="DL1179"/>
      <c r="DM1179"/>
      <c r="DN1179"/>
      <c r="DO1179"/>
      <c r="DP1179"/>
      <c r="DQ1179"/>
      <c r="DR1179"/>
      <c r="DS1179"/>
      <c r="DT1179"/>
      <c r="DU1179"/>
      <c r="DV1179"/>
      <c r="DW1179"/>
      <c r="DX1179"/>
      <c r="DY1179"/>
      <c r="DZ1179"/>
      <c r="EA1179"/>
      <c r="EB1179"/>
      <c r="EC1179"/>
      <c r="ED1179"/>
      <c r="EE1179"/>
      <c r="EF1179"/>
      <c r="EG1179"/>
      <c r="EH1179"/>
      <c r="EI1179"/>
      <c r="EJ1179"/>
      <c r="EK1179"/>
      <c r="EL1179"/>
      <c r="EM1179"/>
      <c r="EN1179"/>
      <c r="EO1179"/>
      <c r="EP1179"/>
      <c r="EQ1179"/>
    </row>
    <row r="1180" spans="1:147" ht="16.5" customHeight="1" x14ac:dyDescent="0.2">
      <c r="A1180" s="103">
        <f>$A$1120+59</f>
        <v>365</v>
      </c>
      <c r="B1180" s="103" t="s">
        <v>1085</v>
      </c>
      <c r="C1180" s="103" t="s">
        <v>654</v>
      </c>
      <c r="D1180" s="103"/>
      <c r="E1180" s="103"/>
      <c r="F1180" s="103"/>
      <c r="G1180" s="103" t="s">
        <v>406</v>
      </c>
      <c r="H1180" s="103"/>
      <c r="I1180" s="103" t="s">
        <v>474</v>
      </c>
      <c r="J1180" s="103" t="b">
        <f t="shared" si="200"/>
        <v>1</v>
      </c>
      <c r="K1180" s="103" t="b">
        <v>1</v>
      </c>
      <c r="L1180" s="103"/>
      <c r="M1180" s="103"/>
      <c r="N1180" s="103" t="s">
        <v>59</v>
      </c>
      <c r="O1180" s="103" t="str">
        <f t="shared" si="195"/>
        <v>$B$365</v>
      </c>
      <c r="P1180" s="103" t="str">
        <f>"$S$"&amp;A1180+20</f>
        <v>$S$385</v>
      </c>
      <c r="Q1180" s="103"/>
      <c r="R1180" s="103">
        <v>1</v>
      </c>
      <c r="S1180" s="103"/>
      <c r="T1180" s="103">
        <v>27</v>
      </c>
      <c r="U1180" s="103" t="b">
        <v>1</v>
      </c>
      <c r="V1180" s="103" t="s">
        <v>1352</v>
      </c>
      <c r="W1180" s="103" t="s">
        <v>1352</v>
      </c>
      <c r="X1180" s="103"/>
      <c r="Y1180" s="103"/>
      <c r="Z1180" s="103"/>
      <c r="AA1180" s="103"/>
      <c r="AB1180" s="103"/>
      <c r="AC1180" s="103">
        <v>7</v>
      </c>
      <c r="AD1180" s="103" t="s">
        <v>105</v>
      </c>
      <c r="AE1180" s="103">
        <v>20</v>
      </c>
      <c r="AF1180" s="103" t="b">
        <v>1</v>
      </c>
      <c r="AG1180" s="103" t="s">
        <v>1351</v>
      </c>
      <c r="AH1180" s="103" t="s">
        <v>29</v>
      </c>
      <c r="AI1180" s="103" t="s">
        <v>28</v>
      </c>
      <c r="AJ1180" s="103"/>
      <c r="AK1180" s="103"/>
      <c r="AL1180" s="103">
        <v>0</v>
      </c>
      <c r="AM1180" s="103"/>
      <c r="AN1180" s="103"/>
      <c r="AO1180" s="103"/>
      <c r="AP1180" s="103"/>
      <c r="AQ1180" s="149" t="s">
        <v>474</v>
      </c>
      <c r="AR1180" s="149"/>
      <c r="AS1180" s="149"/>
      <c r="AT1180" s="149"/>
      <c r="AU1180" s="149"/>
      <c r="AV1180" s="149"/>
      <c r="AW1180" s="149"/>
      <c r="AX1180" s="149"/>
      <c r="AY1180" s="149"/>
      <c r="AZ1180" s="149"/>
      <c r="BA1180" s="149"/>
      <c r="BB1180" s="149"/>
    </row>
    <row r="1181" spans="1:147" ht="16.5" customHeight="1" x14ac:dyDescent="0.2">
      <c r="A1181" s="81">
        <f>$A$1180+0</f>
        <v>365</v>
      </c>
      <c r="B1181" s="81" t="s">
        <v>1086</v>
      </c>
      <c r="C1181" s="81" t="s">
        <v>512</v>
      </c>
      <c r="D1181" s="81" t="s">
        <v>961</v>
      </c>
      <c r="E1181" s="81"/>
      <c r="F1181" s="81"/>
      <c r="G1181" s="81" t="s">
        <v>406</v>
      </c>
      <c r="H1181" s="81"/>
      <c r="I1181" s="81"/>
      <c r="J1181" s="81" t="b">
        <f t="shared" si="200"/>
        <v>1</v>
      </c>
      <c r="K1181" s="81" t="b">
        <v>1</v>
      </c>
      <c r="L1181" s="81" t="b">
        <v>0</v>
      </c>
      <c r="M1181" s="81"/>
      <c r="N1181" s="81" t="s">
        <v>59</v>
      </c>
      <c r="O1181" s="81" t="str">
        <f>"$U$"&amp;A1181</f>
        <v>$U$365</v>
      </c>
      <c r="P1181" s="81" t="str">
        <f>"$U$"&amp;A1181+20</f>
        <v>$U$385</v>
      </c>
      <c r="Q1181" s="81"/>
      <c r="R1181" s="81">
        <v>1</v>
      </c>
      <c r="S1181" s="81">
        <v>-20</v>
      </c>
      <c r="T1181" s="81"/>
      <c r="U1181" s="81" t="b">
        <f>$I$5</f>
        <v>0</v>
      </c>
      <c r="V1181" s="81" t="s">
        <v>1348</v>
      </c>
      <c r="W1181" s="81" t="s">
        <v>1348</v>
      </c>
      <c r="X1181" s="81"/>
      <c r="Y1181" s="81"/>
      <c r="Z1181" s="81"/>
      <c r="AA1181" s="81"/>
      <c r="AB1181" s="81"/>
      <c r="AC1181" s="81"/>
      <c r="AD1181" s="81"/>
      <c r="AE1181" s="81"/>
      <c r="AF1181" s="81"/>
      <c r="AG1181" s="81"/>
      <c r="AH1181" s="81"/>
      <c r="AI1181" s="81"/>
      <c r="AJ1181" s="81"/>
      <c r="AK1181" s="81"/>
      <c r="AL1181" s="81">
        <v>-10</v>
      </c>
      <c r="AM1181" s="81">
        <v>5</v>
      </c>
      <c r="AN1181" s="81"/>
      <c r="AO1181" s="81"/>
      <c r="AP1181" s="81"/>
    </row>
    <row r="1182" spans="1:147" ht="16.5" customHeight="1" x14ac:dyDescent="0.2">
      <c r="A1182" s="112">
        <f>$A$1180+2</f>
        <v>367</v>
      </c>
      <c r="B1182" s="112" t="s">
        <v>1088</v>
      </c>
      <c r="C1182" s="112" t="s">
        <v>90</v>
      </c>
      <c r="D1182" s="112"/>
      <c r="E1182" s="112"/>
      <c r="F1182" s="112"/>
      <c r="G1182" s="112" t="s">
        <v>406</v>
      </c>
      <c r="H1182" s="112"/>
      <c r="I1182" s="112"/>
      <c r="J1182" s="112" t="b">
        <f t="shared" si="200"/>
        <v>1</v>
      </c>
      <c r="K1182" s="112" t="b">
        <v>1</v>
      </c>
      <c r="L1182" s="112"/>
      <c r="M1182" s="112"/>
      <c r="N1182" s="112"/>
      <c r="O1182" s="112" t="str">
        <f>"$B$"&amp;A1182</f>
        <v>$B$367</v>
      </c>
      <c r="P1182" s="112" t="str">
        <f>"$E$"&amp;A1182</f>
        <v>$E$367</v>
      </c>
      <c r="Q1182" s="112"/>
      <c r="R1182" s="112"/>
      <c r="S1182" s="112"/>
      <c r="T1182" s="112"/>
      <c r="U1182" s="112"/>
      <c r="V1182" s="112" t="s">
        <v>1342</v>
      </c>
      <c r="W1182" s="112"/>
      <c r="X1182" s="112"/>
      <c r="Y1182" s="112"/>
      <c r="Z1182" s="112"/>
      <c r="AA1182" s="112"/>
      <c r="AB1182" s="112"/>
      <c r="AC1182" s="112"/>
      <c r="AD1182" s="112" t="s">
        <v>105</v>
      </c>
      <c r="AE1182" s="112">
        <v>12</v>
      </c>
      <c r="AF1182" s="112" t="b">
        <v>1</v>
      </c>
      <c r="AG1182" s="112" t="s">
        <v>1355</v>
      </c>
      <c r="AH1182" s="112" t="s">
        <v>29</v>
      </c>
      <c r="AI1182" s="112" t="s">
        <v>28</v>
      </c>
      <c r="AJ1182" s="112"/>
      <c r="AK1182" s="112"/>
      <c r="AL1182" s="112"/>
      <c r="AM1182" s="112"/>
      <c r="AN1182" s="112"/>
      <c r="AO1182" s="112"/>
      <c r="AP1182" s="112"/>
    </row>
    <row r="1183" spans="1:147" ht="16.5" customHeight="1" x14ac:dyDescent="0.2">
      <c r="A1183" s="113">
        <f>$A$1182+0</f>
        <v>367</v>
      </c>
      <c r="B1183" s="113" t="s">
        <v>1089</v>
      </c>
      <c r="C1183" s="113" t="s">
        <v>92</v>
      </c>
      <c r="D1183" s="113"/>
      <c r="E1183" s="113"/>
      <c r="F1183" s="113"/>
      <c r="G1183" s="113" t="s">
        <v>406</v>
      </c>
      <c r="H1183" s="113"/>
      <c r="I1183" s="113"/>
      <c r="J1183" s="113" t="b">
        <f t="shared" si="200"/>
        <v>1</v>
      </c>
      <c r="K1183" s="113" t="b">
        <v>1</v>
      </c>
      <c r="L1183" s="113"/>
      <c r="M1183" s="113"/>
      <c r="N1183" s="113"/>
      <c r="O1183" s="113" t="str">
        <f>"$B$"&amp;A1183</f>
        <v>$B$367</v>
      </c>
      <c r="P1183" s="113" t="str">
        <f>"$E$"&amp;A1183</f>
        <v>$E$367</v>
      </c>
      <c r="Q1183" s="113"/>
      <c r="R1183" s="113"/>
      <c r="S1183" s="113"/>
      <c r="T1183" s="113">
        <v>52</v>
      </c>
      <c r="U1183" s="113"/>
      <c r="V1183" s="113" t="s">
        <v>1342</v>
      </c>
      <c r="W1183" s="113"/>
      <c r="X1183" s="113"/>
      <c r="Y1183" s="113"/>
      <c r="Z1183" s="113"/>
      <c r="AA1183" s="113"/>
      <c r="AB1183" s="113"/>
      <c r="AC1183" s="113"/>
      <c r="AD1183" s="113"/>
      <c r="AE1183" s="113"/>
      <c r="AF1183" s="113"/>
      <c r="AG1183" s="113"/>
      <c r="AH1183" s="113"/>
      <c r="AI1183" s="113"/>
      <c r="AJ1183" s="113"/>
      <c r="AK1183" s="113"/>
      <c r="AL1183" s="113">
        <v>1</v>
      </c>
      <c r="AM1183" s="113"/>
      <c r="AN1183" s="113"/>
      <c r="AO1183" s="113"/>
      <c r="AP1183" s="113" t="b">
        <v>1</v>
      </c>
      <c r="AQ1183" s="551" t="str">
        <f>"Figur 1.17b.: Foreslået løsning sammenlignet med 0-scenarie (eksl.  "&amp;IF(MasterSheet_f_FP_CfgGroup1R3_VS,"program","projekt")&amp;"udgifter)"</f>
        <v>Figur 1.17b.: Foreslået løsning sammenlignet med 0-scenarie (eksl.  projektudgifter)</v>
      </c>
      <c r="AR1183" s="551"/>
      <c r="AS1183" s="551"/>
      <c r="AT1183" s="551"/>
    </row>
    <row r="1184" spans="1:147" ht="16.5" customHeight="1" x14ac:dyDescent="0.2">
      <c r="A1184" s="108">
        <f>$A$1182+1</f>
        <v>368</v>
      </c>
      <c r="B1184" s="128" t="s">
        <v>1090</v>
      </c>
      <c r="C1184" s="128" t="s">
        <v>598</v>
      </c>
      <c r="D1184" s="128"/>
      <c r="E1184" s="128"/>
      <c r="F1184" s="128"/>
      <c r="G1184" s="128" t="s">
        <v>406</v>
      </c>
      <c r="H1184" s="128" t="s">
        <v>632</v>
      </c>
      <c r="I1184" s="128"/>
      <c r="J1184" s="128" t="b">
        <v>0</v>
      </c>
      <c r="K1184" s="128" t="b">
        <v>1</v>
      </c>
      <c r="L1184" s="128"/>
      <c r="M1184" s="128"/>
      <c r="N1184" s="128" t="s">
        <v>59</v>
      </c>
      <c r="O1184" s="128" t="str">
        <f>"$B$"&amp;A1184</f>
        <v>$B$368</v>
      </c>
      <c r="P1184" s="128" t="str">
        <f>"$E$"&amp;A1184+10</f>
        <v>$E$378</v>
      </c>
      <c r="Q1184" s="128">
        <v>1</v>
      </c>
      <c r="R1184" s="128">
        <v>1</v>
      </c>
      <c r="S1184" s="128"/>
      <c r="T1184" s="128"/>
      <c r="U1184" s="128"/>
      <c r="V1184" s="128"/>
      <c r="W1184" s="128"/>
      <c r="X1184" s="128"/>
      <c r="Y1184" s="128"/>
      <c r="Z1184" s="128"/>
      <c r="AA1184" s="128"/>
      <c r="AB1184" s="128"/>
      <c r="AC1184" s="128">
        <v>5</v>
      </c>
      <c r="AD1184" s="128"/>
      <c r="AE1184" s="128">
        <v>12</v>
      </c>
      <c r="AF1184" s="128" t="b">
        <v>0</v>
      </c>
      <c r="AG1184" s="128" t="s">
        <v>1355</v>
      </c>
      <c r="AH1184" s="128" t="s">
        <v>29</v>
      </c>
      <c r="AI1184" s="128" t="s">
        <v>28</v>
      </c>
      <c r="AJ1184" s="128"/>
      <c r="AK1184" s="128"/>
      <c r="AL1184" s="128"/>
      <c r="AM1184" s="128"/>
      <c r="AN1184" s="128">
        <v>5</v>
      </c>
      <c r="AO1184" s="128"/>
      <c r="AP1184" s="128"/>
    </row>
    <row r="1185" spans="1:65" ht="16.5" customHeight="1" x14ac:dyDescent="0.2">
      <c r="A1185" s="112">
        <f>$A$1182+0</f>
        <v>367</v>
      </c>
      <c r="B1185" s="112" t="s">
        <v>1091</v>
      </c>
      <c r="C1185" s="112" t="s">
        <v>90</v>
      </c>
      <c r="D1185" s="112"/>
      <c r="E1185" s="112"/>
      <c r="F1185" s="112"/>
      <c r="G1185" s="112" t="s">
        <v>406</v>
      </c>
      <c r="H1185" s="112"/>
      <c r="I1185" s="112"/>
      <c r="J1185" s="112" t="b">
        <f t="shared" si="200"/>
        <v>1</v>
      </c>
      <c r="K1185" s="112" t="b">
        <v>1</v>
      </c>
      <c r="L1185" s="112"/>
      <c r="M1185" s="112"/>
      <c r="N1185" s="112"/>
      <c r="O1185" s="112" t="str">
        <f>"$I$"&amp;A1185</f>
        <v>$I$367</v>
      </c>
      <c r="P1185" s="112" t="str">
        <f>"$S$"&amp;A1185</f>
        <v>$S$367</v>
      </c>
      <c r="Q1185" s="112"/>
      <c r="R1185" s="112"/>
      <c r="S1185" s="112"/>
      <c r="T1185" s="112"/>
      <c r="U1185" s="112"/>
      <c r="V1185" s="112" t="s">
        <v>1342</v>
      </c>
      <c r="W1185" s="112"/>
      <c r="X1185" s="112"/>
      <c r="Y1185" s="112"/>
      <c r="Z1185" s="112"/>
      <c r="AA1185" s="112"/>
      <c r="AB1185" s="112"/>
      <c r="AC1185" s="112"/>
      <c r="AD1185" s="112" t="s">
        <v>105</v>
      </c>
      <c r="AE1185" s="112">
        <v>12</v>
      </c>
      <c r="AF1185" s="112" t="b">
        <v>1</v>
      </c>
      <c r="AG1185" s="112" t="s">
        <v>1355</v>
      </c>
      <c r="AH1185" s="112" t="s">
        <v>29</v>
      </c>
      <c r="AI1185" s="112" t="s">
        <v>28</v>
      </c>
      <c r="AJ1185" s="112"/>
      <c r="AK1185" s="112"/>
      <c r="AL1185" s="112"/>
      <c r="AM1185" s="112"/>
      <c r="AN1185" s="112"/>
      <c r="AO1185" s="112"/>
      <c r="AP1185" s="112"/>
    </row>
    <row r="1186" spans="1:65" ht="16.5" customHeight="1" x14ac:dyDescent="0.2">
      <c r="A1186" s="113">
        <f>$A$1185+0</f>
        <v>367</v>
      </c>
      <c r="B1186" s="113" t="s">
        <v>1092</v>
      </c>
      <c r="C1186" s="113" t="s">
        <v>92</v>
      </c>
      <c r="D1186" s="113"/>
      <c r="E1186" s="113"/>
      <c r="F1186" s="113"/>
      <c r="G1186" s="113" t="s">
        <v>406</v>
      </c>
      <c r="H1186" s="113"/>
      <c r="I1186" s="113"/>
      <c r="J1186" s="113" t="b">
        <f t="shared" si="200"/>
        <v>1</v>
      </c>
      <c r="K1186" s="113" t="b">
        <v>1</v>
      </c>
      <c r="L1186" s="113"/>
      <c r="M1186" s="113"/>
      <c r="N1186" s="113"/>
      <c r="O1186" s="113" t="str">
        <f>"$I$"&amp;A1186</f>
        <v>$I$367</v>
      </c>
      <c r="P1186" s="113" t="str">
        <f>"$S$"&amp;A1186</f>
        <v>$S$367</v>
      </c>
      <c r="Q1186" s="113"/>
      <c r="R1186" s="113"/>
      <c r="S1186" s="113"/>
      <c r="T1186" s="113">
        <v>52</v>
      </c>
      <c r="U1186" s="113"/>
      <c r="V1186" s="113" t="s">
        <v>1342</v>
      </c>
      <c r="W1186" s="113"/>
      <c r="X1186" s="113"/>
      <c r="Y1186" s="113"/>
      <c r="Z1186" s="113"/>
      <c r="AA1186" s="113"/>
      <c r="AB1186" s="113"/>
      <c r="AC1186" s="113"/>
      <c r="AD1186" s="113"/>
      <c r="AE1186" s="113"/>
      <c r="AF1186" s="113"/>
      <c r="AG1186" s="113"/>
      <c r="AH1186" s="113"/>
      <c r="AI1186" s="113"/>
      <c r="AJ1186" s="113"/>
      <c r="AK1186" s="113"/>
      <c r="AL1186" s="113">
        <v>1</v>
      </c>
      <c r="AM1186" s="113"/>
      <c r="AN1186" s="113"/>
      <c r="AO1186" s="113"/>
      <c r="AP1186" s="113" t="b">
        <v>1</v>
      </c>
      <c r="AQ1186" s="551" t="str">
        <f>"Figur 1.17c.: Foreslået løsning sammenlignet med 0-scenarie (inkl. "&amp;IF(MasterSheet_f_FP_CfgGroup1R3_VS,"program","projekt")&amp;"udgifter)"</f>
        <v>Figur 1.17c.: Foreslået løsning sammenlignet med 0-scenarie (inkl. projektudgifter)</v>
      </c>
      <c r="AR1186" s="551"/>
      <c r="AS1186" s="551"/>
      <c r="AT1186" s="551"/>
      <c r="AU1186" s="551"/>
      <c r="AV1186" s="551"/>
      <c r="AW1186" s="551"/>
      <c r="AX1186" s="551"/>
      <c r="AY1186" s="551"/>
      <c r="AZ1186" s="551"/>
      <c r="BA1186" s="551"/>
      <c r="BB1186" s="551"/>
    </row>
    <row r="1187" spans="1:65" ht="16.5" customHeight="1" x14ac:dyDescent="0.2">
      <c r="A1187" s="108">
        <f>$A$1185+1</f>
        <v>368</v>
      </c>
      <c r="B1187" s="128" t="s">
        <v>1093</v>
      </c>
      <c r="C1187" s="128" t="s">
        <v>598</v>
      </c>
      <c r="D1187" s="128"/>
      <c r="E1187" s="128"/>
      <c r="F1187" s="128"/>
      <c r="G1187" s="128" t="s">
        <v>406</v>
      </c>
      <c r="H1187" s="128" t="s">
        <v>632</v>
      </c>
      <c r="I1187" s="128"/>
      <c r="J1187" s="128" t="b">
        <v>0</v>
      </c>
      <c r="K1187" s="128" t="b">
        <v>1</v>
      </c>
      <c r="L1187" s="128"/>
      <c r="M1187" s="128"/>
      <c r="N1187" s="128" t="s">
        <v>59</v>
      </c>
      <c r="O1187" s="128" t="str">
        <f>"$I$"&amp;A1187</f>
        <v>$I$368</v>
      </c>
      <c r="P1187" s="128" t="str">
        <f>"$S$"&amp;1</f>
        <v>$S$1</v>
      </c>
      <c r="Q1187" s="128">
        <v>1</v>
      </c>
      <c r="R1187" s="128">
        <v>1</v>
      </c>
      <c r="S1187" s="128"/>
      <c r="T1187" s="128"/>
      <c r="U1187" s="128"/>
      <c r="V1187" s="128"/>
      <c r="W1187" s="128"/>
      <c r="X1187" s="128"/>
      <c r="Y1187" s="128"/>
      <c r="Z1187" s="128"/>
      <c r="AA1187" s="128"/>
      <c r="AB1187" s="128"/>
      <c r="AC1187" s="128">
        <v>5</v>
      </c>
      <c r="AD1187" s="128"/>
      <c r="AE1187" s="128">
        <v>12</v>
      </c>
      <c r="AF1187" s="128" t="b">
        <v>0</v>
      </c>
      <c r="AG1187" s="128" t="s">
        <v>1355</v>
      </c>
      <c r="AH1187" s="128" t="s">
        <v>29</v>
      </c>
      <c r="AI1187" s="128" t="s">
        <v>28</v>
      </c>
      <c r="AJ1187" s="128"/>
      <c r="AK1187" s="128"/>
      <c r="AL1187" s="128"/>
      <c r="AM1187" s="128"/>
      <c r="AN1187" s="128">
        <v>5</v>
      </c>
      <c r="AO1187" s="128"/>
      <c r="AP1187" s="128"/>
    </row>
    <row r="1188" spans="1:65" ht="16.5" customHeight="1" x14ac:dyDescent="0.2">
      <c r="A1188" s="99">
        <v>0</v>
      </c>
      <c r="B1188" s="99" t="s">
        <v>1314</v>
      </c>
      <c r="C1188" s="99" t="s">
        <v>89</v>
      </c>
      <c r="D1188" s="99"/>
      <c r="E1188" s="99"/>
      <c r="F1188" s="99">
        <v>11</v>
      </c>
      <c r="G1188" s="99" t="s">
        <v>1314</v>
      </c>
      <c r="H1188" s="99" t="s">
        <v>1554</v>
      </c>
      <c r="I1188" s="99">
        <f>COUNTIF(G:G,B1188)</f>
        <v>4</v>
      </c>
      <c r="J1188" s="99" t="b">
        <f>$E$5</f>
        <v>1</v>
      </c>
      <c r="K1188" s="99"/>
      <c r="L1188" s="99"/>
      <c r="M1188" s="99"/>
      <c r="N1188" s="99"/>
      <c r="O1188" s="99"/>
      <c r="P1188" s="99"/>
      <c r="Q1188" s="99"/>
      <c r="R1188" s="99"/>
      <c r="S1188" s="99"/>
      <c r="T1188" s="99"/>
      <c r="U1188" s="99"/>
      <c r="V1188" s="99"/>
      <c r="W1188" s="99" t="s">
        <v>1359</v>
      </c>
      <c r="X1188" s="99"/>
      <c r="Y1188" s="99"/>
      <c r="Z1188" s="99"/>
      <c r="AA1188" s="99"/>
      <c r="AB1188" s="99"/>
      <c r="AC1188" s="99"/>
      <c r="AD1188" s="99"/>
      <c r="AE1188" s="99"/>
      <c r="AF1188" s="99"/>
      <c r="AG1188" s="99"/>
      <c r="AH1188" s="99"/>
      <c r="AI1188" s="99"/>
      <c r="AJ1188" s="99">
        <v>80</v>
      </c>
      <c r="AK1188" s="99"/>
      <c r="AL1188" s="99"/>
      <c r="AM1188" s="99"/>
      <c r="AN1188" s="99"/>
      <c r="AO1188" s="99"/>
      <c r="AP1188" s="99"/>
    </row>
    <row r="1189" spans="1:65" ht="16.5" customHeight="1" x14ac:dyDescent="0.2">
      <c r="A1189" s="100">
        <f>$A$1188+2</f>
        <v>2</v>
      </c>
      <c r="B1189" s="100" t="s">
        <v>1315</v>
      </c>
      <c r="C1189" s="100" t="s">
        <v>649</v>
      </c>
      <c r="D1189" s="100"/>
      <c r="E1189" s="100"/>
      <c r="F1189" s="100"/>
      <c r="G1189" s="100" t="s">
        <v>1314</v>
      </c>
      <c r="H1189" s="100"/>
      <c r="I1189" s="100" t="s">
        <v>1313</v>
      </c>
      <c r="J1189" s="100" t="b">
        <f>$E$5</f>
        <v>1</v>
      </c>
      <c r="K1189" s="100" t="b">
        <v>1</v>
      </c>
      <c r="L1189" s="100"/>
      <c r="M1189" s="100"/>
      <c r="N1189" s="100" t="s">
        <v>59</v>
      </c>
      <c r="O1189" s="100" t="str">
        <f>"$B$"&amp;A1189</f>
        <v>$B$2</v>
      </c>
      <c r="P1189" s="100" t="str">
        <f>"$M$"&amp;A1189</f>
        <v>$M$2</v>
      </c>
      <c r="Q1189" s="100"/>
      <c r="R1189" s="100">
        <v>3</v>
      </c>
      <c r="S1189" s="100"/>
      <c r="T1189" s="100">
        <v>45</v>
      </c>
      <c r="U1189" s="100"/>
      <c r="V1189" s="100" t="s">
        <v>1351</v>
      </c>
      <c r="W1189" s="100"/>
      <c r="X1189" s="100"/>
      <c r="Y1189" s="100"/>
      <c r="Z1189" s="100"/>
      <c r="AA1189" s="100"/>
      <c r="AB1189" s="100">
        <v>3</v>
      </c>
      <c r="AC1189" s="100">
        <v>5</v>
      </c>
      <c r="AD1189" s="100" t="s">
        <v>105</v>
      </c>
      <c r="AE1189" s="100">
        <v>36</v>
      </c>
      <c r="AF1189" s="100" t="b">
        <v>1</v>
      </c>
      <c r="AG1189" s="100" t="s">
        <v>1355</v>
      </c>
      <c r="AH1189" s="100" t="s">
        <v>29</v>
      </c>
      <c r="AI1189" s="100" t="s">
        <v>28</v>
      </c>
      <c r="AJ1189" s="100"/>
      <c r="AK1189" s="100"/>
      <c r="AL1189" s="100">
        <v>0</v>
      </c>
      <c r="AM1189" s="100"/>
      <c r="AN1189" s="100"/>
      <c r="AO1189" s="100"/>
      <c r="AP1189" s="100"/>
    </row>
    <row r="1190" spans="1:65" ht="17.25" customHeight="1" thickBot="1" x14ac:dyDescent="0.25">
      <c r="A1190" s="113">
        <f>$A$1188+4</f>
        <v>4</v>
      </c>
      <c r="B1190" s="113" t="s">
        <v>1324</v>
      </c>
      <c r="C1190" s="113" t="s">
        <v>92</v>
      </c>
      <c r="D1190" s="113"/>
      <c r="E1190" s="113"/>
      <c r="F1190" s="113"/>
      <c r="G1190" s="113" t="s">
        <v>1314</v>
      </c>
      <c r="H1190" s="113"/>
      <c r="I1190" s="113"/>
      <c r="J1190" s="113" t="b">
        <f>$E$5</f>
        <v>1</v>
      </c>
      <c r="K1190" s="113" t="b">
        <v>1</v>
      </c>
      <c r="L1190" s="113"/>
      <c r="M1190" s="113"/>
      <c r="N1190" s="113"/>
      <c r="O1190" s="113" t="str">
        <f>"$B$"&amp;A1190</f>
        <v>$B$4</v>
      </c>
      <c r="P1190" s="113" t="str">
        <f>"$Y$"&amp;A1190</f>
        <v>$Y$4</v>
      </c>
      <c r="Q1190" s="113"/>
      <c r="R1190" s="113"/>
      <c r="S1190" s="113"/>
      <c r="T1190" s="113">
        <v>40</v>
      </c>
      <c r="U1190" s="113"/>
      <c r="V1190" s="113" t="s">
        <v>1342</v>
      </c>
      <c r="W1190" s="113"/>
      <c r="X1190" s="113"/>
      <c r="Y1190" s="113"/>
      <c r="Z1190" s="113"/>
      <c r="AA1190" s="113"/>
      <c r="AB1190" s="113"/>
      <c r="AC1190" s="113"/>
      <c r="AD1190" s="113"/>
      <c r="AE1190" s="113"/>
      <c r="AF1190" s="113"/>
      <c r="AG1190" s="113"/>
      <c r="AH1190" s="113" t="s">
        <v>29</v>
      </c>
      <c r="AI1190" s="113"/>
      <c r="AJ1190" s="113"/>
      <c r="AK1190" s="113"/>
      <c r="AL1190" s="113">
        <v>1</v>
      </c>
      <c r="AM1190" s="113"/>
      <c r="AN1190" s="113"/>
      <c r="AO1190" s="113"/>
      <c r="AP1190" s="113" t="b">
        <v>1</v>
      </c>
      <c r="AQ1190" s="22" t="s">
        <v>1312</v>
      </c>
      <c r="AR1190" s="19" t="s">
        <v>624</v>
      </c>
      <c r="AS1190" s="19" t="s">
        <v>625</v>
      </c>
      <c r="AT1190" s="19" t="s">
        <v>311</v>
      </c>
      <c r="AU1190" s="19" t="s">
        <v>1335</v>
      </c>
      <c r="AV1190" s="19" t="s">
        <v>1339</v>
      </c>
      <c r="AW1190" s="19" t="s">
        <v>1431</v>
      </c>
      <c r="BC1190" s="21" t="s">
        <v>300</v>
      </c>
      <c r="BD1190" s="21" t="s">
        <v>301</v>
      </c>
      <c r="BE1190" s="21" t="s">
        <v>302</v>
      </c>
      <c r="BF1190" s="21" t="s">
        <v>1336</v>
      </c>
      <c r="BG1190" s="21" t="s">
        <v>1337</v>
      </c>
      <c r="BH1190" s="21" t="s">
        <v>313</v>
      </c>
      <c r="BI1190" s="21" t="s">
        <v>314</v>
      </c>
      <c r="BJ1190" s="21" t="s">
        <v>315</v>
      </c>
      <c r="BK1190" s="21" t="s">
        <v>316</v>
      </c>
      <c r="BL1190" s="20" t="s">
        <v>1340</v>
      </c>
      <c r="BM1190" s="20" t="s">
        <v>1440</v>
      </c>
    </row>
    <row r="1191" spans="1:65" ht="16.5" customHeight="1" x14ac:dyDescent="0.2">
      <c r="A1191" s="98">
        <f>$A$1188+5</f>
        <v>5</v>
      </c>
      <c r="B1191" s="98" t="s">
        <v>1321</v>
      </c>
      <c r="C1191" s="98" t="s">
        <v>1316</v>
      </c>
      <c r="D1191" s="98"/>
      <c r="E1191" s="98"/>
      <c r="F1191" s="98">
        <f ca="1">COUNTA(INDIRECT(AQ1191,TRUE))*COUNTA(INDIRECT(AR1191,TRUE))*COUNTA(INDIRECT(AS1191,TRUE))*COUNTA(INDIRECT(AT1191,TRUE))</f>
        <v>90</v>
      </c>
      <c r="G1191" s="98" t="s">
        <v>1314</v>
      </c>
      <c r="H1191" s="98" t="s">
        <v>1324</v>
      </c>
      <c r="I1191" s="98" t="s">
        <v>1326</v>
      </c>
      <c r="J1191" s="98" t="b">
        <f>$E$5</f>
        <v>1</v>
      </c>
      <c r="K1191" s="98" t="b">
        <v>1</v>
      </c>
      <c r="L1191" s="98"/>
      <c r="M1191" s="98"/>
      <c r="N1191" s="98"/>
      <c r="O1191" s="98" t="str">
        <f>"$B$"&amp;A1191</f>
        <v>$B$5</v>
      </c>
      <c r="P1191" s="98" t="str">
        <f>"$H$"&amp;A1191</f>
        <v>$H$5</v>
      </c>
      <c r="Q1191" s="98"/>
      <c r="R1191" s="98"/>
      <c r="S1191" s="98"/>
      <c r="T1191" s="98"/>
      <c r="U1191" s="98"/>
      <c r="V1191" s="98"/>
      <c r="W1191" s="98"/>
      <c r="X1191" s="98"/>
      <c r="Y1191" s="98"/>
      <c r="Z1191" s="98"/>
      <c r="AA1191" s="98"/>
      <c r="AB1191" s="98"/>
      <c r="AC1191" s="98"/>
      <c r="AD1191" s="98"/>
      <c r="AE1191" s="98"/>
      <c r="AF1191" s="98"/>
      <c r="AG1191" s="98"/>
      <c r="AH1191" s="98"/>
      <c r="AI1191" s="98"/>
      <c r="AJ1191" s="98"/>
      <c r="AK1191" s="98"/>
      <c r="AL1191" s="98"/>
      <c r="AM1191" s="98"/>
      <c r="AN1191" s="98"/>
      <c r="AO1191" s="98"/>
      <c r="AP1191" s="98"/>
      <c r="AQ1191" s="93" t="s">
        <v>1319</v>
      </c>
      <c r="AR1191" s="93" t="s">
        <v>1317</v>
      </c>
      <c r="AS1191" s="93" t="s">
        <v>1320</v>
      </c>
      <c r="AT1191" s="93" t="s">
        <v>1325</v>
      </c>
      <c r="AU1191" s="93" t="s">
        <v>1338</v>
      </c>
    </row>
    <row r="1192" spans="1:65" ht="16.5" customHeight="1" x14ac:dyDescent="0.2">
      <c r="A1192" s="99">
        <v>0</v>
      </c>
      <c r="B1192" s="99" t="s">
        <v>1328</v>
      </c>
      <c r="C1192" s="99" t="s">
        <v>89</v>
      </c>
      <c r="D1192" s="99"/>
      <c r="E1192" s="99"/>
      <c r="F1192" s="99">
        <v>11</v>
      </c>
      <c r="G1192" s="99" t="s">
        <v>1328</v>
      </c>
      <c r="H1192" s="99" t="s">
        <v>1555</v>
      </c>
      <c r="I1192" s="99">
        <f>COUNTIF(G:G,B1192)</f>
        <v>4</v>
      </c>
      <c r="J1192" s="99" t="b">
        <f>$E$6</f>
        <v>1</v>
      </c>
      <c r="K1192" s="99"/>
      <c r="L1192" s="99"/>
      <c r="M1192" s="99"/>
      <c r="N1192" s="99"/>
      <c r="O1192" s="99"/>
      <c r="P1192" s="99"/>
      <c r="Q1192" s="99"/>
      <c r="R1192" s="99"/>
      <c r="S1192" s="99"/>
      <c r="T1192" s="99"/>
      <c r="U1192" s="99"/>
      <c r="V1192" s="99"/>
      <c r="W1192" s="99" t="s">
        <v>1359</v>
      </c>
      <c r="X1192" s="99"/>
      <c r="Y1192" s="99"/>
      <c r="Z1192" s="99"/>
      <c r="AA1192" s="99"/>
      <c r="AB1192" s="99"/>
      <c r="AC1192" s="99"/>
      <c r="AD1192" s="99"/>
      <c r="AE1192" s="99"/>
      <c r="AF1192" s="99"/>
      <c r="AG1192" s="99"/>
      <c r="AH1192" s="99"/>
      <c r="AI1192" s="99"/>
      <c r="AJ1192" s="99">
        <v>80</v>
      </c>
      <c r="AK1192" s="99"/>
      <c r="AL1192" s="99"/>
      <c r="AM1192" s="99"/>
      <c r="AN1192" s="99"/>
      <c r="AO1192" s="99"/>
      <c r="AP1192" s="99"/>
    </row>
    <row r="1193" spans="1:65" ht="16.5" customHeight="1" x14ac:dyDescent="0.2">
      <c r="A1193" s="100">
        <f>$A$1192+2</f>
        <v>2</v>
      </c>
      <c r="B1193" s="100" t="s">
        <v>1329</v>
      </c>
      <c r="C1193" s="100" t="s">
        <v>649</v>
      </c>
      <c r="D1193" s="100"/>
      <c r="E1193" s="100"/>
      <c r="F1193" s="100"/>
      <c r="G1193" s="100" t="s">
        <v>1328</v>
      </c>
      <c r="H1193" s="100"/>
      <c r="I1193" s="100" t="s">
        <v>1334</v>
      </c>
      <c r="J1193" s="100" t="b">
        <f>$E$6</f>
        <v>1</v>
      </c>
      <c r="K1193" s="100" t="b">
        <v>1</v>
      </c>
      <c r="L1193" s="100"/>
      <c r="M1193" s="100"/>
      <c r="N1193" s="100" t="s">
        <v>59</v>
      </c>
      <c r="O1193" s="100" t="str">
        <f>"$B$"&amp;A1193</f>
        <v>$B$2</v>
      </c>
      <c r="P1193" s="100" t="str">
        <f>"$M$"&amp;A1193</f>
        <v>$M$2</v>
      </c>
      <c r="Q1193" s="100"/>
      <c r="R1193" s="100">
        <v>3</v>
      </c>
      <c r="S1193" s="100"/>
      <c r="T1193" s="100">
        <v>45</v>
      </c>
      <c r="U1193" s="100"/>
      <c r="V1193" s="100" t="s">
        <v>1351</v>
      </c>
      <c r="W1193" s="100"/>
      <c r="X1193" s="100"/>
      <c r="Y1193" s="100"/>
      <c r="Z1193" s="100"/>
      <c r="AA1193" s="100"/>
      <c r="AB1193" s="100">
        <v>3</v>
      </c>
      <c r="AC1193" s="100">
        <v>5</v>
      </c>
      <c r="AD1193" s="100" t="s">
        <v>105</v>
      </c>
      <c r="AE1193" s="100">
        <v>36</v>
      </c>
      <c r="AF1193" s="100" t="b">
        <v>1</v>
      </c>
      <c r="AG1193" s="100" t="s">
        <v>1355</v>
      </c>
      <c r="AH1193" s="100" t="s">
        <v>29</v>
      </c>
      <c r="AI1193" s="100" t="s">
        <v>28</v>
      </c>
      <c r="AJ1193" s="100"/>
      <c r="AK1193" s="100"/>
      <c r="AL1193" s="100">
        <v>0</v>
      </c>
      <c r="AM1193" s="100"/>
      <c r="AN1193" s="100"/>
      <c r="AO1193" s="100"/>
      <c r="AP1193" s="100"/>
    </row>
    <row r="1194" spans="1:65" ht="17.25" customHeight="1" thickBot="1" x14ac:dyDescent="0.25">
      <c r="A1194" s="113">
        <f>$A$1192+4</f>
        <v>4</v>
      </c>
      <c r="B1194" s="113" t="s">
        <v>1330</v>
      </c>
      <c r="C1194" s="113" t="s">
        <v>92</v>
      </c>
      <c r="D1194" s="113"/>
      <c r="E1194" s="113"/>
      <c r="F1194" s="113"/>
      <c r="G1194" s="113" t="s">
        <v>1328</v>
      </c>
      <c r="H1194" s="113"/>
      <c r="I1194" s="113"/>
      <c r="J1194" s="113" t="b">
        <f>$E$6</f>
        <v>1</v>
      </c>
      <c r="K1194" s="113" t="b">
        <v>1</v>
      </c>
      <c r="L1194" s="113"/>
      <c r="M1194" s="113"/>
      <c r="N1194" s="113"/>
      <c r="O1194" s="113" t="str">
        <f>"$B$"&amp;A1194</f>
        <v>$B$4</v>
      </c>
      <c r="P1194" s="113" t="str">
        <f>"$Y$"&amp;A1194</f>
        <v>$Y$4</v>
      </c>
      <c r="Q1194" s="113"/>
      <c r="R1194" s="113"/>
      <c r="S1194" s="113"/>
      <c r="T1194" s="113">
        <v>40</v>
      </c>
      <c r="U1194" s="113"/>
      <c r="V1194" s="113" t="s">
        <v>1342</v>
      </c>
      <c r="W1194" s="113"/>
      <c r="X1194" s="113"/>
      <c r="Y1194" s="113"/>
      <c r="Z1194" s="113"/>
      <c r="AA1194" s="113"/>
      <c r="AB1194" s="113"/>
      <c r="AC1194" s="113"/>
      <c r="AD1194" s="113"/>
      <c r="AE1194" s="113"/>
      <c r="AF1194" s="113"/>
      <c r="AG1194" s="113"/>
      <c r="AH1194" s="113" t="s">
        <v>29</v>
      </c>
      <c r="AI1194" s="113"/>
      <c r="AJ1194" s="113"/>
      <c r="AK1194" s="113"/>
      <c r="AL1194" s="113">
        <v>1</v>
      </c>
      <c r="AM1194" s="113"/>
      <c r="AN1194" s="113"/>
      <c r="AO1194" s="113"/>
      <c r="AP1194" s="113" t="b">
        <v>1</v>
      </c>
      <c r="AQ1194" s="22" t="s">
        <v>1312</v>
      </c>
      <c r="AR1194" s="19" t="s">
        <v>624</v>
      </c>
      <c r="AS1194" s="19" t="s">
        <v>625</v>
      </c>
      <c r="AT1194" s="19" t="s">
        <v>311</v>
      </c>
      <c r="AU1194" s="19" t="s">
        <v>1335</v>
      </c>
      <c r="AV1194" s="19" t="s">
        <v>1339</v>
      </c>
      <c r="AW1194" s="19" t="s">
        <v>1431</v>
      </c>
      <c r="BC1194" s="21" t="s">
        <v>300</v>
      </c>
      <c r="BD1194" s="21" t="s">
        <v>301</v>
      </c>
      <c r="BE1194" s="21" t="s">
        <v>302</v>
      </c>
      <c r="BF1194" s="21" t="s">
        <v>1336</v>
      </c>
      <c r="BG1194" s="21" t="s">
        <v>1337</v>
      </c>
      <c r="BH1194" s="21" t="s">
        <v>313</v>
      </c>
      <c r="BI1194" s="21" t="s">
        <v>314</v>
      </c>
      <c r="BJ1194" s="21" t="s">
        <v>315</v>
      </c>
      <c r="BK1194" s="21" t="s">
        <v>316</v>
      </c>
      <c r="BL1194" s="20" t="s">
        <v>1340</v>
      </c>
      <c r="BM1194" s="20" t="s">
        <v>1440</v>
      </c>
    </row>
    <row r="1195" spans="1:65" ht="16.5" customHeight="1" x14ac:dyDescent="0.2">
      <c r="A1195" s="98">
        <f>$A$1192+5</f>
        <v>5</v>
      </c>
      <c r="B1195" s="98" t="s">
        <v>1331</v>
      </c>
      <c r="C1195" s="98" t="s">
        <v>1316</v>
      </c>
      <c r="D1195" s="98"/>
      <c r="E1195" s="98"/>
      <c r="F1195" s="98">
        <f ca="1">COUNTA(INDIRECT(AQ1195,TRUE))*COUNTA(INDIRECT(AR1195,TRUE))*COUNTA(INDIRECT(AS1195,TRUE))*COUNTA(INDIRECT(AT1195,TRUE))</f>
        <v>36</v>
      </c>
      <c r="G1195" s="98" t="s">
        <v>1328</v>
      </c>
      <c r="H1195" s="98" t="s">
        <v>1330</v>
      </c>
      <c r="I1195" s="98" t="s">
        <v>1333</v>
      </c>
      <c r="J1195" s="98" t="b">
        <f>$E$6</f>
        <v>1</v>
      </c>
      <c r="K1195" s="98" t="b">
        <v>1</v>
      </c>
      <c r="L1195" s="98"/>
      <c r="M1195" s="98"/>
      <c r="N1195" s="98"/>
      <c r="O1195" s="98" t="str">
        <f>"$B$"&amp;A1195</f>
        <v>$B$5</v>
      </c>
      <c r="P1195" s="98" t="str">
        <f>"$H$"&amp;A1195</f>
        <v>$H$5</v>
      </c>
      <c r="Q1195" s="98"/>
      <c r="R1195" s="98"/>
      <c r="S1195" s="98"/>
      <c r="T1195" s="98"/>
      <c r="U1195" s="98"/>
      <c r="V1195" s="98"/>
      <c r="W1195" s="98"/>
      <c r="X1195" s="98"/>
      <c r="Y1195" s="98"/>
      <c r="Z1195" s="98"/>
      <c r="AA1195" s="98"/>
      <c r="AB1195" s="98"/>
      <c r="AC1195" s="98"/>
      <c r="AD1195" s="98"/>
      <c r="AE1195" s="98"/>
      <c r="AF1195" s="98"/>
      <c r="AG1195" s="98"/>
      <c r="AH1195" s="98"/>
      <c r="AI1195" s="98"/>
      <c r="AJ1195" s="98"/>
      <c r="AK1195" s="98"/>
      <c r="AL1195" s="98"/>
      <c r="AM1195" s="98"/>
      <c r="AN1195" s="98"/>
      <c r="AO1195" s="98"/>
      <c r="AP1195" s="98"/>
      <c r="AQ1195" s="93" t="s">
        <v>1332</v>
      </c>
      <c r="AR1195" s="93" t="s">
        <v>1317</v>
      </c>
      <c r="AS1195" s="93" t="s">
        <v>1320</v>
      </c>
      <c r="AT1195" s="93" t="s">
        <v>1325</v>
      </c>
      <c r="AU1195" s="93" t="s">
        <v>1338</v>
      </c>
    </row>
    <row r="1196" spans="1:65" ht="16.5" customHeight="1" x14ac:dyDescent="0.2">
      <c r="A1196" s="99">
        <v>0</v>
      </c>
      <c r="B1196" s="99" t="s">
        <v>1362</v>
      </c>
      <c r="C1196" s="99" t="s">
        <v>89</v>
      </c>
      <c r="D1196" s="99"/>
      <c r="E1196" s="99"/>
      <c r="F1196" s="99">
        <v>11</v>
      </c>
      <c r="G1196" s="99" t="s">
        <v>1362</v>
      </c>
      <c r="H1196" s="99" t="s">
        <v>1555</v>
      </c>
      <c r="I1196" s="99">
        <f>COUNTIF(G:G,B1196)</f>
        <v>4</v>
      </c>
      <c r="J1196" s="99" t="b">
        <f t="shared" ref="J1196:J1207" si="216">$H$3</f>
        <v>1</v>
      </c>
      <c r="K1196" s="99"/>
      <c r="L1196" s="99"/>
      <c r="M1196" s="99"/>
      <c r="N1196" s="99"/>
      <c r="O1196" s="99"/>
      <c r="P1196" s="99"/>
      <c r="Q1196" s="99"/>
      <c r="R1196" s="99"/>
      <c r="S1196" s="99"/>
      <c r="T1196" s="99"/>
      <c r="U1196" s="99"/>
      <c r="V1196" s="99"/>
      <c r="W1196" s="99" t="s">
        <v>1359</v>
      </c>
      <c r="X1196" s="99"/>
      <c r="Y1196" s="99"/>
      <c r="Z1196" s="99"/>
      <c r="AA1196" s="99"/>
      <c r="AB1196" s="99"/>
      <c r="AC1196" s="99"/>
      <c r="AD1196" s="99"/>
      <c r="AE1196" s="99"/>
      <c r="AF1196" s="99"/>
      <c r="AG1196" s="99"/>
      <c r="AH1196" s="99"/>
      <c r="AI1196" s="99"/>
      <c r="AJ1196" s="99">
        <v>80</v>
      </c>
      <c r="AK1196" s="99"/>
      <c r="AL1196" s="99"/>
      <c r="AM1196" s="99"/>
      <c r="AN1196" s="99"/>
      <c r="AO1196" s="99"/>
      <c r="AP1196" s="99"/>
    </row>
    <row r="1197" spans="1:65" ht="16.5" customHeight="1" x14ac:dyDescent="0.2">
      <c r="A1197" s="100">
        <f>$A$1196+2</f>
        <v>2</v>
      </c>
      <c r="B1197" s="100" t="s">
        <v>1363</v>
      </c>
      <c r="C1197" s="100" t="s">
        <v>649</v>
      </c>
      <c r="D1197" s="100"/>
      <c r="E1197" s="100"/>
      <c r="F1197" s="100"/>
      <c r="G1197" s="100" t="s">
        <v>1362</v>
      </c>
      <c r="H1197" s="100"/>
      <c r="I1197" s="100" t="s">
        <v>1365</v>
      </c>
      <c r="J1197" s="100" t="b">
        <f t="shared" si="216"/>
        <v>1</v>
      </c>
      <c r="K1197" s="100" t="b">
        <v>1</v>
      </c>
      <c r="L1197" s="100"/>
      <c r="M1197" s="100"/>
      <c r="N1197" s="100" t="s">
        <v>59</v>
      </c>
      <c r="O1197" s="100" t="str">
        <f>"$B$"&amp;A1197</f>
        <v>$B$2</v>
      </c>
      <c r="P1197" s="100" t="str">
        <f>"$M$"&amp;A1197</f>
        <v>$M$2</v>
      </c>
      <c r="Q1197" s="100"/>
      <c r="R1197" s="100">
        <v>3</v>
      </c>
      <c r="S1197" s="100"/>
      <c r="T1197" s="100">
        <v>45</v>
      </c>
      <c r="U1197" s="100"/>
      <c r="V1197" s="100" t="s">
        <v>1351</v>
      </c>
      <c r="W1197" s="100"/>
      <c r="X1197" s="100"/>
      <c r="Y1197" s="100"/>
      <c r="Z1197" s="100"/>
      <c r="AA1197" s="100"/>
      <c r="AB1197" s="100">
        <v>3</v>
      </c>
      <c r="AC1197" s="100">
        <v>5</v>
      </c>
      <c r="AD1197" s="100" t="s">
        <v>105</v>
      </c>
      <c r="AE1197" s="100">
        <v>36</v>
      </c>
      <c r="AF1197" s="100" t="b">
        <v>1</v>
      </c>
      <c r="AG1197" s="100" t="s">
        <v>1355</v>
      </c>
      <c r="AH1197" s="100" t="s">
        <v>29</v>
      </c>
      <c r="AI1197" s="100" t="s">
        <v>28</v>
      </c>
      <c r="AJ1197" s="100"/>
      <c r="AK1197" s="100"/>
      <c r="AL1197" s="100">
        <v>0</v>
      </c>
      <c r="AM1197" s="100"/>
      <c r="AN1197" s="100"/>
      <c r="AO1197" s="100"/>
      <c r="AP1197" s="100"/>
    </row>
    <row r="1198" spans="1:65" ht="18" customHeight="1" thickBot="1" x14ac:dyDescent="0.25">
      <c r="A1198" s="113">
        <f>$A$1196+4</f>
        <v>4</v>
      </c>
      <c r="B1198" s="113" t="s">
        <v>1364</v>
      </c>
      <c r="C1198" s="113" t="s">
        <v>92</v>
      </c>
      <c r="D1198" s="113"/>
      <c r="E1198" s="113"/>
      <c r="F1198" s="113"/>
      <c r="G1198" s="113" t="s">
        <v>1362</v>
      </c>
      <c r="H1198" s="113"/>
      <c r="I1198" s="113"/>
      <c r="J1198" s="113" t="b">
        <f t="shared" si="216"/>
        <v>1</v>
      </c>
      <c r="K1198" s="113" t="b">
        <v>1</v>
      </c>
      <c r="L1198" s="113"/>
      <c r="M1198" s="113"/>
      <c r="N1198" s="113"/>
      <c r="O1198" s="113" t="str">
        <f>"$B$"&amp;A1198</f>
        <v>$B$4</v>
      </c>
      <c r="P1198" s="113" t="str">
        <f>"$Y$"&amp;A1198</f>
        <v>$Y$4</v>
      </c>
      <c r="Q1198" s="113"/>
      <c r="R1198" s="113"/>
      <c r="S1198" s="113"/>
      <c r="T1198" s="113">
        <v>40</v>
      </c>
      <c r="U1198" s="113"/>
      <c r="V1198" s="113" t="s">
        <v>1342</v>
      </c>
      <c r="W1198" s="113"/>
      <c r="X1198" s="113"/>
      <c r="Y1198" s="113"/>
      <c r="Z1198" s="113"/>
      <c r="AA1198" s="113"/>
      <c r="AB1198" s="113"/>
      <c r="AC1198" s="113"/>
      <c r="AD1198" s="113"/>
      <c r="AE1198" s="113"/>
      <c r="AF1198" s="113"/>
      <c r="AG1198" s="113"/>
      <c r="AH1198" s="113" t="s">
        <v>29</v>
      </c>
      <c r="AI1198" s="113"/>
      <c r="AJ1198" s="113"/>
      <c r="AK1198" s="113"/>
      <c r="AL1198" s="113">
        <v>1</v>
      </c>
      <c r="AM1198" s="113"/>
      <c r="AN1198" s="113"/>
      <c r="AO1198" s="113"/>
      <c r="AP1198" s="113" t="b">
        <v>1</v>
      </c>
      <c r="AQ1198" s="22" t="s">
        <v>1312</v>
      </c>
      <c r="AR1198" s="19" t="s">
        <v>624</v>
      </c>
      <c r="AS1198" s="19" t="s">
        <v>367</v>
      </c>
      <c r="AT1198" s="19" t="s">
        <v>311</v>
      </c>
      <c r="AU1198" s="19" t="s">
        <v>1335</v>
      </c>
      <c r="AV1198" s="19" t="s">
        <v>1339</v>
      </c>
      <c r="AW1198" s="19" t="s">
        <v>1431</v>
      </c>
      <c r="BC1198" s="21" t="s">
        <v>300</v>
      </c>
      <c r="BD1198" s="21" t="s">
        <v>301</v>
      </c>
      <c r="BE1198" s="21" t="s">
        <v>302</v>
      </c>
      <c r="BF1198" s="21" t="s">
        <v>1336</v>
      </c>
      <c r="BG1198" s="21" t="s">
        <v>1337</v>
      </c>
      <c r="BH1198" s="21" t="s">
        <v>313</v>
      </c>
      <c r="BI1198" s="21" t="s">
        <v>314</v>
      </c>
      <c r="BJ1198" s="21" t="s">
        <v>315</v>
      </c>
      <c r="BK1198" s="21" t="s">
        <v>316</v>
      </c>
      <c r="BL1198" s="20" t="s">
        <v>1340</v>
      </c>
      <c r="BM1198" s="20" t="s">
        <v>1440</v>
      </c>
    </row>
    <row r="1199" spans="1:65" ht="16.5" customHeight="1" x14ac:dyDescent="0.2">
      <c r="A1199" s="98">
        <f>$A$1196+5</f>
        <v>5</v>
      </c>
      <c r="B1199" s="98" t="s">
        <v>1366</v>
      </c>
      <c r="C1199" s="98" t="s">
        <v>1316</v>
      </c>
      <c r="D1199" s="98"/>
      <c r="E1199" s="98"/>
      <c r="F1199" s="98">
        <f ca="1">COUNTA(INDIRECT(AQ1199,TRUE))*COUNTA(INDIRECT(AR1199,TRUE))*COUNTA(INDIRECT(AS1199,TRUE))*COUNTA(INDIRECT(AT1199,TRUE))</f>
        <v>18</v>
      </c>
      <c r="G1199" s="98" t="s">
        <v>1362</v>
      </c>
      <c r="H1199" s="98" t="s">
        <v>1364</v>
      </c>
      <c r="I1199" s="98" t="s">
        <v>1377</v>
      </c>
      <c r="J1199" s="98" t="b">
        <f t="shared" si="216"/>
        <v>1</v>
      </c>
      <c r="K1199" s="98" t="b">
        <v>1</v>
      </c>
      <c r="L1199" s="98"/>
      <c r="M1199" s="98"/>
      <c r="N1199" s="98"/>
      <c r="O1199" s="98" t="str">
        <f>"$B$"&amp;A1199</f>
        <v>$B$5</v>
      </c>
      <c r="P1199" s="98" t="str">
        <f>"$H$"&amp;A1199</f>
        <v>$H$5</v>
      </c>
      <c r="Q1199" s="98"/>
      <c r="R1199" s="98"/>
      <c r="S1199" s="98"/>
      <c r="T1199" s="98"/>
      <c r="U1199" s="98"/>
      <c r="V1199" s="98"/>
      <c r="W1199" s="98"/>
      <c r="X1199" s="98"/>
      <c r="Y1199" s="98"/>
      <c r="Z1199" s="98"/>
      <c r="AA1199" s="98"/>
      <c r="AB1199" s="98"/>
      <c r="AC1199" s="98"/>
      <c r="AD1199" s="98"/>
      <c r="AE1199" s="98"/>
      <c r="AF1199" s="98"/>
      <c r="AG1199" s="98"/>
      <c r="AH1199" s="98"/>
      <c r="AI1199" s="98"/>
      <c r="AJ1199" s="98"/>
      <c r="AK1199" s="98"/>
      <c r="AL1199" s="98"/>
      <c r="AM1199" s="98"/>
      <c r="AN1199" s="98"/>
      <c r="AO1199" s="98"/>
      <c r="AP1199" s="98"/>
      <c r="AQ1199" s="93" t="s">
        <v>1376</v>
      </c>
      <c r="AR1199" s="93" t="s">
        <v>1317</v>
      </c>
      <c r="AS1199" s="93" t="s">
        <v>1568</v>
      </c>
      <c r="AT1199" s="93" t="s">
        <v>1325</v>
      </c>
      <c r="AU1199" s="93" t="s">
        <v>1338</v>
      </c>
    </row>
    <row r="1200" spans="1:65" ht="16.5" customHeight="1" x14ac:dyDescent="0.2">
      <c r="A1200" s="99">
        <v>0</v>
      </c>
      <c r="B1200" s="99" t="s">
        <v>1386</v>
      </c>
      <c r="C1200" s="99" t="s">
        <v>89</v>
      </c>
      <c r="D1200" s="99"/>
      <c r="E1200" s="99"/>
      <c r="F1200" s="99">
        <v>11</v>
      </c>
      <c r="G1200" s="99" t="s">
        <v>1386</v>
      </c>
      <c r="H1200" s="99" t="s">
        <v>1556</v>
      </c>
      <c r="I1200" s="99">
        <f>COUNTIF(G:G,B1200)</f>
        <v>4</v>
      </c>
      <c r="J1200" s="99" t="b">
        <f t="shared" si="216"/>
        <v>1</v>
      </c>
      <c r="K1200" s="99"/>
      <c r="L1200" s="99"/>
      <c r="M1200" s="99"/>
      <c r="N1200" s="99"/>
      <c r="O1200" s="99"/>
      <c r="P1200" s="99"/>
      <c r="Q1200" s="99"/>
      <c r="R1200" s="99"/>
      <c r="S1200" s="99"/>
      <c r="T1200" s="99"/>
      <c r="U1200" s="99"/>
      <c r="V1200" s="99"/>
      <c r="W1200" s="99" t="s">
        <v>1359</v>
      </c>
      <c r="X1200" s="99"/>
      <c r="Y1200" s="99"/>
      <c r="Z1200" s="99"/>
      <c r="AA1200" s="99"/>
      <c r="AB1200" s="99"/>
      <c r="AC1200" s="99"/>
      <c r="AD1200" s="99"/>
      <c r="AE1200" s="99"/>
      <c r="AF1200" s="99"/>
      <c r="AG1200" s="99"/>
      <c r="AH1200" s="99"/>
      <c r="AI1200" s="99"/>
      <c r="AJ1200" s="99">
        <v>80</v>
      </c>
      <c r="AK1200" s="99"/>
      <c r="AL1200" s="99"/>
      <c r="AM1200" s="99"/>
      <c r="AN1200" s="99"/>
      <c r="AO1200" s="99"/>
      <c r="AP1200" s="99"/>
    </row>
    <row r="1201" spans="1:65" ht="16.5" customHeight="1" x14ac:dyDescent="0.2">
      <c r="A1201" s="100">
        <f>$A$1200+2</f>
        <v>2</v>
      </c>
      <c r="B1201" s="100" t="s">
        <v>1388</v>
      </c>
      <c r="C1201" s="100" t="s">
        <v>649</v>
      </c>
      <c r="D1201" s="100"/>
      <c r="E1201" s="100"/>
      <c r="F1201" s="100"/>
      <c r="G1201" s="100" t="s">
        <v>1386</v>
      </c>
      <c r="H1201" s="100"/>
      <c r="I1201" s="100" t="s">
        <v>1365</v>
      </c>
      <c r="J1201" s="100" t="b">
        <f t="shared" si="216"/>
        <v>1</v>
      </c>
      <c r="K1201" s="100" t="b">
        <v>1</v>
      </c>
      <c r="L1201" s="100"/>
      <c r="M1201" s="100"/>
      <c r="N1201" s="100" t="s">
        <v>59</v>
      </c>
      <c r="O1201" s="100" t="str">
        <f>"$B$"&amp;A1201</f>
        <v>$B$2</v>
      </c>
      <c r="P1201" s="100" t="str">
        <f>"$M$"&amp;A1201</f>
        <v>$M$2</v>
      </c>
      <c r="Q1201" s="100"/>
      <c r="R1201" s="100">
        <v>3</v>
      </c>
      <c r="S1201" s="100"/>
      <c r="T1201" s="100">
        <v>45</v>
      </c>
      <c r="U1201" s="100"/>
      <c r="V1201" s="100" t="s">
        <v>1351</v>
      </c>
      <c r="W1201" s="100"/>
      <c r="X1201" s="100"/>
      <c r="Y1201" s="100"/>
      <c r="Z1201" s="100"/>
      <c r="AA1201" s="100"/>
      <c r="AB1201" s="100">
        <v>3</v>
      </c>
      <c r="AC1201" s="100">
        <v>5</v>
      </c>
      <c r="AD1201" s="100" t="s">
        <v>105</v>
      </c>
      <c r="AE1201" s="100">
        <v>36</v>
      </c>
      <c r="AF1201" s="100" t="b">
        <v>1</v>
      </c>
      <c r="AG1201" s="100" t="s">
        <v>1355</v>
      </c>
      <c r="AH1201" s="100" t="s">
        <v>29</v>
      </c>
      <c r="AI1201" s="100" t="s">
        <v>28</v>
      </c>
      <c r="AJ1201" s="100"/>
      <c r="AK1201" s="100"/>
      <c r="AL1201" s="100">
        <v>0</v>
      </c>
      <c r="AM1201" s="100"/>
      <c r="AN1201" s="100"/>
      <c r="AO1201" s="100"/>
      <c r="AP1201" s="100"/>
    </row>
    <row r="1202" spans="1:65" ht="18" customHeight="1" thickBot="1" x14ac:dyDescent="0.25">
      <c r="A1202" s="113">
        <f>$A$1200+4</f>
        <v>4</v>
      </c>
      <c r="B1202" s="113" t="s">
        <v>1389</v>
      </c>
      <c r="C1202" s="113" t="s">
        <v>92</v>
      </c>
      <c r="D1202" s="113"/>
      <c r="E1202" s="113"/>
      <c r="F1202" s="113"/>
      <c r="G1202" s="113" t="s">
        <v>1386</v>
      </c>
      <c r="H1202" s="113"/>
      <c r="I1202" s="113"/>
      <c r="J1202" s="113" t="b">
        <f t="shared" si="216"/>
        <v>1</v>
      </c>
      <c r="K1202" s="113" t="b">
        <v>1</v>
      </c>
      <c r="L1202" s="113"/>
      <c r="M1202" s="113"/>
      <c r="N1202" s="113"/>
      <c r="O1202" s="113" t="str">
        <f>"$B$"&amp;A1202</f>
        <v>$B$4</v>
      </c>
      <c r="P1202" s="113" t="str">
        <f>"$Y$"&amp;A1202</f>
        <v>$Y$4</v>
      </c>
      <c r="Q1202" s="113"/>
      <c r="R1202" s="113"/>
      <c r="S1202" s="113"/>
      <c r="T1202" s="113">
        <v>40</v>
      </c>
      <c r="U1202" s="113"/>
      <c r="V1202" s="113" t="s">
        <v>1342</v>
      </c>
      <c r="W1202" s="113"/>
      <c r="X1202" s="113"/>
      <c r="Y1202" s="113"/>
      <c r="Z1202" s="113"/>
      <c r="AA1202" s="113"/>
      <c r="AB1202" s="113"/>
      <c r="AC1202" s="113"/>
      <c r="AD1202" s="113"/>
      <c r="AE1202" s="113"/>
      <c r="AF1202" s="113"/>
      <c r="AG1202" s="113"/>
      <c r="AH1202" s="113" t="s">
        <v>29</v>
      </c>
      <c r="AI1202" s="113"/>
      <c r="AJ1202" s="113"/>
      <c r="AK1202" s="113"/>
      <c r="AL1202" s="113">
        <v>1</v>
      </c>
      <c r="AM1202" s="113"/>
      <c r="AN1202" s="113"/>
      <c r="AO1202" s="113"/>
      <c r="AP1202" s="113" t="b">
        <v>1</v>
      </c>
      <c r="AQ1202" s="22" t="s">
        <v>1312</v>
      </c>
      <c r="AR1202" s="19" t="s">
        <v>369</v>
      </c>
      <c r="BC1202" s="21" t="s">
        <v>300</v>
      </c>
      <c r="BD1202" s="21" t="s">
        <v>301</v>
      </c>
      <c r="BE1202" s="21" t="s">
        <v>302</v>
      </c>
      <c r="BF1202" s="21" t="s">
        <v>1336</v>
      </c>
      <c r="BG1202" s="21" t="s">
        <v>1337</v>
      </c>
    </row>
    <row r="1203" spans="1:65" ht="16.5" customHeight="1" x14ac:dyDescent="0.2">
      <c r="A1203" s="98">
        <f>$A$1200+5</f>
        <v>5</v>
      </c>
      <c r="B1203" s="98" t="s">
        <v>1390</v>
      </c>
      <c r="C1203" s="98" t="s">
        <v>1316</v>
      </c>
      <c r="D1203" s="98"/>
      <c r="E1203" s="98"/>
      <c r="F1203" s="98">
        <f ca="1">COUNTA(INDIRECT(AQ1203,TRUE))*COUNTA(INDIRECT(AR1203,TRUE))*COUNTA(INDIRECT(#REF!,TRUE))*COUNTA(INDIRECT(#REF!,TRUE))</f>
        <v>1</v>
      </c>
      <c r="G1203" s="98" t="s">
        <v>1386</v>
      </c>
      <c r="H1203" s="98" t="s">
        <v>1389</v>
      </c>
      <c r="I1203" s="98" t="s">
        <v>1384</v>
      </c>
      <c r="J1203" s="98" t="b">
        <f t="shared" si="216"/>
        <v>1</v>
      </c>
      <c r="K1203" s="98" t="b">
        <v>1</v>
      </c>
      <c r="L1203" s="98"/>
      <c r="M1203" s="98"/>
      <c r="N1203" s="98"/>
      <c r="O1203" s="98" t="str">
        <f>"$B$"&amp;A1203</f>
        <v>$B$5</v>
      </c>
      <c r="P1203" s="98" t="str">
        <f>"$H$"&amp;A1203</f>
        <v>$H$5</v>
      </c>
      <c r="Q1203" s="98"/>
      <c r="R1203" s="98"/>
      <c r="S1203" s="98"/>
      <c r="T1203" s="98"/>
      <c r="U1203" s="98"/>
      <c r="V1203" s="98"/>
      <c r="W1203" s="98"/>
      <c r="X1203" s="98"/>
      <c r="Y1203" s="98"/>
      <c r="Z1203" s="98"/>
      <c r="AA1203" s="98"/>
      <c r="AB1203" s="98"/>
      <c r="AC1203" s="98"/>
      <c r="AD1203" s="98"/>
      <c r="AE1203" s="98"/>
      <c r="AF1203" s="98"/>
      <c r="AG1203" s="98"/>
      <c r="AH1203" s="98"/>
      <c r="AI1203" s="98"/>
      <c r="AJ1203" s="98"/>
      <c r="AK1203" s="98"/>
      <c r="AL1203" s="98"/>
      <c r="AM1203" s="98"/>
      <c r="AN1203" s="98"/>
      <c r="AO1203" s="98"/>
      <c r="AP1203" s="98"/>
      <c r="AQ1203" s="93" t="s">
        <v>1395</v>
      </c>
      <c r="AR1203" s="93" t="s">
        <v>1456</v>
      </c>
    </row>
    <row r="1204" spans="1:65" ht="16.5" customHeight="1" x14ac:dyDescent="0.2">
      <c r="A1204" s="99">
        <v>0</v>
      </c>
      <c r="B1204" s="99" t="s">
        <v>1387</v>
      </c>
      <c r="C1204" s="99" t="s">
        <v>89</v>
      </c>
      <c r="D1204" s="99"/>
      <c r="E1204" s="99"/>
      <c r="F1204" s="99">
        <v>11</v>
      </c>
      <c r="G1204" s="99" t="s">
        <v>1387</v>
      </c>
      <c r="H1204" s="99" t="s">
        <v>1557</v>
      </c>
      <c r="I1204" s="99">
        <f>COUNTIF(G:G,B1204)</f>
        <v>4</v>
      </c>
      <c r="J1204" s="99" t="b">
        <f t="shared" si="216"/>
        <v>1</v>
      </c>
      <c r="K1204" s="99"/>
      <c r="L1204" s="99"/>
      <c r="M1204" s="99"/>
      <c r="N1204" s="99"/>
      <c r="O1204" s="99"/>
      <c r="P1204" s="99"/>
      <c r="Q1204" s="99"/>
      <c r="R1204" s="99"/>
      <c r="S1204" s="99"/>
      <c r="T1204" s="99"/>
      <c r="U1204" s="99"/>
      <c r="V1204" s="99"/>
      <c r="W1204" s="99" t="s">
        <v>1359</v>
      </c>
      <c r="X1204" s="99"/>
      <c r="Y1204" s="99"/>
      <c r="Z1204" s="99"/>
      <c r="AA1204" s="99"/>
      <c r="AB1204" s="99"/>
      <c r="AC1204" s="99"/>
      <c r="AD1204" s="99"/>
      <c r="AE1204" s="99"/>
      <c r="AF1204" s="99"/>
      <c r="AG1204" s="99"/>
      <c r="AH1204" s="99"/>
      <c r="AI1204" s="99"/>
      <c r="AJ1204" s="99">
        <v>80</v>
      </c>
      <c r="AK1204" s="99"/>
      <c r="AL1204" s="99"/>
      <c r="AM1204" s="99"/>
      <c r="AN1204" s="99"/>
      <c r="AO1204" s="99"/>
      <c r="AP1204" s="99"/>
    </row>
    <row r="1205" spans="1:65" ht="16.5" customHeight="1" x14ac:dyDescent="0.2">
      <c r="A1205" s="100">
        <f>$A$1204+2</f>
        <v>2</v>
      </c>
      <c r="B1205" s="100" t="s">
        <v>1391</v>
      </c>
      <c r="C1205" s="100" t="s">
        <v>649</v>
      </c>
      <c r="D1205" s="100"/>
      <c r="E1205" s="100"/>
      <c r="F1205" s="100"/>
      <c r="G1205" s="100" t="s">
        <v>1387</v>
      </c>
      <c r="H1205" s="100"/>
      <c r="I1205" s="100" t="s">
        <v>1365</v>
      </c>
      <c r="J1205" s="100" t="b">
        <f t="shared" si="216"/>
        <v>1</v>
      </c>
      <c r="K1205" s="100" t="b">
        <v>1</v>
      </c>
      <c r="L1205" s="100"/>
      <c r="M1205" s="100"/>
      <c r="N1205" s="100" t="s">
        <v>59</v>
      </c>
      <c r="O1205" s="100" t="str">
        <f>"$B$"&amp;A1205</f>
        <v>$B$2</v>
      </c>
      <c r="P1205" s="100" t="str">
        <f>"$M$"&amp;A1205</f>
        <v>$M$2</v>
      </c>
      <c r="Q1205" s="100"/>
      <c r="R1205" s="100">
        <v>3</v>
      </c>
      <c r="S1205" s="100"/>
      <c r="T1205" s="100">
        <v>45</v>
      </c>
      <c r="U1205" s="100"/>
      <c r="V1205" s="100" t="s">
        <v>1351</v>
      </c>
      <c r="W1205" s="100"/>
      <c r="X1205" s="100"/>
      <c r="Y1205" s="100"/>
      <c r="Z1205" s="100"/>
      <c r="AA1205" s="100"/>
      <c r="AB1205" s="100">
        <v>3</v>
      </c>
      <c r="AC1205" s="100">
        <v>5</v>
      </c>
      <c r="AD1205" s="100" t="s">
        <v>105</v>
      </c>
      <c r="AE1205" s="100">
        <v>36</v>
      </c>
      <c r="AF1205" s="100" t="b">
        <v>1</v>
      </c>
      <c r="AG1205" s="100" t="s">
        <v>1355</v>
      </c>
      <c r="AH1205" s="100" t="s">
        <v>29</v>
      </c>
      <c r="AI1205" s="100" t="s">
        <v>28</v>
      </c>
      <c r="AJ1205" s="100"/>
      <c r="AK1205" s="100"/>
      <c r="AL1205" s="100">
        <v>0</v>
      </c>
      <c r="AM1205" s="100"/>
      <c r="AN1205" s="100"/>
      <c r="AO1205" s="100"/>
      <c r="AP1205" s="100"/>
    </row>
    <row r="1206" spans="1:65" ht="18" customHeight="1" thickBot="1" x14ac:dyDescent="0.25">
      <c r="A1206" s="113">
        <f>$A$1204+4</f>
        <v>4</v>
      </c>
      <c r="B1206" s="113" t="s">
        <v>1392</v>
      </c>
      <c r="C1206" s="113" t="s">
        <v>92</v>
      </c>
      <c r="D1206" s="113"/>
      <c r="E1206" s="113"/>
      <c r="F1206" s="113"/>
      <c r="G1206" s="113" t="s">
        <v>1387</v>
      </c>
      <c r="H1206" s="113"/>
      <c r="I1206" s="113"/>
      <c r="J1206" s="113" t="b">
        <f t="shared" si="216"/>
        <v>1</v>
      </c>
      <c r="K1206" s="113" t="b">
        <v>1</v>
      </c>
      <c r="L1206" s="113"/>
      <c r="M1206" s="113"/>
      <c r="N1206" s="113"/>
      <c r="O1206" s="113" t="str">
        <f>"$B$"&amp;A1206</f>
        <v>$B$4</v>
      </c>
      <c r="P1206" s="113" t="str">
        <f>"$Y$"&amp;A1206</f>
        <v>$Y$4</v>
      </c>
      <c r="Q1206" s="113"/>
      <c r="R1206" s="113"/>
      <c r="S1206" s="113"/>
      <c r="T1206" s="113">
        <v>40</v>
      </c>
      <c r="U1206" s="113"/>
      <c r="V1206" s="113" t="s">
        <v>1342</v>
      </c>
      <c r="W1206" s="113"/>
      <c r="X1206" s="113"/>
      <c r="Y1206" s="113"/>
      <c r="Z1206" s="113"/>
      <c r="AA1206" s="113"/>
      <c r="AB1206" s="113"/>
      <c r="AC1206" s="113"/>
      <c r="AD1206" s="113"/>
      <c r="AE1206" s="113"/>
      <c r="AF1206" s="113"/>
      <c r="AG1206" s="113"/>
      <c r="AH1206" s="113" t="s">
        <v>29</v>
      </c>
      <c r="AI1206" s="113"/>
      <c r="AJ1206" s="113"/>
      <c r="AK1206" s="113"/>
      <c r="AL1206" s="113">
        <v>1</v>
      </c>
      <c r="AM1206" s="113"/>
      <c r="AN1206" s="113"/>
      <c r="AO1206" s="113"/>
      <c r="AP1206" s="113" t="b">
        <v>1</v>
      </c>
      <c r="AQ1206" s="22" t="s">
        <v>1312</v>
      </c>
      <c r="AR1206" s="19" t="s">
        <v>311</v>
      </c>
      <c r="BC1206" s="21" t="s">
        <v>300</v>
      </c>
      <c r="BD1206" s="21" t="s">
        <v>301</v>
      </c>
      <c r="BE1206" s="21" t="s">
        <v>302</v>
      </c>
      <c r="BF1206" s="21" t="s">
        <v>1336</v>
      </c>
      <c r="BG1206" s="21" t="s">
        <v>1337</v>
      </c>
    </row>
    <row r="1207" spans="1:65" ht="16.5" customHeight="1" x14ac:dyDescent="0.2">
      <c r="A1207" s="98">
        <f>$A$1204+5</f>
        <v>5</v>
      </c>
      <c r="B1207" s="98" t="s">
        <v>1393</v>
      </c>
      <c r="C1207" s="98" t="s">
        <v>1316</v>
      </c>
      <c r="D1207" s="98"/>
      <c r="E1207" s="98"/>
      <c r="F1207" s="98">
        <f ca="1">COUNTA(INDIRECT(AQ1207,TRUE))*COUNTA(INDIRECT(AR1207,TRUE))*COUNTA(INDIRECT(AS1207,TRUE))*COUNTA(INDIRECT(#REF!,TRUE))</f>
        <v>2</v>
      </c>
      <c r="G1207" s="98" t="s">
        <v>1387</v>
      </c>
      <c r="H1207" s="98" t="s">
        <v>1392</v>
      </c>
      <c r="I1207" s="98" t="s">
        <v>1385</v>
      </c>
      <c r="J1207" s="98" t="b">
        <f t="shared" si="216"/>
        <v>1</v>
      </c>
      <c r="K1207" s="98" t="b">
        <v>1</v>
      </c>
      <c r="L1207" s="98"/>
      <c r="M1207" s="98"/>
      <c r="N1207" s="98"/>
      <c r="O1207" s="98" t="str">
        <f>"$B$"&amp;A1207</f>
        <v>$B$5</v>
      </c>
      <c r="P1207" s="98" t="str">
        <f>"$H$"&amp;A1207</f>
        <v>$H$5</v>
      </c>
      <c r="Q1207" s="98"/>
      <c r="R1207" s="98"/>
      <c r="S1207" s="98"/>
      <c r="T1207" s="98"/>
      <c r="U1207" s="98"/>
      <c r="V1207" s="98"/>
      <c r="W1207" s="98"/>
      <c r="X1207" s="98"/>
      <c r="Y1207" s="98"/>
      <c r="Z1207" s="98"/>
      <c r="AA1207" s="98"/>
      <c r="AB1207" s="98"/>
      <c r="AC1207" s="98"/>
      <c r="AD1207" s="98"/>
      <c r="AE1207" s="98"/>
      <c r="AF1207" s="98"/>
      <c r="AG1207" s="98"/>
      <c r="AH1207" s="98"/>
      <c r="AI1207" s="98"/>
      <c r="AJ1207" s="98"/>
      <c r="AK1207" s="98"/>
      <c r="AL1207" s="98"/>
      <c r="AM1207" s="98"/>
      <c r="AN1207" s="98"/>
      <c r="AO1207" s="98"/>
      <c r="AP1207" s="98"/>
      <c r="AQ1207" s="93" t="s">
        <v>1396</v>
      </c>
      <c r="AR1207" s="93" t="s">
        <v>1325</v>
      </c>
    </row>
    <row r="1208" spans="1:65" ht="16.5" customHeight="1" x14ac:dyDescent="0.2">
      <c r="A1208" s="99">
        <v>0</v>
      </c>
      <c r="B1208" s="99" t="s">
        <v>1370</v>
      </c>
      <c r="C1208" s="99" t="s">
        <v>89</v>
      </c>
      <c r="D1208" s="99"/>
      <c r="E1208" s="99"/>
      <c r="F1208" s="99">
        <v>11</v>
      </c>
      <c r="G1208" s="99" t="s">
        <v>1370</v>
      </c>
      <c r="H1208" s="99" t="s">
        <v>1558</v>
      </c>
      <c r="I1208" s="99">
        <f>COUNTIF(G:G,B1208)</f>
        <v>4</v>
      </c>
      <c r="J1208" s="99" t="b">
        <f>$H$4</f>
        <v>1</v>
      </c>
      <c r="K1208" s="99"/>
      <c r="L1208" s="99"/>
      <c r="M1208" s="99"/>
      <c r="N1208" s="99"/>
      <c r="O1208" s="99"/>
      <c r="P1208" s="99"/>
      <c r="Q1208" s="99"/>
      <c r="R1208" s="99"/>
      <c r="S1208" s="99"/>
      <c r="T1208" s="99"/>
      <c r="U1208" s="99"/>
      <c r="V1208" s="99"/>
      <c r="W1208" s="99" t="s">
        <v>1359</v>
      </c>
      <c r="X1208" s="99"/>
      <c r="Y1208" s="99"/>
      <c r="Z1208" s="99"/>
      <c r="AA1208" s="99"/>
      <c r="AB1208" s="99"/>
      <c r="AC1208" s="99"/>
      <c r="AD1208" s="99"/>
      <c r="AE1208" s="99"/>
      <c r="AF1208" s="99"/>
      <c r="AG1208" s="99"/>
      <c r="AH1208" s="99"/>
      <c r="AI1208" s="99"/>
      <c r="AJ1208" s="99">
        <v>80</v>
      </c>
      <c r="AK1208" s="99"/>
      <c r="AL1208" s="99"/>
      <c r="AM1208" s="99"/>
      <c r="AN1208" s="99"/>
      <c r="AO1208" s="99"/>
      <c r="AP1208" s="99"/>
    </row>
    <row r="1209" spans="1:65" ht="16.5" customHeight="1" x14ac:dyDescent="0.2">
      <c r="A1209" s="100">
        <f>$A$1208+2</f>
        <v>2</v>
      </c>
      <c r="B1209" s="100" t="s">
        <v>1371</v>
      </c>
      <c r="C1209" s="100" t="s">
        <v>649</v>
      </c>
      <c r="D1209" s="100"/>
      <c r="E1209" s="100"/>
      <c r="F1209" s="100"/>
      <c r="G1209" s="100" t="s">
        <v>1370</v>
      </c>
      <c r="H1209" s="100"/>
      <c r="I1209" s="100" t="s">
        <v>1374</v>
      </c>
      <c r="J1209" s="100" t="b">
        <f>$H$4</f>
        <v>1</v>
      </c>
      <c r="K1209" s="100" t="b">
        <v>1</v>
      </c>
      <c r="L1209" s="100"/>
      <c r="M1209" s="100"/>
      <c r="N1209" s="100" t="s">
        <v>59</v>
      </c>
      <c r="O1209" s="100" t="str">
        <f>"$B$"&amp;A1209</f>
        <v>$B$2</v>
      </c>
      <c r="P1209" s="100" t="str">
        <f>"$M$"&amp;A1209</f>
        <v>$M$2</v>
      </c>
      <c r="Q1209" s="100"/>
      <c r="R1209" s="100">
        <v>3</v>
      </c>
      <c r="S1209" s="100"/>
      <c r="T1209" s="100">
        <v>45</v>
      </c>
      <c r="U1209" s="100"/>
      <c r="V1209" s="100" t="s">
        <v>1351</v>
      </c>
      <c r="W1209" s="100"/>
      <c r="X1209" s="100"/>
      <c r="Y1209" s="100"/>
      <c r="Z1209" s="100"/>
      <c r="AA1209" s="100"/>
      <c r="AB1209" s="100">
        <v>3</v>
      </c>
      <c r="AC1209" s="100">
        <v>5</v>
      </c>
      <c r="AD1209" s="100" t="s">
        <v>105</v>
      </c>
      <c r="AE1209" s="100">
        <v>36</v>
      </c>
      <c r="AF1209" s="100" t="b">
        <v>1</v>
      </c>
      <c r="AG1209" s="100" t="s">
        <v>1355</v>
      </c>
      <c r="AH1209" s="100" t="s">
        <v>29</v>
      </c>
      <c r="AI1209" s="100" t="s">
        <v>28</v>
      </c>
      <c r="AJ1209" s="100"/>
      <c r="AK1209" s="100"/>
      <c r="AL1209" s="100">
        <v>0</v>
      </c>
      <c r="AM1209" s="100"/>
      <c r="AN1209" s="100"/>
      <c r="AO1209" s="100"/>
      <c r="AP1209" s="100"/>
    </row>
    <row r="1210" spans="1:65" ht="20.25" customHeight="1" thickBot="1" x14ac:dyDescent="0.25">
      <c r="A1210" s="113">
        <f>$A$1208+4</f>
        <v>4</v>
      </c>
      <c r="B1210" s="113" t="s">
        <v>1372</v>
      </c>
      <c r="C1210" s="113" t="s">
        <v>92</v>
      </c>
      <c r="D1210" s="113"/>
      <c r="E1210" s="113"/>
      <c r="F1210" s="113"/>
      <c r="G1210" s="113" t="s">
        <v>1370</v>
      </c>
      <c r="H1210" s="113"/>
      <c r="I1210" s="113"/>
      <c r="J1210" s="113" t="b">
        <f>$H$4</f>
        <v>1</v>
      </c>
      <c r="K1210" s="113" t="b">
        <v>1</v>
      </c>
      <c r="L1210" s="113"/>
      <c r="M1210" s="113"/>
      <c r="N1210" s="113"/>
      <c r="O1210" s="113" t="str">
        <f>"$B$"&amp;A1210</f>
        <v>$B$4</v>
      </c>
      <c r="P1210" s="113" t="str">
        <f>"$Y$"&amp;A1210</f>
        <v>$Y$4</v>
      </c>
      <c r="Q1210" s="113"/>
      <c r="R1210" s="113"/>
      <c r="S1210" s="113"/>
      <c r="T1210" s="113">
        <v>40</v>
      </c>
      <c r="U1210" s="113"/>
      <c r="V1210" s="113" t="s">
        <v>1342</v>
      </c>
      <c r="W1210" s="113"/>
      <c r="X1210" s="113"/>
      <c r="Y1210" s="113"/>
      <c r="Z1210" s="113"/>
      <c r="AA1210" s="113"/>
      <c r="AB1210" s="113"/>
      <c r="AC1210" s="113"/>
      <c r="AD1210" s="113"/>
      <c r="AE1210" s="113"/>
      <c r="AF1210" s="113"/>
      <c r="AG1210" s="113"/>
      <c r="AH1210" s="113" t="s">
        <v>29</v>
      </c>
      <c r="AI1210" s="113"/>
      <c r="AJ1210" s="113"/>
      <c r="AK1210" s="113"/>
      <c r="AL1210" s="113">
        <v>1</v>
      </c>
      <c r="AM1210" s="113"/>
      <c r="AN1210" s="113"/>
      <c r="AO1210" s="113"/>
      <c r="AP1210" s="113" t="b">
        <v>1</v>
      </c>
      <c r="AQ1210" s="22" t="s">
        <v>1312</v>
      </c>
      <c r="AR1210" s="19" t="s">
        <v>624</v>
      </c>
      <c r="AS1210" s="19" t="s">
        <v>367</v>
      </c>
      <c r="AT1210" s="19" t="s">
        <v>311</v>
      </c>
      <c r="AU1210" s="19" t="s">
        <v>1335</v>
      </c>
      <c r="AV1210" s="19" t="s">
        <v>1339</v>
      </c>
      <c r="AW1210" s="19" t="s">
        <v>1431</v>
      </c>
      <c r="BC1210" s="21" t="s">
        <v>300</v>
      </c>
      <c r="BD1210" s="21" t="s">
        <v>301</v>
      </c>
      <c r="BE1210" s="21" t="s">
        <v>302</v>
      </c>
      <c r="BF1210" s="21" t="s">
        <v>1336</v>
      </c>
      <c r="BG1210" s="21" t="s">
        <v>1337</v>
      </c>
      <c r="BH1210" s="21" t="s">
        <v>313</v>
      </c>
      <c r="BI1210" s="21" t="s">
        <v>314</v>
      </c>
      <c r="BJ1210" s="21" t="s">
        <v>315</v>
      </c>
      <c r="BK1210" s="21" t="s">
        <v>316</v>
      </c>
      <c r="BL1210" s="20" t="s">
        <v>1340</v>
      </c>
      <c r="BM1210" s="20" t="s">
        <v>1440</v>
      </c>
    </row>
    <row r="1211" spans="1:65" ht="16.5" customHeight="1" x14ac:dyDescent="0.2">
      <c r="A1211" s="98">
        <f>$A$1208+5</f>
        <v>5</v>
      </c>
      <c r="B1211" s="98" t="s">
        <v>1373</v>
      </c>
      <c r="C1211" s="98" t="s">
        <v>1316</v>
      </c>
      <c r="D1211" s="98"/>
      <c r="E1211" s="98"/>
      <c r="F1211" s="98">
        <f ca="1">COUNTA(INDIRECT(AQ1211,TRUE))*COUNTA(INDIRECT(AR1211,TRUE))*COUNTA(INDIRECT(AS1211,TRUE))*COUNTA(INDIRECT(AT1211,TRUE))</f>
        <v>18</v>
      </c>
      <c r="G1211" s="98" t="s">
        <v>1370</v>
      </c>
      <c r="H1211" s="98" t="s">
        <v>1372</v>
      </c>
      <c r="I1211" s="98" t="s">
        <v>1378</v>
      </c>
      <c r="J1211" s="98" t="b">
        <f>$H$4</f>
        <v>1</v>
      </c>
      <c r="K1211" s="98" t="b">
        <v>1</v>
      </c>
      <c r="L1211" s="98"/>
      <c r="M1211" s="98"/>
      <c r="N1211" s="98"/>
      <c r="O1211" s="98" t="str">
        <f>"$B$"&amp;A1211</f>
        <v>$B$5</v>
      </c>
      <c r="P1211" s="98" t="str">
        <f>"$H$"&amp;A1211</f>
        <v>$H$5</v>
      </c>
      <c r="Q1211" s="98"/>
      <c r="R1211" s="98"/>
      <c r="S1211" s="98"/>
      <c r="T1211" s="98"/>
      <c r="U1211" s="98"/>
      <c r="V1211" s="98"/>
      <c r="W1211" s="98"/>
      <c r="X1211" s="98"/>
      <c r="Y1211" s="98"/>
      <c r="Z1211" s="98"/>
      <c r="AA1211" s="98"/>
      <c r="AB1211" s="98"/>
      <c r="AC1211" s="98"/>
      <c r="AD1211" s="98"/>
      <c r="AE1211" s="98"/>
      <c r="AF1211" s="98"/>
      <c r="AG1211" s="98"/>
      <c r="AH1211" s="98"/>
      <c r="AI1211" s="98"/>
      <c r="AJ1211" s="98"/>
      <c r="AK1211" s="98"/>
      <c r="AL1211" s="98"/>
      <c r="AM1211" s="98"/>
      <c r="AN1211" s="98"/>
      <c r="AO1211" s="98"/>
      <c r="AP1211" s="98"/>
      <c r="AQ1211" s="93" t="s">
        <v>1376</v>
      </c>
      <c r="AR1211" s="93" t="s">
        <v>1317</v>
      </c>
      <c r="AS1211" s="93" t="s">
        <v>1568</v>
      </c>
      <c r="AT1211" s="93" t="s">
        <v>1325</v>
      </c>
      <c r="AU1211" s="93" t="s">
        <v>1338</v>
      </c>
    </row>
    <row r="1212" spans="1:65" ht="16.5" customHeight="1" x14ac:dyDescent="0.2">
      <c r="A1212" s="99">
        <v>0</v>
      </c>
      <c r="B1212" s="99" t="s">
        <v>1398</v>
      </c>
      <c r="C1212" s="99" t="s">
        <v>89</v>
      </c>
      <c r="D1212" s="99"/>
      <c r="E1212" s="99"/>
      <c r="F1212" s="99">
        <v>11</v>
      </c>
      <c r="G1212" s="99" t="s">
        <v>1398</v>
      </c>
      <c r="H1212" s="99" t="s">
        <v>1559</v>
      </c>
      <c r="I1212" s="99">
        <f>COUNTIF(G:G,B1212)</f>
        <v>4</v>
      </c>
      <c r="J1212" s="99" t="b">
        <f t="shared" ref="J1212:J1219" si="217">$H$3</f>
        <v>1</v>
      </c>
      <c r="K1212" s="99"/>
      <c r="L1212" s="99"/>
      <c r="M1212" s="99"/>
      <c r="N1212" s="99"/>
      <c r="O1212" s="99"/>
      <c r="P1212" s="99"/>
      <c r="Q1212" s="99"/>
      <c r="R1212" s="99"/>
      <c r="S1212" s="99"/>
      <c r="T1212" s="99"/>
      <c r="U1212" s="99"/>
      <c r="V1212" s="99"/>
      <c r="W1212" s="99" t="s">
        <v>1359</v>
      </c>
      <c r="X1212" s="99"/>
      <c r="Y1212" s="99"/>
      <c r="Z1212" s="99"/>
      <c r="AA1212" s="99"/>
      <c r="AB1212" s="99"/>
      <c r="AC1212" s="99"/>
      <c r="AD1212" s="99"/>
      <c r="AE1212" s="99"/>
      <c r="AF1212" s="99"/>
      <c r="AG1212" s="99"/>
      <c r="AH1212" s="99"/>
      <c r="AI1212" s="99"/>
      <c r="AJ1212" s="99">
        <v>80</v>
      </c>
      <c r="AK1212" s="99"/>
      <c r="AL1212" s="99"/>
      <c r="AM1212" s="99"/>
      <c r="AN1212" s="99"/>
      <c r="AO1212" s="99"/>
      <c r="AP1212" s="99"/>
    </row>
    <row r="1213" spans="1:65" ht="16.5" customHeight="1" x14ac:dyDescent="0.2">
      <c r="A1213" s="100">
        <f>$A$1212+2</f>
        <v>2</v>
      </c>
      <c r="B1213" s="100" t="s">
        <v>1399</v>
      </c>
      <c r="C1213" s="100" t="s">
        <v>649</v>
      </c>
      <c r="D1213" s="100"/>
      <c r="E1213" s="100"/>
      <c r="F1213" s="100"/>
      <c r="G1213" s="100" t="s">
        <v>1398</v>
      </c>
      <c r="H1213" s="100"/>
      <c r="I1213" s="100" t="s">
        <v>1365</v>
      </c>
      <c r="J1213" s="100" t="b">
        <f t="shared" si="217"/>
        <v>1</v>
      </c>
      <c r="K1213" s="100" t="b">
        <v>1</v>
      </c>
      <c r="L1213" s="100"/>
      <c r="M1213" s="100"/>
      <c r="N1213" s="100" t="s">
        <v>59</v>
      </c>
      <c r="O1213" s="100" t="str">
        <f>"$B$"&amp;A1213</f>
        <v>$B$2</v>
      </c>
      <c r="P1213" s="100" t="str">
        <f>"$M$"&amp;A1213</f>
        <v>$M$2</v>
      </c>
      <c r="Q1213" s="100"/>
      <c r="R1213" s="100">
        <v>3</v>
      </c>
      <c r="S1213" s="100"/>
      <c r="T1213" s="100">
        <v>45</v>
      </c>
      <c r="U1213" s="100"/>
      <c r="V1213" s="100" t="s">
        <v>1351</v>
      </c>
      <c r="W1213" s="100"/>
      <c r="X1213" s="100"/>
      <c r="Y1213" s="100"/>
      <c r="Z1213" s="100"/>
      <c r="AA1213" s="100"/>
      <c r="AB1213" s="100">
        <v>3</v>
      </c>
      <c r="AC1213" s="100">
        <v>5</v>
      </c>
      <c r="AD1213" s="100" t="s">
        <v>105</v>
      </c>
      <c r="AE1213" s="100">
        <v>36</v>
      </c>
      <c r="AF1213" s="100" t="b">
        <v>1</v>
      </c>
      <c r="AG1213" s="100" t="s">
        <v>1355</v>
      </c>
      <c r="AH1213" s="100" t="s">
        <v>29</v>
      </c>
      <c r="AI1213" s="100" t="s">
        <v>28</v>
      </c>
      <c r="AJ1213" s="100"/>
      <c r="AK1213" s="100"/>
      <c r="AL1213" s="100">
        <v>0</v>
      </c>
      <c r="AM1213" s="100"/>
      <c r="AN1213" s="100"/>
      <c r="AO1213" s="100"/>
      <c r="AP1213" s="100"/>
    </row>
    <row r="1214" spans="1:65" ht="20.25" customHeight="1" thickBot="1" x14ac:dyDescent="0.25">
      <c r="A1214" s="113">
        <f>$A$1212+4</f>
        <v>4</v>
      </c>
      <c r="B1214" s="113" t="s">
        <v>1400</v>
      </c>
      <c r="C1214" s="113" t="s">
        <v>92</v>
      </c>
      <c r="D1214" s="113"/>
      <c r="E1214" s="113"/>
      <c r="F1214" s="113"/>
      <c r="G1214" s="113" t="s">
        <v>1398</v>
      </c>
      <c r="H1214" s="113"/>
      <c r="I1214" s="113"/>
      <c r="J1214" s="113" t="b">
        <f t="shared" si="217"/>
        <v>1</v>
      </c>
      <c r="K1214" s="113" t="b">
        <v>1</v>
      </c>
      <c r="L1214" s="113"/>
      <c r="M1214" s="113"/>
      <c r="N1214" s="113"/>
      <c r="O1214" s="113" t="str">
        <f>"$B$"&amp;A1214</f>
        <v>$B$4</v>
      </c>
      <c r="P1214" s="113" t="str">
        <f>"$Y$"&amp;A1214</f>
        <v>$Y$4</v>
      </c>
      <c r="Q1214" s="113"/>
      <c r="R1214" s="113"/>
      <c r="S1214" s="113"/>
      <c r="T1214" s="113">
        <v>40</v>
      </c>
      <c r="U1214" s="113"/>
      <c r="V1214" s="113" t="s">
        <v>1342</v>
      </c>
      <c r="W1214" s="113"/>
      <c r="X1214" s="113"/>
      <c r="Y1214" s="113"/>
      <c r="Z1214" s="113"/>
      <c r="AA1214" s="113"/>
      <c r="AB1214" s="113"/>
      <c r="AC1214" s="113"/>
      <c r="AD1214" s="113"/>
      <c r="AE1214" s="113"/>
      <c r="AF1214" s="113"/>
      <c r="AG1214" s="113"/>
      <c r="AH1214" s="113" t="s">
        <v>29</v>
      </c>
      <c r="AI1214" s="113"/>
      <c r="AJ1214" s="113"/>
      <c r="AK1214" s="113"/>
      <c r="AL1214" s="113">
        <v>1</v>
      </c>
      <c r="AM1214" s="113"/>
      <c r="AN1214" s="113"/>
      <c r="AO1214" s="113"/>
      <c r="AP1214" s="113" t="b">
        <v>1</v>
      </c>
      <c r="AQ1214" s="22" t="s">
        <v>1312</v>
      </c>
      <c r="AR1214" s="19" t="s">
        <v>369</v>
      </c>
      <c r="BC1214" s="21" t="s">
        <v>300</v>
      </c>
      <c r="BD1214" s="21" t="s">
        <v>301</v>
      </c>
      <c r="BE1214" s="21" t="s">
        <v>302</v>
      </c>
      <c r="BF1214" s="21" t="s">
        <v>1336</v>
      </c>
      <c r="BG1214" s="21" t="s">
        <v>1337</v>
      </c>
    </row>
    <row r="1215" spans="1:65" ht="16.5" customHeight="1" x14ac:dyDescent="0.2">
      <c r="A1215" s="98">
        <f>$A$1212+5</f>
        <v>5</v>
      </c>
      <c r="B1215" s="98" t="s">
        <v>1401</v>
      </c>
      <c r="C1215" s="98" t="s">
        <v>1316</v>
      </c>
      <c r="D1215" s="98"/>
      <c r="E1215" s="98"/>
      <c r="F1215" s="98">
        <f ca="1">COUNTA(INDIRECT(AQ1215,TRUE))*COUNTA(INDIRECT(AR1215,TRUE))*COUNTA(INDIRECT(#REF!,TRUE))*COUNTA(INDIRECT(#REF!,TRUE))</f>
        <v>1</v>
      </c>
      <c r="G1215" s="98" t="s">
        <v>1398</v>
      </c>
      <c r="H1215" s="98" t="s">
        <v>1400</v>
      </c>
      <c r="I1215" s="98" t="s">
        <v>1406</v>
      </c>
      <c r="J1215" s="98" t="b">
        <f t="shared" si="217"/>
        <v>1</v>
      </c>
      <c r="K1215" s="98" t="b">
        <v>1</v>
      </c>
      <c r="L1215" s="98"/>
      <c r="M1215" s="98"/>
      <c r="N1215" s="98"/>
      <c r="O1215" s="98" t="str">
        <f>"$B$"&amp;A1215</f>
        <v>$B$5</v>
      </c>
      <c r="P1215" s="98" t="str">
        <f>"$H$"&amp;A1215</f>
        <v>$H$5</v>
      </c>
      <c r="Q1215" s="98"/>
      <c r="R1215" s="98"/>
      <c r="S1215" s="98"/>
      <c r="T1215" s="98"/>
      <c r="U1215" s="98"/>
      <c r="V1215" s="98"/>
      <c r="W1215" s="98"/>
      <c r="X1215" s="98"/>
      <c r="Y1215" s="98"/>
      <c r="Z1215" s="98"/>
      <c r="AA1215" s="98"/>
      <c r="AB1215" s="98"/>
      <c r="AC1215" s="98"/>
      <c r="AD1215" s="98"/>
      <c r="AE1215" s="98"/>
      <c r="AF1215" s="98"/>
      <c r="AG1215" s="98"/>
      <c r="AH1215" s="98"/>
      <c r="AI1215" s="98"/>
      <c r="AJ1215" s="98"/>
      <c r="AK1215" s="98"/>
      <c r="AL1215" s="98"/>
      <c r="AM1215" s="98"/>
      <c r="AN1215" s="98"/>
      <c r="AO1215" s="98"/>
      <c r="AP1215" s="98"/>
      <c r="AQ1215" s="93" t="s">
        <v>1395</v>
      </c>
      <c r="AR1215" s="93" t="s">
        <v>1456</v>
      </c>
    </row>
    <row r="1216" spans="1:65" ht="16.5" customHeight="1" x14ac:dyDescent="0.2">
      <c r="A1216" s="99">
        <v>0</v>
      </c>
      <c r="B1216" s="99" t="s">
        <v>1402</v>
      </c>
      <c r="C1216" s="99" t="s">
        <v>89</v>
      </c>
      <c r="D1216" s="99"/>
      <c r="E1216" s="99"/>
      <c r="F1216" s="99">
        <v>11</v>
      </c>
      <c r="G1216" s="99" t="s">
        <v>1402</v>
      </c>
      <c r="H1216" s="99" t="s">
        <v>1559</v>
      </c>
      <c r="I1216" s="99">
        <f>COUNTIF(G:G,B1216)</f>
        <v>4</v>
      </c>
      <c r="J1216" s="99" t="b">
        <f t="shared" si="217"/>
        <v>1</v>
      </c>
      <c r="K1216" s="99"/>
      <c r="L1216" s="99"/>
      <c r="M1216" s="99"/>
      <c r="N1216" s="99"/>
      <c r="O1216" s="99"/>
      <c r="P1216" s="99"/>
      <c r="Q1216" s="99"/>
      <c r="R1216" s="99"/>
      <c r="S1216" s="99"/>
      <c r="T1216" s="99"/>
      <c r="U1216" s="99"/>
      <c r="V1216" s="99"/>
      <c r="W1216" s="99" t="s">
        <v>1359</v>
      </c>
      <c r="X1216" s="99"/>
      <c r="Y1216" s="99"/>
      <c r="Z1216" s="99"/>
      <c r="AA1216" s="99"/>
      <c r="AB1216" s="99"/>
      <c r="AC1216" s="99"/>
      <c r="AD1216" s="99"/>
      <c r="AE1216" s="99"/>
      <c r="AF1216" s="99"/>
      <c r="AG1216" s="99"/>
      <c r="AH1216" s="99"/>
      <c r="AI1216" s="99"/>
      <c r="AJ1216" s="99">
        <v>80</v>
      </c>
      <c r="AK1216" s="99"/>
      <c r="AL1216" s="99"/>
      <c r="AM1216" s="99"/>
      <c r="AN1216" s="99"/>
      <c r="AO1216" s="99"/>
      <c r="AP1216" s="99"/>
    </row>
    <row r="1217" spans="1:59" ht="16.5" customHeight="1" x14ac:dyDescent="0.2">
      <c r="A1217" s="100">
        <f>$A$1216+2</f>
        <v>2</v>
      </c>
      <c r="B1217" s="100" t="s">
        <v>1403</v>
      </c>
      <c r="C1217" s="100" t="s">
        <v>649</v>
      </c>
      <c r="D1217" s="100"/>
      <c r="E1217" s="100"/>
      <c r="F1217" s="100"/>
      <c r="G1217" s="100" t="s">
        <v>1402</v>
      </c>
      <c r="H1217" s="100"/>
      <c r="I1217" s="100" t="s">
        <v>1365</v>
      </c>
      <c r="J1217" s="100" t="b">
        <f t="shared" si="217"/>
        <v>1</v>
      </c>
      <c r="K1217" s="100" t="b">
        <v>1</v>
      </c>
      <c r="L1217" s="100"/>
      <c r="M1217" s="100"/>
      <c r="N1217" s="100" t="s">
        <v>59</v>
      </c>
      <c r="O1217" s="100" t="str">
        <f>"$B$"&amp;A1217</f>
        <v>$B$2</v>
      </c>
      <c r="P1217" s="100" t="str">
        <f>"$M$"&amp;A1217</f>
        <v>$M$2</v>
      </c>
      <c r="Q1217" s="100"/>
      <c r="R1217" s="100">
        <v>3</v>
      </c>
      <c r="S1217" s="100"/>
      <c r="T1217" s="100">
        <v>45</v>
      </c>
      <c r="U1217" s="100"/>
      <c r="V1217" s="100" t="s">
        <v>1351</v>
      </c>
      <c r="W1217" s="100"/>
      <c r="X1217" s="100"/>
      <c r="Y1217" s="100"/>
      <c r="Z1217" s="100"/>
      <c r="AA1217" s="100"/>
      <c r="AB1217" s="100">
        <v>3</v>
      </c>
      <c r="AC1217" s="100">
        <v>5</v>
      </c>
      <c r="AD1217" s="100" t="s">
        <v>105</v>
      </c>
      <c r="AE1217" s="100">
        <v>36</v>
      </c>
      <c r="AF1217" s="100" t="b">
        <v>1</v>
      </c>
      <c r="AG1217" s="100" t="s">
        <v>1355</v>
      </c>
      <c r="AH1217" s="100" t="s">
        <v>29</v>
      </c>
      <c r="AI1217" s="100" t="s">
        <v>28</v>
      </c>
      <c r="AJ1217" s="100"/>
      <c r="AK1217" s="100"/>
      <c r="AL1217" s="100">
        <v>0</v>
      </c>
      <c r="AM1217" s="100"/>
      <c r="AN1217" s="100"/>
      <c r="AO1217" s="100"/>
      <c r="AP1217" s="100"/>
    </row>
    <row r="1218" spans="1:59" ht="16.5" customHeight="1" thickBot="1" x14ac:dyDescent="0.25">
      <c r="A1218" s="113">
        <f>$A$1216+4</f>
        <v>4</v>
      </c>
      <c r="B1218" s="113" t="s">
        <v>1404</v>
      </c>
      <c r="C1218" s="113" t="s">
        <v>92</v>
      </c>
      <c r="D1218" s="113"/>
      <c r="E1218" s="113"/>
      <c r="F1218" s="113"/>
      <c r="G1218" s="113" t="s">
        <v>1402</v>
      </c>
      <c r="H1218" s="113"/>
      <c r="I1218" s="113"/>
      <c r="J1218" s="113" t="b">
        <f t="shared" si="217"/>
        <v>1</v>
      </c>
      <c r="K1218" s="113" t="b">
        <v>1</v>
      </c>
      <c r="L1218" s="113"/>
      <c r="M1218" s="113"/>
      <c r="N1218" s="113"/>
      <c r="O1218" s="113" t="str">
        <f>"$B$"&amp;A1218</f>
        <v>$B$4</v>
      </c>
      <c r="P1218" s="113" t="str">
        <f>"$Y$"&amp;A1218</f>
        <v>$Y$4</v>
      </c>
      <c r="Q1218" s="113"/>
      <c r="R1218" s="113"/>
      <c r="S1218" s="113"/>
      <c r="T1218" s="113">
        <v>40</v>
      </c>
      <c r="U1218" s="113"/>
      <c r="V1218" s="113" t="s">
        <v>1342</v>
      </c>
      <c r="W1218" s="113"/>
      <c r="X1218" s="113"/>
      <c r="Y1218" s="113"/>
      <c r="Z1218" s="113"/>
      <c r="AA1218" s="113"/>
      <c r="AB1218" s="113"/>
      <c r="AC1218" s="113"/>
      <c r="AD1218" s="113"/>
      <c r="AE1218" s="113"/>
      <c r="AF1218" s="113"/>
      <c r="AG1218" s="113"/>
      <c r="AH1218" s="113" t="s">
        <v>29</v>
      </c>
      <c r="AI1218" s="113"/>
      <c r="AJ1218" s="113"/>
      <c r="AK1218" s="113"/>
      <c r="AL1218" s="113">
        <v>1</v>
      </c>
      <c r="AM1218" s="113"/>
      <c r="AN1218" s="113"/>
      <c r="AO1218" s="113"/>
      <c r="AP1218" s="113" t="b">
        <v>1</v>
      </c>
      <c r="AQ1218" s="22" t="s">
        <v>1312</v>
      </c>
      <c r="AR1218" s="19" t="s">
        <v>311</v>
      </c>
      <c r="BC1218" s="21" t="s">
        <v>300</v>
      </c>
      <c r="BD1218" s="21" t="s">
        <v>301</v>
      </c>
      <c r="BE1218" s="21" t="s">
        <v>302</v>
      </c>
      <c r="BF1218" s="21" t="s">
        <v>1336</v>
      </c>
      <c r="BG1218" s="21" t="s">
        <v>1337</v>
      </c>
    </row>
    <row r="1219" spans="1:59" ht="16.5" customHeight="1" x14ac:dyDescent="0.2">
      <c r="A1219" s="98">
        <f>$A$1216+5</f>
        <v>5</v>
      </c>
      <c r="B1219" s="98" t="s">
        <v>1405</v>
      </c>
      <c r="C1219" s="98" t="s">
        <v>1316</v>
      </c>
      <c r="D1219" s="98"/>
      <c r="E1219" s="98"/>
      <c r="F1219" s="98">
        <f ca="1">COUNTA(INDIRECT(AQ1219,TRUE))*COUNTA(INDIRECT(AR1219,TRUE))*COUNTA(INDIRECT(AS1219,TRUE))*COUNTA(INDIRECT(#REF!,TRUE))</f>
        <v>2</v>
      </c>
      <c r="G1219" s="98" t="s">
        <v>1402</v>
      </c>
      <c r="H1219" s="98" t="s">
        <v>1404</v>
      </c>
      <c r="I1219" s="98" t="s">
        <v>1407</v>
      </c>
      <c r="J1219" s="98" t="b">
        <f t="shared" si="217"/>
        <v>1</v>
      </c>
      <c r="K1219" s="98" t="b">
        <v>1</v>
      </c>
      <c r="L1219" s="98"/>
      <c r="M1219" s="98"/>
      <c r="N1219" s="98"/>
      <c r="O1219" s="98" t="str">
        <f>"$B$"&amp;A1219</f>
        <v>$B$5</v>
      </c>
      <c r="P1219" s="98" t="str">
        <f>"$H$"&amp;A1219</f>
        <v>$H$5</v>
      </c>
      <c r="Q1219" s="98"/>
      <c r="R1219" s="98"/>
      <c r="S1219" s="98"/>
      <c r="T1219" s="98"/>
      <c r="U1219" s="98"/>
      <c r="V1219" s="98"/>
      <c r="W1219" s="98"/>
      <c r="X1219" s="98"/>
      <c r="Y1219" s="98"/>
      <c r="Z1219" s="98"/>
      <c r="AA1219" s="98"/>
      <c r="AB1219" s="98"/>
      <c r="AC1219" s="98"/>
      <c r="AD1219" s="98"/>
      <c r="AE1219" s="98"/>
      <c r="AF1219" s="98"/>
      <c r="AG1219" s="98"/>
      <c r="AH1219" s="98"/>
      <c r="AI1219" s="98"/>
      <c r="AJ1219" s="98"/>
      <c r="AK1219" s="98"/>
      <c r="AL1219" s="98"/>
      <c r="AM1219" s="98"/>
      <c r="AN1219" s="98"/>
      <c r="AO1219" s="98"/>
      <c r="AP1219" s="98"/>
      <c r="AQ1219" s="93" t="s">
        <v>1396</v>
      </c>
      <c r="AR1219" s="93" t="s">
        <v>1325</v>
      </c>
    </row>
    <row r="1220" spans="1:59" ht="16.5" customHeight="1" x14ac:dyDescent="0.2">
      <c r="A1220" s="99">
        <v>0</v>
      </c>
      <c r="B1220" s="99" t="s">
        <v>1379</v>
      </c>
      <c r="C1220" s="99" t="s">
        <v>89</v>
      </c>
      <c r="D1220" s="99"/>
      <c r="E1220" s="99"/>
      <c r="F1220" s="99">
        <v>11</v>
      </c>
      <c r="G1220" s="99" t="s">
        <v>1379</v>
      </c>
      <c r="H1220" s="99" t="s">
        <v>1560</v>
      </c>
      <c r="I1220" s="99">
        <f>COUNTIF(G:G,B1220)</f>
        <v>4</v>
      </c>
      <c r="J1220" s="99" t="b">
        <f>$H$5</f>
        <v>1</v>
      </c>
      <c r="K1220" s="99"/>
      <c r="L1220" s="99"/>
      <c r="M1220" s="99"/>
      <c r="N1220" s="99"/>
      <c r="O1220" s="99"/>
      <c r="P1220" s="99"/>
      <c r="Q1220" s="99"/>
      <c r="R1220" s="99"/>
      <c r="S1220" s="99"/>
      <c r="T1220" s="99"/>
      <c r="U1220" s="99"/>
      <c r="V1220" s="99"/>
      <c r="W1220" s="99" t="s">
        <v>1359</v>
      </c>
      <c r="X1220" s="99"/>
      <c r="Y1220" s="99"/>
      <c r="Z1220" s="99"/>
      <c r="AA1220" s="99"/>
      <c r="AB1220" s="99"/>
      <c r="AC1220" s="99"/>
      <c r="AD1220" s="99"/>
      <c r="AE1220" s="99"/>
      <c r="AF1220" s="99"/>
      <c r="AG1220" s="99"/>
      <c r="AH1220" s="99"/>
      <c r="AI1220" s="99"/>
      <c r="AJ1220" s="99">
        <v>80</v>
      </c>
      <c r="AK1220" s="99"/>
      <c r="AL1220" s="99"/>
      <c r="AM1220" s="99"/>
      <c r="AN1220" s="99"/>
      <c r="AO1220" s="99"/>
      <c r="AP1220" s="99"/>
    </row>
    <row r="1221" spans="1:59" ht="16.5" customHeight="1" x14ac:dyDescent="0.2">
      <c r="A1221" s="100">
        <f>$A$1220+2</f>
        <v>2</v>
      </c>
      <c r="B1221" s="100" t="s">
        <v>1380</v>
      </c>
      <c r="C1221" s="100" t="s">
        <v>649</v>
      </c>
      <c r="D1221" s="100"/>
      <c r="E1221" s="100"/>
      <c r="F1221" s="100"/>
      <c r="G1221" s="100" t="s">
        <v>1379</v>
      </c>
      <c r="H1221" s="100"/>
      <c r="I1221" s="100" t="s">
        <v>1374</v>
      </c>
      <c r="J1221" s="100" t="b">
        <f>$H$5</f>
        <v>1</v>
      </c>
      <c r="K1221" s="100" t="b">
        <v>1</v>
      </c>
      <c r="L1221" s="100"/>
      <c r="M1221" s="100"/>
      <c r="N1221" s="100" t="s">
        <v>59</v>
      </c>
      <c r="O1221" s="100" t="str">
        <f>"$B$"&amp;A1221</f>
        <v>$B$2</v>
      </c>
      <c r="P1221" s="100" t="str">
        <f>"$M$"&amp;A1221</f>
        <v>$M$2</v>
      </c>
      <c r="Q1221" s="100"/>
      <c r="R1221" s="100">
        <v>3</v>
      </c>
      <c r="S1221" s="100"/>
      <c r="T1221" s="100">
        <v>45</v>
      </c>
      <c r="U1221" s="100"/>
      <c r="V1221" s="100" t="s">
        <v>1351</v>
      </c>
      <c r="W1221" s="100"/>
      <c r="X1221" s="100"/>
      <c r="Y1221" s="100"/>
      <c r="Z1221" s="100"/>
      <c r="AA1221" s="100"/>
      <c r="AB1221" s="100">
        <v>3</v>
      </c>
      <c r="AC1221" s="100">
        <v>5</v>
      </c>
      <c r="AD1221" s="100" t="s">
        <v>105</v>
      </c>
      <c r="AE1221" s="100">
        <v>36</v>
      </c>
      <c r="AF1221" s="100" t="b">
        <v>1</v>
      </c>
      <c r="AG1221" s="100" t="s">
        <v>1355</v>
      </c>
      <c r="AH1221" s="100" t="s">
        <v>29</v>
      </c>
      <c r="AI1221" s="100" t="s">
        <v>28</v>
      </c>
      <c r="AJ1221" s="100"/>
      <c r="AK1221" s="100"/>
      <c r="AL1221" s="100">
        <v>0</v>
      </c>
      <c r="AM1221" s="100"/>
      <c r="AN1221" s="100"/>
      <c r="AO1221" s="100"/>
      <c r="AP1221" s="100"/>
    </row>
    <row r="1222" spans="1:59" ht="16.5" customHeight="1" thickBot="1" x14ac:dyDescent="0.25">
      <c r="A1222" s="113">
        <f>$A$1220+4</f>
        <v>4</v>
      </c>
      <c r="B1222" s="113" t="s">
        <v>1381</v>
      </c>
      <c r="C1222" s="113" t="s">
        <v>92</v>
      </c>
      <c r="D1222" s="113"/>
      <c r="E1222" s="113"/>
      <c r="F1222" s="113"/>
      <c r="G1222" s="113" t="s">
        <v>1379</v>
      </c>
      <c r="H1222" s="113"/>
      <c r="I1222" s="113"/>
      <c r="J1222" s="113" t="b">
        <f>$H$5</f>
        <v>1</v>
      </c>
      <c r="K1222" s="113" t="b">
        <v>1</v>
      </c>
      <c r="L1222" s="113"/>
      <c r="M1222" s="113"/>
      <c r="N1222" s="113"/>
      <c r="O1222" s="113" t="str">
        <f>"$B$"&amp;A1222</f>
        <v>$B$4</v>
      </c>
      <c r="P1222" s="113" t="str">
        <f>"$Y$"&amp;A1222</f>
        <v>$Y$4</v>
      </c>
      <c r="Q1222" s="113"/>
      <c r="R1222" s="113"/>
      <c r="S1222" s="113"/>
      <c r="T1222" s="113">
        <v>40</v>
      </c>
      <c r="U1222" s="113"/>
      <c r="V1222" s="113" t="s">
        <v>1342</v>
      </c>
      <c r="W1222" s="113"/>
      <c r="X1222" s="113"/>
      <c r="Y1222" s="113"/>
      <c r="Z1222" s="113"/>
      <c r="AA1222" s="113"/>
      <c r="AB1222" s="113"/>
      <c r="AC1222" s="113"/>
      <c r="AD1222" s="113"/>
      <c r="AE1222" s="113"/>
      <c r="AF1222" s="113"/>
      <c r="AG1222" s="113"/>
      <c r="AH1222" s="113" t="s">
        <v>29</v>
      </c>
      <c r="AI1222" s="113"/>
      <c r="AJ1222" s="113"/>
      <c r="AK1222" s="113"/>
      <c r="AL1222" s="113">
        <v>1</v>
      </c>
      <c r="AM1222" s="113"/>
      <c r="AN1222" s="113"/>
      <c r="AO1222" s="113"/>
      <c r="AP1222" s="113" t="b">
        <v>1</v>
      </c>
      <c r="AQ1222" s="43" t="s">
        <v>1312</v>
      </c>
      <c r="BC1222" s="21" t="s">
        <v>363</v>
      </c>
    </row>
    <row r="1223" spans="1:59" ht="16.5" customHeight="1" x14ac:dyDescent="0.2">
      <c r="A1223" s="98">
        <f>$A$1220+5</f>
        <v>5</v>
      </c>
      <c r="B1223" s="98" t="s">
        <v>1382</v>
      </c>
      <c r="C1223" s="98" t="s">
        <v>1316</v>
      </c>
      <c r="D1223" s="98"/>
      <c r="E1223" s="98"/>
      <c r="F1223" s="98">
        <f ca="1">COUNTA(INDIRECT(AQ1223,TRUE))*COUNTA(INDIRECT(#REF!,TRUE))*COUNTA(INDIRECT(#REF!,TRUE))*COUNTA(INDIRECT(#REF!,TRUE))</f>
        <v>1</v>
      </c>
      <c r="G1223" s="98" t="s">
        <v>1379</v>
      </c>
      <c r="H1223" s="98" t="s">
        <v>1381</v>
      </c>
      <c r="I1223" s="98" t="s">
        <v>1383</v>
      </c>
      <c r="J1223" s="98" t="b">
        <f>$H$5</f>
        <v>1</v>
      </c>
      <c r="K1223" s="98" t="b">
        <v>1</v>
      </c>
      <c r="L1223" s="98"/>
      <c r="M1223" s="98"/>
      <c r="N1223" s="98"/>
      <c r="O1223" s="98" t="str">
        <f>"$B$"&amp;A1223</f>
        <v>$B$5</v>
      </c>
      <c r="P1223" s="98" t="str">
        <f>"$H$"&amp;A1223</f>
        <v>$H$5</v>
      </c>
      <c r="Q1223" s="98"/>
      <c r="R1223" s="98"/>
      <c r="S1223" s="98"/>
      <c r="T1223" s="98"/>
      <c r="U1223" s="98"/>
      <c r="V1223" s="98"/>
      <c r="W1223" s="98"/>
      <c r="X1223" s="98"/>
      <c r="Y1223" s="98"/>
      <c r="Z1223" s="98"/>
      <c r="AA1223" s="98"/>
      <c r="AB1223" s="98"/>
      <c r="AC1223" s="98"/>
      <c r="AD1223" s="98"/>
      <c r="AE1223" s="98"/>
      <c r="AF1223" s="98"/>
      <c r="AG1223" s="98"/>
      <c r="AH1223" s="98"/>
      <c r="AI1223" s="98"/>
      <c r="AJ1223" s="98"/>
      <c r="AK1223" s="98"/>
      <c r="AL1223" s="98"/>
      <c r="AM1223" s="98"/>
      <c r="AN1223" s="98"/>
      <c r="AO1223" s="98"/>
      <c r="AP1223" s="98"/>
      <c r="AQ1223" s="93" t="s">
        <v>1376</v>
      </c>
    </row>
    <row r="1224" spans="1:59" customFormat="1" ht="16.5" customHeight="1" x14ac:dyDescent="0.25">
      <c r="A1224" s="99">
        <v>0</v>
      </c>
      <c r="B1224" s="24" t="s">
        <v>1525</v>
      </c>
      <c r="C1224" s="24" t="s">
        <v>89</v>
      </c>
      <c r="D1224" s="24"/>
      <c r="E1224" s="24"/>
      <c r="F1224" s="24">
        <v>11</v>
      </c>
      <c r="G1224" s="24" t="s">
        <v>1525</v>
      </c>
      <c r="H1224" s="24" t="s">
        <v>1561</v>
      </c>
      <c r="I1224" s="24">
        <f>COUNTIF(G:G,B1224)</f>
        <v>4</v>
      </c>
      <c r="J1224" s="24" t="b">
        <f t="shared" ref="J1224:J1227" si="218">$H$5</f>
        <v>1</v>
      </c>
      <c r="K1224" s="24"/>
      <c r="L1224" s="24"/>
      <c r="M1224" s="24"/>
      <c r="N1224" s="24"/>
      <c r="O1224" s="24"/>
      <c r="P1224" s="24"/>
      <c r="Q1224" s="24"/>
      <c r="R1224" s="24"/>
      <c r="S1224" s="24"/>
      <c r="T1224" s="24"/>
      <c r="U1224" s="24"/>
      <c r="V1224" s="24"/>
      <c r="W1224" s="24" t="s">
        <v>1359</v>
      </c>
      <c r="X1224" s="24"/>
      <c r="Y1224" s="24"/>
      <c r="Z1224" s="24"/>
      <c r="AA1224" s="24"/>
      <c r="AB1224" s="24"/>
      <c r="AC1224" s="24"/>
      <c r="AD1224" s="24"/>
      <c r="AE1224" s="24"/>
      <c r="AF1224" s="24"/>
      <c r="AG1224" s="24"/>
      <c r="AH1224" s="24"/>
      <c r="AI1224" s="24"/>
      <c r="AJ1224" s="24">
        <v>100</v>
      </c>
      <c r="AK1224" s="24"/>
      <c r="AL1224" s="24"/>
      <c r="AM1224" s="24"/>
      <c r="AN1224" s="24"/>
      <c r="AO1224" s="24"/>
      <c r="AP1224" s="24"/>
      <c r="AW1224" s="93"/>
    </row>
    <row r="1225" spans="1:59" customFormat="1" ht="16.5" customHeight="1" x14ac:dyDescent="0.25">
      <c r="A1225" s="100">
        <f>$A$1224+2</f>
        <v>2</v>
      </c>
      <c r="B1225" s="25" t="s">
        <v>1526</v>
      </c>
      <c r="C1225" s="25" t="s">
        <v>649</v>
      </c>
      <c r="D1225" s="25"/>
      <c r="E1225" s="25"/>
      <c r="F1225" s="25"/>
      <c r="G1225" s="25" t="s">
        <v>1525</v>
      </c>
      <c r="H1225" s="25"/>
      <c r="I1225" s="25" t="s">
        <v>1374</v>
      </c>
      <c r="J1225" s="25" t="b">
        <f t="shared" si="218"/>
        <v>1</v>
      </c>
      <c r="K1225" s="25" t="b">
        <v>1</v>
      </c>
      <c r="L1225" s="25"/>
      <c r="M1225" s="25"/>
      <c r="N1225" s="25" t="s">
        <v>59</v>
      </c>
      <c r="O1225" s="25" t="str">
        <f>"$B$"&amp;A1225</f>
        <v>$B$2</v>
      </c>
      <c r="P1225" s="25" t="str">
        <f>"$M$"&amp;A1225</f>
        <v>$M$2</v>
      </c>
      <c r="Q1225" s="25"/>
      <c r="R1225" s="25">
        <v>3</v>
      </c>
      <c r="S1225" s="25"/>
      <c r="T1225" s="25">
        <v>45</v>
      </c>
      <c r="U1225" s="25"/>
      <c r="V1225" s="25" t="s">
        <v>1351</v>
      </c>
      <c r="W1225" s="25"/>
      <c r="X1225" s="25"/>
      <c r="Y1225" s="25"/>
      <c r="Z1225" s="25"/>
      <c r="AA1225" s="25"/>
      <c r="AB1225" s="25">
        <v>3</v>
      </c>
      <c r="AC1225" s="25">
        <v>5</v>
      </c>
      <c r="AD1225" s="25" t="s">
        <v>105</v>
      </c>
      <c r="AE1225" s="25">
        <v>36</v>
      </c>
      <c r="AF1225" s="25" t="b">
        <v>1</v>
      </c>
      <c r="AG1225" s="25" t="s">
        <v>1355</v>
      </c>
      <c r="AH1225" s="25" t="s">
        <v>29</v>
      </c>
      <c r="AI1225" s="25" t="s">
        <v>28</v>
      </c>
      <c r="AJ1225" s="25"/>
      <c r="AK1225" s="25"/>
      <c r="AL1225" s="25">
        <v>0</v>
      </c>
      <c r="AM1225" s="25"/>
      <c r="AN1225" s="25"/>
      <c r="AO1225" s="25"/>
      <c r="AP1225" s="25"/>
      <c r="AW1225" s="93"/>
    </row>
    <row r="1226" spans="1:59" customFormat="1" ht="16.5" customHeight="1" thickBot="1" x14ac:dyDescent="0.3">
      <c r="A1226" s="113">
        <f>$A$1224+4</f>
        <v>4</v>
      </c>
      <c r="B1226" s="26" t="s">
        <v>1527</v>
      </c>
      <c r="C1226" s="26" t="s">
        <v>92</v>
      </c>
      <c r="D1226" s="26"/>
      <c r="E1226" s="26"/>
      <c r="F1226" s="26"/>
      <c r="G1226" s="26" t="s">
        <v>1525</v>
      </c>
      <c r="H1226" s="26"/>
      <c r="I1226" s="26"/>
      <c r="J1226" s="26" t="b">
        <f t="shared" si="218"/>
        <v>1</v>
      </c>
      <c r="K1226" s="26" t="b">
        <v>1</v>
      </c>
      <c r="L1226" s="26"/>
      <c r="M1226" s="26"/>
      <c r="N1226" s="26"/>
      <c r="O1226" s="26" t="str">
        <f>"$B$"&amp;A1226</f>
        <v>$B$4</v>
      </c>
      <c r="P1226" s="113" t="str">
        <f>"$Y$"&amp;A1226</f>
        <v>$Y$4</v>
      </c>
      <c r="Q1226" s="26"/>
      <c r="R1226" s="26"/>
      <c r="S1226" s="26"/>
      <c r="T1226" s="26">
        <v>40</v>
      </c>
      <c r="U1226" s="26"/>
      <c r="V1226" s="26" t="s">
        <v>1342</v>
      </c>
      <c r="W1226" s="26"/>
      <c r="X1226" s="26"/>
      <c r="Y1226" s="26"/>
      <c r="Z1226" s="26"/>
      <c r="AA1226" s="26"/>
      <c r="AB1226" s="26"/>
      <c r="AC1226" s="26"/>
      <c r="AD1226" s="26"/>
      <c r="AE1226" s="26"/>
      <c r="AF1226" s="26"/>
      <c r="AG1226" s="26"/>
      <c r="AH1226" s="26" t="s">
        <v>29</v>
      </c>
      <c r="AI1226" s="26"/>
      <c r="AJ1226" s="26"/>
      <c r="AK1226" s="26"/>
      <c r="AL1226" s="26">
        <v>1</v>
      </c>
      <c r="AM1226" s="26"/>
      <c r="AN1226" s="26"/>
      <c r="AO1226" s="26"/>
      <c r="AP1226" s="26" t="b">
        <v>1</v>
      </c>
      <c r="AQ1226" s="43" t="s">
        <v>1312</v>
      </c>
      <c r="AR1226" s="19" t="s">
        <v>291</v>
      </c>
      <c r="AW1226" s="93"/>
      <c r="BC1226" s="21" t="s">
        <v>363</v>
      </c>
    </row>
    <row r="1227" spans="1:59" customFormat="1" ht="16.5" customHeight="1" x14ac:dyDescent="0.25">
      <c r="A1227" s="98">
        <f>$A$1224+5</f>
        <v>5</v>
      </c>
      <c r="B1227" s="23" t="s">
        <v>1528</v>
      </c>
      <c r="C1227" s="23" t="s">
        <v>1316</v>
      </c>
      <c r="D1227" s="23"/>
      <c r="E1227" s="23"/>
      <c r="F1227" s="23">
        <f ca="1">COUNTA(INDIRECT(AQ1227,TRUE))*COUNTA(INDIRECT(#REF!,TRUE))*COUNTA(INDIRECT(#REF!,TRUE))*COUNTA(INDIRECT(#REF!,TRUE))</f>
        <v>1</v>
      </c>
      <c r="G1227" s="23" t="s">
        <v>1525</v>
      </c>
      <c r="H1227" s="23" t="s">
        <v>1527</v>
      </c>
      <c r="I1227" s="23" t="s">
        <v>1383</v>
      </c>
      <c r="J1227" s="23" t="b">
        <f t="shared" si="218"/>
        <v>1</v>
      </c>
      <c r="K1227" s="23" t="b">
        <v>1</v>
      </c>
      <c r="L1227" s="23"/>
      <c r="M1227" s="23"/>
      <c r="N1227" s="23"/>
      <c r="O1227" s="23" t="str">
        <f>"$B$"&amp;A1227</f>
        <v>$B$5</v>
      </c>
      <c r="P1227" s="23" t="str">
        <f>"$H$"&amp;A1227</f>
        <v>$H$5</v>
      </c>
      <c r="Q1227" s="23"/>
      <c r="R1227" s="23"/>
      <c r="S1227" s="23"/>
      <c r="T1227" s="23"/>
      <c r="U1227" s="23"/>
      <c r="V1227" s="23"/>
      <c r="W1227" s="23"/>
      <c r="X1227" s="23"/>
      <c r="Y1227" s="23"/>
      <c r="Z1227" s="23"/>
      <c r="AA1227" s="23"/>
      <c r="AB1227" s="23"/>
      <c r="AC1227" s="23"/>
      <c r="AD1227" s="23"/>
      <c r="AE1227" s="23"/>
      <c r="AF1227" s="23"/>
      <c r="AG1227" s="23"/>
      <c r="AH1227" s="23"/>
      <c r="AI1227" s="23"/>
      <c r="AJ1227" s="23"/>
      <c r="AK1227" s="23"/>
      <c r="AL1227" s="23"/>
      <c r="AM1227" s="23"/>
      <c r="AN1227" s="23"/>
      <c r="AO1227" s="23"/>
      <c r="AP1227" s="23"/>
      <c r="AQ1227" s="84" t="s">
        <v>1376</v>
      </c>
      <c r="AR1227" t="s">
        <v>1551</v>
      </c>
    </row>
    <row r="1228" spans="1:59" customFormat="1" ht="16.5" customHeight="1" x14ac:dyDescent="0.25">
      <c r="A1228" s="99">
        <v>0</v>
      </c>
      <c r="B1228" s="24" t="s">
        <v>1515</v>
      </c>
      <c r="C1228" s="24" t="s">
        <v>89</v>
      </c>
      <c r="D1228" s="24"/>
      <c r="E1228" s="24"/>
      <c r="F1228" s="24">
        <v>11</v>
      </c>
      <c r="G1228" s="24" t="s">
        <v>1515</v>
      </c>
      <c r="H1228" s="24" t="s">
        <v>1561</v>
      </c>
      <c r="I1228" s="24">
        <f>COUNTIF(G:G,B1228)</f>
        <v>4</v>
      </c>
      <c r="J1228" s="24" t="b">
        <f t="shared" ref="J1228:J1235" si="219">$H$3</f>
        <v>1</v>
      </c>
      <c r="K1228" s="24"/>
      <c r="L1228" s="24"/>
      <c r="M1228" s="24"/>
      <c r="N1228" s="24"/>
      <c r="O1228" s="24"/>
      <c r="P1228" s="24"/>
      <c r="Q1228" s="24"/>
      <c r="R1228" s="24"/>
      <c r="S1228" s="24"/>
      <c r="T1228" s="24"/>
      <c r="U1228" s="24"/>
      <c r="V1228" s="24"/>
      <c r="W1228" s="24" t="s">
        <v>1359</v>
      </c>
      <c r="X1228" s="24"/>
      <c r="Y1228" s="24"/>
      <c r="Z1228" s="24"/>
      <c r="AA1228" s="24"/>
      <c r="AB1228" s="24"/>
      <c r="AC1228" s="24"/>
      <c r="AD1228" s="24"/>
      <c r="AE1228" s="24"/>
      <c r="AF1228" s="24"/>
      <c r="AG1228" s="24"/>
      <c r="AH1228" s="24"/>
      <c r="AI1228" s="24"/>
      <c r="AJ1228" s="24">
        <v>100</v>
      </c>
      <c r="AK1228" s="24"/>
      <c r="AL1228" s="24"/>
      <c r="AM1228" s="24"/>
      <c r="AN1228" s="24"/>
      <c r="AO1228" s="24"/>
      <c r="AP1228" s="24"/>
    </row>
    <row r="1229" spans="1:59" customFormat="1" ht="16.5" customHeight="1" x14ac:dyDescent="0.25">
      <c r="A1229" s="100">
        <f>$A$1228+2</f>
        <v>2</v>
      </c>
      <c r="B1229" s="25" t="s">
        <v>1516</v>
      </c>
      <c r="C1229" s="25" t="s">
        <v>649</v>
      </c>
      <c r="D1229" s="25"/>
      <c r="E1229" s="25"/>
      <c r="F1229" s="25"/>
      <c r="G1229" s="25" t="s">
        <v>1515</v>
      </c>
      <c r="H1229" s="25"/>
      <c r="I1229" s="25" t="s">
        <v>1365</v>
      </c>
      <c r="J1229" s="25" t="b">
        <f t="shared" si="219"/>
        <v>1</v>
      </c>
      <c r="K1229" s="25" t="b">
        <v>1</v>
      </c>
      <c r="L1229" s="25"/>
      <c r="M1229" s="25"/>
      <c r="N1229" s="25" t="s">
        <v>59</v>
      </c>
      <c r="O1229" s="25" t="str">
        <f>"$B$"&amp;A1229</f>
        <v>$B$2</v>
      </c>
      <c r="P1229" s="25" t="str">
        <f>"$M$"&amp;A1229</f>
        <v>$M$2</v>
      </c>
      <c r="Q1229" s="25"/>
      <c r="R1229" s="25">
        <v>3</v>
      </c>
      <c r="S1229" s="25"/>
      <c r="T1229" s="25">
        <v>45</v>
      </c>
      <c r="U1229" s="25"/>
      <c r="V1229" s="25" t="s">
        <v>1351</v>
      </c>
      <c r="W1229" s="25"/>
      <c r="X1229" s="25"/>
      <c r="Y1229" s="25"/>
      <c r="Z1229" s="25"/>
      <c r="AA1229" s="25"/>
      <c r="AB1229" s="25">
        <v>3</v>
      </c>
      <c r="AC1229" s="25">
        <v>5</v>
      </c>
      <c r="AD1229" s="25" t="s">
        <v>105</v>
      </c>
      <c r="AE1229" s="25">
        <v>36</v>
      </c>
      <c r="AF1229" s="25" t="b">
        <v>1</v>
      </c>
      <c r="AG1229" s="25" t="s">
        <v>1355</v>
      </c>
      <c r="AH1229" s="25" t="s">
        <v>29</v>
      </c>
      <c r="AI1229" s="25" t="s">
        <v>28</v>
      </c>
      <c r="AJ1229" s="25"/>
      <c r="AK1229" s="25"/>
      <c r="AL1229" s="25">
        <v>0</v>
      </c>
      <c r="AM1229" s="25"/>
      <c r="AN1229" s="25"/>
      <c r="AO1229" s="25"/>
      <c r="AP1229" s="25"/>
    </row>
    <row r="1230" spans="1:59" customFormat="1" ht="16.5" customHeight="1" thickBot="1" x14ac:dyDescent="0.3">
      <c r="A1230" s="113">
        <f>$A$1228+4</f>
        <v>4</v>
      </c>
      <c r="B1230" s="26" t="s">
        <v>1517</v>
      </c>
      <c r="C1230" s="26" t="s">
        <v>92</v>
      </c>
      <c r="D1230" s="26"/>
      <c r="E1230" s="26"/>
      <c r="F1230" s="26"/>
      <c r="G1230" s="26" t="s">
        <v>1515</v>
      </c>
      <c r="H1230" s="26"/>
      <c r="I1230" s="26"/>
      <c r="J1230" s="26" t="b">
        <f t="shared" si="219"/>
        <v>1</v>
      </c>
      <c r="K1230" s="26" t="b">
        <v>1</v>
      </c>
      <c r="L1230" s="26"/>
      <c r="M1230" s="26"/>
      <c r="N1230" s="26"/>
      <c r="O1230" s="26" t="str">
        <f>"$B$"&amp;A1230</f>
        <v>$B$4</v>
      </c>
      <c r="P1230" s="113" t="str">
        <f>"$Y$"&amp;A1230</f>
        <v>$Y$4</v>
      </c>
      <c r="Q1230" s="26"/>
      <c r="R1230" s="26"/>
      <c r="S1230" s="26"/>
      <c r="T1230" s="26">
        <v>40</v>
      </c>
      <c r="U1230" s="26"/>
      <c r="V1230" s="26" t="s">
        <v>1342</v>
      </c>
      <c r="W1230" s="26"/>
      <c r="X1230" s="26"/>
      <c r="Y1230" s="26"/>
      <c r="Z1230" s="26"/>
      <c r="AA1230" s="26"/>
      <c r="AB1230" s="26"/>
      <c r="AC1230" s="26"/>
      <c r="AD1230" s="26"/>
      <c r="AE1230" s="26"/>
      <c r="AF1230" s="26"/>
      <c r="AG1230" s="26"/>
      <c r="AH1230" s="26" t="s">
        <v>29</v>
      </c>
      <c r="AI1230" s="26"/>
      <c r="AJ1230" s="26"/>
      <c r="AK1230" s="26"/>
      <c r="AL1230" s="26">
        <v>1</v>
      </c>
      <c r="AM1230" s="26"/>
      <c r="AN1230" s="26"/>
      <c r="AO1230" s="26"/>
      <c r="AP1230" s="26" t="b">
        <v>1</v>
      </c>
      <c r="AQ1230" s="22" t="s">
        <v>1312</v>
      </c>
      <c r="AR1230" s="19" t="s">
        <v>291</v>
      </c>
      <c r="AW1230" s="93"/>
      <c r="AX1230" s="93"/>
      <c r="AY1230" s="93"/>
      <c r="AZ1230" s="93"/>
      <c r="BA1230" s="93"/>
      <c r="BC1230" s="21" t="s">
        <v>300</v>
      </c>
      <c r="BD1230" s="21" t="s">
        <v>301</v>
      </c>
      <c r="BE1230" s="21" t="s">
        <v>302</v>
      </c>
      <c r="BF1230" s="21" t="s">
        <v>1336</v>
      </c>
      <c r="BG1230" s="21" t="s">
        <v>1337</v>
      </c>
    </row>
    <row r="1231" spans="1:59" customFormat="1" ht="16.5" customHeight="1" x14ac:dyDescent="0.25">
      <c r="A1231" s="98">
        <f>$A$1228+5</f>
        <v>5</v>
      </c>
      <c r="B1231" s="23" t="s">
        <v>1518</v>
      </c>
      <c r="C1231" s="23" t="s">
        <v>1316</v>
      </c>
      <c r="D1231" s="23"/>
      <c r="E1231" s="23"/>
      <c r="F1231" s="23">
        <f ca="1">COUNTA(INDIRECT(AQ1231,TRUE))*COUNTA(INDIRECT(AR1231,TRUE))*COUNTA(INDIRECT(AS1231,TRUE))*COUNTA(INDIRECT(AT1231,TRUE))</f>
        <v>1</v>
      </c>
      <c r="G1231" s="23" t="s">
        <v>1515</v>
      </c>
      <c r="H1231" s="23" t="s">
        <v>1517</v>
      </c>
      <c r="I1231" s="23" t="s">
        <v>1407</v>
      </c>
      <c r="J1231" s="23" t="b">
        <f t="shared" si="219"/>
        <v>1</v>
      </c>
      <c r="K1231" s="23" t="b">
        <v>1</v>
      </c>
      <c r="L1231" s="23"/>
      <c r="M1231" s="23"/>
      <c r="N1231" s="23"/>
      <c r="O1231" s="23" t="str">
        <f>"$B$"&amp;A1231</f>
        <v>$B$5</v>
      </c>
      <c r="P1231" s="23" t="str">
        <f>"$H$"&amp;A1231</f>
        <v>$H$5</v>
      </c>
      <c r="Q1231" s="23"/>
      <c r="R1231" s="23"/>
      <c r="S1231" s="23"/>
      <c r="T1231" s="23"/>
      <c r="U1231" s="23"/>
      <c r="V1231" s="23"/>
      <c r="W1231" s="23"/>
      <c r="X1231" s="23"/>
      <c r="Y1231" s="23"/>
      <c r="Z1231" s="23"/>
      <c r="AA1231" s="23"/>
      <c r="AB1231" s="23"/>
      <c r="AC1231" s="23"/>
      <c r="AD1231" s="23"/>
      <c r="AE1231" s="23"/>
      <c r="AF1231" s="23"/>
      <c r="AG1231" s="23"/>
      <c r="AH1231" s="23"/>
      <c r="AI1231" s="23"/>
      <c r="AJ1231" s="23"/>
      <c r="AK1231" s="23"/>
      <c r="AL1231" s="23"/>
      <c r="AM1231" s="23"/>
      <c r="AN1231" s="23"/>
      <c r="AO1231" s="23"/>
      <c r="AP1231" s="23"/>
      <c r="AQ1231" s="84" t="s">
        <v>1376</v>
      </c>
      <c r="AR1231" t="s">
        <v>1551</v>
      </c>
      <c r="AW1231" s="93"/>
      <c r="AX1231" s="93"/>
      <c r="AY1231" s="93"/>
      <c r="AZ1231" s="93"/>
      <c r="BA1231" s="93"/>
    </row>
    <row r="1232" spans="1:59" customFormat="1" ht="16.5" customHeight="1" x14ac:dyDescent="0.25">
      <c r="A1232" s="99">
        <v>0</v>
      </c>
      <c r="B1232" s="24" t="s">
        <v>1519</v>
      </c>
      <c r="C1232" s="24" t="s">
        <v>89</v>
      </c>
      <c r="D1232" s="24"/>
      <c r="E1232" s="24"/>
      <c r="F1232" s="24">
        <v>11</v>
      </c>
      <c r="G1232" s="24" t="s">
        <v>1519</v>
      </c>
      <c r="H1232" s="24" t="s">
        <v>1561</v>
      </c>
      <c r="I1232" s="24">
        <f>COUNTIF(G:G,B1232)</f>
        <v>4</v>
      </c>
      <c r="J1232" s="24" t="b">
        <f t="shared" si="219"/>
        <v>1</v>
      </c>
      <c r="K1232" s="24"/>
      <c r="L1232" s="24"/>
      <c r="M1232" s="24"/>
      <c r="N1232" s="24"/>
      <c r="O1232" s="24"/>
      <c r="P1232" s="24"/>
      <c r="Q1232" s="24"/>
      <c r="R1232" s="24"/>
      <c r="S1232" s="24"/>
      <c r="T1232" s="24"/>
      <c r="U1232" s="24"/>
      <c r="V1232" s="24"/>
      <c r="W1232" s="24" t="s">
        <v>1359</v>
      </c>
      <c r="X1232" s="24"/>
      <c r="Y1232" s="24"/>
      <c r="Z1232" s="24"/>
      <c r="AA1232" s="24"/>
      <c r="AB1232" s="24"/>
      <c r="AC1232" s="24"/>
      <c r="AD1232" s="24"/>
      <c r="AE1232" s="24"/>
      <c r="AF1232" s="24"/>
      <c r="AG1232" s="24"/>
      <c r="AH1232" s="24"/>
      <c r="AI1232" s="24"/>
      <c r="AJ1232" s="24">
        <v>100</v>
      </c>
      <c r="AK1232" s="24"/>
      <c r="AL1232" s="24"/>
      <c r="AM1232" s="24"/>
      <c r="AN1232" s="24"/>
      <c r="AO1232" s="24"/>
      <c r="AP1232" s="24"/>
      <c r="AW1232" s="93"/>
      <c r="AX1232" s="93"/>
      <c r="AY1232" s="93"/>
      <c r="AZ1232" s="93"/>
      <c r="BA1232" s="93"/>
    </row>
    <row r="1233" spans="1:59" customFormat="1" ht="16.5" customHeight="1" x14ac:dyDescent="0.25">
      <c r="A1233" s="100">
        <f>$A$1232+2</f>
        <v>2</v>
      </c>
      <c r="B1233" s="25" t="s">
        <v>1520</v>
      </c>
      <c r="C1233" s="25" t="s">
        <v>649</v>
      </c>
      <c r="D1233" s="25"/>
      <c r="E1233" s="25"/>
      <c r="F1233" s="25"/>
      <c r="G1233" s="25" t="s">
        <v>1519</v>
      </c>
      <c r="H1233" s="25"/>
      <c r="I1233" s="25" t="s">
        <v>1365</v>
      </c>
      <c r="J1233" s="25" t="b">
        <f t="shared" si="219"/>
        <v>1</v>
      </c>
      <c r="K1233" s="25" t="b">
        <v>1</v>
      </c>
      <c r="L1233" s="25"/>
      <c r="M1233" s="25"/>
      <c r="N1233" s="25" t="s">
        <v>59</v>
      </c>
      <c r="O1233" s="25" t="str">
        <f>"$B$"&amp;A1233</f>
        <v>$B$2</v>
      </c>
      <c r="P1233" s="25" t="str">
        <f>"$M$"&amp;A1233</f>
        <v>$M$2</v>
      </c>
      <c r="Q1233" s="25"/>
      <c r="R1233" s="25">
        <v>3</v>
      </c>
      <c r="S1233" s="25"/>
      <c r="T1233" s="25">
        <v>45</v>
      </c>
      <c r="U1233" s="25"/>
      <c r="V1233" s="25" t="s">
        <v>1351</v>
      </c>
      <c r="W1233" s="25"/>
      <c r="X1233" s="25"/>
      <c r="Y1233" s="25"/>
      <c r="Z1233" s="25"/>
      <c r="AA1233" s="25"/>
      <c r="AB1233" s="25">
        <v>3</v>
      </c>
      <c r="AC1233" s="25">
        <v>5</v>
      </c>
      <c r="AD1233" s="25" t="s">
        <v>105</v>
      </c>
      <c r="AE1233" s="25">
        <v>36</v>
      </c>
      <c r="AF1233" s="25" t="b">
        <v>1</v>
      </c>
      <c r="AG1233" s="25" t="s">
        <v>1355</v>
      </c>
      <c r="AH1233" s="25" t="s">
        <v>29</v>
      </c>
      <c r="AI1233" s="25" t="s">
        <v>28</v>
      </c>
      <c r="AJ1233" s="25"/>
      <c r="AK1233" s="25"/>
      <c r="AL1233" s="25">
        <v>0</v>
      </c>
      <c r="AM1233" s="25"/>
      <c r="AN1233" s="25"/>
      <c r="AO1233" s="25"/>
      <c r="AP1233" s="25"/>
      <c r="AW1233" s="93"/>
      <c r="AX1233" s="93"/>
      <c r="AY1233" s="93"/>
      <c r="AZ1233" s="93"/>
      <c r="BA1233" s="93"/>
    </row>
    <row r="1234" spans="1:59" customFormat="1" ht="18" customHeight="1" thickBot="1" x14ac:dyDescent="0.3">
      <c r="A1234" s="113">
        <f>$A$1232+4</f>
        <v>4</v>
      </c>
      <c r="B1234" s="26" t="s">
        <v>1521</v>
      </c>
      <c r="C1234" s="26" t="s">
        <v>92</v>
      </c>
      <c r="D1234" s="26"/>
      <c r="E1234" s="26"/>
      <c r="F1234" s="26"/>
      <c r="G1234" s="26" t="s">
        <v>1519</v>
      </c>
      <c r="H1234" s="26"/>
      <c r="I1234" s="26"/>
      <c r="J1234" s="26" t="b">
        <f t="shared" si="219"/>
        <v>1</v>
      </c>
      <c r="K1234" s="26" t="b">
        <v>1</v>
      </c>
      <c r="L1234" s="26"/>
      <c r="M1234" s="26"/>
      <c r="N1234" s="26"/>
      <c r="O1234" s="26" t="str">
        <f>"$B$"&amp;A1234</f>
        <v>$B$4</v>
      </c>
      <c r="P1234" s="113" t="str">
        <f>"$Y$"&amp;A1234</f>
        <v>$Y$4</v>
      </c>
      <c r="Q1234" s="26"/>
      <c r="R1234" s="26"/>
      <c r="S1234" s="26"/>
      <c r="T1234" s="26">
        <v>40</v>
      </c>
      <c r="U1234" s="26"/>
      <c r="V1234" s="26" t="s">
        <v>1342</v>
      </c>
      <c r="W1234" s="26"/>
      <c r="X1234" s="26"/>
      <c r="Y1234" s="26"/>
      <c r="Z1234" s="26"/>
      <c r="AA1234" s="26"/>
      <c r="AB1234" s="26"/>
      <c r="AC1234" s="26"/>
      <c r="AD1234" s="26"/>
      <c r="AE1234" s="26"/>
      <c r="AF1234" s="26"/>
      <c r="AG1234" s="26"/>
      <c r="AH1234" s="26" t="s">
        <v>29</v>
      </c>
      <c r="AI1234" s="26"/>
      <c r="AJ1234" s="26"/>
      <c r="AK1234" s="26"/>
      <c r="AL1234" s="26">
        <v>1</v>
      </c>
      <c r="AM1234" s="26"/>
      <c r="AN1234" s="26"/>
      <c r="AO1234" s="26"/>
      <c r="AP1234" s="26" t="b">
        <v>1</v>
      </c>
      <c r="AQ1234" s="22" t="s">
        <v>1312</v>
      </c>
      <c r="AR1234" s="19" t="s">
        <v>291</v>
      </c>
      <c r="AW1234" s="93"/>
      <c r="AX1234" s="93"/>
      <c r="AY1234" s="93"/>
      <c r="AZ1234" s="93"/>
      <c r="BA1234" s="93"/>
      <c r="BC1234" s="21" t="s">
        <v>300</v>
      </c>
      <c r="BD1234" s="21" t="s">
        <v>301</v>
      </c>
      <c r="BE1234" s="21" t="s">
        <v>302</v>
      </c>
      <c r="BF1234" s="21" t="s">
        <v>1336</v>
      </c>
      <c r="BG1234" s="21" t="s">
        <v>1337</v>
      </c>
    </row>
    <row r="1235" spans="1:59" customFormat="1" ht="16.5" customHeight="1" x14ac:dyDescent="0.25">
      <c r="A1235" s="98">
        <f>$A$1232+5</f>
        <v>5</v>
      </c>
      <c r="B1235" s="23" t="s">
        <v>1522</v>
      </c>
      <c r="C1235" s="23" t="s">
        <v>1316</v>
      </c>
      <c r="D1235" s="23"/>
      <c r="E1235" s="23"/>
      <c r="F1235" s="23">
        <f ca="1">COUNTA(INDIRECT(AQ1235,TRUE))*COUNTA(INDIRECT(AR1235,TRUE))*COUNTA(INDIRECT(AS1235,TRUE))*COUNTA(INDIRECT(AT1235,TRUE))</f>
        <v>1</v>
      </c>
      <c r="G1235" s="23" t="s">
        <v>1519</v>
      </c>
      <c r="H1235" s="23" t="s">
        <v>1521</v>
      </c>
      <c r="I1235" s="23" t="s">
        <v>1377</v>
      </c>
      <c r="J1235" s="23" t="b">
        <f t="shared" si="219"/>
        <v>1</v>
      </c>
      <c r="K1235" s="23" t="b">
        <v>1</v>
      </c>
      <c r="L1235" s="23"/>
      <c r="M1235" s="23"/>
      <c r="N1235" s="23"/>
      <c r="O1235" s="23" t="str">
        <f>"$B$"&amp;A1235</f>
        <v>$B$5</v>
      </c>
      <c r="P1235" s="23" t="str">
        <f>"$H$"&amp;A1235</f>
        <v>$H$5</v>
      </c>
      <c r="Q1235" s="23"/>
      <c r="R1235" s="23"/>
      <c r="S1235" s="23"/>
      <c r="T1235" s="23"/>
      <c r="U1235" s="23"/>
      <c r="V1235" s="23"/>
      <c r="W1235" s="23"/>
      <c r="X1235" s="23"/>
      <c r="Y1235" s="23"/>
      <c r="Z1235" s="23"/>
      <c r="AA1235" s="23"/>
      <c r="AB1235" s="23"/>
      <c r="AC1235" s="23"/>
      <c r="AD1235" s="23"/>
      <c r="AE1235" s="23"/>
      <c r="AF1235" s="23"/>
      <c r="AG1235" s="23"/>
      <c r="AH1235" s="23"/>
      <c r="AI1235" s="23"/>
      <c r="AJ1235" s="23"/>
      <c r="AK1235" s="23"/>
      <c r="AL1235" s="23"/>
      <c r="AM1235" s="23"/>
      <c r="AN1235" s="23"/>
      <c r="AO1235" s="23"/>
      <c r="AP1235" s="23"/>
      <c r="AQ1235" s="84" t="s">
        <v>1376</v>
      </c>
      <c r="AR1235" t="s">
        <v>1551</v>
      </c>
      <c r="AW1235" s="93"/>
      <c r="AX1235" s="93"/>
      <c r="AY1235" s="93"/>
      <c r="AZ1235" s="93"/>
      <c r="BA1235" s="93"/>
    </row>
    <row r="1236" spans="1:59" customFormat="1" ht="16.5" customHeight="1" x14ac:dyDescent="0.25">
      <c r="A1236" s="99">
        <v>0</v>
      </c>
      <c r="B1236" s="24" t="s">
        <v>1523</v>
      </c>
      <c r="C1236" s="24" t="s">
        <v>89</v>
      </c>
      <c r="D1236" s="24"/>
      <c r="E1236" s="24"/>
      <c r="F1236" s="24">
        <v>11</v>
      </c>
      <c r="G1236" s="24" t="s">
        <v>1523</v>
      </c>
      <c r="H1236" s="24" t="s">
        <v>1562</v>
      </c>
      <c r="I1236" s="24">
        <f>COUNTIF(G:G,B1236)</f>
        <v>4</v>
      </c>
      <c r="J1236" s="24" t="b">
        <f>$E$5</f>
        <v>1</v>
      </c>
      <c r="K1236" s="24"/>
      <c r="L1236" s="24"/>
      <c r="M1236" s="24"/>
      <c r="N1236" s="24"/>
      <c r="O1236" s="24"/>
      <c r="P1236" s="24"/>
      <c r="Q1236" s="24"/>
      <c r="R1236" s="24"/>
      <c r="S1236" s="24"/>
      <c r="T1236" s="24"/>
      <c r="U1236" s="24"/>
      <c r="V1236" s="24"/>
      <c r="W1236" s="24" t="s">
        <v>1359</v>
      </c>
      <c r="X1236" s="24"/>
      <c r="Y1236" s="24"/>
      <c r="Z1236" s="24"/>
      <c r="AA1236" s="24"/>
      <c r="AB1236" s="24"/>
      <c r="AC1236" s="24"/>
      <c r="AD1236" s="24"/>
      <c r="AE1236" s="24"/>
      <c r="AF1236" s="24"/>
      <c r="AG1236" s="24"/>
      <c r="AH1236" s="24"/>
      <c r="AI1236" s="24"/>
      <c r="AJ1236" s="24">
        <v>100</v>
      </c>
      <c r="AK1236" s="24"/>
      <c r="AL1236" s="24"/>
      <c r="AM1236" s="24"/>
      <c r="AN1236" s="24"/>
      <c r="AO1236" s="24"/>
      <c r="AP1236" s="24"/>
      <c r="AW1236" s="93"/>
      <c r="AX1236" s="93"/>
      <c r="AY1236" s="93"/>
      <c r="AZ1236" s="93"/>
      <c r="BA1236" s="93"/>
    </row>
    <row r="1237" spans="1:59" customFormat="1" ht="16.5" customHeight="1" x14ac:dyDescent="0.25">
      <c r="A1237" s="100">
        <f>$A$1236+2</f>
        <v>2</v>
      </c>
      <c r="B1237" s="25" t="s">
        <v>1529</v>
      </c>
      <c r="C1237" s="25" t="s">
        <v>649</v>
      </c>
      <c r="D1237" s="25"/>
      <c r="E1237" s="25"/>
      <c r="F1237" s="25"/>
      <c r="G1237" s="25" t="s">
        <v>1523</v>
      </c>
      <c r="H1237" s="25"/>
      <c r="I1237" s="25" t="s">
        <v>1313</v>
      </c>
      <c r="J1237" s="25" t="b">
        <f>$E$5</f>
        <v>1</v>
      </c>
      <c r="K1237" s="25" t="b">
        <v>1</v>
      </c>
      <c r="L1237" s="25"/>
      <c r="M1237" s="25"/>
      <c r="N1237" s="25" t="s">
        <v>59</v>
      </c>
      <c r="O1237" s="25" t="str">
        <f>"$B$"&amp;A1237</f>
        <v>$B$2</v>
      </c>
      <c r="P1237" s="25" t="str">
        <f>"$M$"&amp;A1237</f>
        <v>$M$2</v>
      </c>
      <c r="Q1237" s="25"/>
      <c r="R1237" s="25">
        <v>3</v>
      </c>
      <c r="S1237" s="25"/>
      <c r="T1237" s="25">
        <v>45</v>
      </c>
      <c r="U1237" s="25"/>
      <c r="V1237" s="25" t="s">
        <v>1351</v>
      </c>
      <c r="W1237" s="25"/>
      <c r="X1237" s="25"/>
      <c r="Y1237" s="25"/>
      <c r="Z1237" s="25"/>
      <c r="AA1237" s="25"/>
      <c r="AB1237" s="25">
        <v>3</v>
      </c>
      <c r="AC1237" s="25">
        <v>5</v>
      </c>
      <c r="AD1237" s="25" t="s">
        <v>105</v>
      </c>
      <c r="AE1237" s="25">
        <v>36</v>
      </c>
      <c r="AF1237" s="25" t="b">
        <v>1</v>
      </c>
      <c r="AG1237" s="25" t="s">
        <v>1355</v>
      </c>
      <c r="AH1237" s="25" t="s">
        <v>29</v>
      </c>
      <c r="AI1237" s="25" t="s">
        <v>28</v>
      </c>
      <c r="AJ1237" s="25"/>
      <c r="AK1237" s="25"/>
      <c r="AL1237" s="25">
        <v>0</v>
      </c>
      <c r="AM1237" s="25"/>
      <c r="AN1237" s="25"/>
      <c r="AO1237" s="25"/>
      <c r="AP1237" s="25"/>
      <c r="AW1237" s="93"/>
      <c r="AX1237" s="93"/>
      <c r="AY1237" s="93"/>
      <c r="AZ1237" s="93"/>
      <c r="BA1237" s="93"/>
    </row>
    <row r="1238" spans="1:59" customFormat="1" ht="17.25" customHeight="1" thickBot="1" x14ac:dyDescent="0.3">
      <c r="A1238" s="113">
        <f>$A$1236+4</f>
        <v>4</v>
      </c>
      <c r="B1238" s="26" t="s">
        <v>1530</v>
      </c>
      <c r="C1238" s="26" t="s">
        <v>92</v>
      </c>
      <c r="D1238" s="26"/>
      <c r="E1238" s="26"/>
      <c r="F1238" s="26"/>
      <c r="G1238" s="26" t="s">
        <v>1523</v>
      </c>
      <c r="H1238" s="26"/>
      <c r="I1238" s="26"/>
      <c r="J1238" s="26" t="b">
        <f>$E$5</f>
        <v>1</v>
      </c>
      <c r="K1238" s="26" t="b">
        <v>1</v>
      </c>
      <c r="L1238" s="26"/>
      <c r="M1238" s="26"/>
      <c r="N1238" s="26"/>
      <c r="O1238" s="26" t="str">
        <f>"$B$"&amp;A1238</f>
        <v>$B$4</v>
      </c>
      <c r="P1238" s="113" t="str">
        <f>"$Y$"&amp;A1238</f>
        <v>$Y$4</v>
      </c>
      <c r="Q1238" s="26"/>
      <c r="R1238" s="26"/>
      <c r="S1238" s="26"/>
      <c r="T1238" s="26">
        <v>40</v>
      </c>
      <c r="U1238" s="26"/>
      <c r="V1238" s="26" t="s">
        <v>1342</v>
      </c>
      <c r="W1238" s="26"/>
      <c r="X1238" s="26"/>
      <c r="Y1238" s="26"/>
      <c r="Z1238" s="26"/>
      <c r="AA1238" s="26"/>
      <c r="AB1238" s="26"/>
      <c r="AC1238" s="26"/>
      <c r="AD1238" s="26"/>
      <c r="AE1238" s="26"/>
      <c r="AF1238" s="26"/>
      <c r="AG1238" s="26"/>
      <c r="AH1238" s="26" t="s">
        <v>29</v>
      </c>
      <c r="AI1238" s="26"/>
      <c r="AJ1238" s="26"/>
      <c r="AK1238" s="26"/>
      <c r="AL1238" s="26">
        <v>1</v>
      </c>
      <c r="AM1238" s="26"/>
      <c r="AN1238" s="26"/>
      <c r="AO1238" s="26"/>
      <c r="AP1238" s="26" t="b">
        <v>1</v>
      </c>
      <c r="AQ1238" s="22" t="s">
        <v>1312</v>
      </c>
      <c r="AR1238" s="19" t="s">
        <v>291</v>
      </c>
      <c r="AW1238" s="93"/>
      <c r="AX1238" s="93"/>
      <c r="AY1238" s="93"/>
      <c r="AZ1238" s="93"/>
      <c r="BA1238" s="93"/>
      <c r="BC1238" s="21" t="s">
        <v>300</v>
      </c>
      <c r="BD1238" s="21" t="s">
        <v>301</v>
      </c>
      <c r="BE1238" s="21" t="s">
        <v>302</v>
      </c>
      <c r="BF1238" s="21" t="s">
        <v>1336</v>
      </c>
      <c r="BG1238" s="21" t="s">
        <v>1337</v>
      </c>
    </row>
    <row r="1239" spans="1:59" customFormat="1" ht="16.5" customHeight="1" x14ac:dyDescent="0.25">
      <c r="A1239" s="98">
        <f>$A$1236+5</f>
        <v>5</v>
      </c>
      <c r="B1239" s="23" t="s">
        <v>1531</v>
      </c>
      <c r="C1239" s="23" t="s">
        <v>1316</v>
      </c>
      <c r="D1239" s="23"/>
      <c r="E1239" s="23"/>
      <c r="F1239" s="23">
        <f ca="1">COUNTA(INDIRECT(AQ1239,TRUE))*COUNTA(INDIRECT(AR1239,TRUE))*COUNTA(INDIRECT(AS1239,TRUE))*COUNTA(INDIRECT(AT1239,TRUE))</f>
        <v>5</v>
      </c>
      <c r="G1239" s="23" t="s">
        <v>1523</v>
      </c>
      <c r="H1239" s="23" t="s">
        <v>1530</v>
      </c>
      <c r="I1239" s="23" t="s">
        <v>1326</v>
      </c>
      <c r="J1239" s="23" t="b">
        <f>$E$5</f>
        <v>1</v>
      </c>
      <c r="K1239" s="23" t="b">
        <v>1</v>
      </c>
      <c r="L1239" s="23"/>
      <c r="M1239" s="23"/>
      <c r="N1239" s="23"/>
      <c r="O1239" s="23" t="str">
        <f>"$B$"&amp;A1239</f>
        <v>$B$5</v>
      </c>
      <c r="P1239" s="23" t="str">
        <f>"$H$"&amp;A1239</f>
        <v>$H$5</v>
      </c>
      <c r="Q1239" s="23"/>
      <c r="R1239" s="23"/>
      <c r="S1239" s="23"/>
      <c r="T1239" s="23"/>
      <c r="U1239" s="23"/>
      <c r="V1239" s="23"/>
      <c r="W1239" s="23"/>
      <c r="X1239" s="23"/>
      <c r="Y1239" s="23"/>
      <c r="Z1239" s="23"/>
      <c r="AA1239" s="23"/>
      <c r="AB1239" s="23"/>
      <c r="AC1239" s="23"/>
      <c r="AD1239" s="23"/>
      <c r="AE1239" s="23"/>
      <c r="AF1239" s="23"/>
      <c r="AG1239" s="23"/>
      <c r="AH1239" s="23"/>
      <c r="AI1239" s="23"/>
      <c r="AJ1239" s="23"/>
      <c r="AK1239" s="23"/>
      <c r="AL1239" s="23"/>
      <c r="AM1239" s="23"/>
      <c r="AN1239" s="23"/>
      <c r="AO1239" s="23"/>
      <c r="AP1239" s="23"/>
      <c r="AQ1239" s="84" t="s">
        <v>1319</v>
      </c>
      <c r="AR1239" t="s">
        <v>1549</v>
      </c>
      <c r="AW1239" s="93"/>
      <c r="AX1239" s="93"/>
      <c r="AY1239" s="93"/>
      <c r="AZ1239" s="93"/>
      <c r="BA1239" s="93"/>
    </row>
    <row r="1240" spans="1:59" customFormat="1" ht="16.5" customHeight="1" x14ac:dyDescent="0.25">
      <c r="A1240" s="99">
        <v>0</v>
      </c>
      <c r="B1240" s="24" t="s">
        <v>1524</v>
      </c>
      <c r="C1240" s="24" t="s">
        <v>89</v>
      </c>
      <c r="D1240" s="24"/>
      <c r="E1240" s="24"/>
      <c r="F1240" s="24">
        <v>11</v>
      </c>
      <c r="G1240" s="24" t="s">
        <v>1524</v>
      </c>
      <c r="H1240" s="24" t="s">
        <v>1561</v>
      </c>
      <c r="I1240" s="24">
        <f>COUNTIF(G:G,B1240)</f>
        <v>4</v>
      </c>
      <c r="J1240" s="24" t="b">
        <f>$E$6</f>
        <v>1</v>
      </c>
      <c r="K1240" s="24"/>
      <c r="L1240" s="24"/>
      <c r="M1240" s="24"/>
      <c r="N1240" s="24"/>
      <c r="O1240" s="24"/>
      <c r="P1240" s="24"/>
      <c r="Q1240" s="24"/>
      <c r="R1240" s="24"/>
      <c r="S1240" s="24"/>
      <c r="T1240" s="24"/>
      <c r="U1240" s="24"/>
      <c r="V1240" s="24"/>
      <c r="W1240" s="24" t="s">
        <v>1359</v>
      </c>
      <c r="X1240" s="24"/>
      <c r="Y1240" s="24"/>
      <c r="Z1240" s="24"/>
      <c r="AA1240" s="24"/>
      <c r="AB1240" s="24"/>
      <c r="AC1240" s="24"/>
      <c r="AD1240" s="24"/>
      <c r="AE1240" s="24"/>
      <c r="AF1240" s="24"/>
      <c r="AG1240" s="24"/>
      <c r="AH1240" s="24"/>
      <c r="AI1240" s="24"/>
      <c r="AJ1240" s="24">
        <v>100</v>
      </c>
      <c r="AK1240" s="24"/>
      <c r="AL1240" s="24"/>
      <c r="AM1240" s="24"/>
      <c r="AN1240" s="24"/>
      <c r="AO1240" s="24"/>
      <c r="AP1240" s="24"/>
      <c r="AW1240" s="93"/>
      <c r="AX1240" s="93"/>
      <c r="AY1240" s="93"/>
      <c r="AZ1240" s="93"/>
      <c r="BA1240" s="93"/>
    </row>
    <row r="1241" spans="1:59" customFormat="1" ht="16.5" customHeight="1" x14ac:dyDescent="0.25">
      <c r="A1241" s="100">
        <f>$A$1240+2</f>
        <v>2</v>
      </c>
      <c r="B1241" s="25" t="s">
        <v>1532</v>
      </c>
      <c r="C1241" s="25" t="s">
        <v>649</v>
      </c>
      <c r="D1241" s="25"/>
      <c r="E1241" s="25"/>
      <c r="F1241" s="25"/>
      <c r="G1241" s="25" t="s">
        <v>1524</v>
      </c>
      <c r="H1241" s="25"/>
      <c r="I1241" s="25" t="s">
        <v>1334</v>
      </c>
      <c r="J1241" s="25" t="b">
        <f>$E$6</f>
        <v>1</v>
      </c>
      <c r="K1241" s="25" t="b">
        <v>1</v>
      </c>
      <c r="L1241" s="25"/>
      <c r="M1241" s="25"/>
      <c r="N1241" s="25" t="s">
        <v>59</v>
      </c>
      <c r="O1241" s="25" t="str">
        <f>"$B$"&amp;A1241</f>
        <v>$B$2</v>
      </c>
      <c r="P1241" s="25" t="str">
        <f>"$M$"&amp;A1241</f>
        <v>$M$2</v>
      </c>
      <c r="Q1241" s="25"/>
      <c r="R1241" s="25">
        <v>3</v>
      </c>
      <c r="S1241" s="25"/>
      <c r="T1241" s="25">
        <v>45</v>
      </c>
      <c r="U1241" s="25"/>
      <c r="V1241" s="25" t="s">
        <v>1351</v>
      </c>
      <c r="W1241" s="25"/>
      <c r="X1241" s="25"/>
      <c r="Y1241" s="25"/>
      <c r="Z1241" s="25"/>
      <c r="AA1241" s="25"/>
      <c r="AB1241" s="25">
        <v>3</v>
      </c>
      <c r="AC1241" s="25">
        <v>5</v>
      </c>
      <c r="AD1241" s="25" t="s">
        <v>105</v>
      </c>
      <c r="AE1241" s="25">
        <v>36</v>
      </c>
      <c r="AF1241" s="25" t="b">
        <v>1</v>
      </c>
      <c r="AG1241" s="25" t="s">
        <v>1355</v>
      </c>
      <c r="AH1241" s="25" t="s">
        <v>29</v>
      </c>
      <c r="AI1241" s="25" t="s">
        <v>28</v>
      </c>
      <c r="AJ1241" s="25"/>
      <c r="AK1241" s="25"/>
      <c r="AL1241" s="25">
        <v>0</v>
      </c>
      <c r="AM1241" s="25"/>
      <c r="AN1241" s="25"/>
      <c r="AO1241" s="25"/>
      <c r="AP1241" s="25"/>
      <c r="AW1241" s="93"/>
      <c r="AX1241" s="93"/>
      <c r="AY1241" s="93"/>
      <c r="AZ1241" s="93"/>
      <c r="BA1241" s="93"/>
    </row>
    <row r="1242" spans="1:59" customFormat="1" ht="17.25" customHeight="1" thickBot="1" x14ac:dyDescent="0.3">
      <c r="A1242" s="113">
        <f>$A$1240+4</f>
        <v>4</v>
      </c>
      <c r="B1242" s="26" t="s">
        <v>1533</v>
      </c>
      <c r="C1242" s="26" t="s">
        <v>92</v>
      </c>
      <c r="D1242" s="26"/>
      <c r="E1242" s="26"/>
      <c r="F1242" s="26"/>
      <c r="G1242" s="26" t="s">
        <v>1524</v>
      </c>
      <c r="H1242" s="26"/>
      <c r="I1242" s="26"/>
      <c r="J1242" s="26" t="b">
        <f>$E$6</f>
        <v>1</v>
      </c>
      <c r="K1242" s="26" t="b">
        <v>1</v>
      </c>
      <c r="L1242" s="26"/>
      <c r="M1242" s="26"/>
      <c r="N1242" s="26"/>
      <c r="O1242" s="26" t="str">
        <f>"$B$"&amp;A1242</f>
        <v>$B$4</v>
      </c>
      <c r="P1242" s="113" t="str">
        <f>"$Y$"&amp;A1242</f>
        <v>$Y$4</v>
      </c>
      <c r="Q1242" s="26"/>
      <c r="R1242" s="26"/>
      <c r="S1242" s="26"/>
      <c r="T1242" s="26">
        <v>40</v>
      </c>
      <c r="U1242" s="26"/>
      <c r="V1242" s="26" t="s">
        <v>1342</v>
      </c>
      <c r="W1242" s="26"/>
      <c r="X1242" s="26"/>
      <c r="Y1242" s="26"/>
      <c r="Z1242" s="26"/>
      <c r="AA1242" s="26"/>
      <c r="AB1242" s="26"/>
      <c r="AC1242" s="26"/>
      <c r="AD1242" s="26"/>
      <c r="AE1242" s="26"/>
      <c r="AF1242" s="26"/>
      <c r="AG1242" s="26"/>
      <c r="AH1242" s="26" t="s">
        <v>29</v>
      </c>
      <c r="AI1242" s="26"/>
      <c r="AJ1242" s="26"/>
      <c r="AK1242" s="26"/>
      <c r="AL1242" s="26">
        <v>1</v>
      </c>
      <c r="AM1242" s="26"/>
      <c r="AN1242" s="26"/>
      <c r="AO1242" s="26"/>
      <c r="AP1242" s="26" t="b">
        <v>1</v>
      </c>
      <c r="AQ1242" s="22" t="s">
        <v>1312</v>
      </c>
      <c r="AR1242" s="19" t="s">
        <v>291</v>
      </c>
      <c r="AW1242" s="93"/>
      <c r="AX1242" s="93"/>
      <c r="AY1242" s="93"/>
      <c r="AZ1242" s="93"/>
      <c r="BA1242" s="93"/>
      <c r="BC1242" s="21" t="s">
        <v>300</v>
      </c>
      <c r="BD1242" s="21" t="s">
        <v>301</v>
      </c>
      <c r="BE1242" s="21" t="s">
        <v>302</v>
      </c>
      <c r="BF1242" s="21" t="s">
        <v>1336</v>
      </c>
      <c r="BG1242" s="21" t="s">
        <v>1337</v>
      </c>
    </row>
    <row r="1243" spans="1:59" customFormat="1" ht="16.5" customHeight="1" x14ac:dyDescent="0.25">
      <c r="A1243" s="98">
        <f>$A$1240+5</f>
        <v>5</v>
      </c>
      <c r="B1243" s="23" t="s">
        <v>1534</v>
      </c>
      <c r="C1243" s="23" t="s">
        <v>1316</v>
      </c>
      <c r="D1243" s="23"/>
      <c r="E1243" s="23"/>
      <c r="F1243" s="23">
        <f ca="1">COUNTA(INDIRECT(AQ1243,TRUE))*COUNTA(INDIRECT(AR1243,TRUE))*COUNTA(INDIRECT(AS1243,TRUE))*COUNTA(INDIRECT(AT1243,TRUE))</f>
        <v>2</v>
      </c>
      <c r="G1243" s="23" t="s">
        <v>1524</v>
      </c>
      <c r="H1243" s="23" t="s">
        <v>1533</v>
      </c>
      <c r="I1243" s="23" t="s">
        <v>1333</v>
      </c>
      <c r="J1243" s="23" t="b">
        <f>$E$6</f>
        <v>1</v>
      </c>
      <c r="K1243" s="23" t="b">
        <v>1</v>
      </c>
      <c r="L1243" s="23"/>
      <c r="M1243" s="23"/>
      <c r="N1243" s="23"/>
      <c r="O1243" s="23" t="str">
        <f>"$B$"&amp;A1243</f>
        <v>$B$5</v>
      </c>
      <c r="P1243" s="23" t="str">
        <f>"$H$"&amp;A1243</f>
        <v>$H$5</v>
      </c>
      <c r="Q1243" s="23"/>
      <c r="R1243" s="23"/>
      <c r="S1243" s="23"/>
      <c r="T1243" s="23"/>
      <c r="U1243" s="23"/>
      <c r="V1243" s="23"/>
      <c r="W1243" s="23"/>
      <c r="X1243" s="23"/>
      <c r="Y1243" s="23"/>
      <c r="Z1243" s="23"/>
      <c r="AA1243" s="23"/>
      <c r="AB1243" s="23"/>
      <c r="AC1243" s="23"/>
      <c r="AD1243" s="23"/>
      <c r="AE1243" s="23"/>
      <c r="AF1243" s="23"/>
      <c r="AG1243" s="23"/>
      <c r="AH1243" s="23"/>
      <c r="AI1243" s="23"/>
      <c r="AJ1243" s="23"/>
      <c r="AK1243" s="23"/>
      <c r="AL1243" s="23"/>
      <c r="AM1243" s="23"/>
      <c r="AN1243" s="23"/>
      <c r="AO1243" s="23"/>
      <c r="AP1243" s="23"/>
      <c r="AQ1243" s="84" t="s">
        <v>1332</v>
      </c>
      <c r="AR1243" t="s">
        <v>1549</v>
      </c>
    </row>
    <row r="1244" spans="1:59" ht="16.5" customHeight="1" x14ac:dyDescent="0.2">
      <c r="A1244" s="108">
        <f>$A$1240+0</f>
        <v>0</v>
      </c>
      <c r="B1244" s="98" t="s">
        <v>1087</v>
      </c>
      <c r="C1244" s="98"/>
      <c r="D1244" s="98"/>
      <c r="E1244" s="98"/>
      <c r="F1244" s="98"/>
      <c r="G1244" s="98"/>
      <c r="H1244" s="98"/>
      <c r="I1244" s="98"/>
      <c r="J1244" s="98"/>
      <c r="K1244" s="98"/>
      <c r="L1244" s="98"/>
      <c r="M1244" s="98"/>
      <c r="N1244" s="98"/>
      <c r="O1244" s="98"/>
      <c r="P1244" s="98"/>
      <c r="Q1244" s="98"/>
      <c r="R1244" s="98"/>
      <c r="S1244" s="98"/>
      <c r="T1244" s="98"/>
      <c r="U1244" s="98"/>
      <c r="V1244" s="98"/>
      <c r="W1244" s="98"/>
      <c r="X1244" s="98"/>
      <c r="Y1244" s="98"/>
      <c r="Z1244" s="98"/>
      <c r="AA1244" s="98"/>
      <c r="AB1244" s="98"/>
      <c r="AC1244" s="98"/>
      <c r="AD1244" s="98"/>
      <c r="AE1244" s="98"/>
      <c r="AF1244" s="98"/>
      <c r="AG1244" s="98"/>
      <c r="AH1244" s="98"/>
      <c r="AI1244" s="98"/>
      <c r="AJ1244" s="98"/>
      <c r="AK1244" s="98"/>
      <c r="AL1244" s="98"/>
      <c r="AM1244" s="98"/>
      <c r="AN1244" s="98"/>
      <c r="AO1244" s="98"/>
      <c r="AP1244" s="98"/>
    </row>
    <row r="1245" spans="1:59" ht="16.5" customHeight="1" x14ac:dyDescent="0.2">
      <c r="A1245" s="108"/>
      <c r="B1245" s="98"/>
      <c r="C1245" s="98"/>
      <c r="D1245" s="98"/>
      <c r="E1245" s="98"/>
      <c r="F1245" s="98"/>
      <c r="G1245" s="98"/>
      <c r="H1245" s="98"/>
      <c r="I1245" s="98"/>
      <c r="J1245" s="98"/>
      <c r="K1245" s="98"/>
      <c r="L1245" s="98"/>
      <c r="M1245" s="98"/>
      <c r="N1245" s="98"/>
      <c r="O1245" s="98"/>
      <c r="P1245" s="98"/>
      <c r="Q1245" s="98"/>
      <c r="R1245" s="98"/>
      <c r="S1245" s="98"/>
      <c r="T1245" s="98"/>
      <c r="U1245" s="98"/>
      <c r="V1245" s="98"/>
      <c r="W1245" s="98"/>
      <c r="X1245" s="98"/>
      <c r="Y1245" s="98"/>
      <c r="Z1245" s="98"/>
      <c r="AA1245" s="98"/>
      <c r="AB1245" s="98"/>
      <c r="AC1245" s="98"/>
      <c r="AD1245" s="98"/>
      <c r="AE1245" s="98"/>
      <c r="AF1245" s="98"/>
      <c r="AG1245" s="98"/>
      <c r="AH1245" s="98"/>
      <c r="AI1245" s="98"/>
      <c r="AJ1245" s="98"/>
      <c r="AK1245" s="98"/>
      <c r="AL1245" s="98"/>
      <c r="AM1245" s="98"/>
      <c r="AN1245" s="98"/>
      <c r="AO1245" s="98"/>
      <c r="AP1245" s="98"/>
    </row>
  </sheetData>
  <sheetProtection algorithmName="SHA-512" hashValue="VR/TeyAlcE4VHmhltAV49MX0cNK2o63YLtVdLXSjcvuWOfcyO9nqHvKSTgARmIqub5jUTUL0fFexqbwPuNg6IA==" saltValue="Vfsg1Z2Vo5u2xybftZQtRw==" spinCount="100000" sheet="1" objects="1" scenarios="1"/>
  <mergeCells count="590">
    <mergeCell ref="AU1054:AV1054"/>
    <mergeCell ref="AW1054:AX1054"/>
    <mergeCell ref="AY1054:AZ1054"/>
    <mergeCell ref="AW514:AX514"/>
    <mergeCell ref="AT811:AW811"/>
    <mergeCell ref="AQ471:AR471"/>
    <mergeCell ref="AS471:AT471"/>
    <mergeCell ref="AU471:AV471"/>
    <mergeCell ref="AW471:AX471"/>
    <mergeCell ref="AY471:AZ471"/>
    <mergeCell ref="AT788:AW788"/>
    <mergeCell ref="AT792:AW792"/>
    <mergeCell ref="AT807:AW807"/>
    <mergeCell ref="AT810:AW810"/>
    <mergeCell ref="AR717:AW717"/>
    <mergeCell ref="AR719:AW719"/>
    <mergeCell ref="AR751:AW751"/>
    <mergeCell ref="AR753:AW753"/>
    <mergeCell ref="AT784:AW784"/>
    <mergeCell ref="AT787:AW787"/>
    <mergeCell ref="AW682:AZ682"/>
    <mergeCell ref="AQ684:AR684"/>
    <mergeCell ref="AS684:AT684"/>
    <mergeCell ref="AS1004:AT1004"/>
    <mergeCell ref="AT794:AW794"/>
    <mergeCell ref="AW684:AZ684"/>
    <mergeCell ref="AQ689:AR689"/>
    <mergeCell ref="AQ1186:BB1186"/>
    <mergeCell ref="AS1061:AT1061"/>
    <mergeCell ref="AU1061:AV1061"/>
    <mergeCell ref="AW1061:AX1061"/>
    <mergeCell ref="AY1061:AZ1061"/>
    <mergeCell ref="AQ1116:AT1116"/>
    <mergeCell ref="AQ1183:AT1183"/>
    <mergeCell ref="AS1059:AT1059"/>
    <mergeCell ref="AU1059:AV1059"/>
    <mergeCell ref="AW1059:AX1059"/>
    <mergeCell ref="AY1059:AZ1059"/>
    <mergeCell ref="AQ1060:AR1060"/>
    <mergeCell ref="AS1060:AT1060"/>
    <mergeCell ref="AU1060:AV1060"/>
    <mergeCell ref="AW1060:AX1060"/>
    <mergeCell ref="AY1060:AZ1060"/>
    <mergeCell ref="AS1058:AT1058"/>
    <mergeCell ref="AU1058:AV1058"/>
    <mergeCell ref="AW1058:AX1058"/>
    <mergeCell ref="AY1058:AZ1058"/>
    <mergeCell ref="AS1054:AT1054"/>
    <mergeCell ref="AS1055:AT1055"/>
    <mergeCell ref="AU1055:AV1055"/>
    <mergeCell ref="AW1055:AX1055"/>
    <mergeCell ref="AY1055:AZ1055"/>
    <mergeCell ref="AS1056:AT1056"/>
    <mergeCell ref="AU1056:AV1056"/>
    <mergeCell ref="AW1056:AX1056"/>
    <mergeCell ref="AY1056:AZ1056"/>
    <mergeCell ref="AS1057:AT1057"/>
    <mergeCell ref="AU1057:AV1057"/>
    <mergeCell ref="AW1057:AX1057"/>
    <mergeCell ref="AY1057:AZ1057"/>
    <mergeCell ref="AQ1048:AV1048"/>
    <mergeCell ref="AQ1053:AR1053"/>
    <mergeCell ref="AS1053:AT1053"/>
    <mergeCell ref="AU1053:AV1053"/>
    <mergeCell ref="AW1053:AX1053"/>
    <mergeCell ref="AY1053:AZ1053"/>
    <mergeCell ref="AQ1042:AV1042"/>
    <mergeCell ref="AQ1043:AV1043"/>
    <mergeCell ref="AQ1044:AV1044"/>
    <mergeCell ref="AQ1045:AV1045"/>
    <mergeCell ref="AQ1046:AV1046"/>
    <mergeCell ref="AQ1047:AV1047"/>
    <mergeCell ref="AQ1036:AV1036"/>
    <mergeCell ref="AQ1037:AV1037"/>
    <mergeCell ref="AQ1038:AV1038"/>
    <mergeCell ref="AQ1039:AV1039"/>
    <mergeCell ref="AQ1040:AV1040"/>
    <mergeCell ref="AQ1041:AV1041"/>
    <mergeCell ref="AS1030:AT1030"/>
    <mergeCell ref="AU1030:AV1030"/>
    <mergeCell ref="AW1030:AX1030"/>
    <mergeCell ref="AS1025:AT1025"/>
    <mergeCell ref="AU1025:AV1025"/>
    <mergeCell ref="AW1025:AX1025"/>
    <mergeCell ref="AY1025:AZ1025"/>
    <mergeCell ref="BA1025:BB1025"/>
    <mergeCell ref="AY1030:AZ1030"/>
    <mergeCell ref="BA1030:BB1030"/>
    <mergeCell ref="AQ1035:AV1035"/>
    <mergeCell ref="AS1028:AT1028"/>
    <mergeCell ref="AU1028:AV1028"/>
    <mergeCell ref="AW1028:AX1028"/>
    <mergeCell ref="AY1028:AZ1028"/>
    <mergeCell ref="BA1028:BB1028"/>
    <mergeCell ref="AS1029:AT1029"/>
    <mergeCell ref="AU1029:AV1029"/>
    <mergeCell ref="AW1029:AX1029"/>
    <mergeCell ref="AY1029:AZ1029"/>
    <mergeCell ref="BA1029:BB1029"/>
    <mergeCell ref="AS1026:AT1026"/>
    <mergeCell ref="AU1026:AV1026"/>
    <mergeCell ref="AW1026:AX1026"/>
    <mergeCell ref="AY1026:AZ1026"/>
    <mergeCell ref="BA1026:BB1026"/>
    <mergeCell ref="AQ1017:AR1017"/>
    <mergeCell ref="AS1017:AT1017"/>
    <mergeCell ref="AU1017:AV1017"/>
    <mergeCell ref="AW1017:AX1017"/>
    <mergeCell ref="AY1017:AZ1017"/>
    <mergeCell ref="BA1017:BB1017"/>
    <mergeCell ref="AQ1020:BB1020"/>
    <mergeCell ref="AS1021:AT1021"/>
    <mergeCell ref="AU1021:AV1021"/>
    <mergeCell ref="AW1021:AX1021"/>
    <mergeCell ref="AY1021:AZ1021"/>
    <mergeCell ref="BA1021:BB1021"/>
    <mergeCell ref="AQ1018:AR1018"/>
    <mergeCell ref="AS1018:AT1018"/>
    <mergeCell ref="AU1018:AV1018"/>
    <mergeCell ref="AW1018:AX1018"/>
    <mergeCell ref="AY1018:AZ1018"/>
    <mergeCell ref="BA1018:BB1018"/>
    <mergeCell ref="BA1011:BB1011"/>
    <mergeCell ref="AQ1010:AR1010"/>
    <mergeCell ref="AS1010:AT1010"/>
    <mergeCell ref="AU1010:AV1010"/>
    <mergeCell ref="AW1010:AX1010"/>
    <mergeCell ref="AY1010:AZ1010"/>
    <mergeCell ref="BA1010:BB1010"/>
    <mergeCell ref="AQ1014:AR1014"/>
    <mergeCell ref="AS1014:AT1014"/>
    <mergeCell ref="AU1014:AV1014"/>
    <mergeCell ref="AW1014:AX1014"/>
    <mergeCell ref="AY1014:AZ1014"/>
    <mergeCell ref="BA1014:BB1014"/>
    <mergeCell ref="AQ1012:AR1012"/>
    <mergeCell ref="AS1012:AT1012"/>
    <mergeCell ref="AU1012:AV1012"/>
    <mergeCell ref="AW1012:AX1012"/>
    <mergeCell ref="AY1012:AZ1012"/>
    <mergeCell ref="BA1012:BB1012"/>
    <mergeCell ref="AS1001:AT1001"/>
    <mergeCell ref="AU1001:AV1001"/>
    <mergeCell ref="AW1001:AX1001"/>
    <mergeCell ref="AY1001:AZ1001"/>
    <mergeCell ref="AS1002:AT1002"/>
    <mergeCell ref="AU1002:AV1002"/>
    <mergeCell ref="AW1002:AX1002"/>
    <mergeCell ref="AY1002:AZ1002"/>
    <mergeCell ref="AS1005:AT1005"/>
    <mergeCell ref="AU1005:AV1005"/>
    <mergeCell ref="AW1005:AX1005"/>
    <mergeCell ref="AY1005:AZ1005"/>
    <mergeCell ref="AU1004:AV1004"/>
    <mergeCell ref="AW1004:AX1004"/>
    <mergeCell ref="AY1004:AZ1004"/>
    <mergeCell ref="AQ997:AR997"/>
    <mergeCell ref="AS997:AT997"/>
    <mergeCell ref="AU997:AV997"/>
    <mergeCell ref="AW997:AX997"/>
    <mergeCell ref="AY997:AZ997"/>
    <mergeCell ref="AS1000:AT1000"/>
    <mergeCell ref="AU1000:AV1000"/>
    <mergeCell ref="AW1000:AX1000"/>
    <mergeCell ref="AY1000:AZ1000"/>
    <mergeCell ref="AU992:AV992"/>
    <mergeCell ref="AW992:AX992"/>
    <mergeCell ref="AY992:AZ992"/>
    <mergeCell ref="BA992:BB992"/>
    <mergeCell ref="AQ996:AR996"/>
    <mergeCell ref="AS996:AT996"/>
    <mergeCell ref="AU996:AV996"/>
    <mergeCell ref="AW996:AX996"/>
    <mergeCell ref="AY996:AZ996"/>
    <mergeCell ref="AU990:AV990"/>
    <mergeCell ref="AW990:AX990"/>
    <mergeCell ref="AY990:AZ990"/>
    <mergeCell ref="BA990:BB990"/>
    <mergeCell ref="AU991:AV991"/>
    <mergeCell ref="AW991:AX991"/>
    <mergeCell ref="AY991:AZ991"/>
    <mergeCell ref="BA991:BB991"/>
    <mergeCell ref="AU988:AV988"/>
    <mergeCell ref="AW988:AX988"/>
    <mergeCell ref="AY988:AZ988"/>
    <mergeCell ref="BA988:BB988"/>
    <mergeCell ref="AU989:AV989"/>
    <mergeCell ref="AW989:AX989"/>
    <mergeCell ref="AY989:AZ989"/>
    <mergeCell ref="BA989:BB989"/>
    <mergeCell ref="AU986:AV986"/>
    <mergeCell ref="AW986:AX986"/>
    <mergeCell ref="AY986:AZ986"/>
    <mergeCell ref="BA986:BB986"/>
    <mergeCell ref="AU987:AV987"/>
    <mergeCell ref="AW987:AX987"/>
    <mergeCell ref="AY987:AZ987"/>
    <mergeCell ref="BA987:BB987"/>
    <mergeCell ref="AS982:AT982"/>
    <mergeCell ref="AQ985:AT985"/>
    <mergeCell ref="AU985:AV985"/>
    <mergeCell ref="AW985:AX985"/>
    <mergeCell ref="AY985:AZ985"/>
    <mergeCell ref="BA985:BB985"/>
    <mergeCell ref="AS971:AT971"/>
    <mergeCell ref="AS972:AT972"/>
    <mergeCell ref="AS978:AT978"/>
    <mergeCell ref="AS979:AT979"/>
    <mergeCell ref="AS980:AT980"/>
    <mergeCell ref="AS981:AT981"/>
    <mergeCell ref="AS962:AT962"/>
    <mergeCell ref="AS964:AT964"/>
    <mergeCell ref="AS965:AT965"/>
    <mergeCell ref="AS967:AT967"/>
    <mergeCell ref="AS968:AT968"/>
    <mergeCell ref="AS969:AT969"/>
    <mergeCell ref="AS948:AT948"/>
    <mergeCell ref="AU948:AV948"/>
    <mergeCell ref="AQ952:AX952"/>
    <mergeCell ref="AQ955:BB955"/>
    <mergeCell ref="AS960:AT960"/>
    <mergeCell ref="AS961:AT961"/>
    <mergeCell ref="AS946:AT946"/>
    <mergeCell ref="AU946:AV946"/>
    <mergeCell ref="AS947:AT947"/>
    <mergeCell ref="AU947:AV947"/>
    <mergeCell ref="AS943:AT943"/>
    <mergeCell ref="AU943:AV943"/>
    <mergeCell ref="AS944:AT944"/>
    <mergeCell ref="AU944:AV944"/>
    <mergeCell ref="AS945:AT945"/>
    <mergeCell ref="AU945:AV945"/>
    <mergeCell ref="AS937:AT937"/>
    <mergeCell ref="AU937:AV937"/>
    <mergeCell ref="AQ940:AV940"/>
    <mergeCell ref="AS941:AT941"/>
    <mergeCell ref="AU941:AV941"/>
    <mergeCell ref="AS942:AT942"/>
    <mergeCell ref="AU942:AV942"/>
    <mergeCell ref="AS934:AT934"/>
    <mergeCell ref="AU934:AV934"/>
    <mergeCell ref="AS936:AT936"/>
    <mergeCell ref="AU936:AV936"/>
    <mergeCell ref="AS930:AT930"/>
    <mergeCell ref="AU930:AV930"/>
    <mergeCell ref="AS931:AT931"/>
    <mergeCell ref="AU931:AV931"/>
    <mergeCell ref="AS933:AT933"/>
    <mergeCell ref="AU933:AV933"/>
    <mergeCell ref="AS924:AT924"/>
    <mergeCell ref="AQ928:AV928"/>
    <mergeCell ref="AS929:AT929"/>
    <mergeCell ref="AU929:AV929"/>
    <mergeCell ref="AS916:AT916"/>
    <mergeCell ref="AS917:AT917"/>
    <mergeCell ref="AS918:AT918"/>
    <mergeCell ref="AS920:AT920"/>
    <mergeCell ref="AS921:AT921"/>
    <mergeCell ref="AS922:AT922"/>
    <mergeCell ref="AS923:AT923"/>
    <mergeCell ref="AQ911:AR911"/>
    <mergeCell ref="AS911:AT911"/>
    <mergeCell ref="AU911:AV911"/>
    <mergeCell ref="AQ912:AR912"/>
    <mergeCell ref="AS912:AT912"/>
    <mergeCell ref="AU912:AV912"/>
    <mergeCell ref="AQ909:AR909"/>
    <mergeCell ref="AS909:AT909"/>
    <mergeCell ref="AU909:AV909"/>
    <mergeCell ref="AQ910:AR910"/>
    <mergeCell ref="AS910:AT910"/>
    <mergeCell ref="AU910:AV910"/>
    <mergeCell ref="BC861:BF861"/>
    <mergeCell ref="BG861:BH861"/>
    <mergeCell ref="AQ907:AR907"/>
    <mergeCell ref="AS907:AT907"/>
    <mergeCell ref="AU907:AV907"/>
    <mergeCell ref="AQ908:AR908"/>
    <mergeCell ref="AS908:AT908"/>
    <mergeCell ref="AU908:AV908"/>
    <mergeCell ref="AQ860:AR860"/>
    <mergeCell ref="AS860:AT860"/>
    <mergeCell ref="AU860:AV860"/>
    <mergeCell ref="AW860:AX860"/>
    <mergeCell ref="AY860:AZ860"/>
    <mergeCell ref="AS861:AT861"/>
    <mergeCell ref="AU861:AV861"/>
    <mergeCell ref="AW861:AX861"/>
    <mergeCell ref="AY861:AZ861"/>
    <mergeCell ref="AQ871:AR871"/>
    <mergeCell ref="AQ887:AR887"/>
    <mergeCell ref="AS859:AT859"/>
    <mergeCell ref="AU859:AV859"/>
    <mergeCell ref="AW859:AX859"/>
    <mergeCell ref="AY859:AZ859"/>
    <mergeCell ref="BC859:BF859"/>
    <mergeCell ref="BG859:BH859"/>
    <mergeCell ref="BC857:BF857"/>
    <mergeCell ref="BG857:BH857"/>
    <mergeCell ref="AS858:AT858"/>
    <mergeCell ref="AU858:AV858"/>
    <mergeCell ref="AW858:AX858"/>
    <mergeCell ref="AY858:AZ858"/>
    <mergeCell ref="AS856:AT856"/>
    <mergeCell ref="AU856:AV856"/>
    <mergeCell ref="AW856:AX856"/>
    <mergeCell ref="AY856:AZ856"/>
    <mergeCell ref="AS857:AT857"/>
    <mergeCell ref="AU857:AV857"/>
    <mergeCell ref="AW857:AX857"/>
    <mergeCell ref="AY857:AZ857"/>
    <mergeCell ref="BC854:BF854"/>
    <mergeCell ref="BG854:BH854"/>
    <mergeCell ref="AS855:AT855"/>
    <mergeCell ref="AU855:AV855"/>
    <mergeCell ref="AW855:AX855"/>
    <mergeCell ref="AY855:AZ855"/>
    <mergeCell ref="AV842:AZ842"/>
    <mergeCell ref="BA842:BB842"/>
    <mergeCell ref="BC842:BD842"/>
    <mergeCell ref="BE842:BF842"/>
    <mergeCell ref="BG842:BH842"/>
    <mergeCell ref="AQ854:AR854"/>
    <mergeCell ref="AS854:AT854"/>
    <mergeCell ref="AU854:AV854"/>
    <mergeCell ref="AW854:AX854"/>
    <mergeCell ref="AY854:AZ854"/>
    <mergeCell ref="AV840:AZ840"/>
    <mergeCell ref="BA840:BB840"/>
    <mergeCell ref="BC840:BD840"/>
    <mergeCell ref="BE840:BF840"/>
    <mergeCell ref="BG840:BH840"/>
    <mergeCell ref="AV841:AZ841"/>
    <mergeCell ref="BA841:BB841"/>
    <mergeCell ref="BC841:BD841"/>
    <mergeCell ref="BE841:BF841"/>
    <mergeCell ref="BG841:BH841"/>
    <mergeCell ref="AV838:AZ838"/>
    <mergeCell ref="BA838:BB838"/>
    <mergeCell ref="BC838:BD838"/>
    <mergeCell ref="BE838:BF838"/>
    <mergeCell ref="BG838:BH838"/>
    <mergeCell ref="AV839:AZ839"/>
    <mergeCell ref="BA839:BB839"/>
    <mergeCell ref="BC839:BD839"/>
    <mergeCell ref="BE839:BF839"/>
    <mergeCell ref="BG839:BH839"/>
    <mergeCell ref="AQ837:AS837"/>
    <mergeCell ref="AV837:AZ837"/>
    <mergeCell ref="BA837:BB837"/>
    <mergeCell ref="BC837:BD837"/>
    <mergeCell ref="BE837:BF837"/>
    <mergeCell ref="BG837:BH837"/>
    <mergeCell ref="AQ836:AS836"/>
    <mergeCell ref="AV836:AZ836"/>
    <mergeCell ref="BA836:BB836"/>
    <mergeCell ref="BC836:BD836"/>
    <mergeCell ref="BE836:BF836"/>
    <mergeCell ref="BG836:BH836"/>
    <mergeCell ref="AQ835:AS835"/>
    <mergeCell ref="AV835:AZ835"/>
    <mergeCell ref="BA835:BB835"/>
    <mergeCell ref="BC835:BD835"/>
    <mergeCell ref="BE835:BF835"/>
    <mergeCell ref="BG835:BH835"/>
    <mergeCell ref="AQ834:AS834"/>
    <mergeCell ref="AV834:AZ834"/>
    <mergeCell ref="BA834:BB834"/>
    <mergeCell ref="BC834:BD834"/>
    <mergeCell ref="BE834:BF834"/>
    <mergeCell ref="BG834:BH834"/>
    <mergeCell ref="AR826:AS826"/>
    <mergeCell ref="AT826:AU826"/>
    <mergeCell ref="AQ832:AS832"/>
    <mergeCell ref="BA832:BD832"/>
    <mergeCell ref="BE832:BH832"/>
    <mergeCell ref="AQ833:AS833"/>
    <mergeCell ref="AT815:AW815"/>
    <mergeCell ref="AT817:AW817"/>
    <mergeCell ref="AR824:AS824"/>
    <mergeCell ref="AT824:AU824"/>
    <mergeCell ref="AS689:AT689"/>
    <mergeCell ref="AU689:AV689"/>
    <mergeCell ref="AW689:AZ689"/>
    <mergeCell ref="AQ660:AV660"/>
    <mergeCell ref="AQ661:AV661"/>
    <mergeCell ref="AQ674:AV674"/>
    <mergeCell ref="AQ682:AR682"/>
    <mergeCell ref="AS682:AT682"/>
    <mergeCell ref="AU682:AV682"/>
    <mergeCell ref="AU684:AV684"/>
    <mergeCell ref="AQ654:AV654"/>
    <mergeCell ref="AQ655:AV655"/>
    <mergeCell ref="AQ656:AV656"/>
    <mergeCell ref="AQ657:AV657"/>
    <mergeCell ref="AQ658:AV658"/>
    <mergeCell ref="AQ659:AV659"/>
    <mergeCell ref="AQ669:AV669"/>
    <mergeCell ref="AQ648:AV648"/>
    <mergeCell ref="AQ649:AV649"/>
    <mergeCell ref="AQ650:AV650"/>
    <mergeCell ref="AQ651:AV651"/>
    <mergeCell ref="AQ652:AV652"/>
    <mergeCell ref="AQ653:AV653"/>
    <mergeCell ref="AQ637:AV637"/>
    <mergeCell ref="AQ638:AV638"/>
    <mergeCell ref="AQ639:AV639"/>
    <mergeCell ref="AQ640:AV640"/>
    <mergeCell ref="AQ641:AV641"/>
    <mergeCell ref="AQ642:AV642"/>
    <mergeCell ref="AQ631:AV631"/>
    <mergeCell ref="AQ632:AV632"/>
    <mergeCell ref="AQ633:AV633"/>
    <mergeCell ref="AQ634:AV634"/>
    <mergeCell ref="AQ635:AV635"/>
    <mergeCell ref="AQ636:AV636"/>
    <mergeCell ref="AQ599:AV599"/>
    <mergeCell ref="AQ605:AV605"/>
    <mergeCell ref="AQ614:AV614"/>
    <mergeCell ref="AQ620:AV620"/>
    <mergeCell ref="AQ629:AV629"/>
    <mergeCell ref="AQ630:AV630"/>
    <mergeCell ref="AQ548:AV548"/>
    <mergeCell ref="AQ553:AV553"/>
    <mergeCell ref="AQ563:AV563"/>
    <mergeCell ref="AQ569:AV569"/>
    <mergeCell ref="AQ584:AV584"/>
    <mergeCell ref="AQ590:AV590"/>
    <mergeCell ref="AQ525:AV525"/>
    <mergeCell ref="AQ531:AV531"/>
    <mergeCell ref="AQ543:AV543"/>
    <mergeCell ref="AQ498:AR498"/>
    <mergeCell ref="AS498:AT498"/>
    <mergeCell ref="AU498:AV498"/>
    <mergeCell ref="AQ514:AT514"/>
    <mergeCell ref="AU514:AV514"/>
    <mergeCell ref="AW498:AX498"/>
    <mergeCell ref="AY498:AZ498"/>
    <mergeCell ref="AQ507:AT507"/>
    <mergeCell ref="AU507:AV507"/>
    <mergeCell ref="AW507:AX507"/>
    <mergeCell ref="AQ509:AT509"/>
    <mergeCell ref="AU509:AV509"/>
    <mergeCell ref="AW509:AX509"/>
    <mergeCell ref="AQ488:AR488"/>
    <mergeCell ref="AS488:AT488"/>
    <mergeCell ref="AU488:AV488"/>
    <mergeCell ref="AW488:AX488"/>
    <mergeCell ref="AY488:AZ488"/>
    <mergeCell ref="AQ493:AR493"/>
    <mergeCell ref="AS493:AT493"/>
    <mergeCell ref="AU493:AV493"/>
    <mergeCell ref="AW493:AX493"/>
    <mergeCell ref="AY493:AZ493"/>
    <mergeCell ref="AQ478:AR478"/>
    <mergeCell ref="AS478:AT478"/>
    <mergeCell ref="AU478:AV478"/>
    <mergeCell ref="AW478:AX478"/>
    <mergeCell ref="AY478:AZ478"/>
    <mergeCell ref="AQ486:AR486"/>
    <mergeCell ref="AS486:AT486"/>
    <mergeCell ref="AU486:AV486"/>
    <mergeCell ref="AW486:AX486"/>
    <mergeCell ref="AY486:AZ486"/>
    <mergeCell ref="AQ476:AR476"/>
    <mergeCell ref="AS476:AT476"/>
    <mergeCell ref="AU476:AV476"/>
    <mergeCell ref="AW476:AX476"/>
    <mergeCell ref="AY476:AZ476"/>
    <mergeCell ref="AQ477:AR477"/>
    <mergeCell ref="AS477:AT477"/>
    <mergeCell ref="AU477:AV477"/>
    <mergeCell ref="AW477:AX477"/>
    <mergeCell ref="AY477:AZ477"/>
    <mergeCell ref="AQ474:AR474"/>
    <mergeCell ref="AS474:AT474"/>
    <mergeCell ref="AU474:AV474"/>
    <mergeCell ref="AW474:AX474"/>
    <mergeCell ref="AY474:AZ474"/>
    <mergeCell ref="AQ475:AR475"/>
    <mergeCell ref="AS475:AT475"/>
    <mergeCell ref="AU475:AV475"/>
    <mergeCell ref="AW475:AX475"/>
    <mergeCell ref="AY475:AZ475"/>
    <mergeCell ref="AQ472:AR472"/>
    <mergeCell ref="AS472:AT472"/>
    <mergeCell ref="AU472:AV472"/>
    <mergeCell ref="AW472:AX472"/>
    <mergeCell ref="AY472:AZ472"/>
    <mergeCell ref="AQ473:AR473"/>
    <mergeCell ref="AS473:AT473"/>
    <mergeCell ref="AU473:AV473"/>
    <mergeCell ref="AW473:AX473"/>
    <mergeCell ref="AY473:AZ473"/>
    <mergeCell ref="AQ462:AR462"/>
    <mergeCell ref="AS462:AT462"/>
    <mergeCell ref="AU462:AV462"/>
    <mergeCell ref="AW462:AX462"/>
    <mergeCell ref="AY462:AZ462"/>
    <mergeCell ref="AQ460:AR460"/>
    <mergeCell ref="AS460:AT460"/>
    <mergeCell ref="AU460:AV460"/>
    <mergeCell ref="AQ465:AR465"/>
    <mergeCell ref="AS465:AT465"/>
    <mergeCell ref="AU465:AV465"/>
    <mergeCell ref="AW465:AX465"/>
    <mergeCell ref="AY465:AZ465"/>
    <mergeCell ref="AQ463:AR463"/>
    <mergeCell ref="AS463:AT463"/>
    <mergeCell ref="AU463:AV463"/>
    <mergeCell ref="AW463:AX463"/>
    <mergeCell ref="AY463:AZ463"/>
    <mergeCell ref="AQ464:AR464"/>
    <mergeCell ref="AS464:AT464"/>
    <mergeCell ref="AU464:AV464"/>
    <mergeCell ref="AW464:AX464"/>
    <mergeCell ref="AY464:AZ464"/>
    <mergeCell ref="AQ294:AV294"/>
    <mergeCell ref="AQ312:AV312"/>
    <mergeCell ref="AQ317:AV317"/>
    <mergeCell ref="AW460:AX460"/>
    <mergeCell ref="AY460:AZ460"/>
    <mergeCell ref="AQ461:AR461"/>
    <mergeCell ref="AS461:AT461"/>
    <mergeCell ref="AU461:AV461"/>
    <mergeCell ref="AW461:AX461"/>
    <mergeCell ref="AY461:AZ461"/>
    <mergeCell ref="AY458:AZ458"/>
    <mergeCell ref="AQ459:AR459"/>
    <mergeCell ref="AS459:AT459"/>
    <mergeCell ref="AU459:AV459"/>
    <mergeCell ref="AW459:AX459"/>
    <mergeCell ref="AY459:AZ459"/>
    <mergeCell ref="AQ441:AV441"/>
    <mergeCell ref="AQ447:AV447"/>
    <mergeCell ref="AQ458:AR458"/>
    <mergeCell ref="AS458:AT458"/>
    <mergeCell ref="AU458:AV458"/>
    <mergeCell ref="AW458:AX458"/>
    <mergeCell ref="AQ411:AV411"/>
    <mergeCell ref="AQ417:AV417"/>
    <mergeCell ref="AQ147:AV147"/>
    <mergeCell ref="AQ153:AV153"/>
    <mergeCell ref="AQ162:AV162"/>
    <mergeCell ref="AQ168:AV168"/>
    <mergeCell ref="AQ177:AV177"/>
    <mergeCell ref="AQ183:AV183"/>
    <mergeCell ref="AQ276:AV276"/>
    <mergeCell ref="AQ282:AV282"/>
    <mergeCell ref="AQ288:AV288"/>
    <mergeCell ref="AQ240:AV240"/>
    <mergeCell ref="AQ246:AV246"/>
    <mergeCell ref="AQ252:AV252"/>
    <mergeCell ref="AQ258:AV258"/>
    <mergeCell ref="AQ264:AV264"/>
    <mergeCell ref="AQ270:AV270"/>
    <mergeCell ref="AQ423:AV423"/>
    <mergeCell ref="AQ429:AV429"/>
    <mergeCell ref="AQ435:AV435"/>
    <mergeCell ref="AQ325:AV325"/>
    <mergeCell ref="AQ331:AV331"/>
    <mergeCell ref="AQ340:AV340"/>
    <mergeCell ref="AQ345:AV345"/>
    <mergeCell ref="AQ393:AV393"/>
    <mergeCell ref="AQ399:AV399"/>
    <mergeCell ref="AQ405:AV405"/>
    <mergeCell ref="AQ1009:AR1009"/>
    <mergeCell ref="AQ1066:AR1066"/>
    <mergeCell ref="AQ1121:AS1121"/>
    <mergeCell ref="AS1015:AT1015"/>
    <mergeCell ref="AU1015:AV1015"/>
    <mergeCell ref="AW1015:AX1015"/>
    <mergeCell ref="AY1015:AZ1015"/>
    <mergeCell ref="BA1015:BB1015"/>
    <mergeCell ref="AS1023:AT1023"/>
    <mergeCell ref="AU1023:AV1023"/>
    <mergeCell ref="AW1023:AX1023"/>
    <mergeCell ref="AY1023:AZ1023"/>
    <mergeCell ref="AS1022:AT1022"/>
    <mergeCell ref="AU1022:AV1022"/>
    <mergeCell ref="AW1022:AX1022"/>
    <mergeCell ref="AY1022:AZ1022"/>
    <mergeCell ref="BA1022:BB1022"/>
    <mergeCell ref="BA1023:BB1023"/>
    <mergeCell ref="AQ1015:AR1015"/>
    <mergeCell ref="AQ1011:AR1011"/>
    <mergeCell ref="AS1011:AT1011"/>
    <mergeCell ref="AU1011:AV1011"/>
    <mergeCell ref="AW1011:AX1011"/>
    <mergeCell ref="AY1011:AZ1011"/>
  </mergeCells>
  <dataValidations count="22">
    <dataValidation allowBlank="1" errorTitle="Fejl i værdi" error="Du skal vælge e轠Ќ_x0000__x0000__x0000__x0000__x000c__x0000__x0000__x0010__x0000__x0000_㿿_x0000__xffff__xffff__x0000__x0000_ardinet." promptTitle="Vælg fra listen." prompt="Du skal vælge en værdi fra rullegardinet" sqref="CA765 CA760 CA725 CA770 CA780 CA730 CA735 CA740 CA745 CA803" xr:uid="{00000000-0002-0000-0A00-000000000000}"/>
    <dataValidation type="whole" errorStyle="information" allowBlank="1" showInputMessage="1" showErrorMessage="1" errorTitle="invalid year" error="Der kan vælges år mellem 2000 og 2050. Ibrugtagningsåret skal være efter startår og før slutår." sqref="AQ605:AV605" xr:uid="{00000000-0002-0000-0A00-000001000000}">
      <formula1>IF(ISERROR(INDIRECT("Forside_f_FP_Main1OmkostSY_1_start",TRUE)),2000,INDIRECT("Forside_f_FP_Main1OmkostSY_1_start",TRUE))</formula1>
      <formula2>IF(ISERROR(INDIRECT("Forside_f_FP_Main1OmkostEY_1_start",TRUE)),2050,INDIRECT("Forside_f_FP_Main1OmkostEY_1_start",TRUE))</formula2>
    </dataValidation>
    <dataValidation type="whole" errorStyle="information" allowBlank="1" showInputMessage="1" showErrorMessage="1" errorTitle="invalid year" error="Der kan vælges år mellem 2000 og 2050. Ibrugtagningsåret skal være efter startår og før slutår." sqref="AQ599:AV599" xr:uid="{00000000-0002-0000-0A00-000002000000}">
      <formula1>IF(ISERROR(INDIRECT("Forside_f_FP_Main1OmkostSY_1_start",TRUE)),2000,INDIRECT("Forside_f_FP_Main1OmkostSY_1_start",TRUE))</formula1>
      <formula2>IF(ISERROR(INDIRECT("Forside_f_FP_Main1OmkostEY_1_start",TRUE)),2000,INDIRECT("Forside_f_FP_Main1OmkostEY_1_start",TRUE))</formula2>
    </dataValidation>
    <dataValidation type="whole" errorStyle="information" allowBlank="1" showInputMessage="1" showErrorMessage="1" errorTitle="invalid year" error="must be an Integer value betwen 2008 and 2033" sqref="AQ584:AV584 AQ620:AV620 AQ614:AV614 AQ590:AV590" xr:uid="{00000000-0002-0000-0A00-000003000000}">
      <formula1>2008</formula1>
      <formula2>2033</formula2>
    </dataValidation>
    <dataValidation type="date" errorStyle="information" allowBlank="1" showErrorMessage="1" errorTitle="Ugyldig dato" error="Datoer skal tastes som dd-mm-åååå og være mellem 01-01-2000 og 01-01-2050." promptTitle="stuff" prompt="dd-mm-yyyy efter 01-01-2013_x000a_" sqref="AS459:AT459 AQ689:AR689 AQ684:AR684 AS472:AT472" xr:uid="{00000000-0002-0000-0A00-000004000000}">
      <formula1>36526</formula1>
      <formula2>54789</formula2>
    </dataValidation>
    <dataValidation type="list" allowBlank="1" showInputMessage="1" showErrorMessage="1" sqref="C11:C1244" xr:uid="{00000000-0002-0000-0A00-000005000000}">
      <formula1>MasterSheet_rng_allObjectsTypesNR</formula1>
    </dataValidation>
    <dataValidation type="list" allowBlank="1" showInputMessage="1" showErrorMessage="1" sqref="AH11:AH1244" xr:uid="{00000000-0002-0000-0A00-000006000000}">
      <formula1>MasterSheet_rng_verticalAlignment</formula1>
    </dataValidation>
    <dataValidation type="list" allowBlank="1" showInputMessage="1" showErrorMessage="1" sqref="AI11:AI1244" xr:uid="{00000000-0002-0000-0A00-000007000000}">
      <formula1>MasterSheet_rng_horizontalAlignment</formula1>
    </dataValidation>
    <dataValidation type="list" allowBlank="1" showInputMessage="1" showErrorMessage="1" sqref="N11:N1244" xr:uid="{00000000-0002-0000-0A00-000008000000}">
      <formula1>MasterSheet_rng_placement</formula1>
    </dataValidation>
    <dataValidation type="list" allowBlank="1" showInputMessage="1" showErrorMessage="1" sqref="AT794 AT817 AT803 AT725 AT730 AT735 AT740 AT745 AT760 AT765 AT770 AT780" xr:uid="{00000000-0002-0000-0A00-000009000000}">
      <formula1>IF(ISERROR(INDIRECT("MasterSheet_Repeater_TidsPlan",TRUE)),$A:$A,INDIRECT("MasterSheet_Repeater_TidsPlan",TRUE))</formula1>
    </dataValidation>
    <dataValidation type="list" allowBlank="1" showInputMessage="1" showErrorMessage="1" sqref="AV826 AW803 AQ669 AQ674 AW725 AW730 AW735 AW740 AW745 AW760 AW765 AW770 AW780" xr:uid="{00000000-0002-0000-0A00-00000A000000}">
      <formula1>IF(ISERROR(INDIRECT("MasterSheet_rng_PLOYear",TRUE)),$A:$A,INDIRECT("MasterSheet_rng_PLOYear",TRUE))</formula1>
    </dataValidation>
    <dataValidation type="list" allowBlank="1" showInputMessage="1" showErrorMessage="1" sqref="AT789:AW789 AW509 AW514 AT812:AW812" xr:uid="{00000000-0002-0000-0A00-00000B000000}">
      <formula1>IF(ISERROR(INDIRECT("MasterSheet_rng_Prioritering",TRUE)),$A:$A,INDIRECT("MasterSheet_rng_Prioritering",TRUE))</formula1>
    </dataValidation>
    <dataValidation type="list" allowBlank="1" showInputMessage="1" showErrorMessage="1" sqref="AY817 AY794 AY803 AY787:AY789 AY780 AY719 AY725 AY730 AY735 AY740 AY745 AY753 AY760 AY765 AY770 AY810:AY812" xr:uid="{00000000-0002-0000-0A00-00000C000000}">
      <formula1>IF(ISERROR(INDIRECT("MasterSheet_rng_DistType",TRUE)),$A:$A,INDIRECT("MasterSheet_rng_DistType",TRUE))</formula1>
    </dataValidation>
    <dataValidation type="list" allowBlank="1" showInputMessage="1" showErrorMessage="1" sqref="AV803 AV780" xr:uid="{00000000-0002-0000-0A00-00000D000000}">
      <formula1>IF(ISERROR(INDIRECT("MasterSheet_Repeater_Gevinstejer",TRUE)),$A:$A,INDIRECT("MasterSheet_Repeater_Gevinstejer",TRUE))</formula1>
    </dataValidation>
    <dataValidation type="list" allowBlank="1" showInputMessage="1" showErrorMessage="1" sqref="BH803 BH725 BH730 BH735 BH740 BH745 BH760 BH765 BH770 BH780" xr:uid="{00000000-0002-0000-0A00-00000E000000}">
      <formula1>IF(ISERROR(INDIRECT("MasterSheet_Repeater_Risci",TRUE)),$A:$A,INDIRECT("MasterSheet_Repeater_Risci",TRUE))</formula1>
    </dataValidation>
    <dataValidation type="list" allowBlank="1" showInputMessage="1" showErrorMessage="1" sqref="AU803 AU725 AU730 AU735 AU740 AU745 AU760 AU765 AU770 AU780" xr:uid="{00000000-0002-0000-0A00-00000F000000}">
      <formula1>IF(ISERROR(INDIRECT("MasterSheet_Repeater_Finanskonti",TRUE)),$A:$A,INDIRECT("MasterSheet_Repeater_Finanskonti",TRUE))</formula1>
    </dataValidation>
    <dataValidation type="list" allowBlank="1" showInputMessage="1" showErrorMessage="1" sqref="AV770 AV765 AV725 AV730 AV735 AV740 AV745 AV760" xr:uid="{00000000-0002-0000-0A00-000010000000}">
      <formula1>IF(ISERROR(INDIRECT("MasterSheet_Repeater_Udgifts",TRUE)),$A:$A,INDIRECT("MasterSheet_Repeater_Udgifts",TRUE))</formula1>
    </dataValidation>
    <dataValidation type="list" allowBlank="1" showInputMessage="1" showErrorMessage="1" sqref="AW488:AX488 AW493:AX493 AW498:AX498" xr:uid="{00000000-0002-0000-0A00-000011000000}">
      <formula1>IF(ISERROR(INDIRECT("MasterSheet_rng_Konsekvens",TRUE)),$A:$A,INDIRECT("MasterSheet_rng_Konsekvens",TRUE))</formula1>
    </dataValidation>
    <dataValidation type="list" allowBlank="1" showInputMessage="1" showErrorMessage="1" sqref="AU498:AV498 AU493:AV493 AU488:AV488" xr:uid="{00000000-0002-0000-0A00-000012000000}">
      <formula1>IF(ISERROR(INDIRECT("MasterSheet_rng_Sandsynlighed",TRUE)),$A:$A,INDIRECT("MasterSheet_rng_Sandsynlighed",TRUE))</formula1>
    </dataValidation>
    <dataValidation type="list" allowBlank="1" showInputMessage="1" showErrorMessage="1" sqref="AS498:AT498 AS493:AT493 AS488:AT488" xr:uid="{00000000-0002-0000-0A00-000013000000}">
      <formula1>IF(ISERROR(INDIRECT("MasterSheet_rng_RisciType",TRUE)),$A:$A,INDIRECT("MasterSheet_rng_RisciType",TRUE))</formula1>
    </dataValidation>
    <dataValidation type="list" allowBlank="1" showInputMessage="1" showErrorMessage="1" sqref="BI725 BI765 BI760 BI745 BI740 BI735 BI730 BI770 BI780 BI803" xr:uid="{00000000-0002-0000-0A00-000014000000}">
      <formula1>IF(BH725="",$A:$A,IF(ISERROR(INDIRECT("MasterSheet_Repeater_Risci",TRUE)),$A:$A,INDIRECT("MasterSheet_Repeater_Risci",TRUE)))</formula1>
    </dataValidation>
    <dataValidation type="list" allowBlank="1" showInputMessage="1" showErrorMessage="1" sqref="AS725 AS794 AS803 AS780 AS770 AS765 AS760 AS745 AS740 AS735 AS730 AS817" xr:uid="{00000000-0002-0000-0A00-000015000000}">
      <formula1>IF(BJ725=1,IF(ISERROR(INDIRECT("MasterSheet_rng_AssumptionsMain",TRUE)),$A:$A,INDIRECT("MasterSheet_rng_AssumptionsMain",TRUE)),IF(ISERROR(INDIRECT("MasterSheet_rng_AssumptionsSub",TRUE)),$A:$A,INDIRECT("MasterSheet_rng_AssumptionsSub",TRUE)))</formula1>
    </dataValidation>
  </dataValidations>
  <pageMargins left="0.7" right="0.7" top="0.75" bottom="0.75" header="0.3" footer="0.3"/>
  <pageSetup paperSize="9" orientation="portrait"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rgb="FF000000"/>
  </sheetPr>
  <dimension ref="B2:BK367"/>
  <sheetViews>
    <sheetView showGridLines="0" topLeftCell="A139" zoomScale="80" zoomScaleNormal="80" workbookViewId="0">
      <selection activeCell="B187" sqref="B187:S187"/>
    </sheetView>
  </sheetViews>
  <sheetFormatPr defaultColWidth="10.140625" defaultRowHeight="14.25" customHeight="1" x14ac:dyDescent="0.25"/>
  <cols>
    <col min="1" max="1" width="8.5703125" customWidth="1"/>
    <col min="2" max="2" width="53.42578125" customWidth="1"/>
    <col min="3" max="3" width="20.140625" customWidth="1"/>
    <col min="4" max="11" width="11.42578125" customWidth="1"/>
    <col min="12" max="19" width="9.42578125" customWidth="1"/>
    <col min="20" max="22" width="8.5703125" customWidth="1"/>
    <col min="23" max="200" width="9.140625" customWidth="1"/>
  </cols>
  <sheetData>
    <row r="2" spans="2:19" ht="39.950000000000003" customHeight="1" x14ac:dyDescent="0.25">
      <c r="B2" s="172" t="s">
        <v>67</v>
      </c>
      <c r="C2" s="93"/>
      <c r="D2" s="93"/>
      <c r="E2" s="82"/>
      <c r="F2" s="82"/>
      <c r="G2" s="82"/>
      <c r="H2" s="82"/>
      <c r="I2" s="82"/>
      <c r="J2" s="82"/>
      <c r="K2" s="82"/>
      <c r="L2" s="82"/>
      <c r="M2" s="82"/>
      <c r="N2" s="82"/>
      <c r="O2" s="82"/>
      <c r="P2" s="82"/>
      <c r="Q2" s="82"/>
      <c r="R2" s="82"/>
      <c r="S2" s="173" t="str">
        <f>MasterSheet_Repeater_SP_StamdataT1Rep</f>
        <v>[Projektnavn / programnavn]</v>
      </c>
    </row>
    <row r="6" spans="2:19" ht="51.95" customHeight="1" thickBot="1" x14ac:dyDescent="0.3">
      <c r="B6" s="372" t="s">
        <v>68</v>
      </c>
      <c r="C6" s="372"/>
      <c r="D6" s="372"/>
      <c r="E6" s="124"/>
      <c r="F6" s="124"/>
      <c r="G6" s="125"/>
      <c r="H6" s="125"/>
      <c r="I6" s="125"/>
      <c r="J6" s="125"/>
      <c r="K6" s="125"/>
      <c r="L6" s="373" t="s">
        <v>407</v>
      </c>
      <c r="M6" s="373"/>
      <c r="N6" s="373"/>
      <c r="O6" s="373"/>
      <c r="P6" s="373" t="s">
        <v>408</v>
      </c>
      <c r="Q6" s="373"/>
      <c r="R6" s="373"/>
      <c r="S6" s="373"/>
    </row>
    <row r="7" spans="2:19" ht="20.100000000000001" customHeight="1" thickBot="1" x14ac:dyDescent="0.3">
      <c r="B7" s="374" t="str">
        <f>MasterSheet_Repeater_SP_StamdataT1Rep</f>
        <v>[Projektnavn / programnavn]</v>
      </c>
      <c r="C7" s="375"/>
      <c r="D7" s="376"/>
      <c r="E7" s="93"/>
      <c r="F7" s="93"/>
      <c r="G7" s="92"/>
      <c r="H7" s="92"/>
      <c r="I7" s="92"/>
      <c r="J7" s="92"/>
      <c r="K7" s="92"/>
      <c r="L7" s="92"/>
      <c r="M7" s="92"/>
      <c r="N7" s="92"/>
      <c r="O7" s="92"/>
      <c r="P7" s="92"/>
      <c r="Q7" s="92"/>
      <c r="R7" s="92"/>
      <c r="S7" s="92"/>
    </row>
    <row r="8" spans="2:19" ht="20.100000000000001" customHeight="1" thickBot="1" x14ac:dyDescent="0.3">
      <c r="B8" s="380" t="str">
        <f>MasterSheet_Repeater_SP_StamdataT2Rep</f>
        <v>[Journaliseringsnummer]</v>
      </c>
      <c r="C8" s="381"/>
      <c r="D8" s="382"/>
      <c r="E8" s="93"/>
      <c r="F8" s="93"/>
      <c r="G8" s="377" t="s">
        <v>409</v>
      </c>
      <c r="H8" s="377"/>
      <c r="I8" s="377"/>
      <c r="J8" s="377"/>
      <c r="K8" s="377"/>
      <c r="L8" s="383">
        <f ca="1">OFFSET(Businesscasen_f_BCM_Table4_start,MATCH("1. Nettonutidsværdi",OFFSET(Businesscasen_f_BCM_Table4_start,0,0,ROWS(Businesscasen_f_BCM_Table4_start:Businesscasen_f_BCM_Table4_end),1),0)-1,2)</f>
        <v>0</v>
      </c>
      <c r="M8" s="383">
        <f ca="1">OFFSET(Businesscasen_f_BCM_Table4_start,MATCH("1. Nettonutidsværdi",OFFSET(Businesscasen_f_BCM_Table4_start,0,0,ROWS(Businesscasen_f_BCM_Table4_start:Businesscasen_f_BCM_Table4_end),1),0)-1,2)</f>
        <v>0</v>
      </c>
      <c r="N8" s="379" t="s">
        <v>410</v>
      </c>
      <c r="O8" s="379"/>
      <c r="P8" s="384">
        <f ca="1">NPV(MasterSheet_f_NPVDiscount,OFFSET(Businesscasen_f_BCM_subcat18_Table1_start,32,4,1,57))</f>
        <v>0</v>
      </c>
      <c r="Q8" s="384"/>
      <c r="R8" s="385" t="s">
        <v>70</v>
      </c>
      <c r="S8" s="385"/>
    </row>
    <row r="9" spans="2:19" ht="20.100000000000001" customHeight="1" thickBot="1" x14ac:dyDescent="0.3">
      <c r="B9" s="374" t="str">
        <f>MasterSheet_Repeater_SP_StamdataT3Rep</f>
        <v>[Projektleder / programleder]</v>
      </c>
      <c r="C9" s="375"/>
      <c r="D9" s="376"/>
      <c r="E9" s="93"/>
      <c r="F9" s="93"/>
      <c r="G9" s="377"/>
      <c r="H9" s="377"/>
      <c r="I9" s="377"/>
      <c r="J9" s="377"/>
      <c r="K9" s="377"/>
      <c r="L9" s="378"/>
      <c r="M9" s="378"/>
      <c r="N9" s="379"/>
      <c r="O9" s="379"/>
      <c r="P9" s="378"/>
      <c r="Q9" s="378"/>
      <c r="R9" s="377"/>
      <c r="S9" s="377"/>
    </row>
    <row r="10" spans="2:19" ht="20.100000000000001" customHeight="1" thickBot="1" x14ac:dyDescent="0.3">
      <c r="B10" s="380" t="str">
        <f t="shared" ref="B10" ca="1" si="0">IFERROR(INDIRECT("MasterSheet_f_FP_StamdataG1_VS",TRUE),"#Projektets primære formål")</f>
        <v>Effektivisering</v>
      </c>
      <c r="C10" s="381"/>
      <c r="D10" s="382"/>
      <c r="E10" s="93"/>
      <c r="F10" s="93"/>
      <c r="G10" s="377"/>
      <c r="H10" s="377"/>
      <c r="I10" s="377"/>
      <c r="J10" s="377"/>
      <c r="K10" s="377"/>
      <c r="L10" s="378"/>
      <c r="M10" s="378"/>
      <c r="N10" s="379"/>
      <c r="O10" s="379"/>
      <c r="P10" s="378"/>
      <c r="Q10" s="378"/>
      <c r="R10" s="377"/>
      <c r="S10" s="377"/>
    </row>
    <row r="11" spans="2:19" ht="20.100000000000001" customHeight="1" thickBot="1" x14ac:dyDescent="0.3">
      <c r="B11" s="386" t="str">
        <f t="shared" ref="B11" ca="1" si="1">IFERROR(INDIRECT("MasterSheet_f_FP_StamdataG2_VS",TRUE),"#Nuværende fase")</f>
        <v>Analyse</v>
      </c>
      <c r="C11" s="387"/>
      <c r="D11" s="388"/>
      <c r="E11" s="93"/>
      <c r="F11" s="93"/>
      <c r="G11" s="377"/>
      <c r="H11" s="377"/>
      <c r="I11" s="377"/>
      <c r="J11" s="377"/>
      <c r="K11" s="377"/>
      <c r="L11" s="378"/>
      <c r="M11" s="378"/>
      <c r="N11" s="379"/>
      <c r="O11" s="379"/>
      <c r="P11" s="378"/>
      <c r="Q11" s="378"/>
      <c r="R11" s="377"/>
      <c r="S11" s="377"/>
    </row>
    <row r="12" spans="2:19" ht="20.100000000000001" hidden="1" customHeight="1" x14ac:dyDescent="0.25">
      <c r="B12" s="93"/>
      <c r="C12" s="93"/>
      <c r="D12" s="93"/>
      <c r="E12" s="93"/>
      <c r="F12" s="93"/>
      <c r="G12" s="385" t="s">
        <v>1611</v>
      </c>
      <c r="H12" s="385"/>
      <c r="I12" s="385"/>
      <c r="J12" s="385"/>
      <c r="K12" s="385"/>
      <c r="L12" s="384" t="e">
        <f ca="1">OFFSET(Businesscasen_f_BCM_Table4_start,MATCH("7. Samlet nettogevinst, ekskl. renter (6 - 3)",OFFSET(Businesscasen_f_BCM_Table4_start,0,0,ROWS(Businesscasen_f_BCM_Table4_start:Businesscasen_f_BCM_Table4_end),1),0)-1,2)-Businesscasen_f_InterestAmount</f>
        <v>#N/A</v>
      </c>
      <c r="M12" s="384" t="e">
        <f ca="1">OFFSET(Businesscasen_f_BCM_Table4_start,MATCH("7. Samlet nettogevinst, ekskl. renter (6 - 3)",OFFSET(Businesscasen_f_BCM_Table4_start,0,0,ROWS(Businesscasen_f_BCM_Table4_start:Businesscasen_f_BCM_Table4_end),1),0)-1,2)-Businesscasen_f_InterestAmount</f>
        <v>#N/A</v>
      </c>
      <c r="N12" s="390" t="s">
        <v>70</v>
      </c>
      <c r="O12" s="390"/>
      <c r="P12" s="384" t="s">
        <v>69</v>
      </c>
      <c r="Q12" s="384"/>
      <c r="R12" s="385" t="s">
        <v>70</v>
      </c>
      <c r="S12" s="385"/>
    </row>
    <row r="13" spans="2:19" ht="20.100000000000001" hidden="1" customHeight="1" x14ac:dyDescent="0.25">
      <c r="B13" s="93"/>
      <c r="C13" s="93"/>
      <c r="D13" s="93"/>
      <c r="E13" s="93"/>
      <c r="F13" s="93"/>
      <c r="G13" s="377"/>
      <c r="H13" s="377"/>
      <c r="I13" s="377"/>
      <c r="J13" s="377"/>
      <c r="K13" s="377"/>
      <c r="L13" s="389"/>
      <c r="M13" s="389"/>
      <c r="N13" s="377"/>
      <c r="O13" s="377"/>
      <c r="P13" s="389"/>
      <c r="Q13" s="389"/>
      <c r="R13" s="377"/>
      <c r="S13" s="377"/>
    </row>
    <row r="14" spans="2:19" ht="20.100000000000001" hidden="1" customHeight="1" x14ac:dyDescent="0.25">
      <c r="B14" s="93"/>
      <c r="C14" s="93"/>
      <c r="D14" s="93"/>
      <c r="E14" s="93"/>
      <c r="F14" s="93"/>
      <c r="G14" s="377"/>
      <c r="H14" s="377"/>
      <c r="I14" s="377"/>
      <c r="J14" s="377"/>
      <c r="K14" s="377"/>
      <c r="L14" s="389"/>
      <c r="M14" s="389"/>
      <c r="N14" s="377"/>
      <c r="O14" s="377"/>
      <c r="P14" s="389"/>
      <c r="Q14" s="389"/>
      <c r="R14" s="377"/>
      <c r="S14" s="377"/>
    </row>
    <row r="15" spans="2:19" ht="20.100000000000001" hidden="1" customHeight="1" x14ac:dyDescent="0.25">
      <c r="B15" s="93"/>
      <c r="C15" s="93"/>
      <c r="D15" s="93"/>
      <c r="E15" s="93"/>
      <c r="F15" s="93"/>
      <c r="G15" s="377"/>
      <c r="H15" s="377"/>
      <c r="I15" s="377"/>
      <c r="J15" s="377"/>
      <c r="K15" s="377"/>
      <c r="L15" s="389"/>
      <c r="M15" s="389"/>
      <c r="N15" s="377"/>
      <c r="O15" s="377"/>
      <c r="P15" s="389"/>
      <c r="Q15" s="389"/>
      <c r="R15" s="377"/>
      <c r="S15" s="377"/>
    </row>
    <row r="16" spans="2:19" ht="20.100000000000001" customHeight="1" x14ac:dyDescent="0.25">
      <c r="B16" s="93"/>
      <c r="C16" s="93"/>
      <c r="D16" s="93"/>
      <c r="E16" s="93"/>
      <c r="F16" s="93"/>
      <c r="G16" s="377" t="s">
        <v>627</v>
      </c>
      <c r="H16" s="377"/>
      <c r="I16" s="377"/>
      <c r="J16" s="377"/>
      <c r="K16" s="377"/>
      <c r="L16" s="389"/>
      <c r="M16" s="389"/>
      <c r="N16" s="383">
        <f ca="1">OFFSET(Businesscasen_f_BCM_Table4_start,MATCH("2. Samlede udgifter, ekskl. renter",OFFSET(Businesscasen_f_BCM_Table4_start,0,0,ROWS(Businesscasen_f_BCM_Table4_start:Businesscasen_f_BCM_Table4_end),1),0)-1,2)</f>
        <v>0</v>
      </c>
      <c r="O16" s="383">
        <f ca="1">OFFSET(Businesscasen_f_BCM_Table4_start,MATCH("2. Samlede udgifter, ekskl. renter",OFFSET(Businesscasen_f_BCM_Table4_start,0,0,ROWS(Businesscasen_f_BCM_Table4_start:Businesscasen_f_BCM_Table4_end),1),0)-1,2)</f>
        <v>0</v>
      </c>
      <c r="P16" s="377" t="s">
        <v>410</v>
      </c>
      <c r="Q16" s="377"/>
      <c r="R16" s="377"/>
      <c r="S16" s="377"/>
    </row>
    <row r="17" spans="2:19" ht="60" customHeight="1" x14ac:dyDescent="0.25"/>
    <row r="19" spans="2:19" ht="29.1" customHeight="1" x14ac:dyDescent="0.25"/>
    <row r="21" spans="2:19" ht="51.95" customHeight="1" thickBot="1" x14ac:dyDescent="0.3">
      <c r="B21" s="360" t="str">
        <f>"Tabel 1.2: Økonomiske nøgletal, mio. kr."</f>
        <v>Tabel 1.2: Økonomiske nøgletal, mio. kr.</v>
      </c>
      <c r="C21" s="361"/>
      <c r="D21" s="391" t="s">
        <v>74</v>
      </c>
      <c r="E21" s="392"/>
      <c r="F21" s="391" t="s">
        <v>75</v>
      </c>
      <c r="G21" s="392"/>
      <c r="H21" s="391" t="s">
        <v>76</v>
      </c>
      <c r="I21" s="392"/>
      <c r="J21" s="391" t="s">
        <v>77</v>
      </c>
      <c r="K21" s="392"/>
      <c r="L21" s="126"/>
      <c r="M21" s="126"/>
      <c r="N21" s="399" t="s">
        <v>943</v>
      </c>
      <c r="O21" s="399"/>
      <c r="P21" s="399"/>
      <c r="Q21" s="399"/>
      <c r="R21" s="393">
        <f t="shared" ref="R21" ca="1" si="2">OFFSET(INDIRECT("MasterSheet_f_FP_PloYRepY_1_VS",TRUE),0,35)</f>
        <v>2013</v>
      </c>
      <c r="S21" s="394"/>
    </row>
    <row r="22" spans="2:19" ht="14.25" customHeight="1" x14ac:dyDescent="0.25">
      <c r="B22" s="141" t="s">
        <v>628</v>
      </c>
      <c r="C22" s="146"/>
      <c r="D22" s="395">
        <f ca="1">NPV(MasterSheet_f_NPVDiscount,OFFSET(Businesscasen_f_BCM_subcat18_Table1_start,MATCH("Samlet nettogevinst",OFFSET(Businesscasen_f_BCM_subcat18_Table1_start,0,0,ROWS(Businesscasen_f_BCM_subcat18_Table1_start:Businesscasen_f_BCM_subcat18_Table1_end),1),0),4,1,50))</f>
        <v>0</v>
      </c>
      <c r="E22" s="396"/>
      <c r="F22" s="395">
        <f ca="1">NPV(MasterSheet_f_NPVDiscount,OFFSET(Businesscasen_f_BCM_subcat18_Table1_start,MATCH("Samlet nettogevinst",OFFSET(Businesscasen_f_BCM_subcat18_Table1_start,0,0,ROWS(Businesscasen_f_BCM_subcat18_Table1_start:Businesscasen_f_BCM_subcat18_Table1_end),1),0)+1,4,1,50))</f>
        <v>0</v>
      </c>
      <c r="G22" s="396"/>
      <c r="H22" s="395">
        <f ca="1">NPV(MasterSheet_f_NPVDiscount,OFFSET(Businesscasen_f_BCM_subcat18_Table1_start,MATCH("Samlet nettogevinst",OFFSET(Businesscasen_f_BCM_subcat18_Table1_start,0,0,ROWS(Businesscasen_f_BCM_subcat18_Table1_start:Businesscasen_f_BCM_subcat18_Table1_end),1),0)+3,4,1,50))</f>
        <v>0</v>
      </c>
      <c r="I22" s="396"/>
      <c r="J22" s="395">
        <f ca="1">NPV(MasterSheet_f_NPVDiscount,OFFSET(Businesscasen_f_BCM_subcat18_Table1_start,MATCH("Samlet nettogevinst",OFFSET(Businesscasen_f_BCM_subcat18_Table1_start,0,0,ROWS(Businesscasen_f_BCM_subcat18_Table1_start:Businesscasen_f_BCM_subcat18_Table1_end),1),0)+2,4,1,50))</f>
        <v>0</v>
      </c>
      <c r="K22" s="396"/>
      <c r="L22" s="126"/>
      <c r="M22" s="126"/>
      <c r="N22" s="91"/>
      <c r="O22" s="15"/>
      <c r="P22" s="15"/>
      <c r="Q22" s="15"/>
      <c r="R22" s="183"/>
      <c r="S22" s="183"/>
    </row>
    <row r="23" spans="2:19" ht="14.25" customHeight="1" x14ac:dyDescent="0.25">
      <c r="B23" s="132" t="s">
        <v>629</v>
      </c>
      <c r="C23" s="147"/>
      <c r="D23" s="397">
        <f ca="1">OFFSET(Businesscasen_f_BCM_subcat18_Table1_start,MATCH(IF(MasterSheet_f_FP_CfgGroup1R3_VS,"Program","Projekt")&amp;"udgifter",OFFSET(Businesscasen_f_BCM_subcat18_Table1_start,0,0,ROWS(Businesscasen_f_BCM_subcat18_Table1_start:Businesscasen_f_BCM_subcat18_Table1_end),1),0),3)</f>
        <v>0</v>
      </c>
      <c r="E23" s="398"/>
      <c r="F23" s="397">
        <f ca="1">OFFSET(Businesscasen_f_BCM_subcat18_Table1_start,MATCH(IF(MasterSheet_f_FP_CfgGroup1R3_VS,"Program","Projekt")&amp;"udgifter",OFFSET(Businesscasen_f_BCM_subcat18_Table1_start,0,0,ROWS(Businesscasen_f_BCM_subcat18_Table1_start:Businesscasen_f_BCM_subcat18_Table1_end),1),0)+1,3)</f>
        <v>0</v>
      </c>
      <c r="G23" s="398"/>
      <c r="H23" s="397">
        <f ca="1">OFFSET(Businesscasen_f_BCM_subcat18_Table1_start,MATCH(IF(MasterSheet_f_FP_CfgGroup1R3_VS,"Program","Projekt")&amp;"udgifter",OFFSET(Businesscasen_f_BCM_subcat18_Table1_start,0,0,ROWS(Businesscasen_f_BCM_subcat18_Table1_start:Businesscasen_f_BCM_subcat18_Table1_end),1),0)+3,3)</f>
        <v>0</v>
      </c>
      <c r="I23" s="398"/>
      <c r="J23" s="397">
        <f ca="1">OFFSET(Businesscasen_f_BCM_subcat18_Table1_start,MATCH(IF(MasterSheet_f_FP_CfgGroup1R3_VS,"Program","Projekt")&amp;"udgifter",OFFSET(Businesscasen_f_BCM_subcat18_Table1_start,0,0,ROWS(Businesscasen_f_BCM_subcat18_Table1_start:Businesscasen_f_BCM_subcat18_Table1_end),1),0)+2,3)</f>
        <v>0</v>
      </c>
      <c r="K23" s="398"/>
      <c r="L23" s="126"/>
      <c r="M23" s="126"/>
      <c r="N23" s="16"/>
      <c r="O23" s="16"/>
      <c r="P23" s="16"/>
      <c r="Q23" s="16"/>
      <c r="R23" s="184"/>
      <c r="S23" s="184"/>
    </row>
    <row r="24" spans="2:19" ht="14.25" customHeight="1" x14ac:dyDescent="0.25">
      <c r="B24" s="132" t="str">
        <f>"3. Drift uden "&amp;IF(MasterSheet_f_FP_CfgGroup1R3_VS,"program","projekt")</f>
        <v>3. Drift uden projekt</v>
      </c>
      <c r="C24" s="147"/>
      <c r="D24" s="397">
        <f ca="1">OFFSET(Businesscasen_f_BCM_subcat18_Table1_start,MATCH("Drift - fremtidig uden "&amp;IF(MasterSheet_f_FP_CfgGroup1R3_VS,"program","projekt"),OFFSET(Businesscasen_f_BCM_subcat18_Table1_start,0,0,ROWS(Businesscasen_f_BCM_subcat18_Table1_start:Businesscasen_f_BCM_subcat18_Table1_end),1),0),3)</f>
        <v>0</v>
      </c>
      <c r="E24" s="398"/>
      <c r="F24" s="397">
        <f ca="1">OFFSET(Businesscasen_f_BCM_subcat18_Table1_start,MATCH("Drift - fremtidig uden "&amp;IF(MasterSheet_f_FP_CfgGroup1R3_VS,"program","projekt"),OFFSET(Businesscasen_f_BCM_subcat18_Table1_start,0,0,ROWS(Businesscasen_f_BCM_subcat18_Table1_start:Businesscasen_f_BCM_subcat18_Table1_end),1),0)+1,3)</f>
        <v>0</v>
      </c>
      <c r="G24" s="398"/>
      <c r="H24" s="397">
        <f ca="1">OFFSET(Businesscasen_f_BCM_subcat18_Table1_start,MATCH("Drift - fremtidig uden "&amp;IF(MasterSheet_f_FP_CfgGroup1R3_VS,"program","projekt"),OFFSET(Businesscasen_f_BCM_subcat18_Table1_start,0,0,ROWS(Businesscasen_f_BCM_subcat18_Table1_start:Businesscasen_f_BCM_subcat18_Table1_end),1),0)+3,3)</f>
        <v>0</v>
      </c>
      <c r="I24" s="398"/>
      <c r="J24" s="397">
        <f ca="1">OFFSET(Businesscasen_f_BCM_subcat18_Table1_start,MATCH("Drift - fremtidig uden "&amp;IF(MasterSheet_f_FP_CfgGroup1R3_VS,"program","projekt"),OFFSET(Businesscasen_f_BCM_subcat18_Table1_start,0,0,ROWS(Businesscasen_f_BCM_subcat18_Table1_start:Businesscasen_f_BCM_subcat18_Table1_end),1),0)+2,3)</f>
        <v>0</v>
      </c>
      <c r="K24" s="398"/>
      <c r="L24" s="126"/>
      <c r="M24" s="126"/>
      <c r="N24" s="400" t="s">
        <v>411</v>
      </c>
      <c r="O24" s="400"/>
      <c r="P24" s="400"/>
      <c r="Q24" s="400"/>
      <c r="R24" s="401">
        <f ca="1">OFFSET(Businesscasen_f_BCM_subcat16_Table1_start,19,2)</f>
        <v>0</v>
      </c>
      <c r="S24" s="401"/>
    </row>
    <row r="25" spans="2:19" ht="14.25" customHeight="1" x14ac:dyDescent="0.25">
      <c r="B25" s="132" t="str">
        <f>"4. Drift med "&amp;IF(MasterSheet_f_FP_CfgGroup1R3_VS,"program","projekt")</f>
        <v>4. Drift med projekt</v>
      </c>
      <c r="C25" s="147"/>
      <c r="D25" s="397">
        <f ca="1">OFFSET(Businesscasen_f_BCM_subcat18_Table1_start,MATCH("Drift - med "&amp;IF(MasterSheet_f_FP_CfgGroup1R3_VS,"program","projekt"),OFFSET(Businesscasen_f_BCM_subcat18_Table1_start,0,0,ROWS(Businesscasen_f_BCM_subcat18_Table1_start:Businesscasen_f_BCM_subcat18_Table1_end),1),0),3)</f>
        <v>0</v>
      </c>
      <c r="E25" s="398"/>
      <c r="F25" s="397">
        <f ca="1">OFFSET(Businesscasen_f_BCM_subcat18_Table1_start,MATCH("Drift - med "&amp;IF(MasterSheet_f_FP_CfgGroup1R3_VS,"program","projekt"),OFFSET(Businesscasen_f_BCM_subcat18_Table1_start,0,0,ROWS(Businesscasen_f_BCM_subcat18_Table1_start:Businesscasen_f_BCM_subcat18_Table1_end),1),0)+1,3)</f>
        <v>0</v>
      </c>
      <c r="G25" s="398"/>
      <c r="H25" s="397">
        <f ca="1">OFFSET(Businesscasen_f_BCM_subcat18_Table1_start,MATCH("Drift - med "&amp;IF(MasterSheet_f_FP_CfgGroup1R3_VS,"program","projekt"),OFFSET(Businesscasen_f_BCM_subcat18_Table1_start,0,0,ROWS(Businesscasen_f_BCM_subcat18_Table1_start:Businesscasen_f_BCM_subcat18_Table1_end),1),0)+3,3)</f>
        <v>0</v>
      </c>
      <c r="I25" s="398"/>
      <c r="J25" s="397">
        <f ca="1">OFFSET(Businesscasen_f_BCM_subcat18_Table1_start,MATCH("Drift - med "&amp;IF(MasterSheet_f_FP_CfgGroup1R3_VS,"program","projekt"),OFFSET(Businesscasen_f_BCM_subcat18_Table1_start,0,0,ROWS(Businesscasen_f_BCM_subcat18_Table1_start:Businesscasen_f_BCM_subcat18_Table1_end),1),0)+2,3)</f>
        <v>0</v>
      </c>
      <c r="K25" s="398"/>
      <c r="L25" s="126"/>
      <c r="M25" s="126"/>
      <c r="N25" s="138"/>
      <c r="O25" s="138"/>
      <c r="P25" s="17"/>
      <c r="Q25" s="16"/>
      <c r="R25" s="187"/>
      <c r="S25" s="187"/>
    </row>
    <row r="26" spans="2:19" ht="14.25" customHeight="1" x14ac:dyDescent="0.25">
      <c r="B26" s="132" t="s">
        <v>630</v>
      </c>
      <c r="C26" s="147"/>
      <c r="D26" s="397">
        <f ca="1">D24-D25</f>
        <v>0</v>
      </c>
      <c r="E26" s="398"/>
      <c r="F26" s="397">
        <f t="shared" ref="F26" ca="1" si="3">F24-F25</f>
        <v>0</v>
      </c>
      <c r="G26" s="398"/>
      <c r="H26" s="397">
        <f t="shared" ref="H26" ca="1" si="4">H24-H25</f>
        <v>0</v>
      </c>
      <c r="I26" s="398"/>
      <c r="J26" s="397">
        <f t="shared" ref="J26" ca="1" si="5">J24-J25</f>
        <v>0</v>
      </c>
      <c r="K26" s="398"/>
      <c r="L26" s="126"/>
      <c r="M26" s="126"/>
      <c r="N26" s="400" t="str">
        <f>IF(MasterSheet_f_FP_CfgGroup2R2_VS,"Ekstra højrisikopulje","")</f>
        <v/>
      </c>
      <c r="O26" s="400"/>
      <c r="P26" s="400"/>
      <c r="Q26" s="400"/>
      <c r="R26" s="401" t="str">
        <f ca="1">IF(MasterSheet_f_FP_CfgGroup2R2_VS,OFFSET(Businesscasen_f_BCM_subcat16_Table1_start,19,1)-OFFSET(Businesscasen_f_BCM_subcat16_Table1_start,18,1),"")</f>
        <v/>
      </c>
      <c r="S26" s="401"/>
    </row>
    <row r="27" spans="2:19" ht="14.25" customHeight="1" x14ac:dyDescent="0.25">
      <c r="B27" s="368" t="str">
        <f>"6. Samlede udgifter med "&amp;IF(MasterSheet_f_FP_CfgGroup1R3_VS,"program","projekt")&amp;", ekskl. renter (2 + 4)"</f>
        <v>6. Samlede udgifter med projekt, ekskl. renter (2 + 4)</v>
      </c>
      <c r="C27" s="368"/>
      <c r="D27" s="397">
        <f ca="1">D23+D25</f>
        <v>0</v>
      </c>
      <c r="E27" s="398"/>
      <c r="F27" s="397">
        <f t="shared" ref="F27" ca="1" si="6">F23+F25</f>
        <v>0</v>
      </c>
      <c r="G27" s="398"/>
      <c r="H27" s="397">
        <f t="shared" ref="H27" ca="1" si="7">H23+H25</f>
        <v>0</v>
      </c>
      <c r="I27" s="398"/>
      <c r="J27" s="397">
        <f t="shared" ref="J27" ca="1" si="8">J23+J25</f>
        <v>0</v>
      </c>
      <c r="K27" s="398"/>
      <c r="L27" s="126"/>
      <c r="M27" s="126"/>
      <c r="N27" s="131"/>
      <c r="O27" s="17"/>
      <c r="P27" s="17"/>
      <c r="Q27" s="16"/>
      <c r="R27" s="188"/>
      <c r="S27" s="188"/>
    </row>
    <row r="28" spans="2:19" ht="14.25" customHeight="1" x14ac:dyDescent="0.25">
      <c r="B28" s="132" t="s">
        <v>1569</v>
      </c>
      <c r="C28" s="147"/>
      <c r="D28" s="397">
        <f ca="1">D26-D23</f>
        <v>0</v>
      </c>
      <c r="E28" s="398"/>
      <c r="F28" s="397">
        <f ca="1">F26-F23</f>
        <v>0</v>
      </c>
      <c r="G28" s="398"/>
      <c r="H28" s="397">
        <f ca="1">H26-H23</f>
        <v>0</v>
      </c>
      <c r="I28" s="398"/>
      <c r="J28" s="397">
        <f ca="1">J26-J23</f>
        <v>0</v>
      </c>
      <c r="K28" s="398"/>
      <c r="L28" s="126"/>
      <c r="M28" s="126"/>
      <c r="N28" s="400" t="str">
        <f>IF(MasterSheet_f_FP_CfgGroup2R2_VS,"Samlet risikopulje","")</f>
        <v/>
      </c>
      <c r="O28" s="400"/>
      <c r="P28" s="400"/>
      <c r="Q28" s="400"/>
      <c r="R28" s="401" t="str">
        <f>IF(MasterSheet_f_FP_CfgGroup2R2_VS,SUM(R23:S27),"")</f>
        <v/>
      </c>
      <c r="S28" s="401"/>
    </row>
    <row r="29" spans="2:19" ht="14.25" customHeight="1" x14ac:dyDescent="0.25">
      <c r="B29" s="127"/>
      <c r="C29" s="127"/>
      <c r="D29" s="127"/>
      <c r="E29" s="127"/>
      <c r="F29" s="127"/>
      <c r="G29" s="127"/>
      <c r="H29" s="127"/>
      <c r="I29" s="127"/>
      <c r="J29" s="127"/>
      <c r="K29" s="127"/>
      <c r="L29" s="118"/>
      <c r="M29" s="118"/>
      <c r="N29" s="118"/>
      <c r="O29" s="118"/>
      <c r="P29" s="118"/>
      <c r="Q29" s="118"/>
      <c r="R29" s="118"/>
      <c r="S29" s="93"/>
    </row>
    <row r="31" spans="2:19" ht="29.1" customHeight="1" x14ac:dyDescent="0.25"/>
    <row r="33" spans="2:7" ht="51.95" customHeight="1" thickBot="1" x14ac:dyDescent="0.3">
      <c r="B33" s="412" t="s">
        <v>1539</v>
      </c>
      <c r="C33" s="413"/>
      <c r="D33" s="142" t="s">
        <v>413</v>
      </c>
      <c r="E33" s="143" t="s">
        <v>414</v>
      </c>
      <c r="F33" s="142">
        <v>2013</v>
      </c>
      <c r="G33" s="142">
        <v>2014</v>
      </c>
    </row>
    <row r="34" spans="2:7" ht="14.25" customHeight="1" x14ac:dyDescent="0.25">
      <c r="B34" s="140" t="s">
        <v>491</v>
      </c>
      <c r="C34" s="185" t="s">
        <v>309</v>
      </c>
      <c r="D34" s="190">
        <f t="shared" ref="D34:D38" ca="1" si="9">SUM(F34:BJ34)</f>
        <v>0</v>
      </c>
      <c r="E34" s="262" t="e">
        <f ca="1">D34/D41</f>
        <v>#DIV/0!</v>
      </c>
      <c r="F34" s="190">
        <f ca="1">SUMIFS(IF(MasterSheet_f_FP_CfgGroup1R3_VS,ProgramudgifterC!$N:$N,ProjektudgifterC!$N:$N),IF(MasterSheet_f_FP_CfgGroup1R3_VS,ProgramudgifterC!$B:$B,ProjektudgifterC!$B:$B),OFFSET(Businesscasen_f_BCM_subcat2_Table1_start,ROW()-ROW(Businesscasen_f_BCM_subcat2_Table1_start),COLUMN(Businesscasen_f_BCM_subcat2_Table1_start)-1),IF(MasterSheet_f_FP_CfgGroup1R3_VS,ProgramudgifterC!$E:$E,ProgramudgifterC!$E:$E),OFFSET(Businesscasen_f_BCM_subcat2_Table1_start,0,COLUMN()-COLUMN(Businesscasen_f_BCM_subcat2_Table1_start)))/1000</f>
        <v>0</v>
      </c>
      <c r="G34" s="190">
        <f ca="1">SUMIFS(IF(MasterSheet_f_FP_CfgGroup1R3_VS,ProgramudgifterC!$N:$N,ProjektudgifterC!$N:$N),IF(MasterSheet_f_FP_CfgGroup1R3_VS,ProgramudgifterC!$B:$B,ProjektudgifterC!$B:$B),OFFSET(Businesscasen_f_BCM_subcat2_Table1_start,ROW()-ROW(Businesscasen_f_BCM_subcat2_Table1_start),COLUMN(Businesscasen_f_BCM_subcat2_Table1_start)-1),IF(MasterSheet_f_FP_CfgGroup1R3_VS,ProgramudgifterC!$E:$E,ProgramudgifterC!$E:$E),OFFSET(Businesscasen_f_BCM_subcat2_Table1_start,0,COLUMN()-COLUMN(Businesscasen_f_BCM_subcat2_Table1_start)))/1000</f>
        <v>0</v>
      </c>
    </row>
    <row r="35" spans="2:7" ht="14.25" customHeight="1" x14ac:dyDescent="0.25">
      <c r="B35" s="139" t="s">
        <v>492</v>
      </c>
      <c r="C35" s="186" t="s">
        <v>317</v>
      </c>
      <c r="D35" s="191">
        <f t="shared" ca="1" si="9"/>
        <v>0</v>
      </c>
      <c r="E35" s="263" t="e">
        <f ca="1">D35/D41</f>
        <v>#DIV/0!</v>
      </c>
      <c r="F35" s="191">
        <f ca="1">SUMIFS(IF(MasterSheet_f_FP_CfgGroup1R3_VS,ProgramudgifterC!$N:$N,ProjektudgifterC!$N:$N),IF(MasterSheet_f_FP_CfgGroup1R3_VS,ProgramudgifterC!$B:$B,ProjektudgifterC!$B:$B),OFFSET(Businesscasen_f_BCM_subcat2_Table1_start,ROW()-ROW(Businesscasen_f_BCM_subcat2_Table1_start),COLUMN(Businesscasen_f_BCM_subcat2_Table1_start)-1),IF(MasterSheet_f_FP_CfgGroup1R3_VS,ProgramudgifterC!$E:$E,ProgramudgifterC!$E:$E),OFFSET(Businesscasen_f_BCM_subcat2_Table1_start,0,COLUMN()-COLUMN(Businesscasen_f_BCM_subcat2_Table1_start)))/1000</f>
        <v>0</v>
      </c>
      <c r="G35" s="191">
        <f ca="1">SUMIFS(IF(MasterSheet_f_FP_CfgGroup1R3_VS,ProgramudgifterC!$N:$N,ProjektudgifterC!$N:$N),IF(MasterSheet_f_FP_CfgGroup1R3_VS,ProgramudgifterC!$B:$B,ProjektudgifterC!$B:$B),OFFSET(Businesscasen_f_BCM_subcat2_Table1_start,ROW()-ROW(Businesscasen_f_BCM_subcat2_Table1_start),COLUMN(Businesscasen_f_BCM_subcat2_Table1_start)-1),IF(MasterSheet_f_FP_CfgGroup1R3_VS,ProgramudgifterC!$E:$E,ProgramudgifterC!$E:$E),OFFSET(Businesscasen_f_BCM_subcat2_Table1_start,0,COLUMN()-COLUMN(Businesscasen_f_BCM_subcat2_Table1_start)))/1000</f>
        <v>0</v>
      </c>
    </row>
    <row r="36" spans="2:7" ht="14.25" customHeight="1" x14ac:dyDescent="0.25">
      <c r="B36" s="139" t="s">
        <v>1512</v>
      </c>
      <c r="C36" s="186" t="s">
        <v>318</v>
      </c>
      <c r="D36" s="191">
        <f t="shared" ca="1" si="9"/>
        <v>0</v>
      </c>
      <c r="E36" s="263" t="e">
        <f ca="1">D36/D41</f>
        <v>#DIV/0!</v>
      </c>
      <c r="F36" s="191">
        <f ca="1">SUMIFS(IF(MasterSheet_f_FP_CfgGroup1R3_VS,ProgramudgifterC!$N:$N,ProjektudgifterC!$N:$N),IF(MasterSheet_f_FP_CfgGroup1R3_VS,ProgramudgifterC!$B:$B,ProjektudgifterC!$B:$B),OFFSET(Businesscasen_f_BCM_subcat2_Table1_start,ROW()-ROW(Businesscasen_f_BCM_subcat2_Table1_start),COLUMN(Businesscasen_f_BCM_subcat2_Table1_start)-1),IF(MasterSheet_f_FP_CfgGroup1R3_VS,ProgramudgifterC!$E:$E,ProgramudgifterC!$E:$E),OFFSET(Businesscasen_f_BCM_subcat2_Table1_start,0,COLUMN()-COLUMN(Businesscasen_f_BCM_subcat2_Table1_start)))/1000</f>
        <v>0</v>
      </c>
      <c r="G36" s="191">
        <f ca="1">SUMIFS(IF(MasterSheet_f_FP_CfgGroup1R3_VS,ProgramudgifterC!$N:$N,ProjektudgifterC!$N:$N),IF(MasterSheet_f_FP_CfgGroup1R3_VS,ProgramudgifterC!$B:$B,ProjektudgifterC!$B:$B),OFFSET(Businesscasen_f_BCM_subcat2_Table1_start,ROW()-ROW(Businesscasen_f_BCM_subcat2_Table1_start),COLUMN(Businesscasen_f_BCM_subcat2_Table1_start)-1),IF(MasterSheet_f_FP_CfgGroup1R3_VS,ProgramudgifterC!$E:$E,ProgramudgifterC!$E:$E),OFFSET(Businesscasen_f_BCM_subcat2_Table1_start,0,COLUMN()-COLUMN(Businesscasen_f_BCM_subcat2_Table1_start)))/1000</f>
        <v>0</v>
      </c>
    </row>
    <row r="37" spans="2:7" ht="14.25" customHeight="1" x14ac:dyDescent="0.25">
      <c r="B37" s="139" t="s">
        <v>493</v>
      </c>
      <c r="C37" s="186" t="s">
        <v>1250</v>
      </c>
      <c r="D37" s="191">
        <f t="shared" ca="1" si="9"/>
        <v>0</v>
      </c>
      <c r="E37" s="263" t="e">
        <f ca="1">D37/D41</f>
        <v>#DIV/0!</v>
      </c>
      <c r="F37" s="191">
        <f ca="1">SUMIFS(IF(MasterSheet_f_FP_CfgGroup1R3_VS,ProgramudgifterC!$N:$N,ProjektudgifterC!$N:$N),IF(MasterSheet_f_FP_CfgGroup1R3_VS,ProgramudgifterC!$B:$B,ProjektudgifterC!$B:$B),OFFSET(Businesscasen_f_BCM_subcat2_Table1_start,ROW()-ROW(Businesscasen_f_BCM_subcat2_Table1_start),COLUMN(Businesscasen_f_BCM_subcat2_Table1_start)-1),IF(MasterSheet_f_FP_CfgGroup1R3_VS,ProgramudgifterC!$E:$E,ProgramudgifterC!$E:$E),OFFSET(Businesscasen_f_BCM_subcat2_Table1_start,0,COLUMN()-COLUMN(Businesscasen_f_BCM_subcat2_Table1_start)))/1000</f>
        <v>0</v>
      </c>
      <c r="G37" s="191">
        <f ca="1">SUMIFS(IF(MasterSheet_f_FP_CfgGroup1R3_VS,ProgramudgifterC!$N:$N,ProjektudgifterC!$N:$N),IF(MasterSheet_f_FP_CfgGroup1R3_VS,ProgramudgifterC!$B:$B,ProjektudgifterC!$B:$B),OFFSET(Businesscasen_f_BCM_subcat2_Table1_start,ROW()-ROW(Businesscasen_f_BCM_subcat2_Table1_start),COLUMN(Businesscasen_f_BCM_subcat2_Table1_start)-1),IF(MasterSheet_f_FP_CfgGroup1R3_VS,ProgramudgifterC!$E:$E,ProgramudgifterC!$E:$E),OFFSET(Businesscasen_f_BCM_subcat2_Table1_start,0,COLUMN()-COLUMN(Businesscasen_f_BCM_subcat2_Table1_start)))/1000</f>
        <v>0</v>
      </c>
    </row>
    <row r="38" spans="2:7" ht="14.25" customHeight="1" x14ac:dyDescent="0.25">
      <c r="B38" s="139" t="s">
        <v>494</v>
      </c>
      <c r="C38" s="186" t="s">
        <v>319</v>
      </c>
      <c r="D38" s="191">
        <f t="shared" ca="1" si="9"/>
        <v>0</v>
      </c>
      <c r="E38" s="263" t="e">
        <f ca="1">D38/D41</f>
        <v>#DIV/0!</v>
      </c>
      <c r="F38" s="191">
        <f ca="1">SUMIFS(IF(MasterSheet_f_FP_CfgGroup1R3_VS,ProgramudgifterC!$N:$N,ProjektudgifterC!$N:$N),IF(MasterSheet_f_FP_CfgGroup1R3_VS,ProgramudgifterC!$B:$B,ProjektudgifterC!$B:$B),OFFSET(Businesscasen_f_BCM_subcat2_Table1_start,ROW()-ROW(Businesscasen_f_BCM_subcat2_Table1_start),COLUMN(Businesscasen_f_BCM_subcat2_Table1_start)-1),IF(MasterSheet_f_FP_CfgGroup1R3_VS,ProgramudgifterC!$E:$E,ProgramudgifterC!$E:$E),OFFSET(Businesscasen_f_BCM_subcat2_Table1_start,0,COLUMN()-COLUMN(Businesscasen_f_BCM_subcat2_Table1_start)))/1000</f>
        <v>0</v>
      </c>
      <c r="G38" s="191">
        <f ca="1">SUMIFS(IF(MasterSheet_f_FP_CfgGroup1R3_VS,ProgramudgifterC!$N:$N,ProjektudgifterC!$N:$N),IF(MasterSheet_f_FP_CfgGroup1R3_VS,ProgramudgifterC!$B:$B,ProjektudgifterC!$B:$B),OFFSET(Businesscasen_f_BCM_subcat2_Table1_start,ROW()-ROW(Businesscasen_f_BCM_subcat2_Table1_start),COLUMN(Businesscasen_f_BCM_subcat2_Table1_start)-1),IF(MasterSheet_f_FP_CfgGroup1R3_VS,ProgramudgifterC!$E:$E,ProgramudgifterC!$E:$E),OFFSET(Businesscasen_f_BCM_subcat2_Table1_start,0,COLUMN()-COLUMN(Businesscasen_f_BCM_subcat2_Table1_start)))/1000</f>
        <v>0</v>
      </c>
    </row>
    <row r="39" spans="2:7" ht="14.25" customHeight="1" x14ac:dyDescent="0.25">
      <c r="B39" s="139" t="s">
        <v>411</v>
      </c>
      <c r="C39" s="139"/>
      <c r="D39" s="191">
        <f ca="1">SUM(Businesscasen_rng_RiskPool)</f>
        <v>0</v>
      </c>
      <c r="E39" s="263" t="e">
        <f ca="1">D39/D41</f>
        <v>#DIV/0!</v>
      </c>
      <c r="F39" s="189"/>
      <c r="G39" s="189"/>
    </row>
    <row r="40" spans="2:7" ht="14.25" hidden="1" customHeight="1" x14ac:dyDescent="0.25">
      <c r="B40" s="76" t="s">
        <v>417</v>
      </c>
      <c r="C40" s="76"/>
      <c r="D40" s="191">
        <f ca="1">SUM(Businesscasen_rng_HighRiskPool)</f>
        <v>0</v>
      </c>
      <c r="E40" s="264" t="e">
        <f ca="1">D40/D41</f>
        <v>#DIV/0!</v>
      </c>
      <c r="F40" s="189"/>
      <c r="G40" s="189"/>
    </row>
    <row r="41" spans="2:7" ht="14.25" customHeight="1" thickBot="1" x14ac:dyDescent="0.3">
      <c r="B41" s="276" t="s">
        <v>418</v>
      </c>
      <c r="C41" s="276"/>
      <c r="D41" s="194">
        <f t="shared" ref="D41:G41" ca="1" si="10">SUM(D34:D40)</f>
        <v>0</v>
      </c>
      <c r="E41" s="265" t="e">
        <f ca="1">D41/D41</f>
        <v>#DIV/0!</v>
      </c>
      <c r="F41" s="194">
        <f t="shared" ca="1" si="10"/>
        <v>0</v>
      </c>
      <c r="G41" s="194">
        <f t="shared" ca="1" si="10"/>
        <v>0</v>
      </c>
    </row>
    <row r="42" spans="2:7" ht="14.25" hidden="1" customHeight="1" x14ac:dyDescent="0.25">
      <c r="B42" s="18"/>
      <c r="C42" s="18"/>
      <c r="D42" s="195"/>
      <c r="E42" s="196"/>
      <c r="F42" s="195"/>
      <c r="G42" s="195"/>
    </row>
    <row r="43" spans="2:7" ht="14.25" hidden="1" customHeight="1" x14ac:dyDescent="0.25">
      <c r="B43" s="77" t="s">
        <v>419</v>
      </c>
      <c r="C43" s="77"/>
      <c r="D43" s="197">
        <f ca="1">SUM(F43:BJ43)</f>
        <v>0</v>
      </c>
      <c r="E43" s="266"/>
      <c r="F43" s="197">
        <f ca="1">IFERROR(OFFSET(Businesscasen_f_BCM_subcat14_Table1_start,MATCH("Renteomkostninger (FF4)",OFFSET(Businesscasen_f_BCM_subcat14_Table1_start,0,0,ROWS(Businesscasen_f_BCM_subcat14_Table1_start:Businesscasen_f_BCM_subcat14_Table1_end),1),0)-1,5+MATCH(OFFSET(Businesscasen_f_BCM_subcat2_Table1_start,0,COLUMN()-COLUMN(Businesscasen_f_BCM_subcat2_Table1_start)),OFFSET(Businesscasen_f_BCM_subcat14_Table1_start,0,6,1,50),0)),0)/1000</f>
        <v>0</v>
      </c>
      <c r="G43" s="197">
        <f ca="1">IFERROR(OFFSET(Businesscasen_f_BCM_subcat14_Table1_start,MATCH("Renteomkostninger (FF4)",OFFSET(Businesscasen_f_BCM_subcat14_Table1_start,0,0,ROWS(Businesscasen_f_BCM_subcat14_Table1_start:Businesscasen_f_BCM_subcat14_Table1_end),1),0)-1,5+MATCH(OFFSET(Businesscasen_f_BCM_subcat2_Table1_start,0,COLUMN()-COLUMN(Businesscasen_f_BCM_subcat2_Table1_start)),OFFSET(Businesscasen_f_BCM_subcat14_Table1_start,0,6,1,50),0)),0)/1000</f>
        <v>0</v>
      </c>
    </row>
    <row r="44" spans="2:7" ht="14.25" hidden="1" customHeight="1" x14ac:dyDescent="0.25">
      <c r="B44" s="78" t="s">
        <v>420</v>
      </c>
      <c r="C44" s="78"/>
      <c r="D44" s="198">
        <f ca="1">D43+D41</f>
        <v>0</v>
      </c>
      <c r="E44" s="267"/>
      <c r="F44" s="198">
        <f ca="1">F43+F41</f>
        <v>0</v>
      </c>
      <c r="G44" s="198">
        <f t="shared" ref="G44" ca="1" si="11">G43+G41</f>
        <v>0</v>
      </c>
    </row>
    <row r="47" spans="2:7" ht="29.1" hidden="1" customHeight="1" x14ac:dyDescent="0.25"/>
    <row r="48" spans="2:7" ht="14.25" hidden="1" customHeight="1" x14ac:dyDescent="0.25"/>
    <row r="49" spans="2:7" ht="14.25" hidden="1" customHeight="1" x14ac:dyDescent="0.25"/>
    <row r="50" spans="2:7" ht="51.95" hidden="1" customHeight="1" thickBot="1" x14ac:dyDescent="0.3">
      <c r="B50" s="402" t="s">
        <v>1610</v>
      </c>
      <c r="C50" s="414"/>
      <c r="D50" s="200" t="s">
        <v>413</v>
      </c>
      <c r="E50" s="201" t="s">
        <v>414</v>
      </c>
      <c r="F50" s="200">
        <v>2013</v>
      </c>
      <c r="G50" s="200">
        <v>2014</v>
      </c>
    </row>
    <row r="51" spans="2:7" ht="2.1" hidden="1" customHeight="1" x14ac:dyDescent="0.25">
      <c r="B51" s="202"/>
      <c r="C51" s="202"/>
      <c r="D51" s="203"/>
      <c r="E51" s="268"/>
      <c r="F51" s="203"/>
      <c r="G51" s="203"/>
    </row>
    <row r="52" spans="2:7" ht="2.1" hidden="1" customHeight="1" x14ac:dyDescent="0.25">
      <c r="B52" s="76"/>
      <c r="C52" s="76"/>
      <c r="D52" s="204"/>
      <c r="E52" s="269"/>
      <c r="F52" s="204"/>
      <c r="G52" s="204"/>
    </row>
    <row r="53" spans="2:7" ht="14.25" hidden="1" customHeight="1" x14ac:dyDescent="0.25">
      <c r="B53" s="205" t="str">
        <f ca="1">OFFSET(INDIRECT("MasterSheet_f_FP_Projekter_"&amp;ROWS(B53:INDIRECT("Businesscasen_f_BCM_subcat3_Table1_start",TRUE))-3&amp;"_VS",TRUE),0,35)</f>
        <v>Programledelse</v>
      </c>
      <c r="C53" s="133"/>
      <c r="D53" s="191">
        <f ca="1">SUM(F53:BK53)</f>
        <v>0</v>
      </c>
      <c r="E53" s="263" t="e">
        <f ca="1">D53/OFFSET(Businesscasen_f_BCM_subcat3_Table1_start,ROWS(Businesscasen_f_BCM_subcat3_Table1_start:Businesscasen_f_BCM_subcat3_Table1_end)-4,2,1,1)</f>
        <v>#DIV/0!</v>
      </c>
      <c r="F53" s="191">
        <f ca="1">SUMIFS(ProgramudgifterC!$N:$N,ProgramudgifterC!$B:$B,OFFSET(Businesscasen_f_BCM_subcat3_Table1_start,ROW()-ROW(Businesscasen_f_BCM_subcat3_Table1_start),0),ProgramudgifterC!$E:$E,OFFSET(Businesscasen_f_BCM_subcat3_Table1_start,0,COLUMN()-COLUMN(Businesscasen_f_BCM_subcat3_Table1_start)))/1000</f>
        <v>0</v>
      </c>
      <c r="G53" s="191">
        <f ca="1">SUMIFS(ProgramudgifterC!$N:$N,ProgramudgifterC!$B:$B,OFFSET(Businesscasen_f_BCM_subcat3_Table1_start,ROW()-ROW(Businesscasen_f_BCM_subcat3_Table1_start),0),ProgramudgifterC!$E:$E,OFFSET(Businesscasen_f_BCM_subcat3_Table1_start,0,COLUMN()-COLUMN(Businesscasen_f_BCM_subcat3_Table1_start)))/1000</f>
        <v>0</v>
      </c>
    </row>
    <row r="54" spans="2:7" ht="14.25" hidden="1" customHeight="1" x14ac:dyDescent="0.25">
      <c r="B54" s="205" t="str">
        <f ca="1">OFFSET(INDIRECT("MasterSheet_f_FP_Projekter_"&amp;ROWS(B54:INDIRECT("Businesscasen_f_BCM_subcat3_Table1_start",TRUE))-3&amp;"_VS",TRUE),0,35)</f>
        <v>[Projekter 1]</v>
      </c>
      <c r="C54" s="133"/>
      <c r="D54" s="191">
        <f ca="1">SUM(F54:BK54)</f>
        <v>0</v>
      </c>
      <c r="E54" s="263" t="e">
        <f ca="1">D54/OFFSET(Businesscasen_f_BCM_subcat3_Table1_start,ROWS(Businesscasen_f_BCM_subcat3_Table1_start:Businesscasen_f_BCM_subcat3_Table1_end)-4,2,1,1)</f>
        <v>#DIV/0!</v>
      </c>
      <c r="F54" s="191">
        <f ca="1">SUMIFS(ProgramudgifterC!$N:$N,ProgramudgifterC!$B:$B,OFFSET(Businesscasen_f_BCM_subcat3_Table1_start,ROW()-ROW(Businesscasen_f_BCM_subcat3_Table1_start),0),ProgramudgifterC!$E:$E,OFFSET(Businesscasen_f_BCM_subcat3_Table1_start,0,COLUMN()-COLUMN(Businesscasen_f_BCM_subcat3_Table1_start)))/1000</f>
        <v>0</v>
      </c>
      <c r="G54" s="191">
        <f ca="1">SUMIFS(ProgramudgifterC!$N:$N,ProgramudgifterC!$B:$B,OFFSET(Businesscasen_f_BCM_subcat3_Table1_start,ROW()-ROW(Businesscasen_f_BCM_subcat3_Table1_start),0),ProgramudgifterC!$E:$E,OFFSET(Businesscasen_f_BCM_subcat3_Table1_start,0,COLUMN()-COLUMN(Businesscasen_f_BCM_subcat3_Table1_start)))/1000</f>
        <v>0</v>
      </c>
    </row>
    <row r="55" spans="2:7" ht="14.25" hidden="1" customHeight="1" x14ac:dyDescent="0.25">
      <c r="B55" s="133" t="s">
        <v>411</v>
      </c>
      <c r="C55" s="133"/>
      <c r="D55" s="191">
        <f ca="1">SUM(Businesscasen_rng_RiskPool)</f>
        <v>0</v>
      </c>
      <c r="E55" s="263" t="e">
        <f ca="1">D55/OFFSET(Businesscasen_f_BCM_subcat3_Table1_start,ROWS(Businesscasen_f_BCM_subcat3_Table1_start:Businesscasen_f_BCM_subcat3_Table1_end)-4,2,1,1)</f>
        <v>#DIV/0!</v>
      </c>
      <c r="F55" s="189"/>
      <c r="G55" s="189"/>
    </row>
    <row r="56" spans="2:7" ht="14.25" hidden="1" customHeight="1" x14ac:dyDescent="0.25">
      <c r="B56" s="133" t="s">
        <v>417</v>
      </c>
      <c r="C56" s="133"/>
      <c r="D56" s="191">
        <f ca="1">SUM(Businesscasen_rng_HighRiskPool)</f>
        <v>0</v>
      </c>
      <c r="E56" s="263" t="e">
        <f ca="1">D56/OFFSET(Businesscasen_f_BCM_subcat3_Table1_start,ROWS(Businesscasen_f_BCM_subcat3_Table1_start:Businesscasen_f_BCM_subcat3_Table1_end)-4,2,1,1)</f>
        <v>#DIV/0!</v>
      </c>
      <c r="F56" s="189"/>
      <c r="G56" s="189"/>
    </row>
    <row r="57" spans="2:7" ht="14.25" hidden="1" customHeight="1" thickBot="1" x14ac:dyDescent="0.3">
      <c r="B57" s="206" t="s">
        <v>418</v>
      </c>
      <c r="C57" s="206"/>
      <c r="D57" s="193">
        <f ca="1">SUM(D51:D56)</f>
        <v>0</v>
      </c>
      <c r="E57" s="265" t="e">
        <f ca="1">SUM(E51:E56)</f>
        <v>#DIV/0!</v>
      </c>
      <c r="F57" s="193">
        <f ca="1">SUM(F51:F56)</f>
        <v>0</v>
      </c>
      <c r="G57" s="193">
        <f t="shared" ref="G57" ca="1" si="12">SUM(G51:G56)</f>
        <v>0</v>
      </c>
    </row>
    <row r="58" spans="2:7" ht="14.25" hidden="1" customHeight="1" x14ac:dyDescent="0.25">
      <c r="B58" s="207"/>
      <c r="C58" s="207"/>
      <c r="D58" s="208"/>
      <c r="E58" s="209"/>
      <c r="F58" s="210"/>
      <c r="G58" s="210"/>
    </row>
    <row r="59" spans="2:7" ht="14.25" hidden="1" customHeight="1" x14ac:dyDescent="0.25">
      <c r="B59" s="134" t="s">
        <v>419</v>
      </c>
      <c r="C59" s="134"/>
      <c r="D59" s="197">
        <f ca="1">SUM(F59:BJ59)</f>
        <v>0</v>
      </c>
      <c r="E59" s="248"/>
      <c r="F59" s="197">
        <f ca="1">IFERROR(OFFSET(Businesscasen_f_BCM_subcat14_Table1_start,MATCH("Renteomkostninger (FF4)",OFFSET(Businesscasen_f_BCM_subcat14_Table1_start,0,0,ROWS(Businesscasen_f_BCM_subcat14_Table1_start:Businesscasen_f_BCM_subcat14_Table1_end),1),0)-1,5+MATCH(OFFSET(Businesscasen_f_BCM_subcat3_Table1_start,0,COLUMN()-COLUMN(Businesscasen_f_BCM_subcat3_Table1_start)),OFFSET(Businesscasen_f_BCM_subcat14_Table1_start,0,6,1,50),0)),0)/1000</f>
        <v>0</v>
      </c>
      <c r="G59" s="197">
        <f ca="1">IFERROR(OFFSET(Businesscasen_f_BCM_subcat14_Table1_start,MATCH("Renteomkostninger (FF4)",OFFSET(Businesscasen_f_BCM_subcat14_Table1_start,0,0,ROWS(Businesscasen_f_BCM_subcat14_Table1_start:Businesscasen_f_BCM_subcat14_Table1_end),1),0)-1,5+MATCH(OFFSET(Businesscasen_f_BCM_subcat3_Table1_start,0,COLUMN()-COLUMN(Businesscasen_f_BCM_subcat3_Table1_start)),OFFSET(Businesscasen_f_BCM_subcat14_Table1_start,0,6,1,50),0)),0)/1000</f>
        <v>0</v>
      </c>
    </row>
    <row r="60" spans="2:7" ht="14.25" hidden="1" customHeight="1" x14ac:dyDescent="0.25">
      <c r="B60" s="135" t="s">
        <v>420</v>
      </c>
      <c r="C60" s="135"/>
      <c r="D60" s="198">
        <f ca="1">D59+D57</f>
        <v>0</v>
      </c>
      <c r="E60" s="249"/>
      <c r="F60" s="198">
        <f ca="1">F59+F57</f>
        <v>0</v>
      </c>
      <c r="G60" s="198">
        <f t="shared" ref="G60" ca="1" si="13">G59+G57</f>
        <v>0</v>
      </c>
    </row>
    <row r="61" spans="2:7" ht="14.25" hidden="1" customHeight="1" x14ac:dyDescent="0.25"/>
    <row r="62" spans="2:7" ht="14.25" hidden="1" customHeight="1" x14ac:dyDescent="0.25"/>
    <row r="63" spans="2:7" ht="29.1" hidden="1" customHeight="1" x14ac:dyDescent="0.25"/>
    <row r="64" spans="2:7" ht="14.25" hidden="1" customHeight="1" x14ac:dyDescent="0.25"/>
    <row r="65" spans="2:63" ht="51.95" hidden="1" customHeight="1" thickBot="1" x14ac:dyDescent="0.3">
      <c r="B65" s="402" t="s">
        <v>422</v>
      </c>
      <c r="C65" s="403"/>
      <c r="D65" s="404" t="s">
        <v>413</v>
      </c>
      <c r="E65" s="405"/>
      <c r="F65" s="404" t="s">
        <v>1295</v>
      </c>
      <c r="G65" s="406"/>
      <c r="H65" s="200">
        <v>2014</v>
      </c>
      <c r="I65" s="200">
        <v>2014</v>
      </c>
      <c r="J65" s="118"/>
      <c r="K65" s="118"/>
      <c r="L65" s="118"/>
      <c r="M65" s="118"/>
      <c r="N65" s="118"/>
      <c r="O65" s="118"/>
      <c r="P65" s="118"/>
      <c r="Q65" s="118"/>
      <c r="R65" s="118"/>
      <c r="S65" s="118"/>
      <c r="T65" s="118"/>
      <c r="U65" s="118"/>
      <c r="V65" s="118"/>
      <c r="W65" s="118"/>
      <c r="X65" s="118"/>
      <c r="Y65" s="118"/>
      <c r="Z65" s="118"/>
      <c r="AA65" s="118"/>
      <c r="AB65" s="118"/>
      <c r="AC65" s="118"/>
      <c r="AD65" s="118"/>
      <c r="AE65" s="118"/>
      <c r="AF65" s="118"/>
      <c r="AG65" s="118"/>
      <c r="AH65" s="118"/>
      <c r="AI65" s="118"/>
      <c r="AJ65" s="118"/>
      <c r="AK65" s="118"/>
      <c r="AL65" s="118"/>
      <c r="AM65" s="118"/>
      <c r="AN65" s="118"/>
      <c r="AO65" s="118"/>
      <c r="AP65" s="118"/>
      <c r="AQ65" s="118"/>
      <c r="AR65" s="118"/>
      <c r="AS65" s="118"/>
      <c r="AT65" s="118"/>
      <c r="AU65" s="118"/>
      <c r="AV65" s="118"/>
      <c r="AW65" s="118"/>
      <c r="AX65" s="118"/>
      <c r="AY65" s="118"/>
      <c r="AZ65" s="118"/>
      <c r="BA65" s="118"/>
      <c r="BB65" s="118"/>
      <c r="BC65" s="118"/>
      <c r="BD65" s="118"/>
      <c r="BE65" s="93"/>
      <c r="BF65" s="93"/>
      <c r="BG65" s="93"/>
      <c r="BH65" s="93"/>
      <c r="BI65" s="93"/>
      <c r="BJ65" s="93"/>
      <c r="BK65" s="93"/>
    </row>
    <row r="66" spans="2:63" ht="14.25" hidden="1" customHeight="1" x14ac:dyDescent="0.25">
      <c r="B66" s="407" t="s">
        <v>423</v>
      </c>
      <c r="C66" s="407"/>
      <c r="D66" s="408">
        <f ca="1">SUM(H66:BE66)</f>
        <v>0</v>
      </c>
      <c r="E66" s="409"/>
      <c r="F66" s="410"/>
      <c r="G66" s="411"/>
      <c r="H66" s="223">
        <f ca="1">IF(OFFSET(INDIRECT("Forside_f_FP_Main1OmkostTable_1_start",TRUE),12,COLUMNS(H194:INDIRECT("Businesscasen_f_BCM_subcat14_Table1_start",TRUE))-1)&gt;0,OFFSET(INDIRECT("Forside_f_FP_Main1OmkostTable_1_start",TRUE),12,COLUMNS(H194:INDIRECT("Businesscasen_f_BCM_subcat14_Table1_start",TRUE))-1),0)</f>
        <v>0</v>
      </c>
      <c r="I66" s="223">
        <f ca="1">IF(OFFSET(INDIRECT("Forside_f_FP_Main1OmkostTable_1_start",TRUE),12,COLUMNS(I194:INDIRECT("Businesscasen_f_BCM_subcat14_Table1_start",TRUE))-1)&gt;0,OFFSET(INDIRECT("Forside_f_FP_Main1OmkostTable_1_start",TRUE),12,COLUMNS(I194:INDIRECT("Businesscasen_f_BCM_subcat14_Table1_start",TRUE))-1),0)</f>
        <v>0</v>
      </c>
      <c r="J66" s="118"/>
      <c r="K66" s="118"/>
      <c r="L66" s="118"/>
      <c r="M66" s="118"/>
      <c r="N66" s="118"/>
      <c r="O66" s="118"/>
      <c r="P66" s="118"/>
      <c r="Q66" s="118"/>
      <c r="R66" s="118"/>
      <c r="S66" s="118"/>
      <c r="T66" s="118"/>
      <c r="U66" s="118"/>
      <c r="V66" s="118"/>
      <c r="W66" s="118"/>
      <c r="X66" s="118"/>
      <c r="Y66" s="118"/>
      <c r="Z66" s="118"/>
      <c r="AA66" s="118"/>
      <c r="AB66" s="118"/>
      <c r="AC66" s="118"/>
      <c r="AD66" s="118"/>
      <c r="AE66" s="118"/>
      <c r="AF66" s="118"/>
      <c r="AG66" s="118"/>
      <c r="AH66" s="118"/>
      <c r="AI66" s="118"/>
      <c r="AJ66" s="118"/>
      <c r="AK66" s="118"/>
      <c r="AL66" s="118"/>
      <c r="AM66" s="118"/>
      <c r="AN66" s="118"/>
      <c r="AO66" s="118"/>
      <c r="AP66" s="118"/>
      <c r="AQ66" s="118"/>
      <c r="AR66" s="118"/>
      <c r="AS66" s="118"/>
      <c r="AT66" s="118"/>
      <c r="AU66" s="118"/>
      <c r="AV66" s="118"/>
      <c r="AW66" s="118"/>
      <c r="AX66" s="118"/>
      <c r="AY66" s="118"/>
      <c r="AZ66" s="118"/>
      <c r="BA66" s="118"/>
      <c r="BB66" s="118"/>
      <c r="BC66" s="118"/>
      <c r="BD66" s="118"/>
      <c r="BE66" s="93"/>
      <c r="BF66" s="93"/>
      <c r="BG66" s="93"/>
      <c r="BH66" s="93"/>
      <c r="BI66" s="93"/>
      <c r="BJ66" s="93"/>
      <c r="BK66" s="93"/>
    </row>
    <row r="67" spans="2:63" ht="14.25" hidden="1" customHeight="1" x14ac:dyDescent="0.25">
      <c r="B67" s="425" t="s">
        <v>424</v>
      </c>
      <c r="C67" s="425"/>
      <c r="D67" s="426">
        <f ca="1">SUM(H67:BE67)</f>
        <v>0</v>
      </c>
      <c r="E67" s="427"/>
      <c r="F67" s="418"/>
      <c r="G67" s="419"/>
      <c r="H67" s="220" t="str">
        <f ca="1">IF(OR(H68&gt;0,H69&gt;0),SUM(H68:H69),"")</f>
        <v/>
      </c>
      <c r="I67" s="220" t="str">
        <f t="shared" ref="I67" ca="1" si="14">IF(OR(I68&gt;0,I69&gt;0),SUM(I68:I69),"")</f>
        <v/>
      </c>
      <c r="J67" s="118"/>
      <c r="K67" s="118"/>
      <c r="L67" s="118"/>
      <c r="M67" s="118"/>
      <c r="N67" s="118"/>
      <c r="O67" s="118"/>
      <c r="P67" s="118"/>
      <c r="Q67" s="118"/>
      <c r="R67" s="118"/>
      <c r="S67" s="118"/>
      <c r="T67" s="118"/>
      <c r="U67" s="118"/>
      <c r="V67" s="118"/>
      <c r="W67" s="118"/>
      <c r="X67" s="118"/>
      <c r="Y67" s="118"/>
      <c r="Z67" s="118"/>
      <c r="AA67" s="118"/>
      <c r="AB67" s="118"/>
      <c r="AC67" s="118"/>
      <c r="AD67" s="118"/>
      <c r="AE67" s="118"/>
      <c r="AF67" s="118"/>
      <c r="AG67" s="118"/>
      <c r="AH67" s="118"/>
      <c r="AI67" s="118"/>
      <c r="AJ67" s="118"/>
      <c r="AK67" s="118"/>
      <c r="AL67" s="118"/>
      <c r="AM67" s="118"/>
      <c r="AN67" s="118"/>
      <c r="AO67" s="118"/>
      <c r="AP67" s="118"/>
      <c r="AQ67" s="118"/>
      <c r="AR67" s="118"/>
      <c r="AS67" s="118"/>
      <c r="AT67" s="118"/>
      <c r="AU67" s="118"/>
      <c r="AV67" s="118"/>
      <c r="AW67" s="118"/>
      <c r="AX67" s="118"/>
      <c r="AY67" s="118"/>
      <c r="AZ67" s="118"/>
      <c r="BA67" s="118"/>
      <c r="BB67" s="118"/>
      <c r="BC67" s="118"/>
      <c r="BD67" s="118"/>
      <c r="BE67" s="93"/>
      <c r="BF67" s="93"/>
      <c r="BG67" s="93"/>
      <c r="BH67" s="93"/>
      <c r="BI67" s="93"/>
      <c r="BJ67" s="93"/>
      <c r="BK67" s="93"/>
    </row>
    <row r="68" spans="2:63" ht="14.25" hidden="1" customHeight="1" x14ac:dyDescent="0.25">
      <c r="B68" s="415" t="s">
        <v>425</v>
      </c>
      <c r="C68" s="415"/>
      <c r="D68" s="428">
        <f ca="1">SUM(H68:BE68)</f>
        <v>0</v>
      </c>
      <c r="E68" s="429"/>
      <c r="F68" s="418"/>
      <c r="G68" s="419"/>
      <c r="H68" s="189">
        <f ca="1">IF(OFFSET(INDIRECT("Forside_f_FP_Main1OmkostTable_1_start",TRUE),7,COLUMNS(H196:INDIRECT("Businesscasen_f_BCM_subcat14_Table1_start",TRUE))-1)&gt;0,OFFSET(INDIRECT("Forside_f_FP_Main1OmkostTable_1_start",TRUE),7,COLUMNS(H196:INDIRECT("Businesscasen_f_BCM_subcat14_Table1_start",TRUE))-1),0)</f>
        <v>0</v>
      </c>
      <c r="I68" s="189">
        <f ca="1">IF(OFFSET(INDIRECT("Forside_f_FP_Main1OmkostTable_1_start",TRUE),7,COLUMNS(I196:INDIRECT("Businesscasen_f_BCM_subcat14_Table1_start",TRUE))-1)&gt;0,OFFSET(INDIRECT("Forside_f_FP_Main1OmkostTable_1_start",TRUE),7,COLUMNS(I196:INDIRECT("Businesscasen_f_BCM_subcat14_Table1_start",TRUE))-1),0)</f>
        <v>0</v>
      </c>
      <c r="J68" s="118"/>
      <c r="K68" s="118"/>
      <c r="L68" s="118"/>
      <c r="M68" s="118"/>
      <c r="N68" s="118"/>
      <c r="O68" s="118"/>
      <c r="P68" s="118"/>
      <c r="Q68" s="118"/>
      <c r="R68" s="118"/>
      <c r="S68" s="118"/>
      <c r="T68" s="118"/>
      <c r="U68" s="118"/>
      <c r="V68" s="118"/>
      <c r="W68" s="118"/>
      <c r="X68" s="118"/>
      <c r="Y68" s="118"/>
      <c r="Z68" s="118"/>
      <c r="AA68" s="118"/>
      <c r="AB68" s="118"/>
      <c r="AC68" s="118"/>
      <c r="AD68" s="118"/>
      <c r="AE68" s="118"/>
      <c r="AF68" s="118"/>
      <c r="AG68" s="118"/>
      <c r="AH68" s="118"/>
      <c r="AI68" s="118"/>
      <c r="AJ68" s="118"/>
      <c r="AK68" s="118"/>
      <c r="AL68" s="118"/>
      <c r="AM68" s="118"/>
      <c r="AN68" s="118"/>
      <c r="AO68" s="118"/>
      <c r="AP68" s="118"/>
      <c r="AQ68" s="118"/>
      <c r="AR68" s="118"/>
      <c r="AS68" s="118"/>
      <c r="AT68" s="118"/>
      <c r="AU68" s="118"/>
      <c r="AV68" s="118"/>
      <c r="AW68" s="118"/>
      <c r="AX68" s="118"/>
      <c r="AY68" s="118"/>
      <c r="AZ68" s="118"/>
      <c r="BA68" s="118"/>
      <c r="BB68" s="118"/>
      <c r="BC68" s="118"/>
      <c r="BD68" s="118"/>
      <c r="BE68" s="93"/>
      <c r="BF68" s="93"/>
      <c r="BG68" s="93"/>
      <c r="BH68" s="93"/>
      <c r="BI68" s="93"/>
      <c r="BJ68" s="93"/>
      <c r="BK68" s="93"/>
    </row>
    <row r="69" spans="2:63" ht="14.25" hidden="1" customHeight="1" x14ac:dyDescent="0.25">
      <c r="B69" s="415" t="s">
        <v>426</v>
      </c>
      <c r="C69" s="415"/>
      <c r="D69" s="416">
        <f ca="1">SUM(H69:BE69)</f>
        <v>0</v>
      </c>
      <c r="E69" s="417"/>
      <c r="F69" s="418"/>
      <c r="G69" s="419"/>
      <c r="H69" s="189">
        <f ca="1">IF(OFFSET(INDIRECT("Forside_f_FP_Main1OmkostTable_1_start",TRUE),1,COLUMNS(H197:INDIRECT("Businesscasen_f_BCM_subcat14_Table1_start",TRUE))-1)&gt;0,OFFSET(INDIRECT("Forside_f_FP_Main1OmkostTable_1_start",TRUE),10,COLUMNS(H197:INDIRECT("Businesscasen_f_BCM_subcat14_Table1_start",TRUE))-1),0)</f>
        <v>0</v>
      </c>
      <c r="I69" s="189">
        <f ca="1">IF(OFFSET(INDIRECT("Forside_f_FP_Main1OmkostTable_1_start",TRUE),1,COLUMNS(I197:INDIRECT("Businesscasen_f_BCM_subcat14_Table1_start",TRUE))-1)&gt;0,OFFSET(INDIRECT("Forside_f_FP_Main1OmkostTable_1_start",TRUE),10,COLUMNS(I197:INDIRECT("Businesscasen_f_BCM_subcat14_Table1_start",TRUE))-1),0)</f>
        <v>0</v>
      </c>
      <c r="J69" s="118"/>
      <c r="K69" s="118"/>
      <c r="L69" s="118"/>
      <c r="M69" s="118"/>
      <c r="N69" s="118"/>
      <c r="O69" s="118"/>
      <c r="P69" s="118"/>
      <c r="Q69" s="118"/>
      <c r="R69" s="118"/>
      <c r="S69" s="118"/>
      <c r="T69" s="118"/>
      <c r="U69" s="118"/>
      <c r="V69" s="118"/>
      <c r="W69" s="118"/>
      <c r="X69" s="118"/>
      <c r="Y69" s="118"/>
      <c r="Z69" s="118"/>
      <c r="AA69" s="118"/>
      <c r="AB69" s="118"/>
      <c r="AC69" s="118"/>
      <c r="AD69" s="118"/>
      <c r="AE69" s="118"/>
      <c r="AF69" s="118"/>
      <c r="AG69" s="118"/>
      <c r="AH69" s="118"/>
      <c r="AI69" s="118"/>
      <c r="AJ69" s="118"/>
      <c r="AK69" s="118"/>
      <c r="AL69" s="118"/>
      <c r="AM69" s="118"/>
      <c r="AN69" s="118"/>
      <c r="AO69" s="118"/>
      <c r="AP69" s="118"/>
      <c r="AQ69" s="118"/>
      <c r="AR69" s="118"/>
      <c r="AS69" s="118"/>
      <c r="AT69" s="118"/>
      <c r="AU69" s="118"/>
      <c r="AV69" s="118"/>
      <c r="AW69" s="118"/>
      <c r="AX69" s="118"/>
      <c r="AY69" s="118"/>
      <c r="AZ69" s="118"/>
      <c r="BA69" s="118"/>
      <c r="BB69" s="118"/>
      <c r="BC69" s="118"/>
      <c r="BD69" s="118"/>
      <c r="BE69" s="93"/>
      <c r="BF69" s="93"/>
      <c r="BG69" s="93"/>
      <c r="BH69" s="93"/>
      <c r="BI69" s="93"/>
      <c r="BJ69" s="93"/>
      <c r="BK69" s="93"/>
    </row>
    <row r="70" spans="2:63" ht="14.25" hidden="1" customHeight="1" thickBot="1" x14ac:dyDescent="0.3">
      <c r="B70" s="420" t="s">
        <v>420</v>
      </c>
      <c r="C70" s="420"/>
      <c r="D70" s="421">
        <f ca="1">SUM(D66:E67)</f>
        <v>0</v>
      </c>
      <c r="E70" s="422"/>
      <c r="F70" s="423">
        <f>Forside_f_FP_Main1OmkostIY_1_start</f>
        <v>2013</v>
      </c>
      <c r="G70" s="424"/>
      <c r="H70" s="194">
        <f ca="1">IF(H66&gt;0,SUM(H66:H67),0)</f>
        <v>0</v>
      </c>
      <c r="I70" s="194">
        <f t="shared" ref="I70" ca="1" si="15">IF(I66&gt;0,SUM(I66:I67),0)</f>
        <v>0</v>
      </c>
      <c r="J70" s="118"/>
      <c r="K70" s="118"/>
      <c r="L70" s="118"/>
      <c r="M70" s="118"/>
      <c r="N70" s="118"/>
      <c r="O70" s="118"/>
      <c r="P70" s="118"/>
      <c r="Q70" s="118"/>
      <c r="R70" s="118"/>
      <c r="S70" s="118"/>
      <c r="T70" s="118"/>
      <c r="U70" s="118"/>
      <c r="V70" s="118"/>
      <c r="W70" s="118"/>
      <c r="X70" s="118"/>
      <c r="Y70" s="118"/>
      <c r="Z70" s="118"/>
      <c r="AA70" s="118"/>
      <c r="AB70" s="118"/>
      <c r="AC70" s="118"/>
      <c r="AD70" s="118"/>
      <c r="AE70" s="118"/>
      <c r="AF70" s="118"/>
      <c r="AG70" s="118"/>
      <c r="AH70" s="118"/>
      <c r="AI70" s="118"/>
      <c r="AJ70" s="118"/>
      <c r="AK70" s="118"/>
      <c r="AL70" s="118"/>
      <c r="AM70" s="118"/>
      <c r="AN70" s="118"/>
      <c r="AO70" s="118"/>
      <c r="AP70" s="118"/>
      <c r="AQ70" s="118"/>
      <c r="AR70" s="118"/>
      <c r="AS70" s="118"/>
      <c r="AT70" s="118"/>
      <c r="AU70" s="118"/>
      <c r="AV70" s="118"/>
      <c r="AW70" s="118"/>
      <c r="AX70" s="118"/>
      <c r="AY70" s="118"/>
      <c r="AZ70" s="118"/>
      <c r="BA70" s="118"/>
      <c r="BB70" s="118"/>
      <c r="BC70" s="118"/>
      <c r="BD70" s="118"/>
      <c r="BE70" s="93"/>
      <c r="BF70" s="93"/>
      <c r="BG70" s="93"/>
      <c r="BH70" s="93"/>
      <c r="BI70" s="93"/>
      <c r="BJ70" s="93"/>
      <c r="BK70" s="93"/>
    </row>
    <row r="71" spans="2:63" ht="14.25" hidden="1" customHeight="1" x14ac:dyDescent="0.25"/>
    <row r="72" spans="2:63" ht="14.25" hidden="1" customHeight="1" x14ac:dyDescent="0.25"/>
    <row r="73" spans="2:63" ht="29.1" customHeight="1" x14ac:dyDescent="0.25"/>
    <row r="75" spans="2:63" ht="51.95" customHeight="1" thickBot="1" x14ac:dyDescent="0.3">
      <c r="B75" s="250" t="s">
        <v>427</v>
      </c>
      <c r="C75" s="200" t="s">
        <v>413</v>
      </c>
      <c r="D75" s="436" t="s">
        <v>414</v>
      </c>
      <c r="E75" s="405"/>
      <c r="F75" s="200">
        <v>2013</v>
      </c>
      <c r="G75" s="200">
        <v>2014</v>
      </c>
    </row>
    <row r="76" spans="2:63" ht="2.1" customHeight="1" x14ac:dyDescent="0.25">
      <c r="B76" s="202"/>
      <c r="C76" s="211"/>
      <c r="D76" s="437"/>
      <c r="E76" s="438"/>
      <c r="F76" s="212"/>
      <c r="G76" s="212"/>
    </row>
    <row r="77" spans="2:63" ht="2.1" customHeight="1" x14ac:dyDescent="0.25">
      <c r="B77" s="213"/>
      <c r="C77" s="214"/>
      <c r="D77" s="439"/>
      <c r="E77" s="440"/>
      <c r="F77" s="215"/>
      <c r="G77" s="215"/>
    </row>
    <row r="78" spans="2:63" ht="14.25" customHeight="1" x14ac:dyDescent="0.25">
      <c r="B78" s="217" t="str">
        <f ca="1">OFFSET(INDIRECT("MasterSheet_f_FP_Gevinstejer_"&amp;ROWS(B78:INDIRECT("Businesscasen_f_BCM_subcat5_Table1_start",TRUE))-3&amp;"_VS",TRUE),0,35)</f>
        <v>[Gevinstejer]</v>
      </c>
      <c r="C78" s="191">
        <f t="shared" ref="C78" ca="1" si="16">SUM(F78:BK78)</f>
        <v>0</v>
      </c>
      <c r="D78" s="441" t="e">
        <f ca="1">C78/OFFSET(Businesscasen_f_BCM_subcat5_Table1_start,ROW(Businesscasen_f_BCM_subcat5_Table1_end)-ROW(Businesscasen_f_BCM_subcat5_Table1_start),1)</f>
        <v>#DIV/0!</v>
      </c>
      <c r="E78" s="442"/>
      <c r="F78" s="189">
        <f ca="1">(SUMIFS(IF(MasterSheet_f_FP_CfgGroup2R2_VS,'Drift - fremtidig uden projektC'!$P:$P,'Drift - fremtidig uden projektC'!$O:$O),'Drift - fremtidig uden projektC'!$D:$D,OFFSET(Businesscasen_f_BCM_subcat5_Table1_start,ROW()-ROW(Businesscasen_f_BCM_subcat5_Table1_start),0),'Drift - fremtidig uden projektC'!$E:$E,OFFSET(Businesscasen_f_BCM_subcat5_Table1_start,0,COLUMN()-COLUMN(Businesscasen_f_BCM_subcat5_Table1_start)))-SUMIFS(IF(MasterSheet_f_FP_CfgGroup2R2_VS,'Drift - med projektC'!$P:$P,'Drift - med projektC'!$O:$O),'Drift - med projektC'!$D:$D,OFFSET(Businesscasen_f_BCM_subcat5_Table1_start,ROW()-ROW(Businesscasen_f_BCM_subcat5_Table1_start),0),'Drift - med projektC'!$E:$E,OFFSET(Businesscasen_f_BCM_subcat5_Table1_start,0,COLUMN()-COLUMN(Businesscasen_f_BCM_subcat5_Table1_start))))/1000</f>
        <v>0</v>
      </c>
      <c r="G78" s="189">
        <f ca="1">(SUMIFS(IF(MasterSheet_f_FP_CfgGroup2R2_VS,'Drift - fremtidig uden projektC'!$P:$P,'Drift - fremtidig uden projektC'!$O:$O),'Drift - fremtidig uden projektC'!$D:$D,OFFSET(Businesscasen_f_BCM_subcat5_Table1_start,ROW()-ROW(Businesscasen_f_BCM_subcat5_Table1_start),0),'Drift - fremtidig uden projektC'!$E:$E,OFFSET(Businesscasen_f_BCM_subcat5_Table1_start,0,COLUMN()-COLUMN(Businesscasen_f_BCM_subcat5_Table1_start)))-SUMIFS(IF(MasterSheet_f_FP_CfgGroup2R2_VS,'Drift - med projektC'!$P:$P,'Drift - med projektC'!$O:$O),'Drift - med projektC'!$D:$D,OFFSET(Businesscasen_f_BCM_subcat5_Table1_start,ROW()-ROW(Businesscasen_f_BCM_subcat5_Table1_start),0),'Drift - med projektC'!$E:$E,OFFSET(Businesscasen_f_BCM_subcat5_Table1_start,0,COLUMN()-COLUMN(Businesscasen_f_BCM_subcat5_Table1_start))))/1000</f>
        <v>0</v>
      </c>
    </row>
    <row r="79" spans="2:63" ht="14.25" customHeight="1" x14ac:dyDescent="0.25">
      <c r="B79" s="219"/>
      <c r="C79" s="220"/>
      <c r="D79" s="444"/>
      <c r="E79" s="445"/>
      <c r="F79" s="221"/>
      <c r="G79" s="221"/>
    </row>
    <row r="80" spans="2:63" ht="14.25" customHeight="1" thickBot="1" x14ac:dyDescent="0.3">
      <c r="B80" s="222" t="s">
        <v>413</v>
      </c>
      <c r="C80" s="194">
        <f ca="1">SUM(C76:C79)</f>
        <v>0</v>
      </c>
      <c r="D80" s="430" t="e">
        <f ca="1">SUM(D76:E79)</f>
        <v>#DIV/0!</v>
      </c>
      <c r="E80" s="431"/>
      <c r="F80" s="194">
        <f t="shared" ref="F80:G80" ca="1" si="17">SUM(F76:F79)</f>
        <v>0</v>
      </c>
      <c r="G80" s="194">
        <f t="shared" ca="1" si="17"/>
        <v>0</v>
      </c>
    </row>
    <row r="83" spans="2:8" ht="29.1" customHeight="1" x14ac:dyDescent="0.25"/>
    <row r="85" spans="2:8" ht="51.95" customHeight="1" x14ac:dyDescent="0.25">
      <c r="B85" s="359" t="s">
        <v>430</v>
      </c>
      <c r="C85" s="359"/>
      <c r="D85" s="359"/>
      <c r="E85" s="359"/>
      <c r="F85" s="359"/>
      <c r="G85" s="359"/>
      <c r="H85" s="93"/>
    </row>
    <row r="86" spans="2:8" ht="51.95" customHeight="1" thickBot="1" x14ac:dyDescent="0.3">
      <c r="B86" s="145" t="s">
        <v>431</v>
      </c>
      <c r="C86" s="151" t="s">
        <v>370</v>
      </c>
      <c r="D86" s="432" t="s">
        <v>631</v>
      </c>
      <c r="E86" s="433"/>
      <c r="F86" s="434" t="s">
        <v>432</v>
      </c>
      <c r="G86" s="435"/>
      <c r="H86" s="254" t="s">
        <v>1490</v>
      </c>
    </row>
    <row r="87" spans="2:8" ht="2.1" customHeight="1" x14ac:dyDescent="0.25">
      <c r="B87" s="137"/>
      <c r="C87" s="152"/>
      <c r="D87" s="453"/>
      <c r="E87" s="454"/>
      <c r="F87" s="455"/>
      <c r="G87" s="456"/>
      <c r="H87" s="259"/>
    </row>
    <row r="88" spans="2:8" ht="2.1" customHeight="1" x14ac:dyDescent="0.25">
      <c r="B88" s="137"/>
      <c r="C88" s="152"/>
      <c r="D88" s="453"/>
      <c r="E88" s="454"/>
      <c r="F88" s="455"/>
      <c r="G88" s="456"/>
      <c r="H88" s="259"/>
    </row>
    <row r="89" spans="2:8" ht="14.25" customHeight="1" x14ac:dyDescent="0.25">
      <c r="B89" s="205" t="str">
        <f>INDEX(MasterSheet_Repeater_IOKVar,H89)</f>
        <v>[Navn]</v>
      </c>
      <c r="C89" s="224" t="str">
        <f ca="1">OFFSET(Forside_f_FP_Main1IOKVarTable_start,H89,4)</f>
        <v>[Enhed]</v>
      </c>
      <c r="D89" s="446">
        <f ca="1">OFFSET(Forside_f_FP_Main1IOKVarTable_start,H89,6)</f>
        <v>0</v>
      </c>
      <c r="E89" s="447"/>
      <c r="F89" s="448">
        <f ca="1">(SUMIFS(IF(MasterSheet_f_FP_CfgGroup2R2_VS,'Drift - fremtidig uden projektD'!$P:$P,'Drift - fremtidig uden projektD'!$O:$O),'Drift - fremtidig uden projektD'!$C:$C,OFFSET(Businesscasen_f_BCM_subcat6a_Table1_start,ROW()-ROW(Businesscasen_f_BCM_subcat6a_Table1_start),0))-SUMIFS(IF(MasterSheet_f_FP_CfgGroup2R2_VS,'Drift - med projektD'!$P:$P,'Drift - med projektD'!$O:$O),'Drift - med projektD'!$C:$C,OFFSET(Businesscasen_f_BCM_subcat6a_Table1_start,ROW()-ROW(Businesscasen_f_BCM_subcat6a_Table1_start),0)))/1000</f>
        <v>0</v>
      </c>
      <c r="G89" s="449"/>
      <c r="H89" s="254">
        <f>ROW()-ROW(Businesscasen_f_BCM_subcat6a_Table1_start)-3</f>
        <v>1</v>
      </c>
    </row>
    <row r="90" spans="2:8" ht="14.25" customHeight="1" x14ac:dyDescent="0.25">
      <c r="B90" s="225"/>
      <c r="C90" s="226"/>
      <c r="D90" s="450"/>
      <c r="E90" s="451"/>
      <c r="F90" s="450"/>
      <c r="G90" s="452"/>
      <c r="H90" s="93"/>
    </row>
    <row r="91" spans="2:8" ht="14.25" customHeight="1" thickBot="1" x14ac:dyDescent="0.3">
      <c r="B91" s="227" t="s">
        <v>413</v>
      </c>
      <c r="C91" s="194"/>
      <c r="D91" s="461"/>
      <c r="E91" s="462"/>
      <c r="F91" s="461">
        <f ca="1">SUM(F87:G90)</f>
        <v>0</v>
      </c>
      <c r="G91" s="463"/>
      <c r="H91" s="124"/>
    </row>
    <row r="94" spans="2:8" ht="29.1" customHeight="1" x14ac:dyDescent="0.25"/>
    <row r="96" spans="2:8" ht="51.95" customHeight="1" x14ac:dyDescent="0.25">
      <c r="B96" s="359" t="s">
        <v>1291</v>
      </c>
      <c r="C96" s="359"/>
      <c r="D96" s="359"/>
      <c r="E96" s="359"/>
      <c r="F96" s="359"/>
      <c r="G96" s="359"/>
    </row>
    <row r="97" spans="2:19" ht="51.95" customHeight="1" thickBot="1" x14ac:dyDescent="0.3">
      <c r="B97" s="153" t="s">
        <v>433</v>
      </c>
      <c r="C97" s="182" t="s">
        <v>1570</v>
      </c>
      <c r="D97" s="464" t="s">
        <v>1571</v>
      </c>
      <c r="E97" s="465"/>
      <c r="F97" s="466" t="s">
        <v>1572</v>
      </c>
      <c r="G97" s="467"/>
    </row>
    <row r="98" spans="2:19" ht="14.25" customHeight="1" x14ac:dyDescent="0.25">
      <c r="B98" s="144" t="s">
        <v>1193</v>
      </c>
      <c r="C98" s="228">
        <f ca="1">(SUMIF(IF(MasterSheet_f_FP_CfgGroup1R3_VS,ProgramudgifterC!$H:$H,ProjektudgifterC!$H:$H),OFFSET(Businesscasen_f_BCM_subcat6b_Table1_start,ROW()-ROW(Businesscasen_f_BCM_subcat6b_Table1_start),0),IF(MasterSheet_f_FP_CfgGroup1R3_VS,IF(MasterSheet_f_FP_CfgGroup2R2_VS,ProgramudgifterC!$U:$U,ProgramudgifterC!$S:$S),IF(MasterSheet_f_FP_CfgGroup2R2_VS,ProjektudgifterC!$U:$U,ProjektudgifterC!$S:$S)))+SUMIF(IF(MasterSheet_f_FP_CfgGroup1R3_VS,ProgramudgifterC!$H:$H,ProjektudgifterC!$H:$H),OFFSET(Businesscasen_f_BCM_subcat6b_Table1_start,ROW()-ROW(Businesscasen_f_BCM_subcat6b_Table1_start),0),IF(MasterSheet_f_FP_CfgGroup1R3_VS,IF(MasterSheet_f_FP_CfgGroup2R2_VS,ProgramudgifterC!$V:$V,ProgramudgifterC!$T:$T),IF(MasterSheet_f_FP_CfgGroup2R2_VS,ProjektudgifterC!$V:$V,ProjektudgifterC!$T:$T))))/1000</f>
        <v>0</v>
      </c>
      <c r="D98" s="468">
        <f ca="1">SUMIF(IF(MasterSheet_f_FP_CfgGroup1R3_VS,ProgramudgifterC!$H:$H,'Drift - fremtidig uden projektC'!$H:$H),OFFSET(Businesscasen_f_BCM_subcat6b_Table1_start,ROW()-ROW(Businesscasen_f_BCM_subcat6b_Table1_start),0),IF(MasterSheet_f_FP_CfgGroup1R3_VS,IF(MasterSheet_f_FP_CfgGroup2R2_VS,ProgramudgifterC!$U:$U,ProgramudgifterC!$S:$S),IF(MasterSheet_f_FP_CfgGroup2R2_VS,'Drift - fremtidig uden projektC'!$U:$U,'Drift - fremtidig uden projektC'!$S:$S)))+SUMIF(IF(MasterSheet_f_FP_CfgGroup1R3_VS,ProgramudgifterC!$H:$H,'Drift - fremtidig uden projektC'!$H:$H),OFFSET(Businesscasen_f_BCM_subcat6b_Table1_start,ROW()-ROW(Businesscasen_f_BCM_subcat6b_Table1_start),0),IF(MasterSheet_f_FP_CfgGroup1R3_VS,IF(MasterSheet_f_FP_CfgGroup2R2_VS,ProgramudgifterC!$V:$V,ProgramudgifterC!$T:$T),IF(MasterSheet_f_FP_CfgGroup2R2_VS,'Drift - fremtidig uden projektC'!$V:$V,'Drift - fremtidig uden projektC'!$T:$T)))/1000</f>
        <v>0</v>
      </c>
      <c r="E98" s="469"/>
      <c r="F98" s="470">
        <f ca="1">(SUMIF(IF(MasterSheet_f_FP_CfgGroup1R3_VS,ProgramudgifterC!$H:$H,'Drift - med projektC'!$H:$H),OFFSET(Businesscasen_f_BCM_subcat6b_Table1_start,ROW()-ROW(Businesscasen_f_BCM_subcat6b_Table1_start),0),IF(MasterSheet_f_FP_CfgGroup1R3_VS,IF(MasterSheet_f_FP_CfgGroup2R2_VS,ProgramudgifterC!$U:$U,ProgramudgifterC!$S:$S),IF(MasterSheet_f_FP_CfgGroup2R2_VS,'Drift - med projektC'!$U:$U,'Drift - med projektC'!$S:$S)))+SUMIF(IF(MasterSheet_f_FP_CfgGroup1R3_VS,ProgramudgifterC!$H:$H,'Drift - med projektC'!$H:$H),OFFSET(Businesscasen_f_BCM_subcat6b_Table1_start,ROW()-ROW(Businesscasen_f_BCM_subcat6b_Table1_start),0),IF(MasterSheet_f_FP_CfgGroup1R3_VS,IF(MasterSheet_f_FP_CfgGroup2R2_VS,ProgramudgifterC!$V:$V,ProgramudgifterC!$T:$T),IF(MasterSheet_f_FP_CfgGroup2R2_VS,'Drift - med projektC'!$V:$V,'Drift - med projektC'!$T:$T))))/1000</f>
        <v>0</v>
      </c>
      <c r="G98" s="471"/>
      <c r="H98" s="124"/>
      <c r="I98" s="124"/>
      <c r="J98" s="124"/>
      <c r="K98" s="93"/>
    </row>
    <row r="99" spans="2:19" ht="14.25" customHeight="1" x14ac:dyDescent="0.25">
      <c r="B99" s="137" t="s">
        <v>1194</v>
      </c>
      <c r="C99" s="229">
        <f ca="1">(SUMIF(IF(MasterSheet_f_FP_CfgGroup1R3_VS,ProgramudgifterC!$H:$H,ProjektudgifterC!$H:$H),OFFSET(Businesscasen_f_BCM_subcat6b_Table1_start,ROW()-ROW(Businesscasen_f_BCM_subcat6b_Table1_start),0),IF(MasterSheet_f_FP_CfgGroup1R3_VS,IF(MasterSheet_f_FP_CfgGroup2R2_VS,ProgramudgifterC!$U:$U,ProgramudgifterC!$S:$S),IF(MasterSheet_f_FP_CfgGroup2R2_VS,ProjektudgifterC!$U:$U,ProjektudgifterC!$S:$S)))+SUMIF(IF(MasterSheet_f_FP_CfgGroup1R3_VS,ProgramudgifterC!$H:$H,ProjektudgifterC!$H:$H),OFFSET(Businesscasen_f_BCM_subcat6b_Table1_start,ROW()-ROW(Businesscasen_f_BCM_subcat6b_Table1_start),0),IF(MasterSheet_f_FP_CfgGroup1R3_VS,IF(MasterSheet_f_FP_CfgGroup2R2_VS,ProgramudgifterC!$V:$V,ProgramudgifterC!$T:$T),IF(MasterSheet_f_FP_CfgGroup2R2_VS,ProjektudgifterC!$V:$V,ProjektudgifterC!$T:$T))))/1000</f>
        <v>0</v>
      </c>
      <c r="D99" s="457">
        <f ca="1">SUMIF(IF(MasterSheet_f_FP_CfgGroup1R3_VS,ProgramudgifterC!$H:$H,'Drift - fremtidig uden projektC'!$H:$H),OFFSET(Businesscasen_f_BCM_subcat6b_Table1_start,ROW()-ROW(Businesscasen_f_BCM_subcat6b_Table1_start),0),IF(MasterSheet_f_FP_CfgGroup1R3_VS,IF(MasterSheet_f_FP_CfgGroup2R2_VS,ProgramudgifterC!$U:$U,ProgramudgifterC!$S:$S),IF(MasterSheet_f_FP_CfgGroup2R2_VS,'Drift - fremtidig uden projektC'!$U:$U,'Drift - fremtidig uden projektC'!$S:$S)))+SUMIF(IF(MasterSheet_f_FP_CfgGroup1R3_VS,ProgramudgifterC!$H:$H,'Drift - fremtidig uden projektC'!$H:$H),OFFSET(Businesscasen_f_BCM_subcat6b_Table1_start,ROW()-ROW(Businesscasen_f_BCM_subcat6b_Table1_start),0),IF(MasterSheet_f_FP_CfgGroup1R3_VS,IF(MasterSheet_f_FP_CfgGroup2R2_VS,ProgramudgifterC!$V:$V,ProgramudgifterC!$T:$T),IF(MasterSheet_f_FP_CfgGroup2R2_VS,'Drift - fremtidig uden projektC'!$V:$V,'Drift - fremtidig uden projektC'!$T:$T)))/1000</f>
        <v>0</v>
      </c>
      <c r="E99" s="458"/>
      <c r="F99" s="459">
        <f ca="1">(SUMIF(IF(MasterSheet_f_FP_CfgGroup1R3_VS,ProgramudgifterC!$H:$H,'Drift - med projektC'!$H:$H),OFFSET(Businesscasen_f_BCM_subcat6b_Table1_start,ROW()-ROW(Businesscasen_f_BCM_subcat6b_Table1_start),0),IF(MasterSheet_f_FP_CfgGroup1R3_VS,IF(MasterSheet_f_FP_CfgGroup2R2_VS,ProgramudgifterC!$U:$U,ProgramudgifterC!$S:$S),IF(MasterSheet_f_FP_CfgGroup2R2_VS,'Drift - med projektC'!$U:$U,'Drift - med projektC'!$S:$S)))+SUMIF(IF(MasterSheet_f_FP_CfgGroup1R3_VS,ProgramudgifterC!$H:$H,'Drift - med projektC'!$H:$H),OFFSET(Businesscasen_f_BCM_subcat6b_Table1_start,ROW()-ROW(Businesscasen_f_BCM_subcat6b_Table1_start),0),IF(MasterSheet_f_FP_CfgGroup1R3_VS,IF(MasterSheet_f_FP_CfgGroup2R2_VS,ProgramudgifterC!$V:$V,ProgramudgifterC!$T:$T),IF(MasterSheet_f_FP_CfgGroup2R2_VS,'Drift - med projektC'!$V:$V,'Drift - med projektC'!$T:$T))))/1000</f>
        <v>0</v>
      </c>
      <c r="G99" s="460"/>
      <c r="H99" s="124"/>
      <c r="I99" s="124"/>
      <c r="J99" s="124"/>
      <c r="K99" s="93"/>
    </row>
    <row r="100" spans="2:19" ht="14.25" customHeight="1" x14ac:dyDescent="0.25">
      <c r="B100" s="137" t="s">
        <v>1195</v>
      </c>
      <c r="C100" s="229">
        <f ca="1">(SUMIF(IF(MasterSheet_f_FP_CfgGroup1R3_VS,ProgramudgifterC!$H:$H,ProjektudgifterC!$H:$H),OFFSET(Businesscasen_f_BCM_subcat6b_Table1_start,ROW()-ROW(Businesscasen_f_BCM_subcat6b_Table1_start),0),IF(MasterSheet_f_FP_CfgGroup1R3_VS,IF(MasterSheet_f_FP_CfgGroup2R2_VS,ProgramudgifterC!$U:$U,ProgramudgifterC!$S:$S),IF(MasterSheet_f_FP_CfgGroup2R2_VS,ProjektudgifterC!$U:$U,ProjektudgifterC!$S:$S)))+SUMIF(IF(MasterSheet_f_FP_CfgGroup1R3_VS,ProgramudgifterC!$H:$H,ProjektudgifterC!$H:$H),OFFSET(Businesscasen_f_BCM_subcat6b_Table1_start,ROW()-ROW(Businesscasen_f_BCM_subcat6b_Table1_start),0),IF(MasterSheet_f_FP_CfgGroup1R3_VS,IF(MasterSheet_f_FP_CfgGroup2R2_VS,ProgramudgifterC!$V:$V,ProgramudgifterC!$T:$T),IF(MasterSheet_f_FP_CfgGroup2R2_VS,ProjektudgifterC!$V:$V,ProjektudgifterC!$T:$T))))/1000</f>
        <v>0</v>
      </c>
      <c r="D100" s="457">
        <f ca="1">SUMIF(IF(MasterSheet_f_FP_CfgGroup1R3_VS,ProgramudgifterC!$H:$H,'Drift - fremtidig uden projektC'!$H:$H),OFFSET(Businesscasen_f_BCM_subcat6b_Table1_start,ROW()-ROW(Businesscasen_f_BCM_subcat6b_Table1_start),0),IF(MasterSheet_f_FP_CfgGroup1R3_VS,IF(MasterSheet_f_FP_CfgGroup2R2_VS,ProgramudgifterC!$U:$U,ProgramudgifterC!$S:$S),IF(MasterSheet_f_FP_CfgGroup2R2_VS,'Drift - fremtidig uden projektC'!$U:$U,'Drift - fremtidig uden projektC'!$S:$S)))+SUMIF(IF(MasterSheet_f_FP_CfgGroup1R3_VS,ProgramudgifterC!$H:$H,'Drift - fremtidig uden projektC'!$H:$H),OFFSET(Businesscasen_f_BCM_subcat6b_Table1_start,ROW()-ROW(Businesscasen_f_BCM_subcat6b_Table1_start),0),IF(MasterSheet_f_FP_CfgGroup1R3_VS,IF(MasterSheet_f_FP_CfgGroup2R2_VS,ProgramudgifterC!$V:$V,ProgramudgifterC!$T:$T),IF(MasterSheet_f_FP_CfgGroup2R2_VS,'Drift - fremtidig uden projektC'!$V:$V,'Drift - fremtidig uden projektC'!$T:$T)))/1000</f>
        <v>0</v>
      </c>
      <c r="E100" s="458"/>
      <c r="F100" s="459">
        <f ca="1">(SUMIF(IF(MasterSheet_f_FP_CfgGroup1R3_VS,ProgramudgifterC!$H:$H,'Drift - med projektC'!$H:$H),OFFSET(Businesscasen_f_BCM_subcat6b_Table1_start,ROW()-ROW(Businesscasen_f_BCM_subcat6b_Table1_start),0),IF(MasterSheet_f_FP_CfgGroup1R3_VS,IF(MasterSheet_f_FP_CfgGroup2R2_VS,ProgramudgifterC!$U:$U,ProgramudgifterC!$S:$S),IF(MasterSheet_f_FP_CfgGroup2R2_VS,'Drift - med projektC'!$U:$U,'Drift - med projektC'!$S:$S)))+SUMIF(IF(MasterSheet_f_FP_CfgGroup1R3_VS,ProgramudgifterC!$H:$H,'Drift - med projektC'!$H:$H),OFFSET(Businesscasen_f_BCM_subcat6b_Table1_start,ROW()-ROW(Businesscasen_f_BCM_subcat6b_Table1_start),0),IF(MasterSheet_f_FP_CfgGroup1R3_VS,IF(MasterSheet_f_FP_CfgGroup2R2_VS,ProgramudgifterC!$V:$V,ProgramudgifterC!$T:$T),IF(MasterSheet_f_FP_CfgGroup2R2_VS,'Drift - med projektC'!$V:$V,'Drift - med projektC'!$T:$T))))/1000</f>
        <v>0</v>
      </c>
      <c r="G100" s="460"/>
      <c r="H100" s="124"/>
      <c r="I100" s="124"/>
      <c r="J100" s="124"/>
      <c r="K100" s="93"/>
    </row>
    <row r="101" spans="2:19" ht="14.25" customHeight="1" x14ac:dyDescent="0.25">
      <c r="B101" s="137" t="s">
        <v>1196</v>
      </c>
      <c r="C101" s="229">
        <f ca="1">(SUMIF(IF(MasterSheet_f_FP_CfgGroup1R3_VS,ProgramudgifterC!$H:$H,ProjektudgifterC!$H:$H),OFFSET(Businesscasen_f_BCM_subcat6b_Table1_start,ROW()-ROW(Businesscasen_f_BCM_subcat6b_Table1_start),0),IF(MasterSheet_f_FP_CfgGroup1R3_VS,IF(MasterSheet_f_FP_CfgGroup2R2_VS,ProgramudgifterC!$U:$U,ProgramudgifterC!$S:$S),IF(MasterSheet_f_FP_CfgGroup2R2_VS,ProjektudgifterC!$U:$U,ProjektudgifterC!$S:$S)))+SUMIF(IF(MasterSheet_f_FP_CfgGroup1R3_VS,ProgramudgifterC!$H:$H,ProjektudgifterC!$H:$H),OFFSET(Businesscasen_f_BCM_subcat6b_Table1_start,ROW()-ROW(Businesscasen_f_BCM_subcat6b_Table1_start),0),IF(MasterSheet_f_FP_CfgGroup1R3_VS,IF(MasterSheet_f_FP_CfgGroup2R2_VS,ProgramudgifterC!$V:$V,ProgramudgifterC!$T:$T),IF(MasterSheet_f_FP_CfgGroup2R2_VS,ProjektudgifterC!$V:$V,ProjektudgifterC!$T:$T))))/1000</f>
        <v>0</v>
      </c>
      <c r="D101" s="457">
        <f ca="1">SUMIF(IF(MasterSheet_f_FP_CfgGroup1R3_VS,ProgramudgifterC!$H:$H,'Drift - fremtidig uden projektC'!$H:$H),OFFSET(Businesscasen_f_BCM_subcat6b_Table1_start,ROW()-ROW(Businesscasen_f_BCM_subcat6b_Table1_start),0),IF(MasterSheet_f_FP_CfgGroup1R3_VS,IF(MasterSheet_f_FP_CfgGroup2R2_VS,ProgramudgifterC!$U:$U,ProgramudgifterC!$S:$S),IF(MasterSheet_f_FP_CfgGroup2R2_VS,'Drift - fremtidig uden projektC'!$U:$U,'Drift - fremtidig uden projektC'!$S:$S)))+SUMIF(IF(MasterSheet_f_FP_CfgGroup1R3_VS,ProgramudgifterC!$H:$H,'Drift - fremtidig uden projektC'!$H:$H),OFFSET(Businesscasen_f_BCM_subcat6b_Table1_start,ROW()-ROW(Businesscasen_f_BCM_subcat6b_Table1_start),0),IF(MasterSheet_f_FP_CfgGroup1R3_VS,IF(MasterSheet_f_FP_CfgGroup2R2_VS,ProgramudgifterC!$V:$V,ProgramudgifterC!$T:$T),IF(MasterSheet_f_FP_CfgGroup2R2_VS,'Drift - fremtidig uden projektC'!$V:$V,'Drift - fremtidig uden projektC'!$T:$T)))/1000</f>
        <v>0</v>
      </c>
      <c r="E101" s="458"/>
      <c r="F101" s="459">
        <f ca="1">(SUMIF(IF(MasterSheet_f_FP_CfgGroup1R3_VS,ProgramudgifterC!$H:$H,'Drift - med projektC'!$H:$H),OFFSET(Businesscasen_f_BCM_subcat6b_Table1_start,ROW()-ROW(Businesscasen_f_BCM_subcat6b_Table1_start),0),IF(MasterSheet_f_FP_CfgGroup1R3_VS,IF(MasterSheet_f_FP_CfgGroup2R2_VS,ProgramudgifterC!$U:$U,ProgramudgifterC!$S:$S),IF(MasterSheet_f_FP_CfgGroup2R2_VS,'Drift - med projektC'!$U:$U,'Drift - med projektC'!$S:$S)))+SUMIF(IF(MasterSheet_f_FP_CfgGroup1R3_VS,ProgramudgifterC!$H:$H,'Drift - med projektC'!$H:$H),OFFSET(Businesscasen_f_BCM_subcat6b_Table1_start,ROW()-ROW(Businesscasen_f_BCM_subcat6b_Table1_start),0),IF(MasterSheet_f_FP_CfgGroup1R3_VS,IF(MasterSheet_f_FP_CfgGroup2R2_VS,ProgramudgifterC!$V:$V,ProgramudgifterC!$T:$T),IF(MasterSheet_f_FP_CfgGroup2R2_VS,'Drift - med projektC'!$V:$V,'Drift - med projektC'!$T:$T))))/1000</f>
        <v>0</v>
      </c>
      <c r="G101" s="460"/>
      <c r="H101" s="124"/>
      <c r="I101" s="124"/>
      <c r="J101" s="124"/>
      <c r="K101" s="93"/>
    </row>
    <row r="102" spans="2:19" ht="14.25" customHeight="1" x14ac:dyDescent="0.25">
      <c r="B102" s="137" t="s">
        <v>1197</v>
      </c>
      <c r="C102" s="229">
        <f ca="1">(SUMIF(IF(MasterSheet_f_FP_CfgGroup1R3_VS,ProgramudgifterC!$H:$H,ProjektudgifterC!$H:$H),OFFSET(Businesscasen_f_BCM_subcat6b_Table1_start,ROW()-ROW(Businesscasen_f_BCM_subcat6b_Table1_start),0),IF(MasterSheet_f_FP_CfgGroup1R3_VS,IF(MasterSheet_f_FP_CfgGroup2R2_VS,ProgramudgifterC!$U:$U,ProgramudgifterC!$S:$S),IF(MasterSheet_f_FP_CfgGroup2R2_VS,ProjektudgifterC!$U:$U,ProjektudgifterC!$S:$S)))+SUMIF(IF(MasterSheet_f_FP_CfgGroup1R3_VS,ProgramudgifterC!$H:$H,ProjektudgifterC!$H:$H),OFFSET(Businesscasen_f_BCM_subcat6b_Table1_start,ROW()-ROW(Businesscasen_f_BCM_subcat6b_Table1_start),0),IF(MasterSheet_f_FP_CfgGroup1R3_VS,IF(MasterSheet_f_FP_CfgGroup2R2_VS,ProgramudgifterC!$V:$V,ProgramudgifterC!$T:$T),IF(MasterSheet_f_FP_CfgGroup2R2_VS,ProjektudgifterC!$V:$V,ProjektudgifterC!$T:$T))))/1000</f>
        <v>0</v>
      </c>
      <c r="D102" s="457">
        <f ca="1">SUMIF(IF(MasterSheet_f_FP_CfgGroup1R3_VS,ProgramudgifterC!$H:$H,'Drift - fremtidig uden projektC'!$H:$H),OFFSET(Businesscasen_f_BCM_subcat6b_Table1_start,ROW()-ROW(Businesscasen_f_BCM_subcat6b_Table1_start),0),IF(MasterSheet_f_FP_CfgGroup1R3_VS,IF(MasterSheet_f_FP_CfgGroup2R2_VS,ProgramudgifterC!$U:$U,ProgramudgifterC!$S:$S),IF(MasterSheet_f_FP_CfgGroup2R2_VS,'Drift - fremtidig uden projektC'!$U:$U,'Drift - fremtidig uden projektC'!$S:$S)))+SUMIF(IF(MasterSheet_f_FP_CfgGroup1R3_VS,ProgramudgifterC!$H:$H,'Drift - fremtidig uden projektC'!$H:$H),OFFSET(Businesscasen_f_BCM_subcat6b_Table1_start,ROW()-ROW(Businesscasen_f_BCM_subcat6b_Table1_start),0),IF(MasterSheet_f_FP_CfgGroup1R3_VS,IF(MasterSheet_f_FP_CfgGroup2R2_VS,ProgramudgifterC!$V:$V,ProgramudgifterC!$T:$T),IF(MasterSheet_f_FP_CfgGroup2R2_VS,'Drift - fremtidig uden projektC'!$V:$V,'Drift - fremtidig uden projektC'!$T:$T)))/1000</f>
        <v>0</v>
      </c>
      <c r="E102" s="458"/>
      <c r="F102" s="459">
        <f ca="1">(SUMIF(IF(MasterSheet_f_FP_CfgGroup1R3_VS,ProgramudgifterC!$H:$H,'Drift - med projektC'!$H:$H),OFFSET(Businesscasen_f_BCM_subcat6b_Table1_start,ROW()-ROW(Businesscasen_f_BCM_subcat6b_Table1_start),0),IF(MasterSheet_f_FP_CfgGroup1R3_VS,IF(MasterSheet_f_FP_CfgGroup2R2_VS,ProgramudgifterC!$U:$U,ProgramudgifterC!$S:$S),IF(MasterSheet_f_FP_CfgGroup2R2_VS,'Drift - med projektC'!$U:$U,'Drift - med projektC'!$S:$S)))+SUMIF(IF(MasterSheet_f_FP_CfgGroup1R3_VS,ProgramudgifterC!$H:$H,'Drift - med projektC'!$H:$H),OFFSET(Businesscasen_f_BCM_subcat6b_Table1_start,ROW()-ROW(Businesscasen_f_BCM_subcat6b_Table1_start),0),IF(MasterSheet_f_FP_CfgGroup1R3_VS,IF(MasterSheet_f_FP_CfgGroup2R2_VS,ProgramudgifterC!$V:$V,ProgramudgifterC!$T:$T),IF(MasterSheet_f_FP_CfgGroup2R2_VS,'Drift - med projektC'!$V:$V,'Drift - med projektC'!$T:$T))))/1000</f>
        <v>0</v>
      </c>
      <c r="G102" s="460"/>
      <c r="H102" s="124"/>
      <c r="I102" s="124"/>
      <c r="J102" s="124"/>
      <c r="K102" s="93"/>
    </row>
    <row r="103" spans="2:19" ht="14.25" customHeight="1" x14ac:dyDescent="0.25">
      <c r="B103" s="137" t="s">
        <v>434</v>
      </c>
      <c r="C103" s="230">
        <f>SUMIF(IF(MasterSheet_f_FP_CfgGroup1R3_VS,ProgramudgifterC!$F:$F,ProjektudgifterC!$F:$F),"",IF(MasterSheet_f_FP_CfgGroup1R3_VS,IF(MasterSheet_f_FP_CfgGroup2R2_VS,ProgramudgifterC!$U:$U,ProgramudgifterC!$S:$S),IF(MasterSheet_f_FP_CfgGroup2R2_VS,ProjektudgifterC!$U:$U,ProjektudgifterC!$S:$S)))/1000</f>
        <v>0</v>
      </c>
      <c r="D103" s="478">
        <f>SUMIF('Drift - fremtidig uden projektC'!$F:$F,"",IF(MasterSheet_f_FP_CfgGroup2R2_VS,'Drift - fremtidig uden projektC'!$U:$U,'Drift - fremtidig uden projektC'!$S:$S))/1000</f>
        <v>0</v>
      </c>
      <c r="E103" s="479"/>
      <c r="F103" s="459">
        <f>SUMIF('Drift - med projektC'!$F:$F,"",IF(MasterSheet_f_FP_CfgGroup2R2_VS,'Drift - med projektC'!$U:$U,'Drift - med projektC'!$S:$S))/1000</f>
        <v>0</v>
      </c>
      <c r="G103" s="460"/>
    </row>
    <row r="104" spans="2:19" ht="14.25" customHeight="1" thickBot="1" x14ac:dyDescent="0.3">
      <c r="B104" s="145" t="s">
        <v>435</v>
      </c>
      <c r="C104" s="231">
        <f ca="1">SUM(C98:C103)</f>
        <v>0</v>
      </c>
      <c r="D104" s="472">
        <f ca="1">SUM(D98:E103)</f>
        <v>0</v>
      </c>
      <c r="E104" s="473"/>
      <c r="F104" s="472">
        <f t="shared" ref="F104" ca="1" si="18">SUM(C104:E104)</f>
        <v>0</v>
      </c>
      <c r="G104" s="474"/>
    </row>
    <row r="107" spans="2:19" ht="29.1" hidden="1" customHeight="1" x14ac:dyDescent="0.25"/>
    <row r="108" spans="2:19" ht="14.25" hidden="1" customHeight="1" x14ac:dyDescent="0.25"/>
    <row r="109" spans="2:19" ht="51.95" hidden="1" customHeight="1" x14ac:dyDescent="0.25">
      <c r="B109" s="372" t="s">
        <v>437</v>
      </c>
      <c r="C109" s="372"/>
      <c r="D109" s="372"/>
      <c r="E109" s="372"/>
      <c r="J109" s="372" t="s">
        <v>438</v>
      </c>
      <c r="K109" s="372"/>
      <c r="L109" s="372"/>
      <c r="M109" s="372"/>
      <c r="N109" s="372"/>
      <c r="O109" s="372"/>
      <c r="P109" s="372"/>
      <c r="Q109" s="372"/>
      <c r="R109" s="372"/>
      <c r="S109" s="372"/>
    </row>
    <row r="110" spans="2:19" ht="14.25" hidden="1" customHeight="1" x14ac:dyDescent="0.25">
      <c r="B110" s="83"/>
      <c r="C110" s="83"/>
      <c r="D110" s="83"/>
      <c r="E110" s="83"/>
      <c r="J110" s="83"/>
      <c r="K110" s="83"/>
      <c r="L110" s="83"/>
      <c r="M110" s="83"/>
      <c r="N110" s="83"/>
      <c r="O110" s="83"/>
      <c r="P110" s="83"/>
      <c r="Q110" s="83"/>
      <c r="R110" s="83"/>
      <c r="S110" s="83"/>
    </row>
    <row r="111" spans="2:19" ht="14.25" hidden="1" customHeight="1" x14ac:dyDescent="0.25">
      <c r="B111" s="247" t="e">
        <f ca="1">RiskResultsGraph($D$23,B111:E127,0,FALSE)</f>
        <v>#NAME?</v>
      </c>
      <c r="C111" s="247"/>
      <c r="D111" s="247"/>
      <c r="E111" s="247"/>
      <c r="J111" s="247" t="e">
        <f ca="1">RiskResultsGraph($D$22,J111:S129,0,FALSE)</f>
        <v>#NAME?</v>
      </c>
      <c r="K111" s="247"/>
      <c r="L111" s="247"/>
      <c r="M111" s="247"/>
      <c r="N111" s="247"/>
      <c r="O111" s="247"/>
      <c r="P111" s="247"/>
      <c r="Q111" s="247"/>
      <c r="R111" s="247"/>
      <c r="S111" s="247"/>
    </row>
    <row r="112" spans="2:19" ht="14.25" hidden="1" customHeight="1" x14ac:dyDescent="0.25">
      <c r="B112" s="247"/>
      <c r="C112" s="247"/>
      <c r="D112" s="247"/>
      <c r="E112" s="247"/>
      <c r="J112" s="247"/>
      <c r="K112" s="247"/>
      <c r="L112" s="247"/>
      <c r="M112" s="247"/>
      <c r="N112" s="247"/>
      <c r="O112" s="247"/>
      <c r="P112" s="247"/>
      <c r="Q112" s="247"/>
      <c r="R112" s="247"/>
      <c r="S112" s="247"/>
    </row>
    <row r="113" spans="2:19" ht="14.25" hidden="1" customHeight="1" x14ac:dyDescent="0.25">
      <c r="B113" s="247"/>
      <c r="C113" s="247"/>
      <c r="D113" s="247"/>
      <c r="E113" s="247"/>
      <c r="J113" s="247"/>
      <c r="K113" s="247"/>
      <c r="L113" s="247"/>
      <c r="M113" s="247"/>
      <c r="N113" s="247"/>
      <c r="O113" s="247"/>
      <c r="P113" s="247"/>
      <c r="Q113" s="247"/>
      <c r="R113" s="247"/>
      <c r="S113" s="247"/>
    </row>
    <row r="114" spans="2:19" ht="14.25" hidden="1" customHeight="1" x14ac:dyDescent="0.25">
      <c r="B114" s="247"/>
      <c r="C114" s="247"/>
      <c r="D114" s="247"/>
      <c r="E114" s="247"/>
      <c r="J114" s="247"/>
      <c r="K114" s="247"/>
      <c r="L114" s="247"/>
      <c r="M114" s="247"/>
      <c r="N114" s="247"/>
      <c r="O114" s="247"/>
      <c r="P114" s="247"/>
      <c r="Q114" s="247"/>
      <c r="R114" s="247"/>
      <c r="S114" s="247"/>
    </row>
    <row r="115" spans="2:19" ht="14.25" hidden="1" customHeight="1" x14ac:dyDescent="0.25">
      <c r="B115" s="247"/>
      <c r="C115" s="247"/>
      <c r="D115" s="247"/>
      <c r="E115" s="247"/>
      <c r="J115" s="247"/>
      <c r="K115" s="247"/>
      <c r="L115" s="247"/>
      <c r="M115" s="247"/>
      <c r="N115" s="247"/>
      <c r="O115" s="247"/>
      <c r="P115" s="247"/>
      <c r="Q115" s="247"/>
      <c r="R115" s="247"/>
      <c r="S115" s="247"/>
    </row>
    <row r="116" spans="2:19" ht="14.25" hidden="1" customHeight="1" x14ac:dyDescent="0.25">
      <c r="B116" s="247"/>
      <c r="C116" s="247"/>
      <c r="D116" s="247"/>
      <c r="E116" s="247"/>
      <c r="J116" s="247"/>
      <c r="K116" s="247"/>
      <c r="L116" s="247"/>
      <c r="M116" s="247"/>
      <c r="N116" s="247"/>
      <c r="O116" s="247"/>
      <c r="P116" s="247"/>
      <c r="Q116" s="247"/>
      <c r="R116" s="247"/>
      <c r="S116" s="247"/>
    </row>
    <row r="117" spans="2:19" ht="14.25" hidden="1" customHeight="1" x14ac:dyDescent="0.25">
      <c r="B117" s="247"/>
      <c r="C117" s="247"/>
      <c r="D117" s="247"/>
      <c r="E117" s="247"/>
      <c r="J117" s="247"/>
      <c r="K117" s="247"/>
      <c r="L117" s="247"/>
      <c r="M117" s="247"/>
      <c r="N117" s="247"/>
      <c r="O117" s="247"/>
      <c r="P117" s="247"/>
      <c r="Q117" s="247"/>
      <c r="R117" s="247"/>
      <c r="S117" s="247"/>
    </row>
    <row r="118" spans="2:19" ht="14.25" hidden="1" customHeight="1" x14ac:dyDescent="0.25">
      <c r="B118" s="247"/>
      <c r="C118" s="247"/>
      <c r="D118" s="247"/>
      <c r="E118" s="247"/>
      <c r="J118" s="247"/>
      <c r="K118" s="247"/>
      <c r="L118" s="247"/>
      <c r="M118" s="247"/>
      <c r="N118" s="247"/>
      <c r="O118" s="247"/>
      <c r="P118" s="247"/>
      <c r="Q118" s="247"/>
      <c r="R118" s="247"/>
      <c r="S118" s="247"/>
    </row>
    <row r="119" spans="2:19" ht="14.25" hidden="1" customHeight="1" x14ac:dyDescent="0.25">
      <c r="B119" s="247"/>
      <c r="C119" s="247"/>
      <c r="D119" s="247"/>
      <c r="E119" s="247"/>
      <c r="J119" s="247"/>
      <c r="K119" s="247"/>
      <c r="L119" s="247"/>
      <c r="M119" s="247"/>
      <c r="N119" s="247"/>
      <c r="O119" s="247"/>
      <c r="P119" s="247"/>
      <c r="Q119" s="247"/>
      <c r="R119" s="247"/>
      <c r="S119" s="247"/>
    </row>
    <row r="120" spans="2:19" ht="14.25" hidden="1" customHeight="1" x14ac:dyDescent="0.25">
      <c r="B120" s="247"/>
      <c r="C120" s="247"/>
      <c r="D120" s="247"/>
      <c r="E120" s="247"/>
      <c r="J120" s="247"/>
      <c r="K120" s="247"/>
      <c r="L120" s="247"/>
      <c r="M120" s="247"/>
      <c r="N120" s="247"/>
      <c r="O120" s="247"/>
      <c r="P120" s="247"/>
      <c r="Q120" s="247"/>
      <c r="R120" s="247"/>
      <c r="S120" s="247"/>
    </row>
    <row r="121" spans="2:19" ht="14.25" hidden="1" customHeight="1" x14ac:dyDescent="0.25">
      <c r="B121" s="247"/>
      <c r="C121" s="247"/>
      <c r="D121" s="247"/>
      <c r="E121" s="247"/>
      <c r="J121" s="247"/>
      <c r="K121" s="247"/>
      <c r="L121" s="247"/>
      <c r="M121" s="247"/>
      <c r="N121" s="247"/>
      <c r="O121" s="247"/>
      <c r="P121" s="247"/>
      <c r="Q121" s="247"/>
      <c r="R121" s="247"/>
      <c r="S121" s="247"/>
    </row>
    <row r="122" spans="2:19" ht="14.25" hidden="1" customHeight="1" x14ac:dyDescent="0.25">
      <c r="B122" s="247"/>
      <c r="C122" s="247"/>
      <c r="D122" s="247"/>
      <c r="E122" s="247"/>
      <c r="J122" s="247"/>
      <c r="K122" s="247"/>
      <c r="L122" s="247"/>
      <c r="M122" s="247"/>
      <c r="N122" s="247"/>
      <c r="O122" s="247"/>
      <c r="P122" s="247"/>
      <c r="Q122" s="247"/>
      <c r="R122" s="247"/>
      <c r="S122" s="247"/>
    </row>
    <row r="123" spans="2:19" ht="14.25" hidden="1" customHeight="1" x14ac:dyDescent="0.25">
      <c r="B123" s="247"/>
      <c r="C123" s="247"/>
      <c r="D123" s="247"/>
      <c r="E123" s="247"/>
      <c r="J123" s="247"/>
      <c r="K123" s="247"/>
      <c r="L123" s="247"/>
      <c r="M123" s="247"/>
      <c r="N123" s="247"/>
      <c r="O123" s="247"/>
      <c r="P123" s="247"/>
      <c r="Q123" s="247"/>
      <c r="R123" s="247"/>
      <c r="S123" s="247"/>
    </row>
    <row r="124" spans="2:19" ht="14.25" hidden="1" customHeight="1" x14ac:dyDescent="0.25">
      <c r="B124" s="247"/>
      <c r="C124" s="247"/>
      <c r="D124" s="247"/>
      <c r="E124" s="247"/>
      <c r="J124" s="247"/>
      <c r="K124" s="247"/>
      <c r="L124" s="247"/>
      <c r="M124" s="247"/>
      <c r="N124" s="247"/>
      <c r="O124" s="247"/>
      <c r="P124" s="247"/>
      <c r="Q124" s="247"/>
      <c r="R124" s="247"/>
      <c r="S124" s="247"/>
    </row>
    <row r="125" spans="2:19" ht="14.25" hidden="1" customHeight="1" x14ac:dyDescent="0.25">
      <c r="B125" s="247"/>
      <c r="C125" s="247"/>
      <c r="D125" s="247"/>
      <c r="E125" s="247"/>
      <c r="J125" s="247"/>
      <c r="K125" s="247"/>
      <c r="L125" s="247"/>
      <c r="M125" s="247"/>
      <c r="N125" s="247"/>
      <c r="O125" s="247"/>
      <c r="P125" s="247"/>
      <c r="Q125" s="247"/>
      <c r="R125" s="247"/>
      <c r="S125" s="247"/>
    </row>
    <row r="126" spans="2:19" ht="14.25" hidden="1" customHeight="1" x14ac:dyDescent="0.25">
      <c r="B126" s="247"/>
      <c r="C126" s="247"/>
      <c r="D126" s="247"/>
      <c r="E126" s="247"/>
      <c r="J126" s="247"/>
      <c r="K126" s="247"/>
      <c r="L126" s="247"/>
      <c r="M126" s="247"/>
      <c r="N126" s="247"/>
      <c r="O126" s="247"/>
      <c r="P126" s="247"/>
      <c r="Q126" s="247"/>
      <c r="R126" s="247"/>
      <c r="S126" s="247"/>
    </row>
    <row r="127" spans="2:19" ht="14.25" hidden="1" customHeight="1" x14ac:dyDescent="0.25">
      <c r="B127" s="247"/>
      <c r="C127" s="247"/>
      <c r="D127" s="247"/>
      <c r="E127" s="247"/>
      <c r="J127" s="247"/>
      <c r="K127" s="247"/>
      <c r="L127" s="247"/>
      <c r="M127" s="247"/>
      <c r="N127" s="247"/>
      <c r="O127" s="247"/>
      <c r="P127" s="247"/>
      <c r="Q127" s="247"/>
      <c r="R127" s="247"/>
      <c r="S127" s="247"/>
    </row>
    <row r="128" spans="2:19" ht="14.25" hidden="1" customHeight="1" x14ac:dyDescent="0.25">
      <c r="B128" s="247"/>
      <c r="C128" s="247"/>
      <c r="D128" s="247"/>
      <c r="E128" s="247"/>
      <c r="J128" s="247"/>
      <c r="K128" s="247"/>
      <c r="L128" s="247"/>
      <c r="M128" s="247"/>
      <c r="N128" s="247"/>
      <c r="O128" s="247"/>
      <c r="P128" s="247"/>
      <c r="Q128" s="247"/>
      <c r="R128" s="247"/>
      <c r="S128" s="247"/>
    </row>
    <row r="129" spans="2:7" ht="14.25" hidden="1" customHeight="1" x14ac:dyDescent="0.25"/>
    <row r="130" spans="2:7" ht="14.25" hidden="1" customHeight="1" x14ac:dyDescent="0.25"/>
    <row r="131" spans="2:7" ht="29.1" customHeight="1" x14ac:dyDescent="0.25"/>
    <row r="133" spans="2:7" ht="51.95" customHeight="1" thickBot="1" x14ac:dyDescent="0.3">
      <c r="B133" s="245" t="s">
        <v>973</v>
      </c>
      <c r="C133" s="154" t="s">
        <v>413</v>
      </c>
      <c r="D133" s="475" t="s">
        <v>414</v>
      </c>
      <c r="E133" s="475"/>
      <c r="F133" s="155">
        <v>2013</v>
      </c>
      <c r="G133" s="155">
        <v>2014</v>
      </c>
    </row>
    <row r="134" spans="2:7" ht="2.1" customHeight="1" x14ac:dyDescent="0.25">
      <c r="B134" s="144"/>
      <c r="C134" s="156"/>
      <c r="D134" s="476"/>
      <c r="E134" s="477"/>
      <c r="F134" s="157"/>
      <c r="G134" s="157"/>
    </row>
    <row r="135" spans="2:7" ht="2.1" customHeight="1" x14ac:dyDescent="0.25">
      <c r="B135" s="137"/>
      <c r="C135" s="136"/>
      <c r="D135" s="489"/>
      <c r="E135" s="492"/>
      <c r="F135" s="158"/>
      <c r="G135" s="158"/>
    </row>
    <row r="136" spans="2:7" ht="14.25" customHeight="1" x14ac:dyDescent="0.25">
      <c r="B136" s="205" t="str">
        <f ca="1">OFFSET(INDIRECT("MasterSheet_f_FP_Udgifts_"&amp;ROWS(B136:INDIRECT("Businesscasen_f_BCM_subcat8_Table1_start",TRUE))-3&amp;"_VS",TRUE),0,35)</f>
        <v>[Udgiftsbærer]</v>
      </c>
      <c r="C136" s="191">
        <f t="shared" ref="C136" ca="1" si="19">SUM(F136:BK136)</f>
        <v>0</v>
      </c>
      <c r="D136" s="489"/>
      <c r="E136" s="493"/>
      <c r="F136" s="189">
        <f ca="1">SUMIFS(IF(MasterSheet_f_FP_CfgGroup1R3_VS,ProgramudgifterC!$N:$N,ProjektudgifterC!$N:$N),IF(MasterSheet_f_FP_CfgGroup1R3_VS,ProgramudgifterC!$D:$D,ProjektudgifterC!$D:$D),OFFSET(Businesscasen_f_BCM_subcat8_Table1_start,ROW()-ROW(Businesscasen_f_BCM_subcat8_Table1_start),0),IF(MasterSheet_f_FP_CfgGroup1R3_VS,ProgramudgifterC!$E:$E,ProjektudgifterC!$E:$E),OFFSET(Businesscasen_f_BCM_subcat8_Table1_start,0,COLUMN()-COLUMN(Businesscasen_f_BCM_subcat8_Table1_start)))/1000</f>
        <v>0</v>
      </c>
      <c r="G136" s="189">
        <f ca="1">SUMIFS(IF(MasterSheet_f_FP_CfgGroup1R3_VS,ProgramudgifterC!$N:$N,ProjektudgifterC!$N:$N),IF(MasterSheet_f_FP_CfgGroup1R3_VS,ProgramudgifterC!$D:$D,ProjektudgifterC!$D:$D),OFFSET(Businesscasen_f_BCM_subcat8_Table1_start,ROW()-ROW(Businesscasen_f_BCM_subcat8_Table1_start),0),IF(MasterSheet_f_FP_CfgGroup1R3_VS,ProgramudgifterC!$E:$E,ProjektudgifterC!$E:$E),OFFSET(Businesscasen_f_BCM_subcat8_Table1_start,0,COLUMN()-COLUMN(Businesscasen_f_BCM_subcat8_Table1_start)))/1000</f>
        <v>0</v>
      </c>
    </row>
    <row r="137" spans="2:7" ht="14.25" customHeight="1" x14ac:dyDescent="0.25">
      <c r="B137" s="133" t="s">
        <v>411</v>
      </c>
      <c r="C137" s="191">
        <f ca="1">SUM(Businesscasen_rng_RiskPool)</f>
        <v>0</v>
      </c>
      <c r="D137" s="494" t="s">
        <v>415</v>
      </c>
      <c r="E137" s="495"/>
      <c r="F137" s="189"/>
      <c r="G137" s="189"/>
    </row>
    <row r="138" spans="2:7" ht="14.25" hidden="1" customHeight="1" x14ac:dyDescent="0.25">
      <c r="B138" s="133" t="s">
        <v>417</v>
      </c>
      <c r="C138" s="191">
        <f ca="1">SUM(Businesscasen_rng_HighRiskPool)</f>
        <v>0</v>
      </c>
      <c r="D138" s="496" t="s">
        <v>415</v>
      </c>
      <c r="E138" s="497"/>
      <c r="F138" s="189"/>
      <c r="G138" s="189"/>
    </row>
    <row r="139" spans="2:7" ht="14.25" customHeight="1" thickBot="1" x14ac:dyDescent="0.3">
      <c r="B139" s="227" t="s">
        <v>418</v>
      </c>
      <c r="C139" s="194">
        <f ca="1">SUM(C134:C138)</f>
        <v>0</v>
      </c>
      <c r="D139" s="498">
        <f t="shared" ref="D139" si="20">SUM(D134:E138)</f>
        <v>0</v>
      </c>
      <c r="E139" s="499"/>
      <c r="F139" s="194">
        <f ca="1">SUM(F134:F138)</f>
        <v>0</v>
      </c>
      <c r="G139" s="194">
        <f t="shared" ref="G139" ca="1" si="21">SUM(G134:G138)</f>
        <v>0</v>
      </c>
    </row>
    <row r="140" spans="2:7" ht="14.25" hidden="1" customHeight="1" x14ac:dyDescent="0.25">
      <c r="B140" s="284"/>
      <c r="C140" s="285"/>
      <c r="D140" s="285"/>
      <c r="E140" s="285"/>
      <c r="F140" s="285"/>
      <c r="G140" s="285"/>
    </row>
    <row r="141" spans="2:7" ht="14.25" hidden="1" customHeight="1" x14ac:dyDescent="0.25">
      <c r="B141" s="134" t="s">
        <v>419</v>
      </c>
      <c r="C141" s="197">
        <f ca="1">SUM(F141:BJ141)</f>
        <v>0</v>
      </c>
      <c r="D141" s="480" t="str">
        <f ca="1">IF(ISERROR(C141/$C$743),"-",C141/$C$743)</f>
        <v>-</v>
      </c>
      <c r="E141" s="481"/>
      <c r="F141" s="197">
        <f ca="1">IFERROR(OFFSET(Businesscasen_f_BCM_subcat14_Table1_start,MATCH("Renteomkostninger (FF4)",OFFSET(Businesscasen_f_BCM_subcat14_Table1_start,0,0,ROWS(Businesscasen_f_BCM_subcat14_Table1_start:Businesscasen_f_BCM_subcat14_Table1_end),1),0)-1,5+MATCH(OFFSET(Businesscasen_f_BCM_subcat8_Table1_start,0,COLUMN()-COLUMN(Businesscasen_f_BCM_subcat8_Table1_start)),OFFSET(Businesscasen_f_BCM_subcat14_Table1_start,0,6,1,50),0)),0)/1000</f>
        <v>0</v>
      </c>
      <c r="G141" s="197">
        <f ca="1">IFERROR(OFFSET(Businesscasen_f_BCM_subcat14_Table1_start,MATCH("Renteomkostninger (FF4)",OFFSET(Businesscasen_f_BCM_subcat14_Table1_start,0,0,ROWS(Businesscasen_f_BCM_subcat14_Table1_start:Businesscasen_f_BCM_subcat14_Table1_end),1),0)-1,5+MATCH(OFFSET(Businesscasen_f_BCM_subcat8_Table1_start,0,COLUMN()-COLUMN(Businesscasen_f_BCM_subcat8_Table1_start)),OFFSET(Businesscasen_f_BCM_subcat14_Table1_start,0,6,1,50),0)),0)/1000</f>
        <v>0</v>
      </c>
    </row>
    <row r="142" spans="2:7" ht="14.25" hidden="1" customHeight="1" x14ac:dyDescent="0.25">
      <c r="B142" s="135" t="s">
        <v>420</v>
      </c>
      <c r="C142" s="198">
        <f ca="1">C141+C139</f>
        <v>0</v>
      </c>
      <c r="D142" s="482" t="s">
        <v>416</v>
      </c>
      <c r="E142" s="483"/>
      <c r="F142" s="198">
        <f ca="1">IFERROR(OFFSET(Businesscasen_f_BCM_subcat14_Table1_start,MATCH("Renteomkostninger (FF4)",OFFSET(Businesscasen_f_BCM_subcat14_Table1_start,0,0,ROWS(Businesscasen_f_BCM_subcat14_Table1_start:Businesscasen_f_BCM_subcat14_Table1_end),1),0)-1,5+MATCH(OFFSET(Businesscasen_f_BCM_subcat8_Table1_start,0,COLUMN()-COLUMN(Businesscasen_f_BCM_subcat8_Table1_start)),OFFSET(Businesscasen_f_BCM_subcat14_Table1_start,0,6,1,50),0)),0)/1000</f>
        <v>0</v>
      </c>
      <c r="G142" s="198">
        <f ca="1">IFERROR(OFFSET(Businesscasen_f_BCM_subcat14_Table1_start,MATCH("Renteomkostninger (FF4)",OFFSET(Businesscasen_f_BCM_subcat14_Table1_start,0,0,ROWS(Businesscasen_f_BCM_subcat14_Table1_start:Businesscasen_f_BCM_subcat14_Table1_end),1),0)-1,5+MATCH(OFFSET(Businesscasen_f_BCM_subcat8_Table1_start,0,COLUMN()-COLUMN(Businesscasen_f_BCM_subcat8_Table1_start)),OFFSET(Businesscasen_f_BCM_subcat14_Table1_start,0,6,1,50),0)),0)/1000</f>
        <v>0</v>
      </c>
    </row>
    <row r="145" spans="2:23" ht="29.1" customHeight="1" x14ac:dyDescent="0.25"/>
    <row r="147" spans="2:23" ht="51.95" customHeight="1" thickBot="1" x14ac:dyDescent="0.3">
      <c r="B147" s="251" t="str">
        <f>"Tabel 1.14 "&amp;IF(MasterSheet_f_FP_CfgGroup1R3_VS,"Program","Projekt") &amp;"udgifter fordelt på interne og eksterne ressourcer"</f>
        <v>Tabel 1.14 Projektudgifter fordelt på interne og eksterne ressourcer</v>
      </c>
      <c r="C147" s="181" t="s">
        <v>413</v>
      </c>
      <c r="D147" s="484" t="s">
        <v>414</v>
      </c>
      <c r="E147" s="485"/>
      <c r="F147" s="283">
        <v>2013</v>
      </c>
      <c r="G147" s="181">
        <v>2014</v>
      </c>
    </row>
    <row r="148" spans="2:23" ht="14.25" customHeight="1" x14ac:dyDescent="0.25">
      <c r="B148" s="286" t="s">
        <v>440</v>
      </c>
      <c r="C148" s="287">
        <f t="shared" ref="C148:C150" ca="1" si="22">SUM(F148:BK148)</f>
        <v>0</v>
      </c>
      <c r="D148" s="486" t="str">
        <f ca="1">IF(ISERROR(C148/C151),"-",C148/C151)</f>
        <v>-</v>
      </c>
      <c r="E148" s="487"/>
      <c r="F148" s="288">
        <f ca="1">(SUMIFS(IF(MasterSheet_f_FP_CfgGroup1R3_VS,ProgramudgifterC!$N:$N,ProjektudgifterC!$N:$N),IF(MasterSheet_f_FP_CfgGroup1R3_VS,ProgramudgifterC!$C:$C,ProjektudgifterC!$C:$C),"Personaleomkostninger",IF(MasterSheet_f_FP_CfgGroup1R3_VS,ProgramudgifterC!$E:$E,ProjektudgifterC!$E:$E),OFFSET(Businesscasen_f_BCM_subcat10_Table1_start,0,COLUMN()-COLUMN(Businesscasen_f_BCM_subcat10_Table1_start)))+SUMIFS(IF(MasterSheet_f_FP_CfgGroup1R3_VS,ProgramudgifterC!$N:$N,ProjektudgifterC!$N:$N),IF(MasterSheet_f_FP_CfgGroup1R3_VS,ProgramudgifterC!$C:$C,ProjektudgifterC!$C:$C),"Personaleomkostninger, der kan aktiveres",IF(MasterSheet_f_FP_CfgGroup1R3_VS,ProgramudgifterC!$E:$E,ProjektudgifterC!$E:$E),OFFSET(Businesscasen_f_BCM_subcat10_Table1_start,0,COLUMN()-COLUMN(Businesscasen_f_BCM_subcat10_Table1_start))))/1000</f>
        <v>0</v>
      </c>
      <c r="G148" s="260">
        <f ca="1">(SUMIFS(IF(MasterSheet_f_FP_CfgGroup1R3_VS,ProgramudgifterC!$N:$N,ProjektudgifterC!$N:$N),IF(MasterSheet_f_FP_CfgGroup1R3_VS,ProgramudgifterC!$C:$C,ProjektudgifterC!$C:$C),"Personaleomkostninger",IF(MasterSheet_f_FP_CfgGroup1R3_VS,ProgramudgifterC!$E:$E,ProjektudgifterC!$E:$E),OFFSET(Businesscasen_f_BCM_subcat10_Table1_start,0,COLUMN()-COLUMN(Businesscasen_f_BCM_subcat10_Table1_start)))+SUMIFS(IF(MasterSheet_f_FP_CfgGroup1R3_VS,ProgramudgifterC!$N:$N,ProjektudgifterC!$N:$N),IF(MasterSheet_f_FP_CfgGroup1R3_VS,ProgramudgifterC!$C:$C,ProjektudgifterC!$C:$C),"Personaleomkostninger, der kan aktiveres",IF(MasterSheet_f_FP_CfgGroup1R3_VS,ProgramudgifterC!$E:$E,ProjektudgifterC!$E:$E),OFFSET(Businesscasen_f_BCM_subcat10_Table1_start,0,COLUMN()-COLUMN(Businesscasen_f_BCM_subcat10_Table1_start))))/1000</f>
        <v>0</v>
      </c>
    </row>
    <row r="149" spans="2:23" ht="14.25" customHeight="1" x14ac:dyDescent="0.25">
      <c r="B149" s="289" t="s">
        <v>441</v>
      </c>
      <c r="C149" s="290">
        <f t="shared" ca="1" si="22"/>
        <v>0</v>
      </c>
      <c r="D149" s="488" t="str">
        <f t="shared" ref="D149:D150" ca="1" si="23">IF(ISERROR(C149/C152),"-",C149/C152)</f>
        <v>-</v>
      </c>
      <c r="E149" s="489"/>
      <c r="F149" s="291">
        <f ca="1">(IF(MasterSheet_f_FP_CfgGroup1R3_VS,SUMIFS(ProgramudgifterC!$N:$N,ProgramudgifterC!$C:$C,"Køb af IT-tjenesteydelser",ProgramudgifterC!$E:$E,OFFSET(Businesscasen_f_BCM_subcat10_Table1_start,0,COLUMN()-COLUMN(Businesscasen_f_BCM_subcat10_Table1_start)))+SUMIFS(ProgramudgifterC!$N:$N,ProgramudgifterC!$C:$C,"Køb af tjenesteydelser i øvrigt",ProgramudgifterC!$E:$E,OFFSET(Businesscasen_f_BCM_subcat10_Table1_start,0,COLUMN()-COLUMN(Businesscasen_f_BCM_subcat10_Table1_start))),SUMIFS(ProjektudgifterC!$N:$N,ProjektudgifterC!$C:$C,"Køb af IT-tjenesteydelser",ProjektudgifterC!$E:$E,OFFSET(Businesscasen_f_BCM_subcat10_Table1_start,0,COLUMN()-COLUMN(Businesscasen_f_BCM_subcat10_Table1_start)))+SUMIFS(ProjektudgifterC!$N:$N,ProjektudgifterC!$C:$C,"Køb af tjenesteydelser i øvrigt",ProjektudgifterC!$E:$E,OFFSET(Businesscasen_f_BCM_subcat10_Table1_start,0,COLUMN()-COLUMN(Businesscasen_f_BCM_subcat10_Table1_start)))))/1000</f>
        <v>0</v>
      </c>
      <c r="G149" s="292">
        <f ca="1">(IF(MasterSheet_f_FP_CfgGroup1R3_VS,SUMIFS(ProgramudgifterC!$N:$N,ProgramudgifterC!$C:$C,"Køb af IT-tjenesteydelser",ProgramudgifterC!$E:$E,OFFSET(Businesscasen_f_BCM_subcat10_Table1_start,0,COLUMN()-COLUMN(Businesscasen_f_BCM_subcat10_Table1_start)))+SUMIFS(ProgramudgifterC!$N:$N,ProgramudgifterC!$C:$C,"Køb af tjenesteydelser i øvrigt",ProgramudgifterC!$E:$E,OFFSET(Businesscasen_f_BCM_subcat10_Table1_start,0,COLUMN()-COLUMN(Businesscasen_f_BCM_subcat10_Table1_start))),SUMIFS(ProjektudgifterC!$N:$N,ProjektudgifterC!$C:$C,"Køb af IT-tjenesteydelser",ProjektudgifterC!$E:$E,OFFSET(Businesscasen_f_BCM_subcat10_Table1_start,0,COLUMN()-COLUMN(Businesscasen_f_BCM_subcat10_Table1_start)))+SUMIFS(ProjektudgifterC!$N:$N,ProjektudgifterC!$C:$C,"Køb af tjenesteydelser i øvrigt",ProjektudgifterC!$E:$E,OFFSET(Businesscasen_f_BCM_subcat10_Table1_start,0,COLUMN()-COLUMN(Businesscasen_f_BCM_subcat10_Table1_start)))))/1000</f>
        <v>0</v>
      </c>
    </row>
    <row r="150" spans="2:23" ht="14.25" customHeight="1" x14ac:dyDescent="0.25">
      <c r="B150" s="289" t="s">
        <v>977</v>
      </c>
      <c r="C150" s="290">
        <f t="shared" ca="1" si="22"/>
        <v>0</v>
      </c>
      <c r="D150" s="490" t="str">
        <f t="shared" ca="1" si="23"/>
        <v>-</v>
      </c>
      <c r="E150" s="491"/>
      <c r="F150" s="291">
        <f ca="1">(IF(MasterSheet_f_FP_CfgGroup1R3_VS,SUMIFS(ProgramudgifterC!$N:$N,ProgramudgifterC!$E:$E,OFFSET(Businesscasen_f_BCM_subcat10_Table1_start,0,COLUMN()-COLUMN(Businesscasen_f_BCM_subcat10_Table1_start))),SUMIFS(ProjektudgifterC!$N:$N,ProjektudgifterC!$E:$E,OFFSET(Businesscasen_f_BCM_subcat10_Table1_start,0,COLUMN()-COLUMN(Businesscasen_f_BCM_subcat10_Table1_start))))-IF(MasterSheet_f_FP_CfgGroup1R3_VS,SUMIFS(ProgramudgifterC!$N:$N,ProgramudgifterC!$C:$C,"Indtægter",ProgramudgifterC!$E:$E,OFFSET(Businesscasen_f_BCM_subcat10_Table1_start,0,COLUMN()-COLUMN(Businesscasen_f_BCM_subcat10_Table1_start))),SUMIFS(ProjektudgifterC!$N:$N,ProjektudgifterC!$C:$C,"Indtægter",ProjektudgifterC!$E:$E,OFFSET(Businesscasen_f_BCM_subcat10_Table1_start,0,COLUMN()-COLUMN(Businesscasen_f_BCM_subcat10_Table1_start))))-SUM(F148:F149))/1000</f>
        <v>0</v>
      </c>
      <c r="G150" s="292">
        <f ca="1">(IF(MasterSheet_f_FP_CfgGroup1R3_VS,SUMIFS(ProgramudgifterC!$N:$N,ProgramudgifterC!$E:$E,OFFSET(Businesscasen_f_BCM_subcat10_Table1_start,0,COLUMN()-COLUMN(Businesscasen_f_BCM_subcat10_Table1_start))),SUMIFS(ProjektudgifterC!$N:$N,ProjektudgifterC!$E:$E,OFFSET(Businesscasen_f_BCM_subcat10_Table1_start,0,COLUMN()-COLUMN(Businesscasen_f_BCM_subcat10_Table1_start))))-IF(MasterSheet_f_FP_CfgGroup1R3_VS,SUMIFS(ProgramudgifterC!$N:$N,ProgramudgifterC!$C:$C,"Indtægter",ProgramudgifterC!$E:$E,OFFSET(Businesscasen_f_BCM_subcat10_Table1_start,0,COLUMN()-COLUMN(Businesscasen_f_BCM_subcat10_Table1_start))),SUMIFS(ProjektudgifterC!$N:$N,ProjektudgifterC!$C:$C,"Indtægter",ProjektudgifterC!$E:$E,OFFSET(Businesscasen_f_BCM_subcat10_Table1_start,0,COLUMN()-COLUMN(Businesscasen_f_BCM_subcat10_Table1_start))))-SUM(G148:G149))/1000</f>
        <v>0</v>
      </c>
    </row>
    <row r="151" spans="2:23" ht="14.25" customHeight="1" thickBot="1" x14ac:dyDescent="0.3">
      <c r="B151" s="293" t="s">
        <v>413</v>
      </c>
      <c r="C151" s="294">
        <f ca="1">SUM(C148:C150)</f>
        <v>0</v>
      </c>
      <c r="D151" s="512">
        <f ca="1">SUM(D148:E150)</f>
        <v>0</v>
      </c>
      <c r="E151" s="513">
        <f t="shared" ref="E151:G151" si="24">SUM(E148:E150)</f>
        <v>0</v>
      </c>
      <c r="F151" s="294">
        <f t="shared" ca="1" si="24"/>
        <v>0</v>
      </c>
      <c r="G151" s="295">
        <f t="shared" ca="1" si="24"/>
        <v>0</v>
      </c>
    </row>
    <row r="154" spans="2:23" ht="29.1" customHeight="1" x14ac:dyDescent="0.25"/>
    <row r="156" spans="2:23" ht="51.95" customHeight="1" thickBot="1" x14ac:dyDescent="0.3">
      <c r="H156" s="360" t="s">
        <v>989</v>
      </c>
      <c r="I156" s="360"/>
      <c r="J156" s="360"/>
      <c r="K156" s="361"/>
      <c r="L156" s="514" t="s">
        <v>222</v>
      </c>
      <c r="M156" s="515"/>
      <c r="N156" s="514" t="s">
        <v>223</v>
      </c>
      <c r="O156" s="515"/>
      <c r="P156" s="391" t="s">
        <v>224</v>
      </c>
      <c r="Q156" s="392"/>
      <c r="R156" s="391" t="s">
        <v>225</v>
      </c>
      <c r="S156" s="392"/>
      <c r="T156" s="254"/>
      <c r="U156" s="255" t="s">
        <v>1513</v>
      </c>
      <c r="V156" s="255" t="s">
        <v>113</v>
      </c>
      <c r="W156" s="255" t="s">
        <v>1514</v>
      </c>
    </row>
    <row r="157" spans="2:23" ht="14.25" customHeight="1" x14ac:dyDescent="0.25">
      <c r="H157" s="146" t="s">
        <v>226</v>
      </c>
      <c r="I157" s="146"/>
      <c r="J157" s="146"/>
      <c r="K157" s="146"/>
      <c r="L157" s="500">
        <f ca="1">OFFSET(INDIRECT("MasterSheet_f_FP_Main1TidsplanTable_C"&amp;ROWS(L157:INDIRECT("Businesscasen_f_BCM_subcat11_Table1_start",TRUE))-1&amp;"_1_VS",TRUE),0,37)</f>
        <v>41275</v>
      </c>
      <c r="M157" s="501"/>
      <c r="N157" s="500">
        <f ca="1">OFFSET(INDIRECT("MasterSheet_f_FP_Main1TidsplanTable_C"&amp;ROWS(N157:INDIRECT("Businesscasen_f_BCM_subcat11_Table1_start",TRUE))-1&amp;"_1_VS",TRUE),0,39)</f>
        <v>41640</v>
      </c>
      <c r="O157" s="501"/>
      <c r="P157" s="502">
        <f t="shared" ref="P157:P163" ca="1" si="25">IFERROR(IF(AND(((YEAR(N157)-YEAR(L157))*12+MONTH(N157)-MONTH(L157))&gt;=0,((YEAR(N157)-YEAR(L157))*12+MONTH(N157)-MONTH(L157))&lt;200,L157&lt;&gt;"",N157&lt;&gt;""),(YEAR(N157)-YEAR(L157))*12+MONTH(N157)-MONTH(L157),"-"),"-")</f>
        <v>12</v>
      </c>
      <c r="Q157" s="503"/>
      <c r="R157" s="504">
        <f t="shared" ref="R157" ca="1" si="26">IFERROR(P157/SUM(P157:Q163),0)</f>
        <v>1</v>
      </c>
      <c r="S157" s="505"/>
      <c r="T157" s="256" t="str">
        <f>"1. "&amp;TRIM(H157)</f>
        <v>1. Ide</v>
      </c>
      <c r="U157" s="255">
        <f ca="1">IF(AND(L157&gt;DATE(1980,1,1),P157&lt;200,P157&gt;=0),1,0)</f>
        <v>1</v>
      </c>
      <c r="V157" s="257">
        <f ca="1">U157*(L157-MIN(L157:M163))/30</f>
        <v>1375.8333333333333</v>
      </c>
      <c r="W157" s="258">
        <f ca="1">P157</f>
        <v>12</v>
      </c>
    </row>
    <row r="158" spans="2:23" ht="14.25" customHeight="1" x14ac:dyDescent="0.25">
      <c r="H158" s="147" t="s">
        <v>184</v>
      </c>
      <c r="I158" s="147"/>
      <c r="J158" s="147"/>
      <c r="K158" s="147"/>
      <c r="L158" s="506">
        <f ca="1">OFFSET(INDIRECT("MasterSheet_f_FP_Main1TidsplanTable_C"&amp;ROWS(L158:INDIRECT("Businesscasen_f_BCM_subcat11_Table1_start",TRUE))-1&amp;"_1_VS",TRUE),0,37)</f>
        <v>0</v>
      </c>
      <c r="M158" s="507"/>
      <c r="N158" s="506">
        <f ca="1">OFFSET(INDIRECT("MasterSheet_f_FP_Main1TidsplanTable_C"&amp;ROWS(N158:INDIRECT("Businesscasen_f_BCM_subcat11_Table1_start",TRUE))-1&amp;"_1_VS",TRUE),0,39)</f>
        <v>0</v>
      </c>
      <c r="O158" s="507"/>
      <c r="P158" s="508">
        <f t="shared" ca="1" si="25"/>
        <v>0</v>
      </c>
      <c r="Q158" s="509"/>
      <c r="R158" s="510">
        <f t="shared" ref="R158" ca="1" si="27">IFERROR(P158/SUM(P157:Q163),0)</f>
        <v>0</v>
      </c>
      <c r="S158" s="511"/>
      <c r="T158" s="256" t="str">
        <f>"2. "&amp;TRIM(H158)</f>
        <v>2. Analyse</v>
      </c>
      <c r="U158" s="255">
        <f t="shared" ref="U158:U163" ca="1" si="28">IF(AND(L158&gt;DATE(1980,1,1),P158&lt;200,P158&gt;=0),1,0)</f>
        <v>0</v>
      </c>
      <c r="V158" s="257">
        <f ca="1">U158*(L158-MIN(L157:M163))/30</f>
        <v>0</v>
      </c>
      <c r="W158" s="258">
        <f t="shared" ref="W158:W163" ca="1" si="29">P158</f>
        <v>0</v>
      </c>
    </row>
    <row r="159" spans="2:23" ht="14.25" customHeight="1" x14ac:dyDescent="0.25">
      <c r="H159" s="147" t="s">
        <v>185</v>
      </c>
      <c r="I159" s="147"/>
      <c r="J159" s="147"/>
      <c r="K159" s="147"/>
      <c r="L159" s="506" t="str">
        <f t="shared" ref="L159" ca="1" si="30">IF(MIN(L160:M161)=0,"-",MIN(L160:M161))</f>
        <v>-</v>
      </c>
      <c r="M159" s="507"/>
      <c r="N159" s="506" t="str">
        <f t="shared" ref="N159" ca="1" si="31">IF(MAX(N160:O161)=0,"-",MAX(N160:O161))</f>
        <v>-</v>
      </c>
      <c r="O159" s="507"/>
      <c r="P159" s="508" t="str">
        <f t="shared" ca="1" si="25"/>
        <v>-</v>
      </c>
      <c r="Q159" s="509"/>
      <c r="R159" s="510">
        <f t="shared" ref="R159" ca="1" si="32">IFERROR(P159/SUM(P157:Q163),0)</f>
        <v>0</v>
      </c>
      <c r="S159" s="511"/>
      <c r="T159" s="256" t="str">
        <f>"3. "&amp;TRIM(H159)</f>
        <v>3. Anskaffelse</v>
      </c>
      <c r="U159" s="255">
        <f t="shared" ca="1" si="28"/>
        <v>0</v>
      </c>
      <c r="V159" s="257" t="e">
        <f ca="1">U159*(L159-MIN(L157:M163))/30</f>
        <v>#VALUE!</v>
      </c>
      <c r="W159" s="258" t="str">
        <f t="shared" ca="1" si="29"/>
        <v>-</v>
      </c>
    </row>
    <row r="160" spans="2:23" ht="14.25" customHeight="1" x14ac:dyDescent="0.25">
      <c r="H160" s="147" t="s">
        <v>227</v>
      </c>
      <c r="I160" s="147"/>
      <c r="J160" s="147"/>
      <c r="K160" s="147"/>
      <c r="L160" s="506">
        <f ca="1">OFFSET(INDIRECT("MasterSheet_f_FP_Main1TidsplanTable_C"&amp;ROWS(L160:INDIRECT("Businesscasen_f_BCM_subcat11_Table1_start",TRUE))-1&amp;"_1_VS",TRUE),0,37)</f>
        <v>0</v>
      </c>
      <c r="M160" s="507"/>
      <c r="N160" s="506">
        <f ca="1">OFFSET(INDIRECT("MasterSheet_f_FP_Main1TidsplanTable_C"&amp;ROWS(N160:INDIRECT("Businesscasen_f_BCM_subcat11_Table1_start",TRUE))-1&amp;"_1_VS",TRUE),0,39)</f>
        <v>0</v>
      </c>
      <c r="O160" s="507"/>
      <c r="P160" s="508">
        <f t="shared" ca="1" si="25"/>
        <v>0</v>
      </c>
      <c r="Q160" s="509"/>
      <c r="R160" s="510">
        <f t="shared" ref="R160" ca="1" si="33">IFERROR(P160/SUM(P157:Q163),0)</f>
        <v>0</v>
      </c>
      <c r="S160" s="511"/>
      <c r="T160" s="256" t="str">
        <f>"3.1. "&amp;TRIM(H160)</f>
        <v>3.1. Specificering</v>
      </c>
      <c r="U160" s="255">
        <f t="shared" ca="1" si="28"/>
        <v>0</v>
      </c>
      <c r="V160" s="257">
        <f ca="1">U160*(L160-MIN(L157:M163))/30</f>
        <v>0</v>
      </c>
      <c r="W160" s="258">
        <f t="shared" ca="1" si="29"/>
        <v>0</v>
      </c>
    </row>
    <row r="161" spans="2:23" ht="14.25" customHeight="1" x14ac:dyDescent="0.25">
      <c r="H161" s="147" t="s">
        <v>228</v>
      </c>
      <c r="I161" s="147"/>
      <c r="J161" s="147"/>
      <c r="K161" s="147"/>
      <c r="L161" s="506">
        <f ca="1">OFFSET(INDIRECT("MasterSheet_f_FP_Main1TidsplanTable_C"&amp;ROWS(L161:INDIRECT("Businesscasen_f_BCM_subcat11_Table1_start",TRUE))-1&amp;"_1_VS",TRUE),0,37)</f>
        <v>0</v>
      </c>
      <c r="M161" s="507"/>
      <c r="N161" s="506">
        <f ca="1">OFFSET(INDIRECT("MasterSheet_f_FP_Main1TidsplanTable_C"&amp;ROWS(N161:INDIRECT("Businesscasen_f_BCM_subcat11_Table1_start",TRUE))-1&amp;"_1_VS",TRUE),0,39)</f>
        <v>0</v>
      </c>
      <c r="O161" s="507"/>
      <c r="P161" s="508">
        <f t="shared" ca="1" si="25"/>
        <v>0</v>
      </c>
      <c r="Q161" s="509"/>
      <c r="R161" s="510">
        <f t="shared" ref="R161" ca="1" si="34">IFERROR(P161/SUM(P157:Q163),0)</f>
        <v>0</v>
      </c>
      <c r="S161" s="511"/>
      <c r="T161" s="256" t="str">
        <f>"3.2. "&amp;TRIM(H161)</f>
        <v>3.2. Udbud</v>
      </c>
      <c r="U161" s="255">
        <f t="shared" ca="1" si="28"/>
        <v>0</v>
      </c>
      <c r="V161" s="257">
        <f ca="1">U161*(L161-MIN(L157:M163))/30</f>
        <v>0</v>
      </c>
      <c r="W161" s="258">
        <f t="shared" ca="1" si="29"/>
        <v>0</v>
      </c>
    </row>
    <row r="162" spans="2:23" ht="14.25" customHeight="1" x14ac:dyDescent="0.25">
      <c r="H162" s="147" t="s">
        <v>229</v>
      </c>
      <c r="I162" s="147"/>
      <c r="J162" s="147"/>
      <c r="K162" s="147"/>
      <c r="L162" s="506">
        <f ca="1">OFFSET(INDIRECT("MasterSheet_f_FP_Main1TidsplanTable_C"&amp;ROWS(L162:INDIRECT("Businesscasen_f_BCM_subcat11_Table1_start",TRUE))-1&amp;"_1_VS",TRUE),0,37)</f>
        <v>0</v>
      </c>
      <c r="M162" s="507"/>
      <c r="N162" s="506">
        <f ca="1">OFFSET(INDIRECT("MasterSheet_f_FP_Main1TidsplanTable_C"&amp;ROWS(N162:INDIRECT("Businesscasen_f_BCM_subcat11_Table1_start",TRUE))-1&amp;"_1_VS",TRUE),0,39)</f>
        <v>0</v>
      </c>
      <c r="O162" s="507"/>
      <c r="P162" s="508">
        <f t="shared" ca="1" si="25"/>
        <v>0</v>
      </c>
      <c r="Q162" s="509"/>
      <c r="R162" s="510">
        <f t="shared" ref="R162" ca="1" si="35">IFERROR(P162/SUM(P157:Q163),0)</f>
        <v>0</v>
      </c>
      <c r="S162" s="511"/>
      <c r="T162" s="256" t="str">
        <f>"4. "&amp;TRIM(H162)</f>
        <v>4. Gennemførsel</v>
      </c>
      <c r="U162" s="255">
        <f t="shared" ca="1" si="28"/>
        <v>0</v>
      </c>
      <c r="V162" s="257">
        <f ca="1">U162*(L162-MIN(L157:M163))/30</f>
        <v>0</v>
      </c>
      <c r="W162" s="258">
        <f t="shared" ca="1" si="29"/>
        <v>0</v>
      </c>
    </row>
    <row r="163" spans="2:23" ht="14.25" customHeight="1" x14ac:dyDescent="0.25">
      <c r="H163" s="160" t="s">
        <v>186</v>
      </c>
      <c r="I163" s="160"/>
      <c r="J163" s="160"/>
      <c r="K163" s="160"/>
      <c r="L163" s="516">
        <f ca="1">OFFSET(INDIRECT("MasterSheet_f_FP_Main1TidsplanTable_C"&amp;ROWS(L163:INDIRECT("Businesscasen_f_BCM_subcat11_Table1_start",TRUE))-1&amp;"_1_VS",TRUE),0,37)</f>
        <v>0</v>
      </c>
      <c r="M163" s="517"/>
      <c r="N163" s="516">
        <f ca="1">OFFSET(INDIRECT("MasterSheet_f_FP_Main1TidsplanTable_C"&amp;ROWS(N163:INDIRECT("Businesscasen_f_BCM_subcat11_Table1_start",TRUE))-1&amp;"_1_VS",TRUE),0,39)</f>
        <v>0</v>
      </c>
      <c r="O163" s="517"/>
      <c r="P163" s="518">
        <f t="shared" ca="1" si="25"/>
        <v>0</v>
      </c>
      <c r="Q163" s="519"/>
      <c r="R163" s="520">
        <f t="shared" ref="R163" ca="1" si="36">IFERROR(P163/SUM(P157:Q163),0)</f>
        <v>0</v>
      </c>
      <c r="S163" s="521"/>
      <c r="T163" s="256" t="str">
        <f>"5. "&amp;TRIM(H163)</f>
        <v>5. Realisering</v>
      </c>
      <c r="U163" s="255">
        <f t="shared" ca="1" si="28"/>
        <v>0</v>
      </c>
      <c r="V163" s="257">
        <f ca="1">U163*(L163-MIN(L157:M163))/30</f>
        <v>0</v>
      </c>
      <c r="W163" s="258">
        <f t="shared" ca="1" si="29"/>
        <v>0</v>
      </c>
    </row>
    <row r="169" spans="2:23" ht="29.1" customHeight="1" x14ac:dyDescent="0.25"/>
    <row r="171" spans="2:23" ht="51.95" customHeight="1" thickBot="1" x14ac:dyDescent="0.3">
      <c r="B171" s="522" t="str">
        <f>"Tabel 1.8: Pris på "&amp;IF(MasterSheet_f_FP_CfgGroup1R3_VS,"programmets","projektets")&amp;" risici, mio. kr."</f>
        <v>Tabel 1.8: Pris på projektets risici, mio. kr.</v>
      </c>
      <c r="C171" s="522"/>
      <c r="D171" s="523" t="s">
        <v>1566</v>
      </c>
      <c r="E171" s="524"/>
      <c r="F171" s="523" t="s">
        <v>1567</v>
      </c>
      <c r="G171" s="524"/>
      <c r="H171" s="525" t="s">
        <v>1571</v>
      </c>
      <c r="I171" s="526"/>
      <c r="J171" s="523" t="s">
        <v>1572</v>
      </c>
      <c r="K171" s="527"/>
    </row>
    <row r="172" spans="2:23" ht="2.1" customHeight="1" x14ac:dyDescent="0.25">
      <c r="B172" s="528"/>
      <c r="C172" s="528"/>
      <c r="D172" s="529"/>
      <c r="E172" s="530"/>
      <c r="F172" s="529"/>
      <c r="G172" s="530"/>
      <c r="H172" s="529"/>
      <c r="I172" s="531"/>
      <c r="J172" s="532"/>
      <c r="K172" s="533"/>
    </row>
    <row r="173" spans="2:23" ht="2.1" customHeight="1" x14ac:dyDescent="0.25">
      <c r="B173" s="137"/>
      <c r="C173" s="137"/>
      <c r="D173" s="177"/>
      <c r="E173" s="178"/>
      <c r="F173" s="179"/>
      <c r="G173" s="180"/>
      <c r="H173" s="177"/>
      <c r="I173" s="178"/>
      <c r="J173" s="177"/>
      <c r="K173" s="178"/>
    </row>
    <row r="174" spans="2:23" ht="14.25" customHeight="1" x14ac:dyDescent="0.25">
      <c r="B174" s="205" t="str">
        <f ca="1">OFFSET(INDIRECT("MasterSheet_f_FP_Main1RisciTable_V_"&amp;ROWS(B174:INDIRECT("Businesscasen_f_BCM_subcat12_Table1_start",TRUE))-3&amp;"_VS",TRUE),0,35)</f>
        <v>test</v>
      </c>
      <c r="C174" s="233"/>
      <c r="D174" s="459">
        <f ca="1">(SUMIF(IF(MasterSheet_f_CfgGroup1R3_VS,ProgramudgifterC!$F:$F,ProjektudgifterC!$F:$F),OFFSET(Businesscasen_f_BCM_subcat12_Table1_start,ROW()-ROW(Businesscasen_f_BCM_subcat12_Table1_start),0),IF(MasterSheet_f_CfgGroup1R3_VS,IF(MasterSheet_f_FP_CfgGroup2R2_VS,ProgramudgifterC!$U:$U,ProgramudgifterC!$S:$S),IF(MasterSheet_f_FP_CfgGroup2R2_VS,ProjektudgifterC!$U:$U,ProjektudgifterC!$S:$S)))+SUMIF(IF(MasterSheet_f_CfgGroup1R3_VS,ProgramudgifterC!$F:$F,ProjektudgifterC!$F:$F),OFFSET(Businesscasen_f_BCM_subcat12_Table1_start,ROW()-ROW(Businesscasen_f_BCM_subcat12_Table1_start),0),IF(MasterSheet_f_CfgGroup1R3_VS,IF(MasterSheet_f_FP_CfgGroup2R2_VS,ProgramudgifterC!$V:$V,ProgramudgifterC!$T:$T),IF(MasterSheet_f_FP_CfgGroup2R2_VS,ProjektudgifterC!$V:$V,ProjektudgifterC!$T:$T))))/1000</f>
        <v>0</v>
      </c>
      <c r="E174" s="534"/>
      <c r="F174" s="535">
        <f ca="1">SUMIF(IF(MasterSheet_f_CfgGroup1R3_VS,ProgramudgifterC!$F:$F,ProjektudgifterC!$F:$F),OFFSET(Businesscasen_f_BCM_subcat12_Table1_start,ROW()-ROW(Businesscasen_f_BCM_subcat12_Table1_start),0),IF(MasterSheet_f_CfgGroup1R3_VS,ProgramudgifterC!$W:$W,ProjektudgifterC!$W:$W))+SUMIF(IF(MasterSheet_f_CfgGroup1R3_VS,ProgramudgifterC!$F:$F,ProjektudgifterC!$F:$F),OFFSET(Businesscasen_f_BCM_subcat12_Table1_start,ROW()-ROW(Businesscasen_f_BCM_subcat12_Table1_start),0),IF(MasterSheet_f_CfgGroup1R3_VS,ProgramudgifterC!$X:$X,ProjektudgifterC!$X:$X))</f>
        <v>0</v>
      </c>
      <c r="G174" s="536"/>
      <c r="H174" s="535">
        <f ca="1">(SUMIF(IF(MasterSheet_f_CfgGroup1R3_VS,ProgramudgifterC!$F:$F,'Drift - fremtidig uden projektC'!$F:$F),OFFSET(Businesscasen_f_BCM_subcat12_Table1_start,ROW()-ROW(Businesscasen_f_BCM_subcat12_Table1_start),0),IF(MasterSheet_f_CfgGroup1R3_VS,IF(MasterSheet_f_FP_CfgGroup2R2_VS,ProgramudgifterC!$U:$U,ProgramudgifterC!$S:$S),IF(MasterSheet_f_FP_CfgGroup2R2_VS,'Drift - fremtidig uden projektC'!$U:$U,'Drift - fremtidig uden projektC'!$S:$S)))+SUMIF(IF(MasterSheet_f_CfgGroup1R3_VS,ProgramudgifterC!$F:$F,'Drift - fremtidig uden projektC'!$F:$F),OFFSET(Businesscasen_f_BCM_subcat12_Table1_start,ROW()-ROW(Businesscasen_f_BCM_subcat12_Table1_start),0),IF(MasterSheet_f_CfgGroup1R3_VS,IF(MasterSheet_f_FP_CfgGroup2R2_VS,ProgramudgifterC!$V:$V,ProgramudgifterC!$T:$T),IF(MasterSheet_f_FP_CfgGroup2R2_VS,'Drift - fremtidig uden projektC'!$V:$V,'Drift - fremtidig uden projektC'!$T:$T)))-SUMIF(IF(MasterSheet_f_CfgGroup1R3_VS,ProgramudgifterC!$F:$F,'Drift - med projektC'!$F:$F),OFFSET(Businesscasen_f_BCM_subcat12_Table1_start,ROW()-ROW(Businesscasen_f_BCM_subcat12_Table1_start),0),IF(MasterSheet_f_CfgGroup1R3_VS,IF(MasterSheet_f_FP_CfgGroup2R2_VS,ProgramudgifterC!$U:$U,ProgramudgifterC!$S:$S),IF(MasterSheet_f_FP_CfgGroup2R2_VS,'Drift - med projektC'!$U:$U,'Drift - med projektC'!$S:$S)))+SUMIF(IF(MasterSheet_f_CfgGroup1R3_VS,ProgramudgifterC!$F:$F,'Drift - med projektC'!$F:$F),OFFSET(Businesscasen_f_BCM_subcat12_Table1_start,ROW()-ROW(Businesscasen_f_BCM_subcat12_Table1_start),0),IF(MasterSheet_f_CfgGroup1R3_VS,IF(MasterSheet_f_FP_CfgGroup2R2_VS,ProgramudgifterC!$V:$V,ProgramudgifterC!$T:$T),IF(MasterSheet_f_FP_CfgGroup2R2_VS,'Drift - med projektC'!$V:$V,'Drift - med projektC'!$T:$T))))/1000</f>
        <v>0</v>
      </c>
      <c r="I174" s="536"/>
      <c r="J174" s="535"/>
      <c r="K174" s="537"/>
    </row>
    <row r="175" spans="2:23" ht="14.25" customHeight="1" x14ac:dyDescent="0.25">
      <c r="B175" s="205" t="str">
        <f ca="1">OFFSET(INDIRECT("MasterSheet_f_FP_Main1RisciTable_V_"&amp;ROWS(B175:INDIRECT("Businesscasen_f_BCM_subcat12_Table1_start",TRUE))-3&amp;"_VS",TRUE),0,35)</f>
        <v>[Risikohændelse]</v>
      </c>
      <c r="C175" s="233"/>
      <c r="D175" s="459">
        <f ca="1">(SUMIF(IF(MasterSheet_f_CfgGroup1R3_VS,ProgramudgifterC!$F:$F,ProjektudgifterC!$F:$F),OFFSET(Businesscasen_f_BCM_subcat12_Table1_start,ROW()-ROW(Businesscasen_f_BCM_subcat12_Table1_start),0),IF(MasterSheet_f_CfgGroup1R3_VS,IF(MasterSheet_f_FP_CfgGroup2R2_VS,ProgramudgifterC!$U:$U,ProgramudgifterC!$S:$S),IF(MasterSheet_f_FP_CfgGroup2R2_VS,ProjektudgifterC!$U:$U,ProjektudgifterC!$S:$S)))+SUMIF(IF(MasterSheet_f_CfgGroup1R3_VS,ProgramudgifterC!$F:$F,ProjektudgifterC!$F:$F),OFFSET(Businesscasen_f_BCM_subcat12_Table1_start,ROW()-ROW(Businesscasen_f_BCM_subcat12_Table1_start),0),IF(MasterSheet_f_CfgGroup1R3_VS,IF(MasterSheet_f_FP_CfgGroup2R2_VS,ProgramudgifterC!$V:$V,ProgramudgifterC!$T:$T),IF(MasterSheet_f_FP_CfgGroup2R2_VS,ProjektudgifterC!$V:$V,ProjektudgifterC!$T:$T))))/1000</f>
        <v>0</v>
      </c>
      <c r="E175" s="534"/>
      <c r="F175" s="535">
        <f ca="1">SUMIF(IF(MasterSheet_f_CfgGroup1R3_VS,ProgramudgifterC!$F:$F,ProjektudgifterC!$F:$F),OFFSET(Businesscasen_f_BCM_subcat12_Table1_start,ROW()-ROW(Businesscasen_f_BCM_subcat12_Table1_start),0),IF(MasterSheet_f_CfgGroup1R3_VS,ProgramudgifterC!$W:$W,ProjektudgifterC!$W:$W))+SUMIF(IF(MasterSheet_f_CfgGroup1R3_VS,ProgramudgifterC!$F:$F,ProjektudgifterC!$F:$F),OFFSET(Businesscasen_f_BCM_subcat12_Table1_start,ROW()-ROW(Businesscasen_f_BCM_subcat12_Table1_start),0),IF(MasterSheet_f_CfgGroup1R3_VS,ProgramudgifterC!$X:$X,ProjektudgifterC!$X:$X))</f>
        <v>0</v>
      </c>
      <c r="G175" s="536"/>
      <c r="H175" s="535">
        <f ca="1">(SUMIF(IF(MasterSheet_f_CfgGroup1R3_VS,ProgramudgifterC!$F:$F,'Drift - fremtidig uden projektC'!$F:$F),OFFSET(Businesscasen_f_BCM_subcat12_Table1_start,ROW()-ROW(Businesscasen_f_BCM_subcat12_Table1_start),0),IF(MasterSheet_f_CfgGroup1R3_VS,IF(MasterSheet_f_FP_CfgGroup2R2_VS,ProgramudgifterC!$U:$U,ProgramudgifterC!$S:$S),IF(MasterSheet_f_FP_CfgGroup2R2_VS,'Drift - fremtidig uden projektC'!$U:$U,'Drift - fremtidig uden projektC'!$S:$S)))+SUMIF(IF(MasterSheet_f_CfgGroup1R3_VS,ProgramudgifterC!$F:$F,'Drift - fremtidig uden projektC'!$F:$F),OFFSET(Businesscasen_f_BCM_subcat12_Table1_start,ROW()-ROW(Businesscasen_f_BCM_subcat12_Table1_start),0),IF(MasterSheet_f_CfgGroup1R3_VS,IF(MasterSheet_f_FP_CfgGroup2R2_VS,ProgramudgifterC!$V:$V,ProgramudgifterC!$T:$T),IF(MasterSheet_f_FP_CfgGroup2R2_VS,'Drift - fremtidig uden projektC'!$V:$V,'Drift - fremtidig uden projektC'!$T:$T)))-SUMIF(IF(MasterSheet_f_CfgGroup1R3_VS,ProgramudgifterC!$F:$F,'Drift - med projektC'!$F:$F),OFFSET(Businesscasen_f_BCM_subcat12_Table1_start,ROW()-ROW(Businesscasen_f_BCM_subcat12_Table1_start),0),IF(MasterSheet_f_CfgGroup1R3_VS,IF(MasterSheet_f_FP_CfgGroup2R2_VS,ProgramudgifterC!$U:$U,ProgramudgifterC!$S:$S),IF(MasterSheet_f_FP_CfgGroup2R2_VS,'Drift - med projektC'!$U:$U,'Drift - med projektC'!$S:$S)))+SUMIF(IF(MasterSheet_f_CfgGroup1R3_VS,ProgramudgifterC!$F:$F,'Drift - med projektC'!$F:$F),OFFSET(Businesscasen_f_BCM_subcat12_Table1_start,ROW()-ROW(Businesscasen_f_BCM_subcat12_Table1_start),0),IF(MasterSheet_f_CfgGroup1R3_VS,IF(MasterSheet_f_FP_CfgGroup2R2_VS,ProgramudgifterC!$V:$V,ProgramudgifterC!$T:$T),IF(MasterSheet_f_FP_CfgGroup2R2_VS,'Drift - med projektC'!$V:$V,'Drift - med projektC'!$T:$T))))/1000</f>
        <v>0</v>
      </c>
      <c r="I175" s="536"/>
      <c r="J175" s="535"/>
      <c r="K175" s="537"/>
    </row>
    <row r="176" spans="2:23" ht="14.25" customHeight="1" x14ac:dyDescent="0.25">
      <c r="B176" s="133" t="s">
        <v>434</v>
      </c>
      <c r="C176" s="133"/>
      <c r="D176" s="538">
        <f>SUMIF(IF(MasterSheet_f_FP_CfgGroup1R3_VS,ProgramudgifterC!$F:$F,ProjektudgifterC!$F:$F),"",IF(MasterSheet_f_FP_CfgGroup1R3_VS,IF(MasterSheet_f_FP_CfgGroup2R2_VS,ProgramudgifterC!$U:$U,ProgramudgifterC!$S:$S),IF(MasterSheet_f_FP_CfgGroup2R2_VS,ProjektudgifterC!$U:$U,ProjektudgifterC!$S:$S)))/1000</f>
        <v>0</v>
      </c>
      <c r="E176" s="539"/>
      <c r="F176" s="538">
        <f>SUMIF(IF(MasterSheet_f_FP_CfgGroup1R3_VS,ProgramudgifterC!$F:$F,ProjektudgifterC!$F:$F),"",IF(MasterSheet_f_FP_CfgGroup1R3_VS,ProgramudgifterC!$W:$W,ProjektudgifterC!$W:$W))/1000</f>
        <v>0</v>
      </c>
      <c r="G176" s="539"/>
      <c r="H176" s="538">
        <f>SUMIF('Drift - fremtidig uden projektC'!$F:$F,"",IF(MasterSheet_f_FP_CfgGroup2R2_VS,'Drift - fremtidig uden projektC'!$U:$U,'Drift - fremtidig uden projektC'!$S:$S))/1000</f>
        <v>0</v>
      </c>
      <c r="I176" s="539"/>
      <c r="J176" s="538">
        <f>SUMIF('Drift - med projektC'!$F:$F,"",IF(MasterSheet_f_FP_CfgGroup2R2_VS,'Drift - med projektC'!$U:$U,'Drift - med projektC'!$S:$S))/1000</f>
        <v>0</v>
      </c>
      <c r="K176" s="540"/>
    </row>
    <row r="177" spans="2:19" ht="14.25" customHeight="1" thickBot="1" x14ac:dyDescent="0.3">
      <c r="B177" s="227" t="s">
        <v>476</v>
      </c>
      <c r="C177" s="227"/>
      <c r="D177" s="472">
        <f ca="1">SUM(D172:E176)</f>
        <v>0</v>
      </c>
      <c r="E177" s="474"/>
      <c r="F177" s="472">
        <f ca="1">SUM(F172:G176)</f>
        <v>0</v>
      </c>
      <c r="G177" s="474"/>
      <c r="H177" s="472">
        <f ca="1">SUM(H172:I176)</f>
        <v>0</v>
      </c>
      <c r="I177" s="474"/>
      <c r="J177" s="472">
        <f>SUM(J172:K176)</f>
        <v>0</v>
      </c>
      <c r="K177" s="474"/>
    </row>
    <row r="181" spans="2:19" ht="29.1" customHeight="1" x14ac:dyDescent="0.25"/>
    <row r="183" spans="2:19" ht="51.95" customHeight="1" x14ac:dyDescent="0.25">
      <c r="B183" s="359" t="s">
        <v>637</v>
      </c>
      <c r="C183" s="359"/>
      <c r="D183" s="147"/>
      <c r="E183" s="147"/>
      <c r="F183" s="147"/>
      <c r="G183" s="147"/>
      <c r="H183" s="147"/>
      <c r="I183" s="147"/>
      <c r="J183" s="147"/>
      <c r="K183" s="147"/>
      <c r="L183" s="162"/>
      <c r="M183" s="162"/>
      <c r="N183" s="124"/>
      <c r="O183" s="124"/>
      <c r="P183" s="124"/>
      <c r="Q183" s="124"/>
      <c r="R183" s="124"/>
      <c r="S183" s="93"/>
    </row>
    <row r="184" spans="2:19" ht="51.95" customHeight="1" thickBot="1" x14ac:dyDescent="0.3">
      <c r="B184" s="541" t="s">
        <v>638</v>
      </c>
      <c r="C184" s="541"/>
      <c r="D184" s="466" t="str">
        <f>"Drift uden "&amp;IF(MasterSheet_f_FP_CfgGroup1R3_VS,"program","projekt")</f>
        <v>Drift uden projekt</v>
      </c>
      <c r="E184" s="467"/>
      <c r="F184" s="466" t="str">
        <f>"Drift med "&amp;IF(MasterSheet_f_FP_CfgGroup1R3_VS,"program","projekt")</f>
        <v>Drift med projekt</v>
      </c>
      <c r="G184" s="467"/>
      <c r="H184" s="466" t="s">
        <v>478</v>
      </c>
      <c r="I184" s="467"/>
      <c r="J184" s="542" t="str">
        <f>"Drift - før "&amp;IF(MasterSheet_f_FP_CfgGroup1R3_VS,"program","projekt")</f>
        <v>Drift - før projekt</v>
      </c>
      <c r="K184" s="543"/>
      <c r="L184" s="542" t="s">
        <v>639</v>
      </c>
      <c r="M184" s="543"/>
      <c r="N184" s="124"/>
      <c r="O184" s="124"/>
      <c r="P184" s="124"/>
      <c r="Q184" s="124"/>
      <c r="R184" s="124"/>
      <c r="S184" s="93"/>
    </row>
    <row r="185" spans="2:19" ht="2.1" customHeight="1" x14ac:dyDescent="0.25">
      <c r="B185" s="369"/>
      <c r="C185" s="369"/>
      <c r="D185" s="366"/>
      <c r="E185" s="367"/>
      <c r="F185" s="366"/>
      <c r="G185" s="367"/>
      <c r="H185" s="366"/>
      <c r="I185" s="367"/>
      <c r="J185" s="370"/>
      <c r="K185" s="371"/>
      <c r="L185" s="370"/>
      <c r="M185" s="371"/>
      <c r="N185" s="124"/>
      <c r="O185" s="124"/>
      <c r="P185" s="124"/>
      <c r="Q185" s="124"/>
      <c r="R185" s="124"/>
      <c r="S185" s="93"/>
    </row>
    <row r="186" spans="2:19" ht="2.1" customHeight="1" x14ac:dyDescent="0.25">
      <c r="B186" s="368"/>
      <c r="C186" s="368"/>
      <c r="D186" s="362"/>
      <c r="E186" s="363"/>
      <c r="F186" s="362"/>
      <c r="G186" s="363"/>
      <c r="H186" s="362"/>
      <c r="I186" s="363"/>
      <c r="J186" s="364"/>
      <c r="K186" s="365"/>
      <c r="L186" s="364"/>
      <c r="M186" s="365"/>
      <c r="N186" s="124"/>
      <c r="O186" s="124"/>
      <c r="P186" s="124"/>
      <c r="Q186" s="124"/>
      <c r="R186" s="124"/>
      <c r="S186" s="93"/>
    </row>
    <row r="187" spans="2:19" ht="14.1" customHeight="1" x14ac:dyDescent="0.25">
      <c r="B187" s="368" t="s">
        <v>1117</v>
      </c>
      <c r="C187" s="368"/>
      <c r="D187" s="362"/>
      <c r="E187" s="363"/>
      <c r="F187" s="362"/>
      <c r="G187" s="363"/>
      <c r="H187" s="362"/>
      <c r="I187" s="363"/>
      <c r="J187" s="364"/>
      <c r="K187" s="365"/>
      <c r="L187" s="364"/>
      <c r="M187" s="365"/>
      <c r="N187" s="124"/>
      <c r="O187" s="124"/>
      <c r="P187" s="124"/>
      <c r="Q187" s="124"/>
      <c r="R187" s="124"/>
      <c r="S187" s="93"/>
    </row>
    <row r="188" spans="2:19" ht="2.1" customHeight="1" x14ac:dyDescent="0.25">
      <c r="B188" s="368"/>
      <c r="C188" s="368"/>
      <c r="D188" s="362"/>
      <c r="E188" s="363"/>
      <c r="F188" s="362"/>
      <c r="G188" s="363"/>
      <c r="H188" s="362"/>
      <c r="I188" s="363"/>
      <c r="J188" s="364"/>
      <c r="K188" s="365"/>
      <c r="L188" s="364"/>
      <c r="M188" s="365"/>
      <c r="N188" s="124"/>
      <c r="O188" s="124"/>
      <c r="P188" s="124"/>
      <c r="Q188" s="124"/>
      <c r="R188" s="124"/>
      <c r="S188" s="93"/>
    </row>
    <row r="189" spans="2:19" ht="14.25" customHeight="1" thickBot="1" x14ac:dyDescent="0.3">
      <c r="B189" s="544" t="s">
        <v>479</v>
      </c>
      <c r="C189" s="544"/>
      <c r="D189" s="545">
        <f>SUM(D185:E188)</f>
        <v>0</v>
      </c>
      <c r="E189" s="546"/>
      <c r="F189" s="545">
        <f>SUM(F185:G188)</f>
        <v>0</v>
      </c>
      <c r="G189" s="546"/>
      <c r="H189" s="545">
        <f>SUM(H185:I188)</f>
        <v>0</v>
      </c>
      <c r="I189" s="546"/>
      <c r="J189" s="545">
        <f>SUM(J185:K188)</f>
        <v>0</v>
      </c>
      <c r="K189" s="546"/>
      <c r="L189" s="545">
        <f>SUM(L185:M188)</f>
        <v>0</v>
      </c>
      <c r="M189" s="546"/>
      <c r="N189" s="124"/>
      <c r="O189" s="124"/>
      <c r="P189" s="124"/>
      <c r="Q189" s="124"/>
      <c r="R189" s="124"/>
      <c r="S189" s="93"/>
    </row>
    <row r="194" spans="2:63" ht="51.95" customHeight="1" x14ac:dyDescent="0.25">
      <c r="B194" s="359" t="str">
        <f>"Tabel 1.11: "&amp;IF(MasterSheet_f_FP_CfgGroup1R3_VS,"Program","Projekt")&amp;"udgifter (hovedforudsætninger)"</f>
        <v>Tabel 1.11: Projektudgifter (hovedforudsætninger)</v>
      </c>
      <c r="C194" s="359"/>
      <c r="D194" s="359"/>
      <c r="E194" s="359"/>
      <c r="F194" s="359"/>
      <c r="G194" s="359"/>
      <c r="H194" s="359"/>
      <c r="I194" s="359"/>
      <c r="J194" s="359"/>
      <c r="K194" s="359"/>
      <c r="L194" s="359"/>
      <c r="M194" s="359"/>
      <c r="N194" s="124"/>
      <c r="O194" s="124"/>
      <c r="P194" s="124"/>
      <c r="Q194" s="124"/>
      <c r="R194" s="124"/>
      <c r="S194" s="93"/>
    </row>
    <row r="195" spans="2:63" ht="51.95" customHeight="1" thickBot="1" x14ac:dyDescent="0.3">
      <c r="B195" s="174" t="str">
        <f>IF(MasterSheet_f_FP_CfgGroup1R3_VS,"Program","Projekt")&amp;"udgifter (hovedforudsætninger), mio. kr."</f>
        <v>Projektudgifter (hovedforudsætninger), mio. kr.</v>
      </c>
      <c r="C195" s="171" t="s">
        <v>413</v>
      </c>
      <c r="D195" s="466" t="s">
        <v>309</v>
      </c>
      <c r="E195" s="467"/>
      <c r="F195" s="466" t="s">
        <v>317</v>
      </c>
      <c r="G195" s="467"/>
      <c r="H195" s="466" t="s">
        <v>1608</v>
      </c>
      <c r="I195" s="467"/>
      <c r="J195" s="466" t="s">
        <v>1624</v>
      </c>
      <c r="K195" s="467"/>
      <c r="L195" s="466" t="s">
        <v>1609</v>
      </c>
      <c r="M195" s="467"/>
      <c r="N195" s="124"/>
      <c r="O195" s="124"/>
      <c r="P195" s="124"/>
      <c r="Q195" s="124"/>
      <c r="R195" s="124"/>
      <c r="S195" s="93"/>
    </row>
    <row r="196" spans="2:63" ht="2.1" customHeight="1" x14ac:dyDescent="0.25">
      <c r="B196" s="146"/>
      <c r="C196" s="279"/>
      <c r="D196" s="366"/>
      <c r="E196" s="367"/>
      <c r="F196" s="366"/>
      <c r="G196" s="367"/>
      <c r="H196" s="366"/>
      <c r="I196" s="367"/>
      <c r="J196" s="366"/>
      <c r="K196" s="367"/>
      <c r="L196" s="366"/>
      <c r="M196" s="367"/>
      <c r="N196" s="124"/>
      <c r="O196" s="124"/>
      <c r="P196" s="124"/>
      <c r="Q196" s="124"/>
      <c r="R196" s="124"/>
      <c r="S196" s="93"/>
    </row>
    <row r="197" spans="2:63" ht="2.1" customHeight="1" x14ac:dyDescent="0.25">
      <c r="B197" s="147"/>
      <c r="C197" s="280"/>
      <c r="D197" s="362"/>
      <c r="E197" s="363"/>
      <c r="F197" s="362"/>
      <c r="G197" s="363"/>
      <c r="H197" s="362"/>
      <c r="I197" s="363"/>
      <c r="J197" s="362"/>
      <c r="K197" s="363"/>
      <c r="L197" s="362"/>
      <c r="M197" s="363"/>
      <c r="N197" s="124"/>
      <c r="O197" s="124"/>
      <c r="P197" s="124"/>
      <c r="Q197" s="124"/>
      <c r="R197" s="124"/>
      <c r="S197" s="93"/>
    </row>
    <row r="198" spans="2:63" ht="14.25" customHeight="1" x14ac:dyDescent="0.25">
      <c r="B198" s="147" t="s">
        <v>1117</v>
      </c>
      <c r="C198" s="281">
        <f t="shared" ref="C198" si="37">SUM(D198:M198)</f>
        <v>0</v>
      </c>
      <c r="D198" s="362"/>
      <c r="E198" s="363"/>
      <c r="F198" s="362"/>
      <c r="G198" s="363"/>
      <c r="H198" s="362"/>
      <c r="I198" s="363"/>
      <c r="J198" s="362"/>
      <c r="K198" s="363"/>
      <c r="L198" s="362"/>
      <c r="M198" s="363"/>
      <c r="N198" s="124"/>
      <c r="O198" s="124"/>
      <c r="P198" s="124"/>
      <c r="Q198" s="124"/>
      <c r="R198" s="124"/>
      <c r="S198" s="93"/>
    </row>
    <row r="199" spans="2:63" ht="14.25" customHeight="1" x14ac:dyDescent="0.25">
      <c r="B199" s="147" t="s">
        <v>411</v>
      </c>
      <c r="C199" s="281">
        <f>SUM(D199:M199)</f>
        <v>0</v>
      </c>
      <c r="D199" s="362"/>
      <c r="E199" s="363"/>
      <c r="F199" s="362"/>
      <c r="G199" s="363"/>
      <c r="H199" s="362"/>
      <c r="I199" s="363"/>
      <c r="J199" s="362"/>
      <c r="K199" s="363"/>
      <c r="L199" s="362"/>
      <c r="M199" s="363"/>
      <c r="N199" s="124"/>
      <c r="O199" s="124"/>
      <c r="P199" s="124"/>
      <c r="Q199" s="124"/>
      <c r="R199" s="124"/>
      <c r="S199" s="93"/>
    </row>
    <row r="200" spans="2:63" ht="14.25" hidden="1" customHeight="1" x14ac:dyDescent="0.25">
      <c r="B200" s="163" t="s">
        <v>417</v>
      </c>
      <c r="C200" s="281">
        <f>SUM(D200:M200)</f>
        <v>0</v>
      </c>
      <c r="D200" s="362"/>
      <c r="E200" s="363"/>
      <c r="F200" s="362"/>
      <c r="G200" s="363"/>
      <c r="H200" s="362"/>
      <c r="I200" s="363"/>
      <c r="J200" s="362"/>
      <c r="K200" s="363"/>
      <c r="L200" s="362"/>
      <c r="M200" s="363"/>
      <c r="N200" s="124"/>
      <c r="O200" s="124"/>
      <c r="P200" s="124"/>
      <c r="Q200" s="124"/>
      <c r="R200" s="124"/>
      <c r="S200" s="93"/>
    </row>
    <row r="201" spans="2:63" ht="14.25" customHeight="1" thickBot="1" x14ac:dyDescent="0.3">
      <c r="B201" s="164" t="str">
        <f>"Samlede "&amp;IF(MasterSheet_f_FP_CfgGroup1R3_VS,"program","projekt")&amp;"udgifter, ekskl. renter"</f>
        <v>Samlede projektudgifter, ekskl. renter</v>
      </c>
      <c r="C201" s="282">
        <f>SUM(C196:C200)</f>
        <v>0</v>
      </c>
      <c r="D201" s="545">
        <f>SUM(D196:E200)</f>
        <v>0</v>
      </c>
      <c r="E201" s="546"/>
      <c r="F201" s="545">
        <f>SUM(F196:G200)</f>
        <v>0</v>
      </c>
      <c r="G201" s="546"/>
      <c r="H201" s="545">
        <f>SUM(H196:I200)</f>
        <v>0</v>
      </c>
      <c r="I201" s="546"/>
      <c r="J201" s="545">
        <f>SUM(J196:K200)</f>
        <v>0</v>
      </c>
      <c r="K201" s="546"/>
      <c r="L201" s="545">
        <f>SUM(L196:M200)</f>
        <v>0</v>
      </c>
      <c r="M201" s="546"/>
      <c r="N201" s="124"/>
      <c r="O201" s="124"/>
      <c r="P201" s="124"/>
      <c r="Q201" s="124"/>
      <c r="R201" s="124"/>
      <c r="S201" s="93"/>
    </row>
    <row r="204" spans="2:63" ht="29.1" hidden="1" customHeight="1" x14ac:dyDescent="0.25"/>
    <row r="205" spans="2:63" ht="14.25" hidden="1" customHeight="1" x14ac:dyDescent="0.25"/>
    <row r="206" spans="2:63" ht="51.95" hidden="1" customHeight="1" thickBot="1" x14ac:dyDescent="0.3">
      <c r="B206" s="360" t="s">
        <v>443</v>
      </c>
      <c r="C206" s="360"/>
      <c r="D206" s="360"/>
      <c r="E206" s="360"/>
      <c r="F206" s="360"/>
      <c r="G206" s="361"/>
      <c r="H206" s="235">
        <v>2014</v>
      </c>
      <c r="I206" s="235">
        <v>2014</v>
      </c>
      <c r="J206" s="118"/>
      <c r="K206" s="118"/>
      <c r="L206" s="118"/>
      <c r="M206" s="118"/>
      <c r="N206" s="118"/>
      <c r="O206" s="118"/>
      <c r="P206" s="118"/>
      <c r="Q206" s="118"/>
      <c r="R206" s="118"/>
      <c r="S206" s="118"/>
      <c r="T206" s="118"/>
      <c r="U206" s="118"/>
      <c r="V206" s="118"/>
      <c r="W206" s="118"/>
      <c r="X206" s="118"/>
      <c r="Y206" s="118"/>
      <c r="Z206" s="118"/>
      <c r="AA206" s="118"/>
      <c r="AB206" s="118"/>
      <c r="AC206" s="118"/>
      <c r="AD206" s="118"/>
      <c r="AE206" s="118"/>
      <c r="AF206" s="118"/>
      <c r="AG206" s="118"/>
      <c r="AH206" s="118"/>
      <c r="AI206" s="118"/>
      <c r="AJ206" s="118"/>
      <c r="AK206" s="118"/>
      <c r="AL206" s="118"/>
      <c r="AM206" s="118"/>
      <c r="AN206" s="118"/>
      <c r="AO206" s="118"/>
      <c r="AP206" s="118"/>
      <c r="AQ206" s="118"/>
      <c r="AR206" s="118"/>
      <c r="AS206" s="118"/>
      <c r="AT206" s="118"/>
      <c r="AU206" s="118"/>
      <c r="AV206" s="118"/>
      <c r="AW206" s="118"/>
      <c r="AX206" s="118"/>
      <c r="AY206" s="118"/>
      <c r="AZ206" s="118"/>
      <c r="BA206" s="118"/>
      <c r="BB206" s="118"/>
      <c r="BC206" s="118"/>
      <c r="BD206" s="118"/>
      <c r="BE206" s="93"/>
      <c r="BF206" s="93"/>
      <c r="BG206" s="93"/>
      <c r="BH206" s="93"/>
      <c r="BI206" s="93"/>
      <c r="BJ206" s="93"/>
      <c r="BK206" s="93"/>
    </row>
    <row r="207" spans="2:63" ht="14.25" hidden="1" customHeight="1" x14ac:dyDescent="0.25">
      <c r="B207" s="369" t="s">
        <v>248</v>
      </c>
      <c r="C207" s="369"/>
      <c r="D207" s="369"/>
      <c r="E207" s="369"/>
      <c r="F207" s="369"/>
      <c r="G207" s="369"/>
      <c r="H207" s="236">
        <f ca="1">OFFSET(INDIRECT("Forside_f_FP_Main1OmkostTable_1_start",TRUE),ROWS(H207:INDIRECT("Businesscasen_f_BCM_subcat14_Table1_start",TRUE))-1,COLUMNS(H207:INDIRECT("Businesscasen_f_BCM_subcat14_Table1_start",TRUE))-1)</f>
        <v>0</v>
      </c>
      <c r="I207" s="236">
        <f ca="1">OFFSET(INDIRECT("Forside_f_FP_Main1OmkostTable_1_start",TRUE),ROWS(I207:INDIRECT("Businesscasen_f_BCM_subcat14_Table1_start",TRUE))-1,COLUMNS(I207:INDIRECT("Businesscasen_f_BCM_subcat14_Table1_start",TRUE))-1)</f>
        <v>0</v>
      </c>
      <c r="J207" s="118"/>
      <c r="K207" s="118"/>
      <c r="L207" s="118"/>
      <c r="M207" s="118"/>
      <c r="N207" s="118"/>
      <c r="O207" s="118"/>
      <c r="P207" s="118"/>
      <c r="Q207" s="118"/>
      <c r="R207" s="118"/>
      <c r="S207" s="118"/>
      <c r="T207" s="118"/>
      <c r="U207" s="118"/>
      <c r="V207" s="118"/>
      <c r="W207" s="118"/>
      <c r="X207" s="118"/>
      <c r="Y207" s="118"/>
      <c r="Z207" s="118"/>
      <c r="AA207" s="118"/>
      <c r="AB207" s="118"/>
      <c r="AC207" s="118"/>
      <c r="AD207" s="118"/>
      <c r="AE207" s="118"/>
      <c r="AF207" s="118"/>
      <c r="AG207" s="118"/>
      <c r="AH207" s="118"/>
      <c r="AI207" s="118"/>
      <c r="AJ207" s="118"/>
      <c r="AK207" s="118"/>
      <c r="AL207" s="118"/>
      <c r="AM207" s="118"/>
      <c r="AN207" s="118"/>
      <c r="AO207" s="118"/>
      <c r="AP207" s="118"/>
      <c r="AQ207" s="118"/>
      <c r="AR207" s="118"/>
      <c r="AS207" s="118"/>
      <c r="AT207" s="118"/>
      <c r="AU207" s="118"/>
      <c r="AV207" s="118"/>
      <c r="AW207" s="118"/>
      <c r="AX207" s="118"/>
      <c r="AY207" s="118"/>
      <c r="AZ207" s="118"/>
      <c r="BA207" s="118"/>
      <c r="BB207" s="118"/>
      <c r="BC207" s="118"/>
      <c r="BD207" s="118"/>
      <c r="BE207" s="93"/>
      <c r="BF207" s="93"/>
      <c r="BG207" s="93"/>
      <c r="BH207" s="93"/>
      <c r="BI207" s="93"/>
      <c r="BJ207" s="93"/>
      <c r="BK207" s="93"/>
    </row>
    <row r="208" spans="2:63" ht="14.25" hidden="1" customHeight="1" x14ac:dyDescent="0.25">
      <c r="B208" s="368"/>
      <c r="C208" s="368"/>
      <c r="D208" s="368"/>
      <c r="E208" s="368"/>
      <c r="F208" s="368"/>
      <c r="G208" s="368"/>
      <c r="H208" s="237"/>
      <c r="I208" s="237"/>
      <c r="J208" s="118"/>
      <c r="K208" s="118"/>
      <c r="L208" s="118"/>
      <c r="M208" s="118"/>
      <c r="N208" s="118"/>
      <c r="O208" s="118"/>
      <c r="P208" s="118"/>
      <c r="Q208" s="118"/>
      <c r="R208" s="118"/>
      <c r="S208" s="118"/>
      <c r="T208" s="118"/>
      <c r="U208" s="118"/>
      <c r="V208" s="118"/>
      <c r="W208" s="118"/>
      <c r="X208" s="118"/>
      <c r="Y208" s="118"/>
      <c r="Z208" s="118"/>
      <c r="AA208" s="118"/>
      <c r="AB208" s="118"/>
      <c r="AC208" s="118"/>
      <c r="AD208" s="118"/>
      <c r="AE208" s="118"/>
      <c r="AF208" s="118"/>
      <c r="AG208" s="118"/>
      <c r="AH208" s="118"/>
      <c r="AI208" s="118"/>
      <c r="AJ208" s="118"/>
      <c r="AK208" s="118"/>
      <c r="AL208" s="118"/>
      <c r="AM208" s="118"/>
      <c r="AN208" s="118"/>
      <c r="AO208" s="118"/>
      <c r="AP208" s="118"/>
      <c r="AQ208" s="118"/>
      <c r="AR208" s="118"/>
      <c r="AS208" s="118"/>
      <c r="AT208" s="118"/>
      <c r="AU208" s="118"/>
      <c r="AV208" s="118"/>
      <c r="AW208" s="118"/>
      <c r="AX208" s="118"/>
      <c r="AY208" s="118"/>
      <c r="AZ208" s="118"/>
      <c r="BA208" s="118"/>
      <c r="BB208" s="118"/>
      <c r="BC208" s="118"/>
      <c r="BD208" s="118"/>
      <c r="BE208" s="93"/>
      <c r="BF208" s="93"/>
      <c r="BG208" s="93"/>
      <c r="BH208" s="93"/>
      <c r="BI208" s="93"/>
      <c r="BJ208" s="93"/>
      <c r="BK208" s="93"/>
    </row>
    <row r="209" spans="2:63" ht="14.25" hidden="1" customHeight="1" x14ac:dyDescent="0.25">
      <c r="B209" s="368" t="s">
        <v>249</v>
      </c>
      <c r="C209" s="368"/>
      <c r="D209" s="368"/>
      <c r="E209" s="368"/>
      <c r="F209" s="368"/>
      <c r="G209" s="368"/>
      <c r="H209" s="237">
        <f ca="1">OFFSET(INDIRECT("Forside_f_FP_Main1OmkostTable_1_start",TRUE),ROWS(H209:INDIRECT("Businesscasen_f_BCM_subcat14_Table1_start",TRUE))-1,COLUMNS(H209:INDIRECT("Businesscasen_f_BCM_subcat14_Table1_start",TRUE))-1)</f>
        <v>0</v>
      </c>
      <c r="I209" s="237">
        <f ca="1">OFFSET(INDIRECT("Forside_f_FP_Main1OmkostTable_1_start",TRUE),ROWS(I209:INDIRECT("Businesscasen_f_BCM_subcat14_Table1_start",TRUE))-1,COLUMNS(I209:INDIRECT("Businesscasen_f_BCM_subcat14_Table1_start",TRUE))-1)</f>
        <v>0</v>
      </c>
      <c r="J209" s="118"/>
      <c r="K209" s="118"/>
      <c r="L209" s="118"/>
      <c r="M209" s="118"/>
      <c r="N209" s="118"/>
      <c r="O209" s="118"/>
      <c r="P209" s="118"/>
      <c r="Q209" s="118"/>
      <c r="R209" s="118"/>
      <c r="S209" s="118"/>
      <c r="T209" s="118"/>
      <c r="U209" s="118"/>
      <c r="V209" s="118"/>
      <c r="W209" s="118"/>
      <c r="X209" s="118"/>
      <c r="Y209" s="118"/>
      <c r="Z209" s="118"/>
      <c r="AA209" s="118"/>
      <c r="AB209" s="118"/>
      <c r="AC209" s="118"/>
      <c r="AD209" s="118"/>
      <c r="AE209" s="118"/>
      <c r="AF209" s="118"/>
      <c r="AG209" s="118"/>
      <c r="AH209" s="118"/>
      <c r="AI209" s="118"/>
      <c r="AJ209" s="118"/>
      <c r="AK209" s="118"/>
      <c r="AL209" s="118"/>
      <c r="AM209" s="118"/>
      <c r="AN209" s="118"/>
      <c r="AO209" s="118"/>
      <c r="AP209" s="118"/>
      <c r="AQ209" s="118"/>
      <c r="AR209" s="118"/>
      <c r="AS209" s="118"/>
      <c r="AT209" s="118"/>
      <c r="AU209" s="118"/>
      <c r="AV209" s="118"/>
      <c r="AW209" s="118"/>
      <c r="AX209" s="118"/>
      <c r="AY209" s="118"/>
      <c r="AZ209" s="118"/>
      <c r="BA209" s="118"/>
      <c r="BB209" s="118"/>
      <c r="BC209" s="118"/>
      <c r="BD209" s="118"/>
      <c r="BE209" s="93"/>
      <c r="BF209" s="93"/>
      <c r="BG209" s="93"/>
      <c r="BH209" s="93"/>
      <c r="BI209" s="93"/>
      <c r="BJ209" s="93"/>
      <c r="BK209" s="93"/>
    </row>
    <row r="210" spans="2:63" ht="14.25" hidden="1" customHeight="1" x14ac:dyDescent="0.25">
      <c r="B210" s="368"/>
      <c r="C210" s="368"/>
      <c r="D210" s="368"/>
      <c r="E210" s="368"/>
      <c r="F210" s="368"/>
      <c r="G210" s="368"/>
      <c r="H210" s="235"/>
      <c r="I210" s="235"/>
      <c r="J210" s="118"/>
      <c r="K210" s="118"/>
      <c r="L210" s="118"/>
      <c r="M210" s="118"/>
      <c r="N210" s="118"/>
      <c r="O210" s="118"/>
      <c r="P210" s="118"/>
      <c r="Q210" s="118"/>
      <c r="R210" s="118"/>
      <c r="S210" s="118"/>
      <c r="T210" s="118"/>
      <c r="U210" s="118"/>
      <c r="V210" s="118"/>
      <c r="W210" s="118"/>
      <c r="X210" s="118"/>
      <c r="Y210" s="118"/>
      <c r="Z210" s="118"/>
      <c r="AA210" s="118"/>
      <c r="AB210" s="118"/>
      <c r="AC210" s="118"/>
      <c r="AD210" s="118"/>
      <c r="AE210" s="118"/>
      <c r="AF210" s="118"/>
      <c r="AG210" s="118"/>
      <c r="AH210" s="118"/>
      <c r="AI210" s="118"/>
      <c r="AJ210" s="118"/>
      <c r="AK210" s="118"/>
      <c r="AL210" s="118"/>
      <c r="AM210" s="118"/>
      <c r="AN210" s="118"/>
      <c r="AO210" s="118"/>
      <c r="AP210" s="118"/>
      <c r="AQ210" s="118"/>
      <c r="AR210" s="118"/>
      <c r="AS210" s="118"/>
      <c r="AT210" s="118"/>
      <c r="AU210" s="118"/>
      <c r="AV210" s="118"/>
      <c r="AW210" s="118"/>
      <c r="AX210" s="118"/>
      <c r="AY210" s="118"/>
      <c r="AZ210" s="118"/>
      <c r="BA210" s="118"/>
      <c r="BB210" s="118"/>
      <c r="BC210" s="118"/>
      <c r="BD210" s="118"/>
      <c r="BE210" s="93"/>
      <c r="BF210" s="93"/>
      <c r="BG210" s="93"/>
      <c r="BH210" s="93"/>
      <c r="BI210" s="93"/>
      <c r="BJ210" s="93"/>
      <c r="BK210" s="93"/>
    </row>
    <row r="211" spans="2:63" ht="14.25" hidden="1" customHeight="1" x14ac:dyDescent="0.25">
      <c r="B211" s="368" t="s">
        <v>250</v>
      </c>
      <c r="C211" s="368"/>
      <c r="D211" s="368"/>
      <c r="E211" s="368"/>
      <c r="F211" s="368"/>
      <c r="G211" s="368"/>
      <c r="H211" s="235">
        <f ca="1">OFFSET(INDIRECT("Forside_f_FP_Main1OmkostTable_1_start",TRUE),ROWS(H211:INDIRECT("Businesscasen_f_BCM_subcat14_Table1_start",TRUE))-1,COLUMNS(H211:INDIRECT("Businesscasen_f_BCM_subcat14_Table1_start",TRUE))-1)</f>
        <v>0</v>
      </c>
      <c r="I211" s="235">
        <f ca="1">OFFSET(INDIRECT("Forside_f_FP_Main1OmkostTable_1_start",TRUE),ROWS(I211:INDIRECT("Businesscasen_f_BCM_subcat14_Table1_start",TRUE))-1,COLUMNS(I211:INDIRECT("Businesscasen_f_BCM_subcat14_Table1_start",TRUE))-1)</f>
        <v>0</v>
      </c>
      <c r="J211" s="118"/>
      <c r="K211" s="118"/>
      <c r="L211" s="118"/>
      <c r="M211" s="118"/>
      <c r="N211" s="118"/>
      <c r="O211" s="118"/>
      <c r="P211" s="118"/>
      <c r="Q211" s="118"/>
      <c r="R211" s="118"/>
      <c r="S211" s="118"/>
      <c r="T211" s="118"/>
      <c r="U211" s="118"/>
      <c r="V211" s="118"/>
      <c r="W211" s="118"/>
      <c r="X211" s="118"/>
      <c r="Y211" s="118"/>
      <c r="Z211" s="118"/>
      <c r="AA211" s="118"/>
      <c r="AB211" s="118"/>
      <c r="AC211" s="118"/>
      <c r="AD211" s="118"/>
      <c r="AE211" s="118"/>
      <c r="AF211" s="118"/>
      <c r="AG211" s="118"/>
      <c r="AH211" s="118"/>
      <c r="AI211" s="118"/>
      <c r="AJ211" s="118"/>
      <c r="AK211" s="118"/>
      <c r="AL211" s="118"/>
      <c r="AM211" s="118"/>
      <c r="AN211" s="118"/>
      <c r="AO211" s="118"/>
      <c r="AP211" s="118"/>
      <c r="AQ211" s="118"/>
      <c r="AR211" s="118"/>
      <c r="AS211" s="118"/>
      <c r="AT211" s="118"/>
      <c r="AU211" s="118"/>
      <c r="AV211" s="118"/>
      <c r="AW211" s="118"/>
      <c r="AX211" s="118"/>
      <c r="AY211" s="118"/>
      <c r="AZ211" s="118"/>
      <c r="BA211" s="118"/>
      <c r="BB211" s="118"/>
      <c r="BC211" s="118"/>
      <c r="BD211" s="118"/>
      <c r="BE211" s="93"/>
      <c r="BF211" s="93"/>
      <c r="BG211" s="93"/>
      <c r="BH211" s="93"/>
      <c r="BI211" s="93"/>
      <c r="BJ211" s="93"/>
      <c r="BK211" s="93"/>
    </row>
    <row r="212" spans="2:63" ht="14.25" hidden="1" customHeight="1" x14ac:dyDescent="0.25">
      <c r="B212" s="368" t="s">
        <v>80</v>
      </c>
      <c r="C212" s="368"/>
      <c r="D212" s="368"/>
      <c r="E212" s="368"/>
      <c r="F212" s="368"/>
      <c r="G212" s="368"/>
      <c r="H212" s="235">
        <f ca="1">OFFSET(INDIRECT("Forside_f_FP_Main1OmkostTable_1_start",TRUE),ROWS(H212:INDIRECT("Businesscasen_f_BCM_subcat14_Table1_start",TRUE))-1,COLUMNS(H212:INDIRECT("Businesscasen_f_BCM_subcat14_Table1_start",TRUE))-1)</f>
        <v>0</v>
      </c>
      <c r="I212" s="235">
        <f ca="1">OFFSET(INDIRECT("Forside_f_FP_Main1OmkostTable_1_start",TRUE),ROWS(I212:INDIRECT("Businesscasen_f_BCM_subcat14_Table1_start",TRUE))-1,COLUMNS(I212:INDIRECT("Businesscasen_f_BCM_subcat14_Table1_start",TRUE))-1)</f>
        <v>0</v>
      </c>
      <c r="J212" s="118"/>
      <c r="K212" s="118"/>
      <c r="L212" s="118"/>
      <c r="M212" s="118"/>
      <c r="N212" s="118"/>
      <c r="O212" s="118"/>
      <c r="P212" s="118"/>
      <c r="Q212" s="118"/>
      <c r="R212" s="118"/>
      <c r="S212" s="118"/>
      <c r="T212" s="118"/>
      <c r="U212" s="118"/>
      <c r="V212" s="118"/>
      <c r="W212" s="118"/>
      <c r="X212" s="118"/>
      <c r="Y212" s="118"/>
      <c r="Z212" s="118"/>
      <c r="AA212" s="118"/>
      <c r="AB212" s="118"/>
      <c r="AC212" s="118"/>
      <c r="AD212" s="118"/>
      <c r="AE212" s="118"/>
      <c r="AF212" s="118"/>
      <c r="AG212" s="118"/>
      <c r="AH212" s="118"/>
      <c r="AI212" s="118"/>
      <c r="AJ212" s="118"/>
      <c r="AK212" s="118"/>
      <c r="AL212" s="118"/>
      <c r="AM212" s="118"/>
      <c r="AN212" s="118"/>
      <c r="AO212" s="118"/>
      <c r="AP212" s="118"/>
      <c r="AQ212" s="118"/>
      <c r="AR212" s="118"/>
      <c r="AS212" s="118"/>
      <c r="AT212" s="118"/>
      <c r="AU212" s="118"/>
      <c r="AV212" s="118"/>
      <c r="AW212" s="118"/>
      <c r="AX212" s="118"/>
      <c r="AY212" s="118"/>
      <c r="AZ212" s="118"/>
      <c r="BA212" s="118"/>
      <c r="BB212" s="118"/>
      <c r="BC212" s="118"/>
      <c r="BD212" s="118"/>
      <c r="BE212" s="93"/>
      <c r="BF212" s="93"/>
      <c r="BG212" s="93"/>
      <c r="BH212" s="93"/>
      <c r="BI212" s="93"/>
      <c r="BJ212" s="93"/>
      <c r="BK212" s="93"/>
    </row>
    <row r="213" spans="2:63" ht="14.25" hidden="1" customHeight="1" x14ac:dyDescent="0.25">
      <c r="B213" s="368" t="s">
        <v>251</v>
      </c>
      <c r="C213" s="368"/>
      <c r="D213" s="368"/>
      <c r="E213" s="368"/>
      <c r="F213" s="368"/>
      <c r="G213" s="368"/>
      <c r="H213" s="235">
        <f ca="1">OFFSET(INDIRECT("Forside_f_FP_Main1OmkostTable_1_start",TRUE),ROWS(H213:INDIRECT("Businesscasen_f_BCM_subcat14_Table1_start",TRUE))-1,COLUMNS(H213:INDIRECT("Businesscasen_f_BCM_subcat14_Table1_start",TRUE))-1)</f>
        <v>0</v>
      </c>
      <c r="I213" s="235">
        <f ca="1">OFFSET(INDIRECT("Forside_f_FP_Main1OmkostTable_1_start",TRUE),ROWS(I213:INDIRECT("Businesscasen_f_BCM_subcat14_Table1_start",TRUE))-1,COLUMNS(I213:INDIRECT("Businesscasen_f_BCM_subcat14_Table1_start",TRUE))-1)</f>
        <v>0</v>
      </c>
      <c r="J213" s="118"/>
      <c r="K213" s="118"/>
      <c r="L213" s="118"/>
      <c r="M213" s="118"/>
      <c r="N213" s="118"/>
      <c r="O213" s="118"/>
      <c r="P213" s="118"/>
      <c r="Q213" s="118"/>
      <c r="R213" s="118"/>
      <c r="S213" s="118"/>
      <c r="T213" s="118"/>
      <c r="U213" s="118"/>
      <c r="V213" s="118"/>
      <c r="W213" s="118"/>
      <c r="X213" s="118"/>
      <c r="Y213" s="118"/>
      <c r="Z213" s="118"/>
      <c r="AA213" s="118"/>
      <c r="AB213" s="118"/>
      <c r="AC213" s="118"/>
      <c r="AD213" s="118"/>
      <c r="AE213" s="118"/>
      <c r="AF213" s="118"/>
      <c r="AG213" s="118"/>
      <c r="AH213" s="118"/>
      <c r="AI213" s="118"/>
      <c r="AJ213" s="118"/>
      <c r="AK213" s="118"/>
      <c r="AL213" s="118"/>
      <c r="AM213" s="118"/>
      <c r="AN213" s="118"/>
      <c r="AO213" s="118"/>
      <c r="AP213" s="118"/>
      <c r="AQ213" s="118"/>
      <c r="AR213" s="118"/>
      <c r="AS213" s="118"/>
      <c r="AT213" s="118"/>
      <c r="AU213" s="118"/>
      <c r="AV213" s="118"/>
      <c r="AW213" s="118"/>
      <c r="AX213" s="118"/>
      <c r="AY213" s="118"/>
      <c r="AZ213" s="118"/>
      <c r="BA213" s="118"/>
      <c r="BB213" s="118"/>
      <c r="BC213" s="118"/>
      <c r="BD213" s="118"/>
      <c r="BE213" s="93"/>
      <c r="BF213" s="93"/>
      <c r="BG213" s="93"/>
      <c r="BH213" s="93"/>
      <c r="BI213" s="93"/>
      <c r="BJ213" s="93"/>
      <c r="BK213" s="93"/>
    </row>
    <row r="214" spans="2:63" ht="14.25" hidden="1" customHeight="1" x14ac:dyDescent="0.25">
      <c r="B214" s="368" t="s">
        <v>252</v>
      </c>
      <c r="C214" s="368"/>
      <c r="D214" s="368"/>
      <c r="E214" s="368"/>
      <c r="F214" s="368"/>
      <c r="G214" s="368"/>
      <c r="H214" s="235">
        <f ca="1">OFFSET(INDIRECT("Forside_f_FP_Main1OmkostTable_1_start",TRUE),ROWS(H214:INDIRECT("Businesscasen_f_BCM_subcat14_Table1_start",TRUE))-1,COLUMNS(H214:INDIRECT("Businesscasen_f_BCM_subcat14_Table1_start",TRUE))-1)</f>
        <v>0</v>
      </c>
      <c r="I214" s="235">
        <f ca="1">OFFSET(INDIRECT("Forside_f_FP_Main1OmkostTable_1_start",TRUE),ROWS(I214:INDIRECT("Businesscasen_f_BCM_subcat14_Table1_start",TRUE))-1,COLUMNS(I214:INDIRECT("Businesscasen_f_BCM_subcat14_Table1_start",TRUE))-1)</f>
        <v>0</v>
      </c>
      <c r="J214" s="118"/>
      <c r="K214" s="118"/>
      <c r="L214" s="118"/>
      <c r="M214" s="118"/>
      <c r="N214" s="118"/>
      <c r="O214" s="118"/>
      <c r="P214" s="118"/>
      <c r="Q214" s="118"/>
      <c r="R214" s="118"/>
      <c r="S214" s="118"/>
      <c r="T214" s="118"/>
      <c r="U214" s="118"/>
      <c r="V214" s="118"/>
      <c r="W214" s="118"/>
      <c r="X214" s="118"/>
      <c r="Y214" s="118"/>
      <c r="Z214" s="118"/>
      <c r="AA214" s="118"/>
      <c r="AB214" s="118"/>
      <c r="AC214" s="118"/>
      <c r="AD214" s="118"/>
      <c r="AE214" s="118"/>
      <c r="AF214" s="118"/>
      <c r="AG214" s="118"/>
      <c r="AH214" s="118"/>
      <c r="AI214" s="118"/>
      <c r="AJ214" s="118"/>
      <c r="AK214" s="118"/>
      <c r="AL214" s="118"/>
      <c r="AM214" s="118"/>
      <c r="AN214" s="118"/>
      <c r="AO214" s="118"/>
      <c r="AP214" s="118"/>
      <c r="AQ214" s="118"/>
      <c r="AR214" s="118"/>
      <c r="AS214" s="118"/>
      <c r="AT214" s="118"/>
      <c r="AU214" s="118"/>
      <c r="AV214" s="118"/>
      <c r="AW214" s="118"/>
      <c r="AX214" s="118"/>
      <c r="AY214" s="118"/>
      <c r="AZ214" s="118"/>
      <c r="BA214" s="118"/>
      <c r="BB214" s="118"/>
      <c r="BC214" s="118"/>
      <c r="BD214" s="118"/>
      <c r="BE214" s="93"/>
      <c r="BF214" s="93"/>
      <c r="BG214" s="93"/>
      <c r="BH214" s="93"/>
      <c r="BI214" s="93"/>
      <c r="BJ214" s="93"/>
      <c r="BK214" s="93"/>
    </row>
    <row r="215" spans="2:63" ht="14.25" hidden="1" customHeight="1" x14ac:dyDescent="0.25">
      <c r="B215" s="368"/>
      <c r="C215" s="368"/>
      <c r="D215" s="368"/>
      <c r="E215" s="368"/>
      <c r="F215" s="368"/>
      <c r="G215" s="368"/>
      <c r="H215" s="235"/>
      <c r="I215" s="235"/>
      <c r="J215" s="118"/>
      <c r="K215" s="118"/>
      <c r="L215" s="118"/>
      <c r="M215" s="118"/>
      <c r="N215" s="118"/>
      <c r="O215" s="118"/>
      <c r="P215" s="118"/>
      <c r="Q215" s="118"/>
      <c r="R215" s="118"/>
      <c r="S215" s="118"/>
      <c r="T215" s="118"/>
      <c r="U215" s="118"/>
      <c r="V215" s="118"/>
      <c r="W215" s="118"/>
      <c r="X215" s="118"/>
      <c r="Y215" s="118"/>
      <c r="Z215" s="118"/>
      <c r="AA215" s="118"/>
      <c r="AB215" s="118"/>
      <c r="AC215" s="118"/>
      <c r="AD215" s="118"/>
      <c r="AE215" s="118"/>
      <c r="AF215" s="118"/>
      <c r="AG215" s="118"/>
      <c r="AH215" s="118"/>
      <c r="AI215" s="118"/>
      <c r="AJ215" s="118"/>
      <c r="AK215" s="118"/>
      <c r="AL215" s="118"/>
      <c r="AM215" s="118"/>
      <c r="AN215" s="118"/>
      <c r="AO215" s="118"/>
      <c r="AP215" s="118"/>
      <c r="AQ215" s="118"/>
      <c r="AR215" s="118"/>
      <c r="AS215" s="118"/>
      <c r="AT215" s="118"/>
      <c r="AU215" s="118"/>
      <c r="AV215" s="118"/>
      <c r="AW215" s="118"/>
      <c r="AX215" s="118"/>
      <c r="AY215" s="118"/>
      <c r="AZ215" s="118"/>
      <c r="BA215" s="118"/>
      <c r="BB215" s="118"/>
      <c r="BC215" s="118"/>
      <c r="BD215" s="118"/>
      <c r="BE215" s="93"/>
      <c r="BF215" s="93"/>
      <c r="BG215" s="93"/>
      <c r="BH215" s="93"/>
      <c r="BI215" s="93"/>
      <c r="BJ215" s="93"/>
      <c r="BK215" s="93"/>
    </row>
    <row r="216" spans="2:63" ht="14.25" hidden="1" customHeight="1" x14ac:dyDescent="0.25">
      <c r="B216" s="368" t="s">
        <v>81</v>
      </c>
      <c r="C216" s="368"/>
      <c r="D216" s="368"/>
      <c r="E216" s="368"/>
      <c r="F216" s="368"/>
      <c r="G216" s="368"/>
      <c r="H216" s="237">
        <f ca="1">OFFSET(INDIRECT("Forside_f_FP_Main1OmkostTable_1_start",TRUE),ROWS(H216:INDIRECT("Businesscasen_f_BCM_subcat14_Table1_start",TRUE))-1,COLUMNS(H216:INDIRECT("Businesscasen_f_BCM_subcat14_Table1_start",TRUE))-1)</f>
        <v>0</v>
      </c>
      <c r="I216" s="237">
        <f ca="1">OFFSET(INDIRECT("Forside_f_FP_Main1OmkostTable_1_start",TRUE),ROWS(I216:INDIRECT("Businesscasen_f_BCM_subcat14_Table1_start",TRUE))-1,COLUMNS(I216:INDIRECT("Businesscasen_f_BCM_subcat14_Table1_start",TRUE))-1)</f>
        <v>0</v>
      </c>
      <c r="J216" s="118"/>
      <c r="K216" s="118"/>
      <c r="L216" s="118"/>
      <c r="M216" s="118"/>
      <c r="N216" s="118"/>
      <c r="O216" s="118"/>
      <c r="P216" s="118"/>
      <c r="Q216" s="118"/>
      <c r="R216" s="118"/>
      <c r="S216" s="118"/>
      <c r="T216" s="118"/>
      <c r="U216" s="118"/>
      <c r="V216" s="118"/>
      <c r="W216" s="118"/>
      <c r="X216" s="118"/>
      <c r="Y216" s="118"/>
      <c r="Z216" s="118"/>
      <c r="AA216" s="118"/>
      <c r="AB216" s="118"/>
      <c r="AC216" s="118"/>
      <c r="AD216" s="118"/>
      <c r="AE216" s="118"/>
      <c r="AF216" s="118"/>
      <c r="AG216" s="118"/>
      <c r="AH216" s="118"/>
      <c r="AI216" s="118"/>
      <c r="AJ216" s="118"/>
      <c r="AK216" s="118"/>
      <c r="AL216" s="118"/>
      <c r="AM216" s="118"/>
      <c r="AN216" s="118"/>
      <c r="AO216" s="118"/>
      <c r="AP216" s="118"/>
      <c r="AQ216" s="118"/>
      <c r="AR216" s="118"/>
      <c r="AS216" s="118"/>
      <c r="AT216" s="118"/>
      <c r="AU216" s="118"/>
      <c r="AV216" s="118"/>
      <c r="AW216" s="118"/>
      <c r="AX216" s="118"/>
      <c r="AY216" s="118"/>
      <c r="AZ216" s="118"/>
      <c r="BA216" s="118"/>
      <c r="BB216" s="118"/>
      <c r="BC216" s="118"/>
      <c r="BD216" s="118"/>
      <c r="BE216" s="93"/>
      <c r="BF216" s="93"/>
      <c r="BG216" s="93"/>
      <c r="BH216" s="93"/>
      <c r="BI216" s="93"/>
      <c r="BJ216" s="93"/>
      <c r="BK216" s="93"/>
    </row>
    <row r="217" spans="2:63" ht="14.25" hidden="1" customHeight="1" x14ac:dyDescent="0.25">
      <c r="B217" s="368"/>
      <c r="C217" s="368"/>
      <c r="D217" s="368"/>
      <c r="E217" s="368"/>
      <c r="F217" s="368"/>
      <c r="G217" s="368"/>
      <c r="H217" s="235"/>
      <c r="I217" s="235"/>
      <c r="J217" s="118"/>
      <c r="K217" s="118"/>
      <c r="L217" s="118"/>
      <c r="M217" s="118"/>
      <c r="N217" s="118"/>
      <c r="O217" s="118"/>
      <c r="P217" s="118"/>
      <c r="Q217" s="118"/>
      <c r="R217" s="118"/>
      <c r="S217" s="118"/>
      <c r="T217" s="118"/>
      <c r="U217" s="118"/>
      <c r="V217" s="118"/>
      <c r="W217" s="118"/>
      <c r="X217" s="118"/>
      <c r="Y217" s="118"/>
      <c r="Z217" s="118"/>
      <c r="AA217" s="118"/>
      <c r="AB217" s="118"/>
      <c r="AC217" s="118"/>
      <c r="AD217" s="118"/>
      <c r="AE217" s="118"/>
      <c r="AF217" s="118"/>
      <c r="AG217" s="118"/>
      <c r="AH217" s="118"/>
      <c r="AI217" s="118"/>
      <c r="AJ217" s="118"/>
      <c r="AK217" s="118"/>
      <c r="AL217" s="118"/>
      <c r="AM217" s="118"/>
      <c r="AN217" s="118"/>
      <c r="AO217" s="118"/>
      <c r="AP217" s="118"/>
      <c r="AQ217" s="118"/>
      <c r="AR217" s="118"/>
      <c r="AS217" s="118"/>
      <c r="AT217" s="118"/>
      <c r="AU217" s="118"/>
      <c r="AV217" s="118"/>
      <c r="AW217" s="118"/>
      <c r="AX217" s="118"/>
      <c r="AY217" s="118"/>
      <c r="AZ217" s="118"/>
      <c r="BA217" s="118"/>
      <c r="BB217" s="118"/>
      <c r="BC217" s="118"/>
      <c r="BD217" s="118"/>
      <c r="BE217" s="93"/>
      <c r="BF217" s="93"/>
      <c r="BG217" s="93"/>
      <c r="BH217" s="93"/>
      <c r="BI217" s="93"/>
      <c r="BJ217" s="93"/>
      <c r="BK217" s="93"/>
    </row>
    <row r="218" spans="2:63" ht="14.25" hidden="1" customHeight="1" x14ac:dyDescent="0.25">
      <c r="B218" s="368" t="s">
        <v>82</v>
      </c>
      <c r="C218" s="368"/>
      <c r="D218" s="368"/>
      <c r="E218" s="368"/>
      <c r="F218" s="368"/>
      <c r="G218" s="368"/>
      <c r="H218" s="235">
        <f ca="1">OFFSET(INDIRECT("Forside_f_FP_Main1OmkostTable_1_start",TRUE),ROWS(H218:INDIRECT("Businesscasen_f_BCM_subcat14_Table1_start",TRUE))-1,COLUMNS(H218:INDIRECT("Businesscasen_f_BCM_subcat14_Table1_start",TRUE))-1)</f>
        <v>0</v>
      </c>
      <c r="I218" s="235">
        <f ca="1">OFFSET(INDIRECT("Forside_f_FP_Main1OmkostTable_1_start",TRUE),ROWS(I218:INDIRECT("Businesscasen_f_BCM_subcat14_Table1_start",TRUE))-1,COLUMNS(I218:INDIRECT("Businesscasen_f_BCM_subcat14_Table1_start",TRUE))-1)</f>
        <v>0</v>
      </c>
      <c r="J218" s="118"/>
      <c r="K218" s="118"/>
      <c r="L218" s="118"/>
      <c r="M218" s="118"/>
      <c r="N218" s="118"/>
      <c r="O218" s="118"/>
      <c r="P218" s="118"/>
      <c r="Q218" s="118"/>
      <c r="R218" s="118"/>
      <c r="S218" s="118"/>
      <c r="T218" s="118"/>
      <c r="U218" s="118"/>
      <c r="V218" s="118"/>
      <c r="W218" s="118"/>
      <c r="X218" s="118"/>
      <c r="Y218" s="118"/>
      <c r="Z218" s="118"/>
      <c r="AA218" s="118"/>
      <c r="AB218" s="118"/>
      <c r="AC218" s="118"/>
      <c r="AD218" s="118"/>
      <c r="AE218" s="118"/>
      <c r="AF218" s="118"/>
      <c r="AG218" s="118"/>
      <c r="AH218" s="118"/>
      <c r="AI218" s="118"/>
      <c r="AJ218" s="118"/>
      <c r="AK218" s="118"/>
      <c r="AL218" s="118"/>
      <c r="AM218" s="118"/>
      <c r="AN218" s="118"/>
      <c r="AO218" s="118"/>
      <c r="AP218" s="118"/>
      <c r="AQ218" s="118"/>
      <c r="AR218" s="118"/>
      <c r="AS218" s="118"/>
      <c r="AT218" s="118"/>
      <c r="AU218" s="118"/>
      <c r="AV218" s="118"/>
      <c r="AW218" s="118"/>
      <c r="AX218" s="118"/>
      <c r="AY218" s="118"/>
      <c r="AZ218" s="118"/>
      <c r="BA218" s="118"/>
      <c r="BB218" s="118"/>
      <c r="BC218" s="118"/>
      <c r="BD218" s="118"/>
      <c r="BE218" s="93"/>
      <c r="BF218" s="93"/>
      <c r="BG218" s="93"/>
      <c r="BH218" s="93"/>
      <c r="BI218" s="93"/>
      <c r="BJ218" s="93"/>
      <c r="BK218" s="93"/>
    </row>
    <row r="219" spans="2:63" ht="14.25" hidden="1" customHeight="1" x14ac:dyDescent="0.25">
      <c r="B219" s="547" t="s">
        <v>83</v>
      </c>
      <c r="C219" s="547"/>
      <c r="D219" s="547"/>
      <c r="E219" s="547"/>
      <c r="F219" s="547"/>
      <c r="G219" s="547"/>
      <c r="H219" s="238">
        <f ca="1">OFFSET(INDIRECT("Forside_f_FP_Main1OmkostTable_1_start",TRUE),ROWS(H219:INDIRECT("Businesscasen_f_BCM_subcat14_Table1_start",TRUE))-1,COLUMNS(H219:INDIRECT("Businesscasen_f_BCM_subcat14_Table1_start",TRUE))-1)</f>
        <v>0</v>
      </c>
      <c r="I219" s="238">
        <f ca="1">OFFSET(INDIRECT("Forside_f_FP_Main1OmkostTable_1_start",TRUE),ROWS(I219:INDIRECT("Businesscasen_f_BCM_subcat14_Table1_start",TRUE))-1,COLUMNS(I219:INDIRECT("Businesscasen_f_BCM_subcat14_Table1_start",TRUE))-1)</f>
        <v>0</v>
      </c>
      <c r="J219" s="118"/>
      <c r="K219" s="118"/>
      <c r="L219" s="118"/>
      <c r="M219" s="118"/>
      <c r="N219" s="118"/>
      <c r="O219" s="118"/>
      <c r="P219" s="118"/>
      <c r="Q219" s="118"/>
      <c r="R219" s="118"/>
      <c r="S219" s="118"/>
      <c r="T219" s="118"/>
      <c r="U219" s="118"/>
      <c r="V219" s="118"/>
      <c r="W219" s="118"/>
      <c r="X219" s="118"/>
      <c r="Y219" s="118"/>
      <c r="Z219" s="118"/>
      <c r="AA219" s="118"/>
      <c r="AB219" s="118"/>
      <c r="AC219" s="118"/>
      <c r="AD219" s="118"/>
      <c r="AE219" s="118"/>
      <c r="AF219" s="118"/>
      <c r="AG219" s="118"/>
      <c r="AH219" s="118"/>
      <c r="AI219" s="118"/>
      <c r="AJ219" s="118"/>
      <c r="AK219" s="118"/>
      <c r="AL219" s="118"/>
      <c r="AM219" s="118"/>
      <c r="AN219" s="118"/>
      <c r="AO219" s="118"/>
      <c r="AP219" s="118"/>
      <c r="AQ219" s="118"/>
      <c r="AR219" s="118"/>
      <c r="AS219" s="118"/>
      <c r="AT219" s="118"/>
      <c r="AU219" s="118"/>
      <c r="AV219" s="118"/>
      <c r="AW219" s="118"/>
      <c r="AX219" s="118"/>
      <c r="AY219" s="118"/>
      <c r="AZ219" s="118"/>
      <c r="BA219" s="118"/>
      <c r="BB219" s="118"/>
      <c r="BC219" s="118"/>
      <c r="BD219" s="118"/>
      <c r="BE219" s="93"/>
      <c r="BF219" s="93"/>
      <c r="BG219" s="93"/>
      <c r="BH219" s="93"/>
      <c r="BI219" s="93"/>
      <c r="BJ219" s="93"/>
      <c r="BK219" s="93"/>
    </row>
    <row r="220" spans="2:63" ht="14.25" hidden="1" customHeight="1" x14ac:dyDescent="0.25"/>
    <row r="221" spans="2:63" ht="14.25" hidden="1" customHeight="1" x14ac:dyDescent="0.25"/>
    <row r="222" spans="2:63" ht="29.1" customHeight="1" x14ac:dyDescent="0.25"/>
    <row r="224" spans="2:63" ht="51.95" customHeight="1" thickBot="1" x14ac:dyDescent="0.3">
      <c r="B224" s="548" t="s">
        <v>1590</v>
      </c>
      <c r="C224" s="548"/>
      <c r="D224" s="549" t="s">
        <v>74</v>
      </c>
      <c r="E224" s="550"/>
      <c r="F224" s="549" t="s">
        <v>75</v>
      </c>
      <c r="G224" s="550"/>
      <c r="H224" s="549" t="s">
        <v>76</v>
      </c>
      <c r="I224" s="550"/>
      <c r="J224" s="549" t="s">
        <v>77</v>
      </c>
      <c r="K224" s="550"/>
    </row>
    <row r="225" spans="2:11" ht="2.1" customHeight="1" x14ac:dyDescent="0.25">
      <c r="B225" s="132"/>
      <c r="C225" s="147"/>
      <c r="D225" s="552"/>
      <c r="E225" s="553"/>
      <c r="F225" s="554"/>
      <c r="G225" s="555"/>
      <c r="H225" s="554"/>
      <c r="I225" s="555"/>
      <c r="J225" s="554"/>
      <c r="K225" s="555"/>
    </row>
    <row r="226" spans="2:11" ht="14.1" customHeight="1" x14ac:dyDescent="0.25">
      <c r="B226" s="132" t="s">
        <v>628</v>
      </c>
      <c r="C226" s="147"/>
      <c r="D226" s="397">
        <f ca="1">NPV(MasterSheet_f_NPVDiscount,OFFSET(Businesscasen_f_BCM_subcat18_Table1_start,MATCH("Virksomhedsøkonomi samlet nettogevinst",OFFSET(Businesscasen_f_BCM_subcat18_Table1_start,0,0,ROWS(Businesscasen_f_BCM_subcat18_Table1_start:Businesscasen_f_BCM_subcat18_Table1_end),1),0),4,1,50))</f>
        <v>0</v>
      </c>
      <c r="E226" s="398"/>
      <c r="F226" s="397">
        <f ca="1">NPV(MasterSheet_f_NPVDiscount,OFFSET(Businesscasen_f_BCM_subcat18_Table1_start,MATCH("Virksomhedsøkonomi samlet nettogevinst",OFFSET(Businesscasen_f_BCM_subcat18_Table1_start,0,0,ROWS(Businesscasen_f_BCM_subcat18_Table1_start:Businesscasen_f_BCM_subcat18_Table1_end),1),0)+1,4,1,50))</f>
        <v>0</v>
      </c>
      <c r="G226" s="398"/>
      <c r="H226" s="397">
        <f ca="1">NPV(MasterSheet_f_NPVDiscount,OFFSET(Businesscasen_f_BCM_subcat18_Table1_start,MATCH("Virksomhedsøkonomi samlet nettogevinst",OFFSET(Businesscasen_f_BCM_subcat18_Table1_start,0,0,ROWS(Businesscasen_f_BCM_subcat18_Table1_start:Businesscasen_f_BCM_subcat18_Table1_end),1),0)+3,4,1,50))</f>
        <v>0</v>
      </c>
      <c r="I226" s="398"/>
      <c r="J226" s="397">
        <f ca="1">NPV(MasterSheet_f_NPVDiscount,OFFSET(Businesscasen_f_BCM_subcat18_Table1_start,MATCH("Virksomhedsøkonomi samlet nettogevinst",OFFSET(Businesscasen_f_BCM_subcat18_Table1_start,0,0,ROWS(Businesscasen_f_BCM_subcat18_Table1_start:Businesscasen_f_BCM_subcat18_Table1_end),1),0)+2,4,1,50))</f>
        <v>0</v>
      </c>
      <c r="K226" s="398"/>
    </row>
    <row r="227" spans="2:11" ht="14.1" customHeight="1" x14ac:dyDescent="0.25">
      <c r="B227" s="132" t="s">
        <v>629</v>
      </c>
      <c r="C227" s="147"/>
      <c r="D227" s="397">
        <f ca="1">OFFSET(Businesscasen_f_BCM_subcat18_Table1_start,MATCH(IF(MasterSheet_f_FP_CfgGroup1R3_VS,"Program","Projekt")&amp;"udgifter",OFFSET(Businesscasen_f_BCM_subcat18_Table1_start,0,0,ROWS(Businesscasen_f_BCM_subcat18_Table1_start:Businesscasen_f_BCM_subcat18_Table1_end),1),0),3)</f>
        <v>0</v>
      </c>
      <c r="E227" s="398"/>
      <c r="F227" s="397">
        <f ca="1">OFFSET(Businesscasen_f_BCM_subcat18_Table1_start,MATCH(IF(MasterSheet_f_FP_CfgGroup1R3_VS,"Program","Projekt")&amp;"udgifter",OFFSET(Businesscasen_f_BCM_subcat18_Table1_start,0,0,ROWS(Businesscasen_f_BCM_subcat18_Table1_start:Businesscasen_f_BCM_subcat18_Table1_end),1),0)+1,3)</f>
        <v>0</v>
      </c>
      <c r="G227" s="398"/>
      <c r="H227" s="397">
        <f ca="1">OFFSET(Businesscasen_f_BCM_subcat18_Table1_start,MATCH(IF(MasterSheet_f_FP_CfgGroup1R3_VS,"Program","Projekt")&amp;"udgifter",OFFSET(Businesscasen_f_BCM_subcat18_Table1_start,0,0,ROWS(Businesscasen_f_BCM_subcat18_Table1_start:Businesscasen_f_BCM_subcat18_Table1_end),1),0)+3,3)</f>
        <v>0</v>
      </c>
      <c r="I227" s="398"/>
      <c r="J227" s="397">
        <f ca="1">OFFSET(Businesscasen_f_BCM_subcat18_Table1_start,MATCH(IF(MasterSheet_f_FP_CfgGroup1R3_VS,"Program","Projekt")&amp;"udgifter",OFFSET(Businesscasen_f_BCM_subcat18_Table1_start,0,0,ROWS(Businesscasen_f_BCM_subcat18_Table1_start:Businesscasen_f_BCM_subcat18_Table1_end),1),0)+2,3)</f>
        <v>0</v>
      </c>
      <c r="K227" s="398"/>
    </row>
    <row r="228" spans="2:11" ht="14.1" customHeight="1" x14ac:dyDescent="0.25">
      <c r="B228" s="132" t="str">
        <f>"3. Drift uden "&amp;IF(MasterSheet_f_FP_CfgGroup1R3_VS,"program","projekt")</f>
        <v>3. Drift uden projekt</v>
      </c>
      <c r="C228" s="147"/>
      <c r="D228" s="397">
        <f ca="1">OFFSET(Businesscasen_f_BCM_subcat18_Table1_start,MATCH("Drift - fremtidig uden "&amp;IF(MasterSheet_f_FP_CfgGroup1R3_VS,"program","projekt"),OFFSET(Businesscasen_f_BCM_subcat18_Table1_start,0,0,ROWS(Businesscasen_f_BCM_subcat18_Table1_start:Businesscasen_f_BCM_subcat18_Table1_end),1),0),3)+OFFSET(Businesscasen_f_BCM_subcat18_Table1_start,47,3)</f>
        <v>0</v>
      </c>
      <c r="E228" s="398"/>
      <c r="F228" s="397">
        <f ca="1">OFFSET(Businesscasen_f_BCM_subcat18_Table1_start,MATCH("Drift - fremtidig uden "&amp;IF(MasterSheet_f_FP_CfgGroup1R3_VS,"program","projekt"),OFFSET(Businesscasen_f_BCM_subcat18_Table1_start,0,0,ROWS(Businesscasen_f_BCM_subcat18_Table1_start:Businesscasen_f_BCM_subcat18_Table1_end),1),0)+1,3)+OFFSET(Businesscasen_f_BCM_subcat18_Table1_start,48,3)</f>
        <v>0</v>
      </c>
      <c r="G228" s="398"/>
      <c r="H228" s="397">
        <f ca="1">OFFSET(Businesscasen_f_BCM_subcat18_Table1_start,MATCH("Drift - fremtidig uden "&amp;IF(MasterSheet_f_FP_CfgGroup1R3_VS,"program","projekt"),OFFSET(Businesscasen_f_BCM_subcat18_Table1_start,0,0,ROWS(Businesscasen_f_BCM_subcat18_Table1_start:Businesscasen_f_BCM_subcat18_Table1_end),1),0)+3,3)+OFFSET(Businesscasen_f_BCM_subcat18_Table1_start,49,3)</f>
        <v>0</v>
      </c>
      <c r="I228" s="398"/>
      <c r="J228" s="397">
        <f ca="1">OFFSET(Businesscasen_f_BCM_subcat18_Table1_start,MATCH("Drift - fremtidig uden "&amp;IF(MasterSheet_f_FP_CfgGroup1R3_VS,"program","projekt"),OFFSET(Businesscasen_f_BCM_subcat18_Table1_start,0,0,ROWS(Businesscasen_f_BCM_subcat18_Table1_start:Businesscasen_f_BCM_subcat18_Table1_end),1),0)+2,3)+OFFSET(Businesscasen_f_BCM_subcat18_Table1_start,50,3)</f>
        <v>0</v>
      </c>
      <c r="K228" s="398"/>
    </row>
    <row r="229" spans="2:11" ht="14.1" customHeight="1" x14ac:dyDescent="0.25">
      <c r="B229" s="132" t="str">
        <f>"4. Drift med "&amp;IF(MasterSheet_f_FP_CfgGroup1R3_VS,"program","projekt")</f>
        <v>4. Drift med projekt</v>
      </c>
      <c r="C229" s="147"/>
      <c r="D229" s="397">
        <f ca="1">OFFSET(Businesscasen_f_BCM_subcat18_Table1_start,MATCH("Drift - med "&amp;IF(MasterSheet_f_FP_CfgGroup1R3_VS,"program","projekt"),OFFSET(Businesscasen_f_BCM_subcat18_Table1_start,0,0,ROWS(Businesscasen_f_BCM_subcat18_Table1_start:Businesscasen_f_BCM_subcat18_Table1_end),1),0),3)+OFFSET(Businesscasen_f_BCM_subcat18_Table1_start,41,3)</f>
        <v>0</v>
      </c>
      <c r="E229" s="398"/>
      <c r="F229" s="397">
        <f ca="1">OFFSET(Businesscasen_f_BCM_subcat18_Table1_start,MATCH("Drift - med "&amp;IF(MasterSheet_f_FP_CfgGroup1R3_VS,"program","projekt"),OFFSET(Businesscasen_f_BCM_subcat18_Table1_start,0,0,ROWS(Businesscasen_f_BCM_subcat18_Table1_start:Businesscasen_f_BCM_subcat18_Table1_end),1),0)+1,3)+OFFSET(Businesscasen_f_BCM_subcat18_Table1_start,42,3)</f>
        <v>0</v>
      </c>
      <c r="G229" s="398"/>
      <c r="H229" s="397">
        <f ca="1">OFFSET(Businesscasen_f_BCM_subcat18_Table1_start,MATCH("Drift - med "&amp;IF(MasterSheet_f_FP_CfgGroup1R3_VS,"program","projekt"),OFFSET(Businesscasen_f_BCM_subcat18_Table1_start,0,0,ROWS(Businesscasen_f_BCM_subcat18_Table1_start:Businesscasen_f_BCM_subcat18_Table1_end),1),0)+3,3)+OFFSET(Businesscasen_f_BCM_subcat18_Table1_start,44,3)</f>
        <v>0</v>
      </c>
      <c r="I229" s="398"/>
      <c r="J229" s="397">
        <f ca="1">OFFSET(Businesscasen_f_BCM_subcat18_Table1_start,MATCH("Drift - med "&amp;IF(MasterSheet_f_FP_CfgGroup1R3_VS,"program","projekt"),OFFSET(Businesscasen_f_BCM_subcat18_Table1_start,0,0,ROWS(Businesscasen_f_BCM_subcat18_Table1_start:Businesscasen_f_BCM_subcat18_Table1_end),1),0)+2,3)+OFFSET(Businesscasen_f_BCM_subcat18_Table1_start,43,3)</f>
        <v>0</v>
      </c>
      <c r="K229" s="398"/>
    </row>
    <row r="230" spans="2:11" ht="14.1" customHeight="1" x14ac:dyDescent="0.25">
      <c r="B230" s="132" t="s">
        <v>630</v>
      </c>
      <c r="C230" s="147"/>
      <c r="D230" s="397">
        <f ca="1">D228-D229</f>
        <v>0</v>
      </c>
      <c r="E230" s="398"/>
      <c r="F230" s="397">
        <f t="shared" ref="F230" ca="1" si="38">F228-F229</f>
        <v>0</v>
      </c>
      <c r="G230" s="398"/>
      <c r="H230" s="397">
        <f t="shared" ref="H230" ca="1" si="39">H228-H229</f>
        <v>0</v>
      </c>
      <c r="I230" s="398"/>
      <c r="J230" s="397">
        <f t="shared" ref="J230" ca="1" si="40">J228-J229</f>
        <v>0</v>
      </c>
      <c r="K230" s="398"/>
    </row>
    <row r="231" spans="2:11" ht="14.1" customHeight="1" x14ac:dyDescent="0.25">
      <c r="B231" s="368" t="str">
        <f>"6. Samlede udgifter med "&amp;IF(MasterSheet_f_FP_CfgGroup1R3_VS,"program","projekt")&amp;", ekskl. renter (2 + 4)"</f>
        <v>6. Samlede udgifter med projekt, ekskl. renter (2 + 4)</v>
      </c>
      <c r="C231" s="368"/>
      <c r="D231" s="397">
        <f ca="1">D227+D229</f>
        <v>0</v>
      </c>
      <c r="E231" s="398"/>
      <c r="F231" s="397">
        <f t="shared" ref="F231" ca="1" si="41">F227+F229</f>
        <v>0</v>
      </c>
      <c r="G231" s="398"/>
      <c r="H231" s="397">
        <f t="shared" ref="H231" ca="1" si="42">H227+H229</f>
        <v>0</v>
      </c>
      <c r="I231" s="398"/>
      <c r="J231" s="397">
        <f t="shared" ref="J231" ca="1" si="43">J227+J229</f>
        <v>0</v>
      </c>
      <c r="K231" s="398"/>
    </row>
    <row r="232" spans="2:11" ht="14.1" customHeight="1" x14ac:dyDescent="0.25">
      <c r="B232" s="165" t="s">
        <v>1569</v>
      </c>
      <c r="C232" s="166"/>
      <c r="D232" s="397">
        <f ca="1">D230-D227</f>
        <v>0</v>
      </c>
      <c r="E232" s="398"/>
      <c r="F232" s="397">
        <f t="shared" ref="F232" ca="1" si="44">F230-F227</f>
        <v>0</v>
      </c>
      <c r="G232" s="398"/>
      <c r="H232" s="397">
        <f t="shared" ref="H232" ca="1" si="45">H230-H227</f>
        <v>0</v>
      </c>
      <c r="I232" s="398"/>
      <c r="J232" s="397">
        <f t="shared" ref="J232" ca="1" si="46">J230-J227</f>
        <v>0</v>
      </c>
      <c r="K232" s="398"/>
    </row>
    <row r="233" spans="2:11" ht="14.1" customHeight="1" x14ac:dyDescent="0.25">
      <c r="B233" s="176"/>
      <c r="C233" s="176"/>
      <c r="D233" s="176"/>
      <c r="E233" s="176"/>
      <c r="F233" s="176"/>
      <c r="G233" s="176"/>
      <c r="H233" s="176"/>
      <c r="I233" s="176"/>
      <c r="J233" s="176"/>
      <c r="K233" s="176"/>
    </row>
    <row r="236" spans="2:11" ht="29.1" customHeight="1" x14ac:dyDescent="0.25"/>
    <row r="238" spans="2:11" ht="51.95" customHeight="1" thickBot="1" x14ac:dyDescent="0.3">
      <c r="B238" s="360" t="s">
        <v>446</v>
      </c>
      <c r="C238" s="361"/>
      <c r="D238" s="175" t="s">
        <v>413</v>
      </c>
      <c r="E238" s="261" t="s">
        <v>414</v>
      </c>
      <c r="F238" s="175">
        <v>2013</v>
      </c>
      <c r="G238" s="175">
        <v>2014</v>
      </c>
    </row>
    <row r="239" spans="2:11" ht="14.25" customHeight="1" x14ac:dyDescent="0.25">
      <c r="B239" s="159"/>
      <c r="C239" s="167"/>
      <c r="D239" s="240"/>
      <c r="E239" s="272"/>
      <c r="F239" s="240"/>
      <c r="G239" s="240"/>
    </row>
    <row r="240" spans="2:11" ht="14.25" customHeight="1" x14ac:dyDescent="0.25">
      <c r="B240" s="161" t="str">
        <f xml:space="preserve"> IF(MasterSheet_f_FP_CfgGroup1R3_VS,"Program","Projekt")&amp;"udgifter"</f>
        <v>Projektudgifter</v>
      </c>
      <c r="C240" s="161"/>
      <c r="D240" s="241"/>
      <c r="E240" s="273"/>
      <c r="F240" s="232"/>
      <c r="G240" s="232"/>
    </row>
    <row r="241" spans="2:7" ht="14.25" customHeight="1" x14ac:dyDescent="0.25">
      <c r="B241" s="161"/>
      <c r="C241" s="161"/>
      <c r="D241" s="241"/>
      <c r="E241" s="273"/>
      <c r="F241" s="232"/>
      <c r="G241" s="232"/>
    </row>
    <row r="242" spans="2:7" ht="14.25" customHeight="1" x14ac:dyDescent="0.25">
      <c r="B242" s="161" t="s">
        <v>447</v>
      </c>
      <c r="C242" s="168"/>
      <c r="D242" s="191">
        <f ca="1">SUM(F242:BK242)</f>
        <v>0</v>
      </c>
      <c r="E242" s="274" t="str">
        <f ca="1">IFERROR(D242/D255,"-")</f>
        <v>-</v>
      </c>
      <c r="F242" s="191">
        <f ca="1">F243+F244</f>
        <v>0</v>
      </c>
      <c r="G242" s="191">
        <f t="shared" ref="G242" ca="1" si="47">G243+G244</f>
        <v>0</v>
      </c>
    </row>
    <row r="243" spans="2:7" ht="14.25" customHeight="1" x14ac:dyDescent="0.25">
      <c r="B243" s="132" t="s">
        <v>634</v>
      </c>
      <c r="C243" s="79" t="s">
        <v>1179</v>
      </c>
      <c r="D243" s="191">
        <f t="shared" ref="D243:D247" ca="1" si="48">SUM(F243:BK243)</f>
        <v>0</v>
      </c>
      <c r="E243" s="274" t="str">
        <f ca="1">IFERROR(D243/D255,"-")</f>
        <v>-</v>
      </c>
      <c r="F243" s="191">
        <f ca="1">SUMIFS(IF(MasterSheet_f_FP_CfgGroup1R3_VS,IF(MasterSheet_f_FP_CfgGroup2R2_VS,ProgramudgifterC!$P:$P,ProgramudgifterC!$O:$O),IF(MasterSheet_f_FP_CfgGroup2R2_VS,ProjektudgifterC!$P:$P,ProjektudgifterC!$O:$O)),IF(MasterSheet_f_FP_CfgGroup1R3_VS,ProgramudgifterC!$E:$E,ProjektudgifterC!$E:$E),OFFSET(Businesscasen_f_BCM_subcat16_Table1_start,0,COLUMN()-COLUMN(Businesscasen_f_BCM_subcat16_Table1_start)),IF(MasterSheet_f_FP_CfgGroup1R3_VS,ProgramudgifterC!$C:$C,ProjektudgifterC!$C:$C),OFFSET(Businesscasen_f_BCM_subcat16_Table1_start,ROW()-ROW(Businesscasen_f_BCM_subcat16_Table1_start),1))/1000</f>
        <v>0</v>
      </c>
      <c r="G243" s="191">
        <f ca="1">SUMIFS(IF(MasterSheet_f_FP_CfgGroup1R3_VS,IF(MasterSheet_f_FP_CfgGroup2R2_VS,ProgramudgifterC!$P:$P,ProgramudgifterC!$O:$O),IF(MasterSheet_f_FP_CfgGroup2R2_VS,ProjektudgifterC!$P:$P,ProjektudgifterC!$O:$O)),IF(MasterSheet_f_FP_CfgGroup1R3_VS,ProgramudgifterC!$E:$E,ProjektudgifterC!$E:$E),OFFSET(Businesscasen_f_BCM_subcat16_Table1_start,0,COLUMN()-COLUMN(Businesscasen_f_BCM_subcat16_Table1_start)),IF(MasterSheet_f_FP_CfgGroup1R3_VS,ProgramudgifterC!$C:$C,ProjektudgifterC!$C:$C),OFFSET(Businesscasen_f_BCM_subcat16_Table1_start,ROW()-ROW(Businesscasen_f_BCM_subcat16_Table1_start),1))/1000</f>
        <v>0</v>
      </c>
    </row>
    <row r="244" spans="2:7" ht="14.25" customHeight="1" x14ac:dyDescent="0.25">
      <c r="B244" s="132" t="s">
        <v>448</v>
      </c>
      <c r="C244" s="79"/>
      <c r="D244" s="191">
        <f t="shared" ca="1" si="48"/>
        <v>0</v>
      </c>
      <c r="E244" s="274" t="str">
        <f ca="1">IFERROR(D244/D255,"-")</f>
        <v>-</v>
      </c>
      <c r="F244" s="191">
        <f ca="1">SUM(F245:F247)</f>
        <v>0</v>
      </c>
      <c r="G244" s="191">
        <f t="shared" ref="G244" ca="1" si="49">SUM(G245:G247)</f>
        <v>0</v>
      </c>
    </row>
    <row r="245" spans="2:7" ht="14.25" customHeight="1" x14ac:dyDescent="0.25">
      <c r="B245" s="132" t="s">
        <v>449</v>
      </c>
      <c r="C245" s="79" t="s">
        <v>1180</v>
      </c>
      <c r="D245" s="191">
        <f t="shared" ca="1" si="48"/>
        <v>0</v>
      </c>
      <c r="E245" s="274" t="str">
        <f ca="1">IFERROR(D245/D255,"-")</f>
        <v>-</v>
      </c>
      <c r="F245" s="191">
        <f ca="1">SUMIFS(IF(MasterSheet_f_FP_CfgGroup1R3_VS,IF(MasterSheet_f_FP_CfgGroup2R2_VS,ProgramudgifterC!$P:$P,ProgramudgifterC!$O:$O),IF(MasterSheet_f_FP_CfgGroup2R2_VS,ProjektudgifterC!$P:$P,ProjektudgifterC!$O:$O)),IF(MasterSheet_f_FP_CfgGroup1R3_VS,ProgramudgifterC!$E:$E,ProjektudgifterC!$E:$E),OFFSET(Businesscasen_f_BCM_subcat16_Table1_start,0,COLUMN()-COLUMN(Businesscasen_f_BCM_subcat16_Table1_start)),IF(MasterSheet_f_FP_CfgGroup1R3_VS,ProgramudgifterC!$C:$C,ProjektudgifterC!$C:$C),OFFSET(Businesscasen_f_BCM_subcat16_Table1_start,ROW()-ROW(Businesscasen_f_BCM_subcat16_Table1_start),1))/1000</f>
        <v>0</v>
      </c>
      <c r="G245" s="191">
        <f ca="1">SUMIFS(IF(MasterSheet_f_FP_CfgGroup1R3_VS,IF(MasterSheet_f_FP_CfgGroup2R2_VS,ProgramudgifterC!$P:$P,ProgramudgifterC!$O:$O),IF(MasterSheet_f_FP_CfgGroup2R2_VS,ProjektudgifterC!$P:$P,ProjektudgifterC!$O:$O)),IF(MasterSheet_f_FP_CfgGroup1R3_VS,ProgramudgifterC!$E:$E,ProjektudgifterC!$E:$E),OFFSET(Businesscasen_f_BCM_subcat16_Table1_start,0,COLUMN()-COLUMN(Businesscasen_f_BCM_subcat16_Table1_start)),IF(MasterSheet_f_FP_CfgGroup1R3_VS,ProgramudgifterC!$C:$C,ProjektudgifterC!$C:$C),OFFSET(Businesscasen_f_BCM_subcat16_Table1_start,ROW()-ROW(Businesscasen_f_BCM_subcat16_Table1_start),1))/1000</f>
        <v>0</v>
      </c>
    </row>
    <row r="246" spans="2:7" ht="14.25" customHeight="1" x14ac:dyDescent="0.25">
      <c r="B246" s="132" t="s">
        <v>450</v>
      </c>
      <c r="C246" s="79" t="s">
        <v>1181</v>
      </c>
      <c r="D246" s="191">
        <f t="shared" ca="1" si="48"/>
        <v>0</v>
      </c>
      <c r="E246" s="274" t="str">
        <f ca="1">IFERROR(D246/D255,"-")</f>
        <v>-</v>
      </c>
      <c r="F246" s="191">
        <f ca="1">SUMIFS(IF(MasterSheet_f_FP_CfgGroup1R3_VS,IF(MasterSheet_f_FP_CfgGroup2R2_VS,ProgramudgifterC!$P:$P,ProgramudgifterC!$O:$O),IF(MasterSheet_f_FP_CfgGroup2R2_VS,ProjektudgifterC!$P:$P,ProjektudgifterC!$O:$O)),IF(MasterSheet_f_FP_CfgGroup1R3_VS,ProgramudgifterC!$E:$E,ProjektudgifterC!$E:$E),OFFSET(Businesscasen_f_BCM_subcat16_Table1_start,0,COLUMN()-COLUMN(Businesscasen_f_BCM_subcat16_Table1_start)),IF(MasterSheet_f_FP_CfgGroup1R3_VS,ProgramudgifterC!$C:$C,ProjektudgifterC!$C:$C),OFFSET(Businesscasen_f_BCM_subcat16_Table1_start,ROW()-ROW(Businesscasen_f_BCM_subcat16_Table1_start),1))/1000</f>
        <v>0</v>
      </c>
      <c r="G246" s="191">
        <f ca="1">SUMIFS(IF(MasterSheet_f_FP_CfgGroup1R3_VS,IF(MasterSheet_f_FP_CfgGroup2R2_VS,ProgramudgifterC!$P:$P,ProgramudgifterC!$O:$O),IF(MasterSheet_f_FP_CfgGroup2R2_VS,ProjektudgifterC!$P:$P,ProjektudgifterC!$O:$O)),IF(MasterSheet_f_FP_CfgGroup1R3_VS,ProgramudgifterC!$E:$E,ProjektudgifterC!$E:$E),OFFSET(Businesscasen_f_BCM_subcat16_Table1_start,0,COLUMN()-COLUMN(Businesscasen_f_BCM_subcat16_Table1_start)),IF(MasterSheet_f_FP_CfgGroup1R3_VS,ProgramudgifterC!$C:$C,ProjektudgifterC!$C:$C),OFFSET(Businesscasen_f_BCM_subcat16_Table1_start,ROW()-ROW(Businesscasen_f_BCM_subcat16_Table1_start),1))/1000</f>
        <v>0</v>
      </c>
    </row>
    <row r="247" spans="2:7" ht="14.25" customHeight="1" x14ac:dyDescent="0.25">
      <c r="B247" s="132" t="s">
        <v>451</v>
      </c>
      <c r="C247" s="79" t="s">
        <v>1182</v>
      </c>
      <c r="D247" s="191">
        <f t="shared" ca="1" si="48"/>
        <v>0</v>
      </c>
      <c r="E247" s="274" t="str">
        <f ca="1">IFERROR(D247/D255,"-")</f>
        <v>-</v>
      </c>
      <c r="F247" s="191">
        <f ca="1">SUMIFS(IF(MasterSheet_f_FP_CfgGroup1R3_VS,IF(MasterSheet_f_FP_CfgGroup2R2_VS,ProgramudgifterC!$P:$P,ProgramudgifterC!$O:$O),IF(MasterSheet_f_FP_CfgGroup2R2_VS,ProjektudgifterC!$P:$P,ProjektudgifterC!$O:$O)),IF(MasterSheet_f_FP_CfgGroup1R3_VS,ProgramudgifterC!$E:$E,ProjektudgifterC!$E:$E),OFFSET(Businesscasen_f_BCM_subcat16_Table1_start,0,COLUMN()-COLUMN(Businesscasen_f_BCM_subcat16_Table1_start)),IF(MasterSheet_f_FP_CfgGroup1R3_VS,ProgramudgifterC!$C:$C,ProjektudgifterC!$C:$C),OFFSET(Businesscasen_f_BCM_subcat16_Table1_start,ROW()-ROW(Businesscasen_f_BCM_subcat16_Table1_start),1))/1000</f>
        <v>0</v>
      </c>
      <c r="G247" s="191">
        <f ca="1">SUMIFS(IF(MasterSheet_f_FP_CfgGroup1R3_VS,IF(MasterSheet_f_FP_CfgGroup2R2_VS,ProgramudgifterC!$P:$P,ProgramudgifterC!$O:$O),IF(MasterSheet_f_FP_CfgGroup2R2_VS,ProjektudgifterC!$P:$P,ProjektudgifterC!$O:$O)),IF(MasterSheet_f_FP_CfgGroup1R3_VS,ProgramudgifterC!$E:$E,ProjektudgifterC!$E:$E),OFFSET(Businesscasen_f_BCM_subcat16_Table1_start,0,COLUMN()-COLUMN(Businesscasen_f_BCM_subcat16_Table1_start)),IF(MasterSheet_f_FP_CfgGroup1R3_VS,ProgramudgifterC!$C:$C,ProjektudgifterC!$C:$C),OFFSET(Businesscasen_f_BCM_subcat16_Table1_start,ROW()-ROW(Businesscasen_f_BCM_subcat16_Table1_start),1))/1000</f>
        <v>0</v>
      </c>
    </row>
    <row r="248" spans="2:7" ht="14.25" customHeight="1" x14ac:dyDescent="0.25">
      <c r="B248" s="132"/>
      <c r="C248" s="79"/>
      <c r="D248" s="191"/>
      <c r="E248" s="274"/>
      <c r="F248" s="191"/>
      <c r="G248" s="191"/>
    </row>
    <row r="249" spans="2:7" ht="14.25" customHeight="1" x14ac:dyDescent="0.25">
      <c r="B249" s="161" t="s">
        <v>452</v>
      </c>
      <c r="C249" s="80"/>
      <c r="D249" s="191">
        <f ca="1">SUM(F249:BK249)</f>
        <v>0</v>
      </c>
      <c r="E249" s="274" t="str">
        <f ca="1">IFERROR(D249/D255,"-")</f>
        <v>-</v>
      </c>
      <c r="F249" s="191">
        <f ca="1">SUM(F250:F253)</f>
        <v>0</v>
      </c>
      <c r="G249" s="191">
        <f t="shared" ref="G249" ca="1" si="50">SUM(G250:G253)</f>
        <v>0</v>
      </c>
    </row>
    <row r="250" spans="2:7" ht="14.25" customHeight="1" x14ac:dyDescent="0.25">
      <c r="B250" s="132" t="s">
        <v>635</v>
      </c>
      <c r="C250" s="79" t="s">
        <v>1183</v>
      </c>
      <c r="D250" s="191">
        <f ca="1">SUM(F250:BK250)</f>
        <v>0</v>
      </c>
      <c r="E250" s="274" t="str">
        <f ca="1">IFERROR(D250/D255,"-")</f>
        <v>-</v>
      </c>
      <c r="F250" s="191">
        <f ca="1">SUMIFS(IF(MasterSheet_f_FP_CfgGroup1R3_VS,IF(MasterSheet_f_FP_CfgGroup2R2_VS,ProgramudgifterC!$P:$P,ProgramudgifterC!$O:$O),IF(MasterSheet_f_FP_CfgGroup2R2_VS,ProjektudgifterC!$P:$P,ProjektudgifterC!$O:$O)),IF(MasterSheet_f_FP_CfgGroup1R3_VS,ProgramudgifterC!$E:$E,ProjektudgifterC!$E:$E),OFFSET(Businesscasen_f_BCM_subcat16_Table1_start,0,COLUMN()-COLUMN(Businesscasen_f_BCM_subcat16_Table1_start)),IF(MasterSheet_f_FP_CfgGroup1R3_VS,ProgramudgifterC!$C:$C,ProjektudgifterC!$C:$C),OFFSET(Businesscasen_f_BCM_subcat16_Table1_start,ROW()-ROW(Businesscasen_f_BCM_subcat16_Table1_start),1))/1000</f>
        <v>0</v>
      </c>
      <c r="G250" s="191">
        <f ca="1">SUMIFS(IF(MasterSheet_f_FP_CfgGroup1R3_VS,IF(MasterSheet_f_FP_CfgGroup2R2_VS,ProgramudgifterC!$P:$P,ProgramudgifterC!$O:$O),IF(MasterSheet_f_FP_CfgGroup2R2_VS,ProjektudgifterC!$P:$P,ProjektudgifterC!$O:$O)),IF(MasterSheet_f_FP_CfgGroup1R3_VS,ProgramudgifterC!$E:$E,ProjektudgifterC!$E:$E),OFFSET(Businesscasen_f_BCM_subcat16_Table1_start,0,COLUMN()-COLUMN(Businesscasen_f_BCM_subcat16_Table1_start)),IF(MasterSheet_f_FP_CfgGroup1R3_VS,ProgramudgifterC!$C:$C,ProjektudgifterC!$C:$C),OFFSET(Businesscasen_f_BCM_subcat16_Table1_start,ROW()-ROW(Businesscasen_f_BCM_subcat16_Table1_start),1))/1000</f>
        <v>0</v>
      </c>
    </row>
    <row r="251" spans="2:7" ht="14.25" customHeight="1" x14ac:dyDescent="0.25">
      <c r="B251" s="132" t="s">
        <v>84</v>
      </c>
      <c r="C251" s="79" t="s">
        <v>84</v>
      </c>
      <c r="D251" s="191">
        <f ca="1">SUM(F251:BK251)</f>
        <v>0</v>
      </c>
      <c r="E251" s="274" t="str">
        <f ca="1">IFERROR(D251/D255,"-")</f>
        <v>-</v>
      </c>
      <c r="F251" s="191">
        <f ca="1">SUMIFS(IF(MasterSheet_f_FP_CfgGroup1R3_VS,IF(MasterSheet_f_FP_CfgGroup2R2_VS,ProgramudgifterC!$P:$P,ProgramudgifterC!$O:$O),IF(MasterSheet_f_FP_CfgGroup2R2_VS,ProjektudgifterC!$P:$P,ProjektudgifterC!$O:$O)),IF(MasterSheet_f_FP_CfgGroup1R3_VS,ProgramudgifterC!$E:$E,ProjektudgifterC!$E:$E),OFFSET(Businesscasen_f_BCM_subcat16_Table1_start,0,COLUMN()-COLUMN(Businesscasen_f_BCM_subcat16_Table1_start)),IF(MasterSheet_f_FP_CfgGroup1R3_VS,ProgramudgifterC!$C:$C,ProjektudgifterC!$C:$C),OFFSET(Businesscasen_f_BCM_subcat16_Table1_start,ROW()-ROW(Businesscasen_f_BCM_subcat16_Table1_start),1))/1000</f>
        <v>0</v>
      </c>
      <c r="G251" s="191">
        <f ca="1">SUMIFS(IF(MasterSheet_f_FP_CfgGroup1R3_VS,IF(MasterSheet_f_FP_CfgGroup2R2_VS,ProgramudgifterC!$P:$P,ProgramudgifterC!$O:$O),IF(MasterSheet_f_FP_CfgGroup2R2_VS,ProjektudgifterC!$P:$P,ProjektudgifterC!$O:$O)),IF(MasterSheet_f_FP_CfgGroup1R3_VS,ProgramudgifterC!$E:$E,ProjektudgifterC!$E:$E),OFFSET(Businesscasen_f_BCM_subcat16_Table1_start,0,COLUMN()-COLUMN(Businesscasen_f_BCM_subcat16_Table1_start)),IF(MasterSheet_f_FP_CfgGroup1R3_VS,ProgramudgifterC!$C:$C,ProjektudgifterC!$C:$C),OFFSET(Businesscasen_f_BCM_subcat16_Table1_start,ROW()-ROW(Businesscasen_f_BCM_subcat16_Table1_start),1))/1000</f>
        <v>0</v>
      </c>
    </row>
    <row r="252" spans="2:7" ht="14.25" customHeight="1" x14ac:dyDescent="0.25">
      <c r="B252" s="132" t="s">
        <v>85</v>
      </c>
      <c r="C252" s="79" t="s">
        <v>85</v>
      </c>
      <c r="D252" s="191">
        <f ca="1">SUM(F252:BK252)</f>
        <v>0</v>
      </c>
      <c r="E252" s="274" t="str">
        <f ca="1">IFERROR(D252/D255,"-")</f>
        <v>-</v>
      </c>
      <c r="F252" s="191">
        <f ca="1">SUMIFS(IF(MasterSheet_f_FP_CfgGroup1R3_VS,IF(MasterSheet_f_FP_CfgGroup2R2_VS,ProgramudgifterC!$P:$P,ProgramudgifterC!$O:$O),IF(MasterSheet_f_FP_CfgGroup2R2_VS,ProjektudgifterC!$P:$P,ProjektudgifterC!$O:$O)),IF(MasterSheet_f_FP_CfgGroup1R3_VS,ProgramudgifterC!$E:$E,ProjektudgifterC!$E:$E),OFFSET(Businesscasen_f_BCM_subcat16_Table1_start,0,COLUMN()-COLUMN(Businesscasen_f_BCM_subcat16_Table1_start)),IF(MasterSheet_f_FP_CfgGroup1R3_VS,ProgramudgifterC!$C:$C,ProjektudgifterC!$C:$C),OFFSET(Businesscasen_f_BCM_subcat16_Table1_start,ROW()-ROW(Businesscasen_f_BCM_subcat16_Table1_start),1))/1000</f>
        <v>0</v>
      </c>
      <c r="G252" s="191">
        <f ca="1">SUMIFS(IF(MasterSheet_f_FP_CfgGroup1R3_VS,IF(MasterSheet_f_FP_CfgGroup2R2_VS,ProgramudgifterC!$P:$P,ProgramudgifterC!$O:$O),IF(MasterSheet_f_FP_CfgGroup2R2_VS,ProjektudgifterC!$P:$P,ProjektudgifterC!$O:$O)),IF(MasterSheet_f_FP_CfgGroup1R3_VS,ProgramudgifterC!$E:$E,ProjektudgifterC!$E:$E),OFFSET(Businesscasen_f_BCM_subcat16_Table1_start,0,COLUMN()-COLUMN(Businesscasen_f_BCM_subcat16_Table1_start)),IF(MasterSheet_f_FP_CfgGroup1R3_VS,ProgramudgifterC!$C:$C,ProjektudgifterC!$C:$C),OFFSET(Businesscasen_f_BCM_subcat16_Table1_start,ROW()-ROW(Businesscasen_f_BCM_subcat16_Table1_start),1))/1000</f>
        <v>0</v>
      </c>
    </row>
    <row r="253" spans="2:7" ht="14.25" customHeight="1" x14ac:dyDescent="0.25">
      <c r="B253" s="132" t="s">
        <v>86</v>
      </c>
      <c r="C253" s="79" t="s">
        <v>86</v>
      </c>
      <c r="D253" s="191">
        <f ca="1">SUM(F253:BK253)</f>
        <v>0</v>
      </c>
      <c r="E253" s="274" t="str">
        <f ca="1">IFERROR(D253/D255,"-")</f>
        <v>-</v>
      </c>
      <c r="F253" s="191">
        <f ca="1">SUMIFS(IF(MasterSheet_f_FP_CfgGroup1R3_VS,IF(MasterSheet_f_FP_CfgGroup2R2_VS,ProgramudgifterC!$P:$P,ProgramudgifterC!$O:$O),IF(MasterSheet_f_FP_CfgGroup2R2_VS,ProjektudgifterC!$P:$P,ProjektudgifterC!$O:$O)),IF(MasterSheet_f_FP_CfgGroup1R3_VS,ProgramudgifterC!$E:$E,ProjektudgifterC!$E:$E),OFFSET(Businesscasen_f_BCM_subcat16_Table1_start,0,COLUMN()-COLUMN(Businesscasen_f_BCM_subcat16_Table1_start)),IF(MasterSheet_f_FP_CfgGroup1R3_VS,ProgramudgifterC!$C:$C,ProjektudgifterC!$C:$C),OFFSET(Businesscasen_f_BCM_subcat16_Table1_start,ROW()-ROW(Businesscasen_f_BCM_subcat16_Table1_start),1))/1000</f>
        <v>0</v>
      </c>
      <c r="G253" s="191">
        <f ca="1">SUMIFS(IF(MasterSheet_f_FP_CfgGroup1R3_VS,IF(MasterSheet_f_FP_CfgGroup2R2_VS,ProgramudgifterC!$P:$P,ProgramudgifterC!$O:$O),IF(MasterSheet_f_FP_CfgGroup2R2_VS,ProjektudgifterC!$P:$P,ProjektudgifterC!$O:$O)),IF(MasterSheet_f_FP_CfgGroup1R3_VS,ProgramudgifterC!$E:$E,ProjektudgifterC!$E:$E),OFFSET(Businesscasen_f_BCM_subcat16_Table1_start,0,COLUMN()-COLUMN(Businesscasen_f_BCM_subcat16_Table1_start)),IF(MasterSheet_f_FP_CfgGroup1R3_VS,ProgramudgifterC!$C:$C,ProjektudgifterC!$C:$C),OFFSET(Businesscasen_f_BCM_subcat16_Table1_start,ROW()-ROW(Businesscasen_f_BCM_subcat16_Table1_start),1))/1000</f>
        <v>0</v>
      </c>
    </row>
    <row r="254" spans="2:7" ht="14.25" customHeight="1" x14ac:dyDescent="0.25">
      <c r="B254" s="132"/>
      <c r="C254" s="79"/>
      <c r="D254" s="191"/>
      <c r="E254" s="274"/>
      <c r="F254" s="191"/>
      <c r="G254" s="191"/>
    </row>
    <row r="255" spans="2:7" ht="14.25" customHeight="1" x14ac:dyDescent="0.25">
      <c r="B255" s="161" t="s">
        <v>453</v>
      </c>
      <c r="C255" s="93"/>
      <c r="D255" s="191">
        <f ca="1">SUM(F255:BK255)</f>
        <v>0</v>
      </c>
      <c r="E255" s="274" t="str">
        <f ca="1">IFERROR(D255/D255,"-")</f>
        <v>-</v>
      </c>
      <c r="F255" s="191">
        <f ca="1">F249+F242</f>
        <v>0</v>
      </c>
      <c r="G255" s="191">
        <f t="shared" ref="G255" ca="1" si="51">G249+G242</f>
        <v>0</v>
      </c>
    </row>
    <row r="256" spans="2:7" ht="14.25" customHeight="1" x14ac:dyDescent="0.25">
      <c r="B256" s="132" t="s">
        <v>298</v>
      </c>
      <c r="C256" s="79" t="e">
        <f ca="1">_xll.RiskMean(D257)</f>
        <v>#NAME?</v>
      </c>
      <c r="D256" s="191">
        <f ca="1">SUM(F256:BK256)</f>
        <v>0</v>
      </c>
      <c r="E256" s="274"/>
      <c r="F256" s="191">
        <f ca="1">SUMIF(IF(MasterSheet_f_FP_CfgGroup1R3_VS,ProgramudgifterC!$E:$E,ProjektudgifterC!$E:$E),OFFSET(Businesscasen_f_BCM_subcat16_Table1_start,0,COLUMN()-COLUMN(Businesscasen_f_BCM_subcat16_Table1_start)),IF(MasterSheet_f_FP_CfgGroup1R3_VS,ProgramudgifterC!$N:$N,ProjektudgifterC!$N:$N))/1000</f>
        <v>0</v>
      </c>
      <c r="G256" s="191">
        <f ca="1">SUMIF(IF(MasterSheet_f_FP_CfgGroup1R3_VS,ProgramudgifterC!$E:$E,ProjektudgifterC!$E:$E),OFFSET(Businesscasen_f_BCM_subcat16_Table1_start,0,COLUMN()-COLUMN(Businesscasen_f_BCM_subcat16_Table1_start)),IF(MasterSheet_f_FP_CfgGroup1R3_VS,ProgramudgifterC!$N:$N,ProjektudgifterC!$N:$N))/1000</f>
        <v>0</v>
      </c>
    </row>
    <row r="257" spans="2:7" ht="14.25" customHeight="1" x14ac:dyDescent="0.25">
      <c r="B257" s="132" t="s">
        <v>454</v>
      </c>
      <c r="C257" s="79" t="e">
        <f ca="1">_xll.RiskPercentile(D257,0.7)</f>
        <v>#NAME?</v>
      </c>
      <c r="D257" s="191">
        <f ca="1">SUM(F257:BK257)</f>
        <v>0</v>
      </c>
      <c r="E257" s="274" t="str">
        <f ca="1">IFERROR(D257/D255,"-")</f>
        <v>-</v>
      </c>
      <c r="F257" s="191">
        <f ca="1">F255-F256</f>
        <v>0</v>
      </c>
      <c r="G257" s="191">
        <f t="shared" ref="G257" ca="1" si="52">G255-G256</f>
        <v>0</v>
      </c>
    </row>
    <row r="258" spans="2:7" ht="14.25" customHeight="1" x14ac:dyDescent="0.25">
      <c r="B258" s="132" t="s">
        <v>455</v>
      </c>
      <c r="C258" s="79"/>
      <c r="D258" s="191">
        <f ca="1">SUM(F258:BK258)</f>
        <v>0</v>
      </c>
      <c r="E258" s="274"/>
      <c r="F258" s="191">
        <f ca="1">SUMIF(IF(MasterSheet_f_FP_CfgGroup1R3_VS,ProgramudgifterC!$E:$E,ProjektudgifterC!$E:$E),OFFSET(Businesscasen_f_BCM_subcat16_Table1_start,0,COLUMN()-COLUMN(Businesscasen_f_BCM_subcat16_Table1_start)),IF(MasterSheet_f_FP_CfgGroup1R3_VS,ProgramudgifterC!$Q:$Q,ProjektudgifterC!$Q:$Q))/1000</f>
        <v>0</v>
      </c>
      <c r="G258" s="191">
        <f ca="1">SUMIF(IF(MasterSheet_f_FP_CfgGroup1R3_VS,ProgramudgifterC!$E:$E,ProjektudgifterC!$E:$E),OFFSET(Businesscasen_f_BCM_subcat16_Table1_start,0,COLUMN()-COLUMN(Businesscasen_f_BCM_subcat16_Table1_start)),IF(MasterSheet_f_FP_CfgGroup1R3_VS,ProgramudgifterC!$Q:$Q,ProjektudgifterC!$Q:$Q))/1000</f>
        <v>0</v>
      </c>
    </row>
    <row r="259" spans="2:7" ht="14.25" customHeight="1" x14ac:dyDescent="0.25">
      <c r="B259" s="132" t="s">
        <v>456</v>
      </c>
      <c r="C259" s="79"/>
      <c r="D259" s="191">
        <f ca="1">SUM(F259:BK259)</f>
        <v>0</v>
      </c>
      <c r="E259" s="274"/>
      <c r="F259" s="191">
        <f ca="1">SUMIF(IF(MasterSheet_f_FP_CfgGroup1R3_VS,ProgramudgifterC!$E:$E,ProjektudgifterC!$E:$E),OFFSET(Businesscasen_f_BCM_subcat16_Table1_start,0,COLUMN()-COLUMN(Businesscasen_f_BCM_subcat16_Table1_start)),IF(MasterSheet_f_FP_CfgGroup1R3_VS,ProgramudgifterC!$R:$R,ProjektudgifterC!$R:$R))/1000</f>
        <v>0</v>
      </c>
      <c r="G259" s="191">
        <f ca="1">SUMIF(IF(MasterSheet_f_FP_CfgGroup1R3_VS,ProgramudgifterC!$E:$E,ProjektudgifterC!$E:$E),OFFSET(Businesscasen_f_BCM_subcat16_Table1_start,0,COLUMN()-COLUMN(Businesscasen_f_BCM_subcat16_Table1_start)),IF(MasterSheet_f_FP_CfgGroup1R3_VS,ProgramudgifterC!$R:$R,ProjektudgifterC!$R:$R))/1000</f>
        <v>0</v>
      </c>
    </row>
    <row r="260" spans="2:7" ht="14.25" customHeight="1" x14ac:dyDescent="0.25">
      <c r="B260" s="132"/>
      <c r="C260" s="79"/>
      <c r="D260" s="191"/>
      <c r="E260" s="274"/>
      <c r="F260" s="191"/>
      <c r="G260" s="191"/>
    </row>
    <row r="261" spans="2:7" ht="14.25" customHeight="1" x14ac:dyDescent="0.25">
      <c r="B261" s="161" t="s">
        <v>457</v>
      </c>
      <c r="C261" s="80"/>
      <c r="D261" s="191"/>
      <c r="E261" s="274"/>
      <c r="F261" s="191"/>
      <c r="G261" s="191"/>
    </row>
    <row r="262" spans="2:7" ht="14.25" customHeight="1" x14ac:dyDescent="0.25">
      <c r="B262" s="161"/>
      <c r="C262" s="80"/>
      <c r="D262" s="191"/>
      <c r="E262" s="274"/>
      <c r="F262" s="191"/>
      <c r="G262" s="191"/>
    </row>
    <row r="263" spans="2:7" ht="14.25" customHeight="1" x14ac:dyDescent="0.25">
      <c r="B263" s="161" t="s">
        <v>458</v>
      </c>
      <c r="C263" s="80"/>
      <c r="D263" s="191">
        <f ca="1">SUM(F263:BK263)</f>
        <v>0</v>
      </c>
      <c r="E263" s="274" t="str">
        <f ca="1">IFERROR(D272/D276,"-")</f>
        <v>-</v>
      </c>
      <c r="F263" s="191">
        <f ca="1">SUM(F264:F266)</f>
        <v>0</v>
      </c>
      <c r="G263" s="191">
        <f t="shared" ref="G263" ca="1" si="53">SUM(G264:G266)</f>
        <v>0</v>
      </c>
    </row>
    <row r="264" spans="2:7" ht="14.25" customHeight="1" x14ac:dyDescent="0.25">
      <c r="B264" s="132" t="s">
        <v>459</v>
      </c>
      <c r="C264" s="79" t="s">
        <v>1179</v>
      </c>
      <c r="D264" s="191">
        <f ca="1">SUM(F264:BK264)</f>
        <v>0</v>
      </c>
      <c r="E264" s="274" t="str">
        <f ca="1">IFERROR(D272/D277,"-")</f>
        <v>-</v>
      </c>
      <c r="F264" s="191">
        <f ca="1">SUMIFS(IF(MasterSheet_f_FP_CfgGroup1R3_VS,IF(MasterSheet_f_FP_CfgGroup2R2_VS,ProgramudgifterC!$P:$P,ProgramudgifterC!$O:$O),IF(MasterSheet_f_FP_CfgGroup2R2_VS,ProjektudgifterC!$P:$P,ProjektudgifterC!$O:$O)),IF(MasterSheet_f_FP_CfgGroup1R3_VS,ProgramudgifterC!$E:$E,ProjektudgifterC!$E:$E),OFFSET(Businesscasen_f_BCM_subcat16_Table1_start,0,COLUMN()-COLUMN(Businesscasen_f_BCM_subcat16_Table1_start)),IF(MasterSheet_f_FP_CfgGroup1R3_VS,ProgramudgifterC!$C:$C,ProjektudgifterC!$C:$C),OFFSET(Businesscasen_f_BCM_subcat16_Table1_start,ROW()-ROW(Businesscasen_f_BCM_subcat16_Table1_start),1))/1000</f>
        <v>0</v>
      </c>
      <c r="G264" s="191">
        <f ca="1">SUMIFS(IF(MasterSheet_f_FP_CfgGroup1R3_VS,IF(MasterSheet_f_FP_CfgGroup2R2_VS,ProgramudgifterC!$P:$P,ProgramudgifterC!$O:$O),IF(MasterSheet_f_FP_CfgGroup2R2_VS,ProjektudgifterC!$P:$P,ProjektudgifterC!$O:$O)),IF(MasterSheet_f_FP_CfgGroup1R3_VS,ProgramudgifterC!$E:$E,ProjektudgifterC!$E:$E),OFFSET(Businesscasen_f_BCM_subcat16_Table1_start,0,COLUMN()-COLUMN(Businesscasen_f_BCM_subcat16_Table1_start)),IF(MasterSheet_f_FP_CfgGroup1R3_VS,ProgramudgifterC!$C:$C,ProjektudgifterC!$C:$C),OFFSET(Businesscasen_f_BCM_subcat16_Table1_start,ROW()-ROW(Businesscasen_f_BCM_subcat16_Table1_start),1))/1000</f>
        <v>0</v>
      </c>
    </row>
    <row r="265" spans="2:7" ht="14.25" customHeight="1" x14ac:dyDescent="0.25">
      <c r="B265" s="132" t="s">
        <v>460</v>
      </c>
      <c r="C265" s="79" t="s">
        <v>1182</v>
      </c>
      <c r="D265" s="191">
        <f ca="1">SUM(F265:BK265)</f>
        <v>0</v>
      </c>
      <c r="E265" s="274" t="str">
        <f ca="1">IFERROR(D272/D278,"-")</f>
        <v>-</v>
      </c>
      <c r="F265" s="191">
        <f ca="1">SUMIFS(IF(MasterSheet_f_FP_CfgGroup1R3_VS,IF(MasterSheet_f_FP_CfgGroup2R2_VS,ProgramudgifterC!$P:$P,ProgramudgifterC!$O:$O),IF(MasterSheet_f_FP_CfgGroup2R2_VS,ProjektudgifterC!$P:$P,ProjektudgifterC!$O:$O)),IF(MasterSheet_f_FP_CfgGroup1R3_VS,ProgramudgifterC!$E:$E,ProjektudgifterC!$E:$E),OFFSET(Businesscasen_f_BCM_subcat16_Table1_start,0,COLUMN()-COLUMN(Businesscasen_f_BCM_subcat16_Table1_start)),IF(MasterSheet_f_FP_CfgGroup1R3_VS,ProgramudgifterC!$C:$C,ProjektudgifterC!$C:$C),OFFSET(Businesscasen_f_BCM_subcat16_Table1_start,ROW()-ROW(Businesscasen_f_BCM_subcat16_Table1_start),1))/1000</f>
        <v>0</v>
      </c>
      <c r="G265" s="191">
        <f ca="1">SUMIFS(IF(MasterSheet_f_FP_CfgGroup1R3_VS,IF(MasterSheet_f_FP_CfgGroup2R2_VS,ProgramudgifterC!$P:$P,ProgramudgifterC!$O:$O),IF(MasterSheet_f_FP_CfgGroup2R2_VS,ProjektudgifterC!$P:$P,ProjektudgifterC!$O:$O)),IF(MasterSheet_f_FP_CfgGroup1R3_VS,ProgramudgifterC!$E:$E,ProjektudgifterC!$E:$E),OFFSET(Businesscasen_f_BCM_subcat16_Table1_start,0,COLUMN()-COLUMN(Businesscasen_f_BCM_subcat16_Table1_start)),IF(MasterSheet_f_FP_CfgGroup1R3_VS,ProgramudgifterC!$C:$C,ProjektudgifterC!$C:$C),OFFSET(Businesscasen_f_BCM_subcat16_Table1_start,ROW()-ROW(Businesscasen_f_BCM_subcat16_Table1_start),1))/1000</f>
        <v>0</v>
      </c>
    </row>
    <row r="266" spans="2:7" ht="14.25" customHeight="1" x14ac:dyDescent="0.25">
      <c r="B266" s="132" t="s">
        <v>461</v>
      </c>
      <c r="C266" s="79" t="s">
        <v>1486</v>
      </c>
      <c r="D266" s="191">
        <f ca="1">SUM(F266:BK266)</f>
        <v>0</v>
      </c>
      <c r="E266" s="274" t="str">
        <f ca="1">IFERROR(D272/D279,"-")</f>
        <v>-</v>
      </c>
      <c r="F266" s="191">
        <f ca="1">SUMIFS(IF(MasterSheet_f_FP_CfgGroup1R3_VS,IF(MasterSheet_f_FP_CfgGroup2R2_VS,ProgramudgifterC!$P:$P,ProgramudgifterC!$O:$O),IF(MasterSheet_f_FP_CfgGroup2R2_VS,ProjektudgifterC!$P:$P,ProjektudgifterC!$O:$O)),IF(MasterSheet_f_FP_CfgGroup1R3_VS,ProgramudgifterC!$E:$E,ProjektudgifterC!$E:$E),OFFSET(Businesscasen_f_BCM_subcat16_Table1_start,0,COLUMN()-COLUMN(Businesscasen_f_BCM_subcat16_Table1_start)),IF(MasterSheet_f_FP_CfgGroup1R3_VS,ProgramudgifterC!$C:$C,ProjektudgifterC!$C:$C),OFFSET(Businesscasen_f_BCM_subcat16_Table1_start,ROW()-ROW(Businesscasen_f_BCM_subcat16_Table1_start),1))/1000</f>
        <v>0</v>
      </c>
      <c r="G266" s="191">
        <f ca="1">SUMIFS(IF(MasterSheet_f_FP_CfgGroup1R3_VS,IF(MasterSheet_f_FP_CfgGroup2R2_VS,ProgramudgifterC!$P:$P,ProgramudgifterC!$O:$O),IF(MasterSheet_f_FP_CfgGroup2R2_VS,ProjektudgifterC!$P:$P,ProjektudgifterC!$O:$O)),IF(MasterSheet_f_FP_CfgGroup1R3_VS,ProgramudgifterC!$E:$E,ProjektudgifterC!$E:$E),OFFSET(Businesscasen_f_BCM_subcat16_Table1_start,0,COLUMN()-COLUMN(Businesscasen_f_BCM_subcat16_Table1_start)),IF(MasterSheet_f_FP_CfgGroup1R3_VS,ProgramudgifterC!$C:$C,ProjektudgifterC!$C:$C),OFFSET(Businesscasen_f_BCM_subcat16_Table1_start,ROW()-ROW(Businesscasen_f_BCM_subcat16_Table1_start),1))/1000</f>
        <v>0</v>
      </c>
    </row>
    <row r="267" spans="2:7" ht="14.25" customHeight="1" x14ac:dyDescent="0.25">
      <c r="B267" s="132"/>
      <c r="C267" s="79"/>
      <c r="D267" s="191"/>
      <c r="E267" s="274"/>
      <c r="F267" s="191"/>
      <c r="G267" s="191"/>
    </row>
    <row r="268" spans="2:7" ht="14.25" customHeight="1" x14ac:dyDescent="0.25">
      <c r="B268" s="161" t="s">
        <v>462</v>
      </c>
      <c r="C268" s="80"/>
      <c r="D268" s="191">
        <f ca="1">SUM(F268:BK268)</f>
        <v>0</v>
      </c>
      <c r="E268" s="274" t="str">
        <f ca="1">IFERROR(D272/D281,"-")</f>
        <v>-</v>
      </c>
      <c r="F268" s="191">
        <f ca="1">SUM(F269:F270)</f>
        <v>0</v>
      </c>
      <c r="G268" s="191">
        <f t="shared" ref="G268" ca="1" si="54">SUM(G269:G270)</f>
        <v>0</v>
      </c>
    </row>
    <row r="269" spans="2:7" ht="14.25" customHeight="1" x14ac:dyDescent="0.25">
      <c r="B269" s="132" t="s">
        <v>84</v>
      </c>
      <c r="C269" s="79" t="s">
        <v>84</v>
      </c>
      <c r="D269" s="191">
        <f ca="1">SUM(F269:BK269)</f>
        <v>0</v>
      </c>
      <c r="E269" s="274" t="str">
        <f ca="1">IFERROR(D272/D282,"-")</f>
        <v>-</v>
      </c>
      <c r="F269" s="191">
        <f ca="1">SUMIFS(IF(MasterSheet_f_FP_CfgGroup1R3_VS,IF(MasterSheet_f_FP_CfgGroup2R2_VS,ProgramudgifterC!$P:$P,ProgramudgifterC!$O:$O),IF(MasterSheet_f_FP_CfgGroup2R2_VS,ProjektudgifterC!$P:$P,ProjektudgifterC!$O:$O)),IF(MasterSheet_f_FP_CfgGroup1R3_VS,ProgramudgifterC!$E:$E,ProjektudgifterC!$E:$E),OFFSET(Businesscasen_f_BCM_subcat16_Table1_start,0,COLUMN()-COLUMN(Businesscasen_f_BCM_subcat16_Table1_start)),IF(MasterSheet_f_FP_CfgGroup1R3_VS,ProgramudgifterC!$C:$C,ProjektudgifterC!$C:$C),OFFSET(Businesscasen_f_BCM_subcat16_Table1_start,ROW()-ROW(Businesscasen_f_BCM_subcat16_Table1_start),1))/1000</f>
        <v>0</v>
      </c>
      <c r="G269" s="191">
        <f ca="1">SUMIFS(IF(MasterSheet_f_FP_CfgGroup1R3_VS,IF(MasterSheet_f_FP_CfgGroup2R2_VS,ProgramudgifterC!$P:$P,ProgramudgifterC!$O:$O),IF(MasterSheet_f_FP_CfgGroup2R2_VS,ProjektudgifterC!$P:$P,ProjektudgifterC!$O:$O)),IF(MasterSheet_f_FP_CfgGroup1R3_VS,ProgramudgifterC!$E:$E,ProjektudgifterC!$E:$E),OFFSET(Businesscasen_f_BCM_subcat16_Table1_start,0,COLUMN()-COLUMN(Businesscasen_f_BCM_subcat16_Table1_start)),IF(MasterSheet_f_FP_CfgGroup1R3_VS,ProgramudgifterC!$C:$C,ProjektudgifterC!$C:$C),OFFSET(Businesscasen_f_BCM_subcat16_Table1_start,ROW()-ROW(Businesscasen_f_BCM_subcat16_Table1_start),1))/1000</f>
        <v>0</v>
      </c>
    </row>
    <row r="270" spans="2:7" ht="14.25" customHeight="1" x14ac:dyDescent="0.25">
      <c r="B270" s="132" t="s">
        <v>463</v>
      </c>
      <c r="C270" s="79" t="s">
        <v>85</v>
      </c>
      <c r="D270" s="191">
        <f ca="1">SUM(F270:BK270)</f>
        <v>0</v>
      </c>
      <c r="E270" s="274" t="str">
        <f ca="1">IFERROR(D272/D283,"-")</f>
        <v>-</v>
      </c>
      <c r="F270" s="191">
        <f ca="1">SUMIFS(IF(MasterSheet_f_FP_CfgGroup1R3_VS,IF(MasterSheet_f_FP_CfgGroup2R2_VS,ProgramudgifterC!$P:$P,ProgramudgifterC!$O:$O),IF(MasterSheet_f_FP_CfgGroup2R2_VS,ProjektudgifterC!$P:$P,ProjektudgifterC!$O:$O)),IF(MasterSheet_f_FP_CfgGroup1R3_VS,ProgramudgifterC!$E:$E,ProjektudgifterC!$E:$E),OFFSET(Businesscasen_f_BCM_subcat16_Table1_start,0,COLUMN()-COLUMN(Businesscasen_f_BCM_subcat16_Table1_start)),IF(MasterSheet_f_FP_CfgGroup1R3_VS,ProgramudgifterC!$C:$C,ProjektudgifterC!$C:$C),OFFSET(Businesscasen_f_BCM_subcat16_Table1_start,ROW()-ROW(Businesscasen_f_BCM_subcat16_Table1_start),1))/1000</f>
        <v>0</v>
      </c>
      <c r="G270" s="191">
        <f ca="1">SUMIFS(IF(MasterSheet_f_FP_CfgGroup1R3_VS,IF(MasterSheet_f_FP_CfgGroup2R2_VS,ProgramudgifterC!$P:$P,ProgramudgifterC!$O:$O),IF(MasterSheet_f_FP_CfgGroup2R2_VS,ProjektudgifterC!$P:$P,ProjektudgifterC!$O:$O)),IF(MasterSheet_f_FP_CfgGroup1R3_VS,ProgramudgifterC!$E:$E,ProjektudgifterC!$E:$E),OFFSET(Businesscasen_f_BCM_subcat16_Table1_start,0,COLUMN()-COLUMN(Businesscasen_f_BCM_subcat16_Table1_start)),IF(MasterSheet_f_FP_CfgGroup1R3_VS,ProgramudgifterC!$C:$C,ProjektudgifterC!$C:$C),OFFSET(Businesscasen_f_BCM_subcat16_Table1_start,ROW()-ROW(Businesscasen_f_BCM_subcat16_Table1_start),1))/1000</f>
        <v>0</v>
      </c>
    </row>
    <row r="271" spans="2:7" ht="14.25" customHeight="1" x14ac:dyDescent="0.25">
      <c r="B271" s="132"/>
      <c r="C271" s="133"/>
      <c r="D271" s="191"/>
      <c r="E271" s="274"/>
      <c r="F271" s="191"/>
      <c r="G271" s="191"/>
    </row>
    <row r="272" spans="2:7" ht="14.25" customHeight="1" x14ac:dyDescent="0.25">
      <c r="B272" s="161" t="s">
        <v>453</v>
      </c>
      <c r="C272" s="168"/>
      <c r="D272" s="191">
        <f ca="1">SUM(F272:BK272)</f>
        <v>0</v>
      </c>
      <c r="E272" s="274" t="str">
        <f ca="1">IFERROR(D272/D272,"-")</f>
        <v>-</v>
      </c>
      <c r="F272" s="191">
        <f ca="1">F268+F263</f>
        <v>0</v>
      </c>
      <c r="G272" s="191">
        <f t="shared" ref="G272" ca="1" si="55">G268+G263</f>
        <v>0</v>
      </c>
    </row>
    <row r="273" spans="2:7" ht="14.25" customHeight="1" x14ac:dyDescent="0.25">
      <c r="B273" s="132" t="s">
        <v>298</v>
      </c>
      <c r="C273" s="133"/>
      <c r="D273" s="191">
        <f ca="1">SUM(F273:BK273)</f>
        <v>0</v>
      </c>
      <c r="E273" s="274"/>
      <c r="F273" s="191">
        <f t="shared" ref="F273:G273" ca="1" si="56">OFFSET(Businesscasen_f_BCM_subcat18_Table1_start,15,COLUMN()-COLUMN(Businesscasen_f_BCM_subcat18_Table1_start))/1000</f>
        <v>0</v>
      </c>
      <c r="G273" s="191">
        <f t="shared" ca="1" si="56"/>
        <v>0</v>
      </c>
    </row>
    <row r="274" spans="2:7" ht="14.25" customHeight="1" x14ac:dyDescent="0.25">
      <c r="B274" s="132" t="s">
        <v>464</v>
      </c>
      <c r="C274" s="133"/>
      <c r="D274" s="191">
        <f ca="1">SUM(F274:BK274)</f>
        <v>0</v>
      </c>
      <c r="E274" s="274" t="str">
        <f ca="1">IFERROR(D274/D272,"-")</f>
        <v>-</v>
      </c>
      <c r="F274" s="191">
        <f ca="1">F272-F273</f>
        <v>0</v>
      </c>
      <c r="G274" s="191">
        <f t="shared" ref="G274" ca="1" si="57">G272-G273</f>
        <v>0</v>
      </c>
    </row>
    <row r="275" spans="2:7" ht="14.25" customHeight="1" x14ac:dyDescent="0.25">
      <c r="B275" s="132" t="s">
        <v>465</v>
      </c>
      <c r="C275" s="133"/>
      <c r="D275" s="191">
        <f ca="1">SUM(F275:BK275)</f>
        <v>0</v>
      </c>
      <c r="E275" s="274"/>
      <c r="F275" s="191">
        <f t="shared" ref="F275:G275" ca="1" si="58">OFFSET(Businesscasen_f_BCM_subcat18_Table1_start,17,COLUMN()-COLUMN(Businesscasen_f_BCM_subcat18_Table1_start))/1000</f>
        <v>0</v>
      </c>
      <c r="G275" s="191">
        <f t="shared" ca="1" si="58"/>
        <v>0</v>
      </c>
    </row>
    <row r="276" spans="2:7" ht="14.25" customHeight="1" x14ac:dyDescent="0.25">
      <c r="B276" s="132" t="s">
        <v>466</v>
      </c>
      <c r="C276" s="133"/>
      <c r="D276" s="191">
        <f ca="1">SUM(F276:BK276)</f>
        <v>0</v>
      </c>
      <c r="E276" s="274"/>
      <c r="F276" s="191">
        <f t="shared" ref="F276:G276" ca="1" si="59">(OFFSET(Businesscasen_f_BCM_subcat18_Table1_start,16,COLUMN(F276)-COLUMN(Businesscasen_f_BCM_subcat18_Table1_start)))/1000</f>
        <v>0</v>
      </c>
      <c r="G276" s="191">
        <f t="shared" ca="1" si="59"/>
        <v>0</v>
      </c>
    </row>
    <row r="277" spans="2:7" ht="14.25" customHeight="1" x14ac:dyDescent="0.25">
      <c r="B277" s="132"/>
      <c r="C277" s="133"/>
      <c r="D277" s="191"/>
      <c r="E277" s="274"/>
      <c r="F277" s="191"/>
      <c r="G277" s="191"/>
    </row>
    <row r="278" spans="2:7" ht="14.25" customHeight="1" x14ac:dyDescent="0.25">
      <c r="B278" s="161" t="s">
        <v>636</v>
      </c>
      <c r="C278" s="168"/>
      <c r="D278" s="191"/>
      <c r="E278" s="274"/>
      <c r="F278" s="191"/>
      <c r="G278" s="191"/>
    </row>
    <row r="279" spans="2:7" ht="14.25" customHeight="1" x14ac:dyDescent="0.25">
      <c r="B279" s="161"/>
      <c r="C279" s="168"/>
      <c r="D279" s="191"/>
      <c r="E279" s="274"/>
      <c r="F279" s="191"/>
      <c r="G279" s="191"/>
    </row>
    <row r="280" spans="2:7" ht="14.25" customHeight="1" x14ac:dyDescent="0.25">
      <c r="B280" s="161" t="s">
        <v>453</v>
      </c>
      <c r="C280" s="168"/>
      <c r="D280" s="191">
        <f ca="1">SUM(F280:BK280)</f>
        <v>0</v>
      </c>
      <c r="E280" s="274" t="str">
        <f ca="1">IFERROR(D280/D280,"-")</f>
        <v>-</v>
      </c>
      <c r="F280" s="191">
        <f ca="1">F272-F255</f>
        <v>0</v>
      </c>
      <c r="G280" s="191">
        <f t="shared" ref="G280" ca="1" si="60">G272-G255</f>
        <v>0</v>
      </c>
    </row>
    <row r="281" spans="2:7" ht="14.25" customHeight="1" x14ac:dyDescent="0.25">
      <c r="B281" s="132" t="s">
        <v>298</v>
      </c>
      <c r="C281" s="133"/>
      <c r="D281" s="191">
        <f ca="1">SUM(F281:BK281)</f>
        <v>0</v>
      </c>
      <c r="E281" s="274"/>
      <c r="F281" s="191">
        <f t="shared" ref="F281:G284" ca="1" si="61">F273-F256</f>
        <v>0</v>
      </c>
      <c r="G281" s="191">
        <f t="shared" ca="1" si="61"/>
        <v>0</v>
      </c>
    </row>
    <row r="282" spans="2:7" ht="14.25" customHeight="1" x14ac:dyDescent="0.25">
      <c r="B282" s="132" t="s">
        <v>464</v>
      </c>
      <c r="C282" s="133"/>
      <c r="D282" s="191">
        <f ca="1">SUM(F282:BK282)</f>
        <v>0</v>
      </c>
      <c r="E282" s="274" t="str">
        <f ca="1">IFERROR(D282/D280,"-")</f>
        <v>-</v>
      </c>
      <c r="F282" s="191">
        <f t="shared" ca="1" si="61"/>
        <v>0</v>
      </c>
      <c r="G282" s="191">
        <f t="shared" ca="1" si="61"/>
        <v>0</v>
      </c>
    </row>
    <row r="283" spans="2:7" ht="14.25" customHeight="1" x14ac:dyDescent="0.25">
      <c r="B283" s="132" t="s">
        <v>467</v>
      </c>
      <c r="C283" s="133"/>
      <c r="D283" s="191">
        <f ca="1">SUM(F283:BK283)</f>
        <v>0</v>
      </c>
      <c r="E283" s="274"/>
      <c r="F283" s="191">
        <f t="shared" ca="1" si="61"/>
        <v>0</v>
      </c>
      <c r="G283" s="191">
        <f t="shared" ca="1" si="61"/>
        <v>0</v>
      </c>
    </row>
    <row r="284" spans="2:7" ht="14.25" customHeight="1" x14ac:dyDescent="0.25">
      <c r="B284" s="165" t="s">
        <v>468</v>
      </c>
      <c r="C284" s="239"/>
      <c r="D284" s="244">
        <f ca="1">SUM(F284:BK284)</f>
        <v>0</v>
      </c>
      <c r="E284" s="275"/>
      <c r="F284" s="244">
        <f t="shared" ca="1" si="61"/>
        <v>0</v>
      </c>
      <c r="G284" s="244">
        <f t="shared" ca="1" si="61"/>
        <v>0</v>
      </c>
    </row>
    <row r="287" spans="2:7" ht="29.1" customHeight="1" x14ac:dyDescent="0.25"/>
    <row r="289" spans="2:11" ht="51.95" customHeight="1" x14ac:dyDescent="0.25">
      <c r="B289" s="372" t="s">
        <v>470</v>
      </c>
      <c r="C289" s="372"/>
      <c r="D289" s="372"/>
      <c r="E289" s="372"/>
      <c r="F289" s="124"/>
      <c r="G289" s="124"/>
      <c r="H289" s="124"/>
      <c r="I289" s="124"/>
      <c r="J289" s="124"/>
      <c r="K289" s="93"/>
    </row>
    <row r="304" spans="2:11" ht="29.1" customHeight="1" x14ac:dyDescent="0.25"/>
    <row r="306" spans="2:7" ht="51.95" customHeight="1" thickBot="1" x14ac:dyDescent="0.3">
      <c r="B306" s="360" t="str">
        <f>"Tabel 1.5: Samlet "&amp;IF(MasterSheet_f_FP_CfgGroup1R3_VS,"program","projekt")&amp;"økonomi, mio. kr."</f>
        <v>Tabel 1.5: Samlet projektøkonomi, mio. kr.</v>
      </c>
      <c r="C306" s="360"/>
      <c r="D306" s="361"/>
      <c r="E306" s="175" t="s">
        <v>413</v>
      </c>
      <c r="F306" s="175">
        <v>2013</v>
      </c>
      <c r="G306" s="175">
        <v>2014</v>
      </c>
    </row>
    <row r="307" spans="2:7" ht="14.25" customHeight="1" x14ac:dyDescent="0.25">
      <c r="B307" s="159" t="str">
        <f>"Drift - fremtidig uden "&amp;IF(MasterSheet_f_FP_CfgGroup1R3_VS,"program","projekt")</f>
        <v>Drift - fremtidig uden projekt</v>
      </c>
      <c r="C307" s="159"/>
      <c r="D307" s="141"/>
      <c r="E307" s="223"/>
      <c r="F307" s="242"/>
      <c r="G307" s="242"/>
    </row>
    <row r="308" spans="2:7" ht="14.25" customHeight="1" x14ac:dyDescent="0.25">
      <c r="B308" s="161" t="s">
        <v>453</v>
      </c>
      <c r="C308" s="161"/>
      <c r="D308" s="132"/>
      <c r="E308" s="191">
        <f ca="1">SUM(F308:BK308)</f>
        <v>0</v>
      </c>
      <c r="F308" s="191">
        <f ca="1">(IF(MasterSheet_f_FP_CfgGroup2R2_VS,IF(MasterSheet_f_FP_CfgGroup1R3_VS,SUMIF('Drift - fremtidig uden projektC'!$E:$E,OFFSET(Businesscasen_f_BCM_subcat18_Table1_start,0,COLUMN()-COLUMN(Businesscasen_f_BCM_subcat18_Table1_start)),'Drift - fremtidig uden projektC'!$P:$P),SUMIF('Drift - fremtidig uden projektC'!$E:$E,OFFSET(Businesscasen_f_BCM_subcat18_Table1_start,0,COLUMN()-COLUMN(Businesscasen_f_BCM_subcat18_Table1_start)),'Drift - fremtidig uden projektC'!$P:$P)),IF(MasterSheet_f_FP_CfgGroup1R3_VS,SUMIF('Drift - fremtidig uden projektC'!$E:$E,OFFSET(Businesscasen_f_BCM_subcat18_Table1_start,0,COLUMN()-COLUMN(Businesscasen_f_BCM_subcat18_Table1_start)),'Drift - fremtidig uden projektC'!$O:$O),SUMIF('Drift - fremtidig uden projektC'!$E:$E,OFFSET(Businesscasen_f_BCM_subcat18_Table1_start,0,COLUMN()-COLUMN(Businesscasen_f_BCM_subcat18_Table1_start)),'Drift - fremtidig uden projektC'!$O:$O))))/1000</f>
        <v>0</v>
      </c>
      <c r="G308" s="191">
        <f ca="1">(IF(MasterSheet_f_FP_CfgGroup2R2_VS,IF(MasterSheet_f_FP_CfgGroup1R3_VS,SUMIF('Drift - fremtidig uden projektC'!$E:$E,OFFSET(Businesscasen_f_BCM_subcat18_Table1_start,0,COLUMN()-COLUMN(Businesscasen_f_BCM_subcat18_Table1_start)),'Drift - fremtidig uden projektC'!$P:$P),SUMIF('Drift - fremtidig uden projektC'!$E:$E,OFFSET(Businesscasen_f_BCM_subcat18_Table1_start,0,COLUMN()-COLUMN(Businesscasen_f_BCM_subcat18_Table1_start)),'Drift - fremtidig uden projektC'!$P:$P)),IF(MasterSheet_f_FP_CfgGroup1R3_VS,SUMIF('Drift - fremtidig uden projektC'!$E:$E,OFFSET(Businesscasen_f_BCM_subcat18_Table1_start,0,COLUMN()-COLUMN(Businesscasen_f_BCM_subcat18_Table1_start)),'Drift - fremtidig uden projektC'!$O:$O),SUMIF('Drift - fremtidig uden projektC'!$E:$E,OFFSET(Businesscasen_f_BCM_subcat18_Table1_start,0,COLUMN()-COLUMN(Businesscasen_f_BCM_subcat18_Table1_start)),'Drift - fremtidig uden projektC'!$O:$O))))/1000</f>
        <v>0</v>
      </c>
    </row>
    <row r="309" spans="2:7" ht="14.25" customHeight="1" x14ac:dyDescent="0.25">
      <c r="B309" s="132" t="s">
        <v>298</v>
      </c>
      <c r="C309" s="132"/>
      <c r="D309" s="132"/>
      <c r="E309" s="191">
        <f ca="1">SUM(F309:BK309)</f>
        <v>0</v>
      </c>
      <c r="F309" s="191">
        <f ca="1">(IF(MasterSheet_f_FP_CfgGroup1R3_VS,SUMIF('Drift - fremtidig uden projektC'!$E:$E,OFFSET(Businesscasen_f_BCM_subcat18_Table1_start,0,COLUMN()-COLUMN(Businesscasen_f_BCM_subcat18_Table1_start)),'Drift - fremtidig uden projektC'!$N:$N),SUMIF('Drift - fremtidig uden projektC'!$E:$E,OFFSET(Businesscasen_f_BCM_subcat18_Table1_start,0,COLUMN()-COLUMN(Businesscasen_f_BCM_subcat18_Table1_start)),'Drift - fremtidig uden projektC'!$N:$N)))/1000</f>
        <v>0</v>
      </c>
      <c r="G309" s="191">
        <f ca="1">(IF(MasterSheet_f_FP_CfgGroup1R3_VS,SUMIF('Drift - fremtidig uden projektC'!$E:$E,OFFSET(Businesscasen_f_BCM_subcat18_Table1_start,0,COLUMN()-COLUMN(Businesscasen_f_BCM_subcat18_Table1_start)),'Drift - fremtidig uden projektC'!$N:$N),SUMIF('Drift - fremtidig uden projektC'!$E:$E,OFFSET(Businesscasen_f_BCM_subcat18_Table1_start,0,COLUMN()-COLUMN(Businesscasen_f_BCM_subcat18_Table1_start)),'Drift - fremtidig uden projektC'!$N:$N)))/1000</f>
        <v>0</v>
      </c>
    </row>
    <row r="310" spans="2:7" ht="14.25" customHeight="1" x14ac:dyDescent="0.25">
      <c r="B310" s="132" t="s">
        <v>495</v>
      </c>
      <c r="C310" s="132"/>
      <c r="D310" s="132"/>
      <c r="E310" s="191">
        <f ca="1">SUM(F310:BK310)</f>
        <v>0</v>
      </c>
      <c r="F310" s="191">
        <f ca="1">(IF(MasterSheet_f_FP_CfgGroup1R3_VS,SUMIF('Drift - fremtidig uden projektC'!$E:$E,OFFSET(Businesscasen_f_BCM_subcat18_Table1_start,0,COLUMN()-COLUMN(Businesscasen_f_BCM_subcat18_Table1_start)),'Drift - fremtidig uden projektC'!$Q:$Q),SUMIF('Drift - fremtidig uden projektC'!$E:$E,OFFSET(Businesscasen_f_BCM_subcat18_Table1_start,0,COLUMN()-COLUMN(Businesscasen_f_BCM_subcat18_Table1_start)),'Drift - fremtidig uden projektC'!$Q:$Q)))/1000</f>
        <v>0</v>
      </c>
      <c r="G310" s="191">
        <f ca="1">(IF(MasterSheet_f_FP_CfgGroup1R3_VS,SUMIF('Drift - fremtidig uden projektC'!$E:$E,OFFSET(Businesscasen_f_BCM_subcat18_Table1_start,0,COLUMN()-COLUMN(Businesscasen_f_BCM_subcat18_Table1_start)),'Drift - fremtidig uden projektC'!$Q:$Q),SUMIF('Drift - fremtidig uden projektC'!$E:$E,OFFSET(Businesscasen_f_BCM_subcat18_Table1_start,0,COLUMN()-COLUMN(Businesscasen_f_BCM_subcat18_Table1_start)),'Drift - fremtidig uden projektC'!$Q:$Q)))/1000</f>
        <v>0</v>
      </c>
    </row>
    <row r="311" spans="2:7" ht="14.25" customHeight="1" x14ac:dyDescent="0.25">
      <c r="B311" s="132" t="s">
        <v>496</v>
      </c>
      <c r="C311" s="132"/>
      <c r="D311" s="132"/>
      <c r="E311" s="191">
        <f ca="1">SUM(F311:BK311)</f>
        <v>0</v>
      </c>
      <c r="F311" s="191">
        <f ca="1">(IF(MasterSheet_f_FP_CfgGroup1R3_VS,SUMIF('Drift - fremtidig uden projektC'!$E:$E,OFFSET(Businesscasen_f_BCM_subcat18_Table1_start,0,COLUMN()-COLUMN(Businesscasen_f_BCM_subcat18_Table1_start)),'Drift - fremtidig uden projektC'!$R:$R),SUMIF('Drift - fremtidig uden projektC'!$E:$E,OFFSET(Businesscasen_f_BCM_subcat18_Table1_start,0,COLUMN()-COLUMN(Businesscasen_f_BCM_subcat18_Table1_start)),'Drift - fremtidig uden projektC'!$R:$R)))/1000</f>
        <v>0</v>
      </c>
      <c r="G311" s="191">
        <f ca="1">(IF(MasterSheet_f_FP_CfgGroup1R3_VS,SUMIF('Drift - fremtidig uden projektC'!$E:$E,OFFSET(Businesscasen_f_BCM_subcat18_Table1_start,0,COLUMN()-COLUMN(Businesscasen_f_BCM_subcat18_Table1_start)),'Drift - fremtidig uden projektC'!$R:$R),SUMIF('Drift - fremtidig uden projektC'!$E:$E,OFFSET(Businesscasen_f_BCM_subcat18_Table1_start,0,COLUMN()-COLUMN(Businesscasen_f_BCM_subcat18_Table1_start)),'Drift - fremtidig uden projektC'!$R:$R)))/1000</f>
        <v>0</v>
      </c>
    </row>
    <row r="312" spans="2:7" ht="14.25" customHeight="1" x14ac:dyDescent="0.25">
      <c r="B312" s="132"/>
      <c r="C312" s="132"/>
      <c r="D312" s="132"/>
      <c r="E312" s="191"/>
      <c r="F312" s="191"/>
      <c r="G312" s="191"/>
    </row>
    <row r="313" spans="2:7" ht="14.25" customHeight="1" x14ac:dyDescent="0.25">
      <c r="B313" s="161" t="str">
        <f>"Drift - med "&amp;IF(MasterSheet_f_FP_CfgGroup1R3_VS,"program","projekt")</f>
        <v>Drift - med projekt</v>
      </c>
      <c r="C313" s="161"/>
      <c r="D313" s="132"/>
      <c r="E313" s="191"/>
      <c r="F313" s="191"/>
      <c r="G313" s="191"/>
    </row>
    <row r="314" spans="2:7" ht="14.25" customHeight="1" x14ac:dyDescent="0.25">
      <c r="B314" s="161" t="s">
        <v>453</v>
      </c>
      <c r="C314" s="161"/>
      <c r="D314" s="132"/>
      <c r="E314" s="191">
        <f>SUM(F314:BK314)</f>
        <v>0</v>
      </c>
      <c r="F314" s="191">
        <f>(IF(MasterSheet_f_FP_CfgGroup2R2_VS,IF(MasterSheet_f_FP_CfgGroup1R3_VS,SUMIF('Drift - med projektC'!$E:$E,F306,'Drift - med projektC'!$P:$P),SUMIF('Drift - med projektC'!$E:$E,F306,'Drift - med projektC'!$P:$P)),IF(MasterSheet_f_FP_CfgGroup1R3_VS,SUMIF('Drift - med projektC'!$E:$E,F306,'Drift - med projektC'!$O:$O),SUMIF('Drift - med projektC'!$E:$E,F306,'Drift - med projektC'!$O:$O))))/1000</f>
        <v>0</v>
      </c>
      <c r="G314" s="191">
        <f>(IF(MasterSheet_f_FP_CfgGroup2R2_VS,IF(MasterSheet_f_FP_CfgGroup1R3_VS,SUMIF('Drift - med projektC'!$E:$E,G306,'Drift - med projektC'!$P:$P),SUMIF('Drift - med projektC'!$E:$E,G306,'Drift - med projektC'!$P:$P)),IF(MasterSheet_f_FP_CfgGroup1R3_VS,SUMIF('Drift - med projektC'!$E:$E,G306,'Drift - med projektC'!$O:$O),SUMIF('Drift - med projektC'!$E:$E,G306,'Drift - med projektC'!$O:$O))))/1000</f>
        <v>0</v>
      </c>
    </row>
    <row r="315" spans="2:7" ht="14.25" customHeight="1" x14ac:dyDescent="0.25">
      <c r="B315" s="132" t="s">
        <v>298</v>
      </c>
      <c r="C315" s="132"/>
      <c r="D315" s="132"/>
      <c r="E315" s="191">
        <f ca="1">SUM(F315:BK315)</f>
        <v>0</v>
      </c>
      <c r="F315" s="191">
        <f ca="1">(IF(MasterSheet_f_FP_CfgGroup1R3_VS,SUMIF('Drift - med projektC'!$E:$E,OFFSET(Businesscasen_f_BCM_subcat18_Table1_start,0,COLUMN()-COLUMN(Businesscasen_f_BCM_subcat18_Table1_start)),'Drift - med projektC'!$N:$N),SUMIF('Drift - med projektC'!$E:$E,OFFSET(Businesscasen_f_BCM_subcat18_Table1_start,0,COLUMN()-COLUMN(Businesscasen_f_BCM_subcat18_Table1_start)),'Drift - med projektC'!$N:$N)))/1000</f>
        <v>0</v>
      </c>
      <c r="G315" s="191">
        <f ca="1">(IF(MasterSheet_f_FP_CfgGroup1R3_VS,SUMIF('Drift - med projektC'!$E:$E,OFFSET(Businesscasen_f_BCM_subcat18_Table1_start,0,COLUMN()-COLUMN(Businesscasen_f_BCM_subcat18_Table1_start)),'Drift - med projektC'!$N:$N),SUMIF('Drift - med projektC'!$E:$E,OFFSET(Businesscasen_f_BCM_subcat18_Table1_start,0,COLUMN()-COLUMN(Businesscasen_f_BCM_subcat18_Table1_start)),'Drift - med projektC'!$N:$N)))/1000</f>
        <v>0</v>
      </c>
    </row>
    <row r="316" spans="2:7" ht="14.25" customHeight="1" x14ac:dyDescent="0.25">
      <c r="B316" s="132" t="s">
        <v>497</v>
      </c>
      <c r="C316" s="132"/>
      <c r="D316" s="132"/>
      <c r="E316" s="191">
        <f ca="1">SUM(F316:BK316)</f>
        <v>0</v>
      </c>
      <c r="F316" s="191">
        <f ca="1">(IF(MasterSheet_f_FP_CfgGroup1R3_VS,SUMIF('Drift - med projektC'!$E:$E,OFFSET(Businesscasen_f_BCM_subcat18_Table1_start,0,COLUMN()-COLUMN(Businesscasen_f_BCM_subcat18_Table1_start)),'Drift - med projektC'!$R:$R),SUMIF('Drift - med projektC'!$E:$E,OFFSET(Businesscasen_f_BCM_subcat18_Table1_start,0,COLUMN()-COLUMN(Businesscasen_f_BCM_subcat18_Table1_start)),'Drift - med projektC'!$R:$R)))/1000</f>
        <v>0</v>
      </c>
      <c r="G316" s="191">
        <f ca="1">(IF(MasterSheet_f_FP_CfgGroup1R3_VS,SUMIF('Drift - med projektC'!$E:$E,OFFSET(Businesscasen_f_BCM_subcat18_Table1_start,0,COLUMN()-COLUMN(Businesscasen_f_BCM_subcat18_Table1_start)),'Drift - med projektC'!$R:$R),SUMIF('Drift - med projektC'!$E:$E,OFFSET(Businesscasen_f_BCM_subcat18_Table1_start,0,COLUMN()-COLUMN(Businesscasen_f_BCM_subcat18_Table1_start)),'Drift - med projektC'!$R:$R)))/1000</f>
        <v>0</v>
      </c>
    </row>
    <row r="317" spans="2:7" ht="14.25" customHeight="1" x14ac:dyDescent="0.25">
      <c r="B317" s="132" t="s">
        <v>498</v>
      </c>
      <c r="C317" s="132"/>
      <c r="D317" s="132"/>
      <c r="E317" s="191">
        <f ca="1">SUM(F317:BK317)</f>
        <v>0</v>
      </c>
      <c r="F317" s="191">
        <f ca="1">(IF(MasterSheet_f_FP_CfgGroup1R3_VS,SUMIF('Drift - med projektC'!$E:$E,OFFSET(Businesscasen_f_BCM_subcat18_Table1_start,0,COLUMN()-COLUMN(Businesscasen_f_BCM_subcat18_Table1_start)),'Drift - med projektC'!$Q:$Q),SUMIF('Drift - med projektC'!$E:$E,OFFSET(Businesscasen_f_BCM_subcat18_Table1_start,0,COLUMN()-COLUMN(Businesscasen_f_BCM_subcat18_Table1_start)),'Drift - med projektC'!$Q:$Q)))/1000</f>
        <v>0</v>
      </c>
      <c r="G317" s="191">
        <f ca="1">(IF(MasterSheet_f_FP_CfgGroup1R3_VS,SUMIF('Drift - med projektC'!$E:$E,OFFSET(Businesscasen_f_BCM_subcat18_Table1_start,0,COLUMN()-COLUMN(Businesscasen_f_BCM_subcat18_Table1_start)),'Drift - med projektC'!$Q:$Q),SUMIF('Drift - med projektC'!$E:$E,OFFSET(Businesscasen_f_BCM_subcat18_Table1_start,0,COLUMN()-COLUMN(Businesscasen_f_BCM_subcat18_Table1_start)),'Drift - med projektC'!$Q:$Q)))/1000</f>
        <v>0</v>
      </c>
    </row>
    <row r="318" spans="2:7" ht="14.25" customHeight="1" x14ac:dyDescent="0.25">
      <c r="B318" s="168"/>
      <c r="C318" s="133"/>
      <c r="D318" s="133"/>
      <c r="E318" s="191"/>
      <c r="F318" s="191"/>
      <c r="G318" s="191"/>
    </row>
    <row r="319" spans="2:7" ht="14.25" customHeight="1" x14ac:dyDescent="0.25">
      <c r="B319" s="161" t="s">
        <v>457</v>
      </c>
      <c r="C319" s="161"/>
      <c r="D319" s="132"/>
      <c r="E319" s="191"/>
      <c r="F319" s="191"/>
      <c r="G319" s="191"/>
    </row>
    <row r="320" spans="2:7" ht="14.25" customHeight="1" x14ac:dyDescent="0.25">
      <c r="B320" s="161" t="s">
        <v>453</v>
      </c>
      <c r="C320" s="161"/>
      <c r="D320" s="132"/>
      <c r="E320" s="191">
        <f ca="1">SUM(F320:BK320)</f>
        <v>0</v>
      </c>
      <c r="F320" s="191">
        <f t="shared" ref="F320:G323" ca="1" si="62">F308-F314</f>
        <v>0</v>
      </c>
      <c r="G320" s="191">
        <f t="shared" ca="1" si="62"/>
        <v>0</v>
      </c>
    </row>
    <row r="321" spans="2:7" ht="14.25" customHeight="1" x14ac:dyDescent="0.25">
      <c r="B321" s="132" t="s">
        <v>298</v>
      </c>
      <c r="C321" s="132"/>
      <c r="D321" s="132"/>
      <c r="E321" s="191">
        <f ca="1">SUM(F321:BK321)</f>
        <v>0</v>
      </c>
      <c r="F321" s="191">
        <f t="shared" ca="1" si="62"/>
        <v>0</v>
      </c>
      <c r="G321" s="191">
        <f t="shared" ca="1" si="62"/>
        <v>0</v>
      </c>
    </row>
    <row r="322" spans="2:7" ht="14.25" customHeight="1" x14ac:dyDescent="0.25">
      <c r="B322" s="132" t="s">
        <v>466</v>
      </c>
      <c r="C322" s="132"/>
      <c r="D322" s="132"/>
      <c r="E322" s="191">
        <f ca="1">SUM(F322:BK322)</f>
        <v>0</v>
      </c>
      <c r="F322" s="191">
        <f t="shared" ca="1" si="62"/>
        <v>0</v>
      </c>
      <c r="G322" s="191">
        <f t="shared" ca="1" si="62"/>
        <v>0</v>
      </c>
    </row>
    <row r="323" spans="2:7" ht="14.25" customHeight="1" x14ac:dyDescent="0.25">
      <c r="B323" s="132" t="s">
        <v>465</v>
      </c>
      <c r="C323" s="132"/>
      <c r="D323" s="132"/>
      <c r="E323" s="191">
        <f ca="1">SUM(F323:BK323)</f>
        <v>0</v>
      </c>
      <c r="F323" s="191">
        <f t="shared" ca="1" si="62"/>
        <v>0</v>
      </c>
      <c r="G323" s="191">
        <f t="shared" ca="1" si="62"/>
        <v>0</v>
      </c>
    </row>
    <row r="324" spans="2:7" ht="14.25" customHeight="1" x14ac:dyDescent="0.25">
      <c r="B324" s="132"/>
      <c r="C324" s="132"/>
      <c r="D324" s="132"/>
      <c r="E324" s="191"/>
      <c r="F324" s="191"/>
      <c r="G324" s="191"/>
    </row>
    <row r="325" spans="2:7" ht="14.25" customHeight="1" x14ac:dyDescent="0.25">
      <c r="B325" s="161" t="str">
        <f>IF(MasterSheet_f_FP_CfgGroup1R3_VS,"Program","Projekt")&amp;"udgifter"</f>
        <v>Projektudgifter</v>
      </c>
      <c r="C325" s="161"/>
      <c r="D325" s="132"/>
      <c r="E325" s="191"/>
      <c r="F325" s="191"/>
      <c r="G325" s="191"/>
    </row>
    <row r="326" spans="2:7" ht="14.25" customHeight="1" x14ac:dyDescent="0.25">
      <c r="B326" s="161" t="s">
        <v>453</v>
      </c>
      <c r="C326" s="161"/>
      <c r="D326" s="132"/>
      <c r="E326" s="191">
        <f ca="1">SUM(F326:BK326)</f>
        <v>0</v>
      </c>
      <c r="F326" s="191">
        <f ca="1">(IF(MasterSheet_f_FP_CfgGroup2R2_VS,IF(MasterSheet_f_FP_CfgGroup1R3_VS,SUMIF(ProgramudgifterC!$E:$E,OFFSET(Businesscasen_f_BCM_subcat18_Table1_start,0,COLUMN()-COLUMN(Businesscasen_f_BCM_subcat18_Table1_start)),ProgramudgifterC!$P:$P),SUMIF(ProjektudgifterC!$E:$E,OFFSET(Businesscasen_f_BCM_subcat18_Table1_start,0,COLUMN()-COLUMN(Businesscasen_f_BCM_subcat18_Table1_start)),ProjektudgifterC!$P:$P)),IF(MasterSheet_f_FP_CfgGroup1R3_VS,SUMIF(ProgramudgifterC!$E:$E,OFFSET(Businesscasen_f_BCM_subcat18_Table1_start,0,COLUMN()-COLUMN(Businesscasen_f_BCM_subcat18_Table1_start)),ProgramudgifterC!$O:$O),SUMIF(ProjektudgifterC!$E:$E,OFFSET(Businesscasen_f_BCM_subcat18_Table1_start,0,COLUMN()-COLUMN(Businesscasen_f_BCM_subcat18_Table1_start)),ProjektudgifterC!$O:$O))))/1000</f>
        <v>0</v>
      </c>
      <c r="G326" s="191">
        <f ca="1">(IF(MasterSheet_f_FP_CfgGroup2R2_VS,IF(MasterSheet_f_FP_CfgGroup1R3_VS,SUMIF(ProgramudgifterC!$E:$E,OFFSET(Businesscasen_f_BCM_subcat18_Table1_start,0,COLUMN()-COLUMN(Businesscasen_f_BCM_subcat18_Table1_start)),ProgramudgifterC!$P:$P),SUMIF(ProjektudgifterC!$E:$E,OFFSET(Businesscasen_f_BCM_subcat18_Table1_start,0,COLUMN()-COLUMN(Businesscasen_f_BCM_subcat18_Table1_start)),ProjektudgifterC!$P:$P)),IF(MasterSheet_f_FP_CfgGroup1R3_VS,SUMIF(ProgramudgifterC!$E:$E,OFFSET(Businesscasen_f_BCM_subcat18_Table1_start,0,COLUMN()-COLUMN(Businesscasen_f_BCM_subcat18_Table1_start)),ProgramudgifterC!$O:$O),SUMIF(ProjektudgifterC!$E:$E,OFFSET(Businesscasen_f_BCM_subcat18_Table1_start,0,COLUMN()-COLUMN(Businesscasen_f_BCM_subcat18_Table1_start)),ProjektudgifterC!$O:$O))))/1000</f>
        <v>0</v>
      </c>
    </row>
    <row r="327" spans="2:7" ht="14.25" customHeight="1" x14ac:dyDescent="0.25">
      <c r="B327" s="132" t="s">
        <v>298</v>
      </c>
      <c r="C327" s="132"/>
      <c r="D327" s="132"/>
      <c r="E327" s="191">
        <f ca="1">SUM(F327:BK327)</f>
        <v>0</v>
      </c>
      <c r="F327" s="191">
        <f ca="1">(IF(MasterSheet_f_FP_CfgGroup1R3_VS,SUMIF(ProgramudgifterC!$E:$E,OFFSET(Businesscasen_f_BCM_subcat18_Table1_start,0,COLUMN()-COLUMN(Businesscasen_f_BCM_subcat18_Table1_start)),ProgramudgifterC!$N:$N),SUMIF(ProjektudgifterC!$E:$E,OFFSET(Businesscasen_f_BCM_subcat18_Table1_start,0,COLUMN()-COLUMN(Businesscasen_f_BCM_subcat18_Table1_start)),ProjektudgifterC!$N:$N)))/1000</f>
        <v>0</v>
      </c>
      <c r="G327" s="191">
        <f ca="1">(IF(MasterSheet_f_FP_CfgGroup1R3_VS,SUMIF(ProgramudgifterC!$E:$E,OFFSET(Businesscasen_f_BCM_subcat18_Table1_start,0,COLUMN()-COLUMN(Businesscasen_f_BCM_subcat18_Table1_start)),ProgramudgifterC!$N:$N),SUMIF(ProjektudgifterC!$E:$E,OFFSET(Businesscasen_f_BCM_subcat18_Table1_start,0,COLUMN()-COLUMN(Businesscasen_f_BCM_subcat18_Table1_start)),ProjektudgifterC!$N:$N)))/1000</f>
        <v>0</v>
      </c>
    </row>
    <row r="328" spans="2:7" ht="14.25" customHeight="1" x14ac:dyDescent="0.25">
      <c r="B328" s="132" t="s">
        <v>468</v>
      </c>
      <c r="C328" s="132"/>
      <c r="D328" s="132"/>
      <c r="E328" s="191">
        <f ca="1">SUM(F328:BK328)</f>
        <v>0</v>
      </c>
      <c r="F328" s="191">
        <f ca="1">(IF(MasterSheet_f_FP_CfgGroup1R3_VS,SUMIF(ProgramudgifterC!$E:$E,OFFSET(Businesscasen_f_BCM_subcat18_Table1_start,0,COLUMN()-COLUMN(Businesscasen_f_BCM_subcat18_Table1_start)),ProgramudgifterC!$R:$R),SUMIF(ProjektudgifterC!$E:$E,OFFSET(Businesscasen_f_BCM_subcat18_Table1_start,0,COLUMN()-COLUMN(Businesscasen_f_BCM_subcat18_Table1_start)),ProjektudgifterC!$R:$R)))/1000</f>
        <v>0</v>
      </c>
      <c r="G328" s="191">
        <f ca="1">(IF(MasterSheet_f_FP_CfgGroup1R3_VS,SUMIF(ProgramudgifterC!$E:$E,OFFSET(Businesscasen_f_BCM_subcat18_Table1_start,0,COLUMN()-COLUMN(Businesscasen_f_BCM_subcat18_Table1_start)),ProgramudgifterC!$R:$R),SUMIF(ProjektudgifterC!$E:$E,OFFSET(Businesscasen_f_BCM_subcat18_Table1_start,0,COLUMN()-COLUMN(Businesscasen_f_BCM_subcat18_Table1_start)),ProjektudgifterC!$R:$R)))/1000</f>
        <v>0</v>
      </c>
    </row>
    <row r="329" spans="2:7" ht="14.25" customHeight="1" x14ac:dyDescent="0.25">
      <c r="B329" s="132" t="s">
        <v>467</v>
      </c>
      <c r="C329" s="132"/>
      <c r="D329" s="132"/>
      <c r="E329" s="191">
        <f ca="1">SUM(F329:BK329)</f>
        <v>0</v>
      </c>
      <c r="F329" s="191">
        <f ca="1">(IF(MasterSheet_f_FP_CfgGroup1R3_VS,SUMIF(ProgramudgifterC!$E:$E,OFFSET(Businesscasen_f_BCM_subcat18_Table1_start,0,COLUMN()-COLUMN(Businesscasen_f_BCM_subcat18_Table1_start)),ProgramudgifterC!$Q:$Q),SUMIF(ProjektudgifterC!$E:$E,OFFSET(Businesscasen_f_BCM_subcat18_Table1_start,0,COLUMN()-COLUMN(Businesscasen_f_BCM_subcat18_Table1_start)),ProjektudgifterC!$Q:$Q)))/1000</f>
        <v>0</v>
      </c>
      <c r="G329" s="191">
        <f ca="1">(IF(MasterSheet_f_FP_CfgGroup1R3_VS,SUMIF(ProgramudgifterC!$E:$E,OFFSET(Businesscasen_f_BCM_subcat18_Table1_start,0,COLUMN()-COLUMN(Businesscasen_f_BCM_subcat18_Table1_start)),ProgramudgifterC!$Q:$Q),SUMIF(ProjektudgifterC!$E:$E,OFFSET(Businesscasen_f_BCM_subcat18_Table1_start,0,COLUMN()-COLUMN(Businesscasen_f_BCM_subcat18_Table1_start)),ProjektudgifterC!$Q:$Q)))/1000</f>
        <v>0</v>
      </c>
    </row>
    <row r="330" spans="2:7" ht="14.25" customHeight="1" x14ac:dyDescent="0.25">
      <c r="B330" s="132"/>
      <c r="C330" s="132"/>
      <c r="D330" s="132"/>
      <c r="E330" s="191"/>
      <c r="F330" s="191"/>
      <c r="G330" s="191"/>
    </row>
    <row r="331" spans="2:7" ht="14.25" customHeight="1" x14ac:dyDescent="0.25">
      <c r="B331" s="168" t="s">
        <v>472</v>
      </c>
      <c r="C331" s="161"/>
      <c r="D331" s="132"/>
      <c r="E331" s="191"/>
      <c r="F331" s="191"/>
      <c r="G331" s="191"/>
    </row>
    <row r="332" spans="2:7" ht="14.25" customHeight="1" x14ac:dyDescent="0.25">
      <c r="B332" s="168" t="s">
        <v>453</v>
      </c>
      <c r="C332" s="161"/>
      <c r="D332" s="132"/>
      <c r="E332" s="191">
        <f ca="1">SUM(F332:BK332)</f>
        <v>0</v>
      </c>
      <c r="F332" s="191">
        <f t="shared" ref="F332:G335" ca="1" si="63">F326+F314</f>
        <v>0</v>
      </c>
      <c r="G332" s="191">
        <f t="shared" ca="1" si="63"/>
        <v>0</v>
      </c>
    </row>
    <row r="333" spans="2:7" ht="14.25" customHeight="1" x14ac:dyDescent="0.25">
      <c r="B333" s="133" t="s">
        <v>298</v>
      </c>
      <c r="C333" s="132"/>
      <c r="D333" s="132"/>
      <c r="E333" s="191">
        <f ca="1">SUM(F333:BK333)</f>
        <v>0</v>
      </c>
      <c r="F333" s="191">
        <f t="shared" ca="1" si="63"/>
        <v>0</v>
      </c>
      <c r="G333" s="191">
        <f t="shared" ca="1" si="63"/>
        <v>0</v>
      </c>
    </row>
    <row r="334" spans="2:7" ht="14.25" customHeight="1" x14ac:dyDescent="0.25">
      <c r="B334" s="133" t="s">
        <v>468</v>
      </c>
      <c r="C334" s="132"/>
      <c r="D334" s="132"/>
      <c r="E334" s="191">
        <f ca="1">SUM(F334:BK334)</f>
        <v>0</v>
      </c>
      <c r="F334" s="191">
        <f t="shared" ca="1" si="63"/>
        <v>0</v>
      </c>
      <c r="G334" s="191">
        <f t="shared" ca="1" si="63"/>
        <v>0</v>
      </c>
    </row>
    <row r="335" spans="2:7" ht="14.25" customHeight="1" x14ac:dyDescent="0.25">
      <c r="B335" s="133" t="s">
        <v>467</v>
      </c>
      <c r="C335" s="132"/>
      <c r="D335" s="132"/>
      <c r="E335" s="191">
        <f ca="1">SUM(F335:BK335)</f>
        <v>0</v>
      </c>
      <c r="F335" s="191">
        <f t="shared" ca="1" si="63"/>
        <v>0</v>
      </c>
      <c r="G335" s="191">
        <f t="shared" ca="1" si="63"/>
        <v>0</v>
      </c>
    </row>
    <row r="336" spans="2:7" ht="14.25" customHeight="1" x14ac:dyDescent="0.25">
      <c r="B336" s="132"/>
      <c r="C336" s="132"/>
      <c r="D336" s="132"/>
      <c r="E336" s="191"/>
      <c r="F336" s="191"/>
      <c r="G336" s="191"/>
    </row>
    <row r="337" spans="2:7" ht="14.25" customHeight="1" x14ac:dyDescent="0.25">
      <c r="B337" s="161" t="s">
        <v>473</v>
      </c>
      <c r="C337" s="161"/>
      <c r="D337" s="132"/>
      <c r="E337" s="191"/>
      <c r="F337" s="191"/>
      <c r="G337" s="191"/>
    </row>
    <row r="338" spans="2:7" ht="14.25" customHeight="1" x14ac:dyDescent="0.25">
      <c r="B338" s="161" t="s">
        <v>453</v>
      </c>
      <c r="C338" s="161"/>
      <c r="D338" s="132"/>
      <c r="E338" s="191">
        <f ca="1">SUM(F338:BK338)</f>
        <v>0</v>
      </c>
      <c r="F338" s="191">
        <f t="shared" ref="F338:G341" ca="1" si="64">F320-F326</f>
        <v>0</v>
      </c>
      <c r="G338" s="191">
        <f t="shared" ca="1" si="64"/>
        <v>0</v>
      </c>
    </row>
    <row r="339" spans="2:7" ht="14.25" customHeight="1" x14ac:dyDescent="0.25">
      <c r="B339" s="132" t="s">
        <v>298</v>
      </c>
      <c r="C339" s="132"/>
      <c r="D339" s="132"/>
      <c r="E339" s="191">
        <f ca="1">SUM(F339:BK339)</f>
        <v>0</v>
      </c>
      <c r="F339" s="191">
        <f t="shared" ca="1" si="64"/>
        <v>0</v>
      </c>
      <c r="G339" s="191">
        <f t="shared" ca="1" si="64"/>
        <v>0</v>
      </c>
    </row>
    <row r="340" spans="2:7" ht="14.25" customHeight="1" x14ac:dyDescent="0.25">
      <c r="B340" s="132" t="s">
        <v>468</v>
      </c>
      <c r="C340" s="132"/>
      <c r="D340" s="132"/>
      <c r="E340" s="191">
        <f ca="1">SUM(F340:BK340)</f>
        <v>0</v>
      </c>
      <c r="F340" s="191">
        <f t="shared" ca="1" si="64"/>
        <v>0</v>
      </c>
      <c r="G340" s="191">
        <f t="shared" ca="1" si="64"/>
        <v>0</v>
      </c>
    </row>
    <row r="341" spans="2:7" ht="14.25" customHeight="1" x14ac:dyDescent="0.25">
      <c r="B341" s="169" t="s">
        <v>467</v>
      </c>
      <c r="C341" s="169"/>
      <c r="D341" s="169"/>
      <c r="E341" s="192">
        <f ca="1">SUM(F341:BK341)</f>
        <v>0</v>
      </c>
      <c r="F341" s="192">
        <f t="shared" ca="1" si="64"/>
        <v>0</v>
      </c>
      <c r="G341" s="192">
        <f t="shared" ca="1" si="64"/>
        <v>0</v>
      </c>
    </row>
    <row r="342" spans="2:7" ht="14.25" customHeight="1" x14ac:dyDescent="0.25">
      <c r="B342" s="149"/>
      <c r="C342" s="149"/>
      <c r="D342" s="149"/>
      <c r="E342" s="243"/>
      <c r="F342" s="243"/>
      <c r="G342" s="243"/>
    </row>
    <row r="343" spans="2:7" ht="14.25" customHeight="1" x14ac:dyDescent="0.25">
      <c r="B343" s="149"/>
      <c r="C343" s="149"/>
      <c r="D343" s="149"/>
      <c r="E343" s="243"/>
      <c r="F343" s="243"/>
      <c r="G343" s="243"/>
    </row>
    <row r="344" spans="2:7" ht="14.25" hidden="1" customHeight="1" x14ac:dyDescent="0.25">
      <c r="B344" s="253" t="s">
        <v>364</v>
      </c>
      <c r="C344" s="170"/>
      <c r="D344" s="170"/>
      <c r="E344" s="191">
        <f>SUM(F344:BK344)</f>
        <v>0</v>
      </c>
      <c r="F344" s="191">
        <f>(SUM('Drift - før projektC'!$N:$N))/1000</f>
        <v>0</v>
      </c>
      <c r="G344" s="191">
        <f>(SUM('Drift - før projektC'!$N:$N))/1000</f>
        <v>0</v>
      </c>
    </row>
    <row r="345" spans="2:7" ht="14.25" hidden="1" customHeight="1" x14ac:dyDescent="0.25">
      <c r="B345" s="252"/>
      <c r="C345" s="170"/>
      <c r="D345" s="170"/>
      <c r="E345" s="191"/>
      <c r="F345" s="191"/>
      <c r="G345" s="191"/>
    </row>
    <row r="346" spans="2:7" ht="14.25" hidden="1" customHeight="1" x14ac:dyDescent="0.25">
      <c r="B346" s="253" t="s">
        <v>1612</v>
      </c>
      <c r="C346" s="170"/>
      <c r="D346" s="170"/>
      <c r="E346" s="191"/>
      <c r="F346" s="191"/>
      <c r="G346" s="191"/>
    </row>
    <row r="347" spans="2:7" ht="14.25" hidden="1" customHeight="1" x14ac:dyDescent="0.25">
      <c r="B347" s="252" t="s">
        <v>453</v>
      </c>
      <c r="C347" s="170"/>
      <c r="D347" s="170"/>
      <c r="E347" s="191">
        <f ca="1">SUM(F347:BK347)</f>
        <v>0</v>
      </c>
      <c r="F347" s="191">
        <f ca="1">(IF(MasterSheet_f_FP_CfgGroup2R2_VS,IF(MasterSheet_f_FP_CfgGroup1R3_VS,SUMIF('Drift - fremtidig uden projektE'!$C:$C,OFFSET(Businesscasen_f_BCM_subcat18_Table1_start,0,COLUMN()-COLUMN(Businesscasen_f_BCM_subcat18_Table1_start)),'Drift - fremtidig uden projektE'!$P:$P),SUMIF('Drift - fremtidig uden projektE'!$C:$C,OFFSET(Businesscasen_f_BCM_subcat18_Table1_start,0,COLUMN()-COLUMN(Businesscasen_f_BCM_subcat18_Table1_start)),'Drift - fremtidig uden projektE'!$P:$P)),IF(MasterSheet_f_FP_CfgGroup1R3_VS,SUMIF('Drift - fremtidig uden projektE'!$C:$C,OFFSET(Businesscasen_f_BCM_subcat18_Table1_start,0,COLUMN()-COLUMN(Businesscasen_f_BCM_subcat18_Table1_start)),'Drift - fremtidig uden projektE'!$O:$O),SUMIF('Drift - fremtidig uden projektE'!$C:$C,OFFSET(Businesscasen_f_BCM_subcat18_Table1_start,0,COLUMN()-COLUMN(Businesscasen_f_BCM_subcat18_Table1_start)),'Drift - fremtidig uden projektE'!$O:$O))))/1000</f>
        <v>0</v>
      </c>
      <c r="G347" s="191">
        <f ca="1">(IF(MasterSheet_f_FP_CfgGroup2R2_VS,IF(MasterSheet_f_FP_CfgGroup1R3_VS,SUMIF('Drift - fremtidig uden projektE'!$C:$C,OFFSET(Businesscasen_f_BCM_subcat18_Table1_start,0,COLUMN()-COLUMN(Businesscasen_f_BCM_subcat18_Table1_start)),'Drift - fremtidig uden projektE'!$P:$P),SUMIF('Drift - fremtidig uden projektE'!$C:$C,OFFSET(Businesscasen_f_BCM_subcat18_Table1_start,0,COLUMN()-COLUMN(Businesscasen_f_BCM_subcat18_Table1_start)),'Drift - fremtidig uden projektE'!$P:$P)),IF(MasterSheet_f_FP_CfgGroup1R3_VS,SUMIF('Drift - fremtidig uden projektE'!$C:$C,OFFSET(Businesscasen_f_BCM_subcat18_Table1_start,0,COLUMN()-COLUMN(Businesscasen_f_BCM_subcat18_Table1_start)),'Drift - fremtidig uden projektE'!$O:$O),SUMIF('Drift - fremtidig uden projektE'!$C:$C,OFFSET(Businesscasen_f_BCM_subcat18_Table1_start,0,COLUMN()-COLUMN(Businesscasen_f_BCM_subcat18_Table1_start)),'Drift - fremtidig uden projektE'!$O:$O))))/1000</f>
        <v>0</v>
      </c>
    </row>
    <row r="348" spans="2:7" ht="14.25" hidden="1" customHeight="1" x14ac:dyDescent="0.25">
      <c r="B348" s="252" t="s">
        <v>298</v>
      </c>
      <c r="C348" s="170"/>
      <c r="D348" s="170"/>
      <c r="E348" s="191">
        <f ca="1">SUM(F348:BK348)</f>
        <v>0</v>
      </c>
      <c r="F348" s="191">
        <f ca="1">(IF(MasterSheet_f_FP_CfgGroup1R3_VS,SUMIF('Drift - fremtidig uden projektE'!$C:$C,OFFSET(Businesscasen_f_BCM_subcat18_Table1_start,0,COLUMN()-COLUMN(Businesscasen_f_BCM_subcat18_Table1_start)),'Drift - fremtidig uden projektE'!$N:$N),SUMIF('Drift - fremtidig uden projektE'!$C:$C,OFFSET(Businesscasen_f_BCM_subcat18_Table1_start,0,COLUMN()-COLUMN(Businesscasen_f_BCM_subcat18_Table1_start)),'Drift - fremtidig uden projektE'!$N:$N)))/1000</f>
        <v>0</v>
      </c>
      <c r="G348" s="191">
        <f ca="1">(IF(MasterSheet_f_FP_CfgGroup1R3_VS,SUMIF('Drift - fremtidig uden projektE'!$C:$C,OFFSET(Businesscasen_f_BCM_subcat18_Table1_start,0,COLUMN()-COLUMN(Businesscasen_f_BCM_subcat18_Table1_start)),'Drift - fremtidig uden projektE'!$N:$N),SUMIF('Drift - fremtidig uden projektE'!$C:$C,OFFSET(Businesscasen_f_BCM_subcat18_Table1_start,0,COLUMN()-COLUMN(Businesscasen_f_BCM_subcat18_Table1_start)),'Drift - fremtidig uden projektE'!$N:$N)))/1000</f>
        <v>0</v>
      </c>
    </row>
    <row r="349" spans="2:7" ht="14.25" hidden="1" customHeight="1" x14ac:dyDescent="0.25">
      <c r="B349" s="252" t="s">
        <v>497</v>
      </c>
      <c r="C349" s="170"/>
      <c r="D349" s="170"/>
      <c r="E349" s="191">
        <f ca="1">SUM(F349:BK349)</f>
        <v>0</v>
      </c>
      <c r="F349" s="191">
        <f ca="1">(IF(MasterSheet_f_FP_CfgGroup1R3_VS,SUMIF('Drift - fremtidig uden projektE'!$C:$C,OFFSET(Businesscasen_f_BCM_subcat18_Table1_start,0,COLUMN()-COLUMN(Businesscasen_f_BCM_subcat18_Table1_start)),'Drift - fremtidig uden projektE'!$R:$R),SUMIF('Drift - fremtidig uden projektE'!$C:$C,OFFSET(Businesscasen_f_BCM_subcat18_Table1_start,0,COLUMN()-COLUMN(Businesscasen_f_BCM_subcat18_Table1_start)),'Drift - fremtidig uden projektE'!$R:$R)))/1000</f>
        <v>0</v>
      </c>
      <c r="G349" s="191">
        <f ca="1">(IF(MasterSheet_f_FP_CfgGroup1R3_VS,SUMIF('Drift - fremtidig uden projektE'!$C:$C,OFFSET(Businesscasen_f_BCM_subcat18_Table1_start,0,COLUMN()-COLUMN(Businesscasen_f_BCM_subcat18_Table1_start)),'Drift - fremtidig uden projektE'!$R:$R),SUMIF('Drift - fremtidig uden projektE'!$C:$C,OFFSET(Businesscasen_f_BCM_subcat18_Table1_start,0,COLUMN()-COLUMN(Businesscasen_f_BCM_subcat18_Table1_start)),'Drift - fremtidig uden projektE'!$R:$R)))/1000</f>
        <v>0</v>
      </c>
    </row>
    <row r="350" spans="2:7" ht="14.25" hidden="1" customHeight="1" x14ac:dyDescent="0.25">
      <c r="B350" s="252" t="s">
        <v>498</v>
      </c>
      <c r="C350" s="170"/>
      <c r="D350" s="170"/>
      <c r="E350" s="191">
        <f ca="1">SUM(F350:BK350)</f>
        <v>0</v>
      </c>
      <c r="F350" s="191">
        <f ca="1">(IF(MasterSheet_f_FP_CfgGroup1R3_VS,SUMIF('Drift - fremtidig uden projektE'!$C:$C,OFFSET(Businesscasen_f_BCM_subcat18_Table1_start,0,COLUMN()-COLUMN(Businesscasen_f_BCM_subcat18_Table1_start)),'Drift - fremtidig uden projektE'!$Q:$Q),SUMIF('Drift - fremtidig uden projektE'!$C:$C,OFFSET(Businesscasen_f_BCM_subcat18_Table1_start,0,COLUMN()-COLUMN(Businesscasen_f_BCM_subcat18_Table1_start)),'Drift - fremtidig uden projektE'!$Q:$Q)))/1000</f>
        <v>0</v>
      </c>
      <c r="G350" s="191">
        <f ca="1">(IF(MasterSheet_f_FP_CfgGroup1R3_VS,SUMIF('Drift - fremtidig uden projektE'!$C:$C,OFFSET(Businesscasen_f_BCM_subcat18_Table1_start,0,COLUMN()-COLUMN(Businesscasen_f_BCM_subcat18_Table1_start)),'Drift - fremtidig uden projektE'!$Q:$Q),SUMIF('Drift - fremtidig uden projektE'!$C:$C,OFFSET(Businesscasen_f_BCM_subcat18_Table1_start,0,COLUMN()-COLUMN(Businesscasen_f_BCM_subcat18_Table1_start)),'Drift - fremtidig uden projektE'!$Q:$Q)))/1000</f>
        <v>0</v>
      </c>
    </row>
    <row r="351" spans="2:7" ht="14.25" hidden="1" customHeight="1" x14ac:dyDescent="0.25">
      <c r="B351" s="252"/>
      <c r="C351" s="170"/>
      <c r="D351" s="170"/>
      <c r="E351" s="191"/>
      <c r="F351" s="191"/>
      <c r="G351" s="191"/>
    </row>
    <row r="352" spans="2:7" ht="14.25" hidden="1" customHeight="1" x14ac:dyDescent="0.25">
      <c r="B352" s="253" t="s">
        <v>1613</v>
      </c>
      <c r="C352" s="170"/>
      <c r="D352" s="170"/>
      <c r="E352" s="191"/>
      <c r="F352" s="191"/>
      <c r="G352" s="191"/>
    </row>
    <row r="353" spans="2:19" ht="14.25" hidden="1" customHeight="1" x14ac:dyDescent="0.25">
      <c r="B353" s="252" t="s">
        <v>453</v>
      </c>
      <c r="C353" s="170"/>
      <c r="D353" s="170"/>
      <c r="E353" s="191">
        <f ca="1">SUM(F353:BK353)</f>
        <v>0</v>
      </c>
      <c r="F353" s="191">
        <f ca="1">(IF(MasterSheet_f_FP_CfgGroup2R2_VS,IF(MasterSheet_f_FP_CfgGroup1R3_VS,SUMIF('Drift - med projektE'!$C:$C,OFFSET(Businesscasen_f_BCM_subcat18_Table1_start,0,COLUMN()-COLUMN(Businesscasen_f_BCM_subcat18_Table1_start)),'Drift - med projektE'!$P:$P),SUMIF('Drift - med projektE'!$C:$C,OFFSET(Businesscasen_f_BCM_subcat18_Table1_start,0,COLUMN()-COLUMN(Businesscasen_f_BCM_subcat18_Table1_start)),'Drift - med projektE'!$P:$P)),IF(MasterSheet_f_FP_CfgGroup1R3_VS,SUMIF('Drift - med projektE'!$C:$C,OFFSET(Businesscasen_f_BCM_subcat18_Table1_start,0,COLUMN()-COLUMN(Businesscasen_f_BCM_subcat18_Table1_start)),'Drift - med projektE'!$O:$O),SUMIF('Drift - med projektE'!$C:$C,OFFSET(Businesscasen_f_BCM_subcat18_Table1_start,0,COLUMN()-COLUMN(Businesscasen_f_BCM_subcat18_Table1_start)),'Drift - med projektE'!$O:$O))))/1000</f>
        <v>0</v>
      </c>
      <c r="G353" s="191">
        <f ca="1">(IF(MasterSheet_f_FP_CfgGroup2R2_VS,IF(MasterSheet_f_FP_CfgGroup1R3_VS,SUMIF('Drift - med projektE'!$C:$C,OFFSET(Businesscasen_f_BCM_subcat18_Table1_start,0,COLUMN()-COLUMN(Businesscasen_f_BCM_subcat18_Table1_start)),'Drift - med projektE'!$P:$P),SUMIF('Drift - med projektE'!$C:$C,OFFSET(Businesscasen_f_BCM_subcat18_Table1_start,0,COLUMN()-COLUMN(Businesscasen_f_BCM_subcat18_Table1_start)),'Drift - med projektE'!$P:$P)),IF(MasterSheet_f_FP_CfgGroup1R3_VS,SUMIF('Drift - med projektE'!$C:$C,OFFSET(Businesscasen_f_BCM_subcat18_Table1_start,0,COLUMN()-COLUMN(Businesscasen_f_BCM_subcat18_Table1_start)),'Drift - med projektE'!$O:$O),SUMIF('Drift - med projektE'!$C:$C,OFFSET(Businesscasen_f_BCM_subcat18_Table1_start,0,COLUMN()-COLUMN(Businesscasen_f_BCM_subcat18_Table1_start)),'Drift - med projektE'!$O:$O))))/1000</f>
        <v>0</v>
      </c>
    </row>
    <row r="354" spans="2:19" ht="14.25" hidden="1" customHeight="1" x14ac:dyDescent="0.25">
      <c r="B354" s="252" t="s">
        <v>298</v>
      </c>
      <c r="C354" s="170"/>
      <c r="D354" s="170"/>
      <c r="E354" s="191">
        <f ca="1">SUM(F354:BK354)</f>
        <v>0</v>
      </c>
      <c r="F354" s="191">
        <f ca="1">(IF(MasterSheet_f_FP_CfgGroup1R3_VS,SUMIF('Drift - med projektE'!$C:$C,OFFSET(Businesscasen_f_BCM_subcat18_Table1_start,0,COLUMN()-COLUMN(Businesscasen_f_BCM_subcat18_Table1_start)),'Drift - med projektE'!$N:$N),SUMIF('Drift - med projektE'!$C:$C,OFFSET(Businesscasen_f_BCM_subcat18_Table1_start,0,COLUMN()-COLUMN(Businesscasen_f_BCM_subcat18_Table1_start)),'Drift - med projektE'!$N:$N)))/1000</f>
        <v>0</v>
      </c>
      <c r="G354" s="191">
        <f ca="1">(IF(MasterSheet_f_FP_CfgGroup1R3_VS,SUMIF('Drift - med projektE'!$C:$C,OFFSET(Businesscasen_f_BCM_subcat18_Table1_start,0,COLUMN()-COLUMN(Businesscasen_f_BCM_subcat18_Table1_start)),'Drift - med projektE'!$N:$N),SUMIF('Drift - med projektE'!$C:$C,OFFSET(Businesscasen_f_BCM_subcat18_Table1_start,0,COLUMN()-COLUMN(Businesscasen_f_BCM_subcat18_Table1_start)),'Drift - med projektE'!$N:$N)))/1000</f>
        <v>0</v>
      </c>
    </row>
    <row r="355" spans="2:19" ht="14.25" hidden="1" customHeight="1" x14ac:dyDescent="0.25">
      <c r="B355" s="252" t="s">
        <v>495</v>
      </c>
      <c r="C355" s="170"/>
      <c r="D355" s="170"/>
      <c r="E355" s="191">
        <f ca="1">SUM(F355:BK355)</f>
        <v>0</v>
      </c>
      <c r="F355" s="191">
        <f ca="1">(IF(MasterSheet_f_FP_CfgGroup1R3_VS,SUMIF('Drift - med projektE'!$C:$C,OFFSET(Businesscasen_f_BCM_subcat18_Table1_start,0,COLUMN()-COLUMN(Businesscasen_f_BCM_subcat18_Table1_start)),'Drift - med projektE'!$Q:$Q),SUMIF('Drift - med projektE'!$C:$C,OFFSET(Businesscasen_f_BCM_subcat18_Table1_start,0,COLUMN()-COLUMN(Businesscasen_f_BCM_subcat18_Table1_start)),'Drift - med projektE'!$Q:$Q)))/1000</f>
        <v>0</v>
      </c>
      <c r="G355" s="191">
        <f ca="1">(IF(MasterSheet_f_FP_CfgGroup1R3_VS,SUMIF('Drift - med projektE'!$C:$C,OFFSET(Businesscasen_f_BCM_subcat18_Table1_start,0,COLUMN()-COLUMN(Businesscasen_f_BCM_subcat18_Table1_start)),'Drift - med projektE'!$Q:$Q),SUMIF('Drift - med projektE'!$C:$C,OFFSET(Businesscasen_f_BCM_subcat18_Table1_start,0,COLUMN()-COLUMN(Businesscasen_f_BCM_subcat18_Table1_start)),'Drift - med projektE'!$Q:$Q)))/1000</f>
        <v>0</v>
      </c>
    </row>
    <row r="356" spans="2:19" ht="14.25" hidden="1" customHeight="1" x14ac:dyDescent="0.25">
      <c r="B356" s="252" t="s">
        <v>496</v>
      </c>
      <c r="C356" s="170"/>
      <c r="D356" s="170"/>
      <c r="E356" s="191">
        <f ca="1">SUM(F356:BK356)</f>
        <v>0</v>
      </c>
      <c r="F356" s="191">
        <f ca="1">(IF(MasterSheet_f_FP_CfgGroup1R3_VS,SUMIF('Drift - med projektE'!$C:$C,OFFSET(Businesscasen_f_BCM_subcat18_Table1_start,0,COLUMN()-COLUMN(Businesscasen_f_BCM_subcat18_Table1_start)),'Drift - med projektE'!$R:$R),SUMIF('Drift - med projektE'!$C:$C,OFFSET(Businesscasen_f_BCM_subcat18_Table1_start,0,COLUMN()-COLUMN(Businesscasen_f_BCM_subcat18_Table1_start)),'Drift - med projektE'!$R:$R)))/1000</f>
        <v>0</v>
      </c>
      <c r="G356" s="191">
        <f ca="1">(IF(MasterSheet_f_FP_CfgGroup1R3_VS,SUMIF('Drift - med projektE'!$C:$C,OFFSET(Businesscasen_f_BCM_subcat18_Table1_start,0,COLUMN()-COLUMN(Businesscasen_f_BCM_subcat18_Table1_start)),'Drift - med projektE'!$R:$R),SUMIF('Drift - med projektE'!$C:$C,OFFSET(Businesscasen_f_BCM_subcat18_Table1_start,0,COLUMN()-COLUMN(Businesscasen_f_BCM_subcat18_Table1_start)),'Drift - med projektE'!$R:$R)))/1000</f>
        <v>0</v>
      </c>
    </row>
    <row r="357" spans="2:19" ht="14.25" hidden="1" customHeight="1" x14ac:dyDescent="0.25">
      <c r="B357" s="252"/>
      <c r="C357" s="170"/>
      <c r="D357" s="170"/>
      <c r="E357" s="191"/>
      <c r="F357" s="191"/>
      <c r="G357" s="191"/>
    </row>
    <row r="358" spans="2:19" ht="14.25" hidden="1" customHeight="1" x14ac:dyDescent="0.25">
      <c r="B358" s="253" t="s">
        <v>1620</v>
      </c>
      <c r="C358" s="170"/>
      <c r="D358" s="170"/>
      <c r="E358" s="191"/>
      <c r="F358" s="191"/>
      <c r="G358" s="191"/>
    </row>
    <row r="359" spans="2:19" ht="14.25" hidden="1" customHeight="1" x14ac:dyDescent="0.25">
      <c r="B359" s="252" t="s">
        <v>453</v>
      </c>
      <c r="C359" s="170"/>
      <c r="D359" s="170"/>
      <c r="E359" s="191">
        <f ca="1">SUM(F359:BK359)</f>
        <v>0</v>
      </c>
      <c r="F359" s="191">
        <f t="shared" ref="F359:G362" ca="1" si="65">F347-F353</f>
        <v>0</v>
      </c>
      <c r="G359" s="191">
        <f t="shared" ca="1" si="65"/>
        <v>0</v>
      </c>
    </row>
    <row r="360" spans="2:19" ht="14.25" hidden="1" customHeight="1" x14ac:dyDescent="0.25">
      <c r="B360" s="252" t="s">
        <v>298</v>
      </c>
      <c r="C360" s="170"/>
      <c r="D360" s="170"/>
      <c r="E360" s="191">
        <f ca="1">SUM(F360:BK360)</f>
        <v>0</v>
      </c>
      <c r="F360" s="191">
        <f t="shared" ca="1" si="65"/>
        <v>0</v>
      </c>
      <c r="G360" s="191">
        <f t="shared" ca="1" si="65"/>
        <v>0</v>
      </c>
    </row>
    <row r="361" spans="2:19" ht="14.25" hidden="1" customHeight="1" x14ac:dyDescent="0.25">
      <c r="B361" s="252" t="s">
        <v>495</v>
      </c>
      <c r="C361" s="170"/>
      <c r="D361" s="170"/>
      <c r="E361" s="191">
        <f ca="1">SUM(F361:BK361)</f>
        <v>0</v>
      </c>
      <c r="F361" s="191">
        <f t="shared" ca="1" si="65"/>
        <v>0</v>
      </c>
      <c r="G361" s="191">
        <f t="shared" ca="1" si="65"/>
        <v>0</v>
      </c>
    </row>
    <row r="362" spans="2:19" ht="14.25" hidden="1" customHeight="1" x14ac:dyDescent="0.25">
      <c r="B362" s="252" t="s">
        <v>496</v>
      </c>
      <c r="C362" s="170"/>
      <c r="D362" s="170"/>
      <c r="E362" s="191">
        <f ca="1">SUM(F362:BK362)</f>
        <v>0</v>
      </c>
      <c r="F362" s="191">
        <f t="shared" ca="1" si="65"/>
        <v>0</v>
      </c>
      <c r="G362" s="191">
        <f t="shared" ca="1" si="65"/>
        <v>0</v>
      </c>
    </row>
    <row r="363" spans="2:19" ht="14.25" hidden="1" customHeight="1" x14ac:dyDescent="0.25">
      <c r="B363" s="253" t="s">
        <v>1621</v>
      </c>
      <c r="C363" s="170"/>
      <c r="D363" s="170"/>
      <c r="E363" s="191"/>
      <c r="F363" s="191"/>
      <c r="G363" s="191"/>
    </row>
    <row r="364" spans="2:19" ht="14.25" hidden="1" customHeight="1" x14ac:dyDescent="0.25">
      <c r="B364" s="252" t="s">
        <v>453</v>
      </c>
      <c r="C364" s="170"/>
      <c r="D364" s="170"/>
      <c r="E364" s="191">
        <f ca="1">SUM(F364:BK364)</f>
        <v>0</v>
      </c>
      <c r="F364" s="191">
        <f t="shared" ref="F364:G364" ca="1" si="66">(F359+F320)-F326</f>
        <v>0</v>
      </c>
      <c r="G364" s="191">
        <f t="shared" ca="1" si="66"/>
        <v>0</v>
      </c>
    </row>
    <row r="365" spans="2:19" ht="29.1" customHeight="1" x14ac:dyDescent="0.25"/>
    <row r="367" spans="2:19" ht="51.95" customHeight="1" x14ac:dyDescent="0.25">
      <c r="B367" s="551" t="str">
        <f>"Figur 1.17b.: Foreslået løsning sammenlignet med 0-scenarie (eksl.  "&amp;IF(MasterSheet_f_FP_CfgGroup1R3_VS,"program","projekt")&amp;"udgifter)"</f>
        <v>Figur 1.17b.: Foreslået løsning sammenlignet med 0-scenarie (eksl.  projektudgifter)</v>
      </c>
      <c r="C367" s="551"/>
      <c r="D367" s="551"/>
      <c r="E367" s="551"/>
      <c r="I367" s="551" t="str">
        <f>"Figur 1.17c.: Foreslået løsning sammenlignet med 0-scenarie (inkl. "&amp;IF(MasterSheet_f_FP_CfgGroup1R3_VS,"program","projekt")&amp;"udgifter)"</f>
        <v>Figur 1.17c.: Foreslået løsning sammenlignet med 0-scenarie (inkl. projektudgifter)</v>
      </c>
      <c r="J367" s="551"/>
      <c r="K367" s="551"/>
      <c r="L367" s="551"/>
      <c r="M367" s="551"/>
      <c r="N367" s="551"/>
      <c r="O367" s="551"/>
      <c r="P367" s="551"/>
      <c r="Q367" s="551"/>
      <c r="R367" s="551"/>
      <c r="S367" s="551"/>
    </row>
  </sheetData>
  <sheetProtection algorithmName="SHA-512" hashValue="PTYjttmLRCX0zMltTjCKLtUhd6JX8K4PLrUu8MqTLr6RFmb0xWeaxEjzP63TCJqYSadXEaWUx9nutbSqaHnTuQ==" saltValue="6taTuB2Yf33uahosxKEoAQ==" spinCount="100000" sheet="1" objects="1" scenarios="1"/>
  <mergeCells count="356">
    <mergeCell ref="B367:E367"/>
    <mergeCell ref="I367:S367"/>
    <mergeCell ref="H230:I230"/>
    <mergeCell ref="J230:K230"/>
    <mergeCell ref="D229:E229"/>
    <mergeCell ref="H231:I231"/>
    <mergeCell ref="J231:K231"/>
    <mergeCell ref="J228:K228"/>
    <mergeCell ref="D171:E171"/>
    <mergeCell ref="H171:I171"/>
    <mergeCell ref="J171:K171"/>
    <mergeCell ref="J229:K229"/>
    <mergeCell ref="J227:K227"/>
    <mergeCell ref="H229:I229"/>
    <mergeCell ref="F229:G229"/>
    <mergeCell ref="J200:K200"/>
    <mergeCell ref="L200:M200"/>
    <mergeCell ref="J226:K226"/>
    <mergeCell ref="H225:I225"/>
    <mergeCell ref="J225:K225"/>
    <mergeCell ref="D201:E201"/>
    <mergeCell ref="F201:G201"/>
    <mergeCell ref="H201:I201"/>
    <mergeCell ref="J201:K201"/>
    <mergeCell ref="B109:E109"/>
    <mergeCell ref="D138:E138"/>
    <mergeCell ref="D148:E148"/>
    <mergeCell ref="J109:S109"/>
    <mergeCell ref="D137:E137"/>
    <mergeCell ref="D141:E141"/>
    <mergeCell ref="D142:E142"/>
    <mergeCell ref="D149:E149"/>
    <mergeCell ref="D150:E150"/>
    <mergeCell ref="H228:I228"/>
    <mergeCell ref="F228:G228"/>
    <mergeCell ref="H224:I224"/>
    <mergeCell ref="D198:E198"/>
    <mergeCell ref="H200:I200"/>
    <mergeCell ref="F189:G189"/>
    <mergeCell ref="F198:G198"/>
    <mergeCell ref="B209:G209"/>
    <mergeCell ref="D228:E228"/>
    <mergeCell ref="D225:E225"/>
    <mergeCell ref="H227:I227"/>
    <mergeCell ref="D226:E226"/>
    <mergeCell ref="D227:E227"/>
    <mergeCell ref="F227:G227"/>
    <mergeCell ref="F224:G224"/>
    <mergeCell ref="F225:G225"/>
    <mergeCell ref="F226:G226"/>
    <mergeCell ref="D224:E224"/>
    <mergeCell ref="H226:I226"/>
    <mergeCell ref="B216:G216"/>
    <mergeCell ref="L201:M201"/>
    <mergeCell ref="B206:G206"/>
    <mergeCell ref="B207:G207"/>
    <mergeCell ref="B208:G208"/>
    <mergeCell ref="B210:G210"/>
    <mergeCell ref="B211:G211"/>
    <mergeCell ref="B214:G214"/>
    <mergeCell ref="B215:G215"/>
    <mergeCell ref="B219:G219"/>
    <mergeCell ref="B218:G218"/>
    <mergeCell ref="B212:G212"/>
    <mergeCell ref="B213:G213"/>
    <mergeCell ref="J224:K224"/>
    <mergeCell ref="B217:G217"/>
    <mergeCell ref="B183:C183"/>
    <mergeCell ref="D185:E185"/>
    <mergeCell ref="D197:E197"/>
    <mergeCell ref="J175:K175"/>
    <mergeCell ref="B184:C184"/>
    <mergeCell ref="H195:I195"/>
    <mergeCell ref="J195:K195"/>
    <mergeCell ref="B185:C185"/>
    <mergeCell ref="D184:E184"/>
    <mergeCell ref="H175:I175"/>
    <mergeCell ref="H185:I185"/>
    <mergeCell ref="F185:G185"/>
    <mergeCell ref="F186:G186"/>
    <mergeCell ref="J197:K197"/>
    <mergeCell ref="B187:C187"/>
    <mergeCell ref="D187:E187"/>
    <mergeCell ref="F187:G187"/>
    <mergeCell ref="H187:I187"/>
    <mergeCell ref="J187:K187"/>
    <mergeCell ref="J196:K196"/>
    <mergeCell ref="H186:I186"/>
    <mergeCell ref="J186:K186"/>
    <mergeCell ref="L186:M186"/>
    <mergeCell ref="L184:M184"/>
    <mergeCell ref="F88:G88"/>
    <mergeCell ref="D77:E77"/>
    <mergeCell ref="D78:E78"/>
    <mergeCell ref="D79:E79"/>
    <mergeCell ref="R156:S156"/>
    <mergeCell ref="L157:M157"/>
    <mergeCell ref="N157:O157"/>
    <mergeCell ref="P157:Q157"/>
    <mergeCell ref="R157:S157"/>
    <mergeCell ref="D139:E139"/>
    <mergeCell ref="D147:E147"/>
    <mergeCell ref="D133:E133"/>
    <mergeCell ref="D134:E134"/>
    <mergeCell ref="D135:E135"/>
    <mergeCell ref="D136:E136"/>
    <mergeCell ref="L156:M156"/>
    <mergeCell ref="N156:O156"/>
    <mergeCell ref="J185:K185"/>
    <mergeCell ref="L185:M185"/>
    <mergeCell ref="H184:I184"/>
    <mergeCell ref="D174:E174"/>
    <mergeCell ref="D151:E151"/>
    <mergeCell ref="D175:E175"/>
    <mergeCell ref="F175:G175"/>
    <mergeCell ref="D176:E176"/>
    <mergeCell ref="F176:G176"/>
    <mergeCell ref="D177:E177"/>
    <mergeCell ref="F177:G177"/>
    <mergeCell ref="H177:I177"/>
    <mergeCell ref="J177:K177"/>
    <mergeCell ref="H174:I174"/>
    <mergeCell ref="J174:K174"/>
    <mergeCell ref="D68:E68"/>
    <mergeCell ref="F68:G68"/>
    <mergeCell ref="D98:E98"/>
    <mergeCell ref="F98:G98"/>
    <mergeCell ref="D91:E91"/>
    <mergeCell ref="F91:G91"/>
    <mergeCell ref="D89:E89"/>
    <mergeCell ref="F89:G89"/>
    <mergeCell ref="D90:E90"/>
    <mergeCell ref="F90:G90"/>
    <mergeCell ref="D75:E75"/>
    <mergeCell ref="D76:E76"/>
    <mergeCell ref="B85:G85"/>
    <mergeCell ref="D86:E86"/>
    <mergeCell ref="F86:G86"/>
    <mergeCell ref="D87:E87"/>
    <mergeCell ref="F87:G87"/>
    <mergeCell ref="B96:G96"/>
    <mergeCell ref="D97:E97"/>
    <mergeCell ref="F97:G97"/>
    <mergeCell ref="D80:E80"/>
    <mergeCell ref="D88:E88"/>
    <mergeCell ref="N26:Q26"/>
    <mergeCell ref="R26:S26"/>
    <mergeCell ref="N24:Q24"/>
    <mergeCell ref="R24:S24"/>
    <mergeCell ref="D25:E25"/>
    <mergeCell ref="F25:G25"/>
    <mergeCell ref="H25:I25"/>
    <mergeCell ref="J25:K25"/>
    <mergeCell ref="B65:C65"/>
    <mergeCell ref="D65:E65"/>
    <mergeCell ref="F65:G65"/>
    <mergeCell ref="N28:Q28"/>
    <mergeCell ref="R28:S28"/>
    <mergeCell ref="B27:C27"/>
    <mergeCell ref="D27:E27"/>
    <mergeCell ref="F27:G27"/>
    <mergeCell ref="H27:I27"/>
    <mergeCell ref="J27:K27"/>
    <mergeCell ref="D28:E28"/>
    <mergeCell ref="F28:G28"/>
    <mergeCell ref="H28:I28"/>
    <mergeCell ref="J28:K28"/>
    <mergeCell ref="D24:E24"/>
    <mergeCell ref="F24:G24"/>
    <mergeCell ref="R21:S21"/>
    <mergeCell ref="D22:E22"/>
    <mergeCell ref="F22:G22"/>
    <mergeCell ref="H22:I22"/>
    <mergeCell ref="J22:K22"/>
    <mergeCell ref="G16:K16"/>
    <mergeCell ref="L16:M16"/>
    <mergeCell ref="N16:O16"/>
    <mergeCell ref="P16:Q16"/>
    <mergeCell ref="R16:S16"/>
    <mergeCell ref="N21:Q21"/>
    <mergeCell ref="R12:S12"/>
    <mergeCell ref="G13:K13"/>
    <mergeCell ref="L13:M13"/>
    <mergeCell ref="N13:O13"/>
    <mergeCell ref="P13:Q13"/>
    <mergeCell ref="R13:S13"/>
    <mergeCell ref="R14:S14"/>
    <mergeCell ref="G15:K15"/>
    <mergeCell ref="L15:M15"/>
    <mergeCell ref="N15:O15"/>
    <mergeCell ref="R15:S15"/>
    <mergeCell ref="G12:K12"/>
    <mergeCell ref="L12:M12"/>
    <mergeCell ref="N12:O12"/>
    <mergeCell ref="P12:Q12"/>
    <mergeCell ref="G14:K14"/>
    <mergeCell ref="L14:M14"/>
    <mergeCell ref="N14:O14"/>
    <mergeCell ref="P14:Q14"/>
    <mergeCell ref="P15:Q15"/>
    <mergeCell ref="B6:D6"/>
    <mergeCell ref="L6:O6"/>
    <mergeCell ref="P6:S6"/>
    <mergeCell ref="B7:D7"/>
    <mergeCell ref="B8:D8"/>
    <mergeCell ref="G8:K8"/>
    <mergeCell ref="L8:M8"/>
    <mergeCell ref="N8:O8"/>
    <mergeCell ref="P8:Q8"/>
    <mergeCell ref="R8:S8"/>
    <mergeCell ref="N9:O9"/>
    <mergeCell ref="P9:Q9"/>
    <mergeCell ref="R9:S9"/>
    <mergeCell ref="B11:D11"/>
    <mergeCell ref="G11:K11"/>
    <mergeCell ref="L11:M11"/>
    <mergeCell ref="N11:O11"/>
    <mergeCell ref="P11:Q11"/>
    <mergeCell ref="R11:S11"/>
    <mergeCell ref="B10:D10"/>
    <mergeCell ref="G10:K10"/>
    <mergeCell ref="L10:M10"/>
    <mergeCell ref="N10:O10"/>
    <mergeCell ref="P10:Q10"/>
    <mergeCell ref="R10:S10"/>
    <mergeCell ref="B9:D9"/>
    <mergeCell ref="G9:K9"/>
    <mergeCell ref="L9:M9"/>
    <mergeCell ref="H24:I24"/>
    <mergeCell ref="J24:K24"/>
    <mergeCell ref="L187:M187"/>
    <mergeCell ref="B186:C186"/>
    <mergeCell ref="D186:E186"/>
    <mergeCell ref="H188:I188"/>
    <mergeCell ref="J188:K188"/>
    <mergeCell ref="L188:M188"/>
    <mergeCell ref="D26:E26"/>
    <mergeCell ref="F26:G26"/>
    <mergeCell ref="H26:I26"/>
    <mergeCell ref="J26:K26"/>
    <mergeCell ref="B66:C66"/>
    <mergeCell ref="D66:E66"/>
    <mergeCell ref="F66:G66"/>
    <mergeCell ref="B69:C69"/>
    <mergeCell ref="D69:E69"/>
    <mergeCell ref="F69:G69"/>
    <mergeCell ref="B70:C70"/>
    <mergeCell ref="D70:E70"/>
    <mergeCell ref="F70:G70"/>
    <mergeCell ref="B67:C67"/>
    <mergeCell ref="D67:E67"/>
    <mergeCell ref="D102:E102"/>
    <mergeCell ref="B21:C21"/>
    <mergeCell ref="D21:E21"/>
    <mergeCell ref="F21:G21"/>
    <mergeCell ref="H21:I21"/>
    <mergeCell ref="J21:K21"/>
    <mergeCell ref="D23:E23"/>
    <mergeCell ref="F23:G23"/>
    <mergeCell ref="H23:I23"/>
    <mergeCell ref="J23:K23"/>
    <mergeCell ref="P156:Q156"/>
    <mergeCell ref="N161:O161"/>
    <mergeCell ref="P161:Q161"/>
    <mergeCell ref="F184:G184"/>
    <mergeCell ref="N158:O158"/>
    <mergeCell ref="J184:K184"/>
    <mergeCell ref="P158:Q158"/>
    <mergeCell ref="L159:M159"/>
    <mergeCell ref="N159:O159"/>
    <mergeCell ref="P159:Q159"/>
    <mergeCell ref="L160:M160"/>
    <mergeCell ref="N160:O160"/>
    <mergeCell ref="P160:Q160"/>
    <mergeCell ref="L161:M161"/>
    <mergeCell ref="H156:K156"/>
    <mergeCell ref="L163:M163"/>
    <mergeCell ref="N163:O163"/>
    <mergeCell ref="P163:Q163"/>
    <mergeCell ref="H176:I176"/>
    <mergeCell ref="J176:K176"/>
    <mergeCell ref="F174:G174"/>
    <mergeCell ref="R163:S163"/>
    <mergeCell ref="B171:C171"/>
    <mergeCell ref="F171:G171"/>
    <mergeCell ref="B172:C172"/>
    <mergeCell ref="F172:G172"/>
    <mergeCell ref="H172:I172"/>
    <mergeCell ref="J172:K172"/>
    <mergeCell ref="L158:M158"/>
    <mergeCell ref="D172:E172"/>
    <mergeCell ref="R158:S158"/>
    <mergeCell ref="R159:S159"/>
    <mergeCell ref="R162:S162"/>
    <mergeCell ref="R160:S160"/>
    <mergeCell ref="L162:M162"/>
    <mergeCell ref="N162:O162"/>
    <mergeCell ref="P162:Q162"/>
    <mergeCell ref="R161:S161"/>
    <mergeCell ref="B188:C188"/>
    <mergeCell ref="D188:E188"/>
    <mergeCell ref="F188:G188"/>
    <mergeCell ref="B189:C189"/>
    <mergeCell ref="D189:E189"/>
    <mergeCell ref="B289:E289"/>
    <mergeCell ref="B33:C33"/>
    <mergeCell ref="B50:C50"/>
    <mergeCell ref="B238:C238"/>
    <mergeCell ref="D196:E196"/>
    <mergeCell ref="D195:E195"/>
    <mergeCell ref="F102:G102"/>
    <mergeCell ref="D103:E103"/>
    <mergeCell ref="F103:G103"/>
    <mergeCell ref="D104:E104"/>
    <mergeCell ref="F104:G104"/>
    <mergeCell ref="D99:E99"/>
    <mergeCell ref="F99:G99"/>
    <mergeCell ref="D100:E100"/>
    <mergeCell ref="F100:G100"/>
    <mergeCell ref="D101:E101"/>
    <mergeCell ref="F101:G101"/>
    <mergeCell ref="F67:G67"/>
    <mergeCell ref="B68:C68"/>
    <mergeCell ref="B306:D306"/>
    <mergeCell ref="D230:E230"/>
    <mergeCell ref="F230:G230"/>
    <mergeCell ref="B231:C231"/>
    <mergeCell ref="D231:E231"/>
    <mergeCell ref="F231:G231"/>
    <mergeCell ref="D232:E232"/>
    <mergeCell ref="F232:G232"/>
    <mergeCell ref="H232:I232"/>
    <mergeCell ref="J232:K232"/>
    <mergeCell ref="J189:K189"/>
    <mergeCell ref="L189:M189"/>
    <mergeCell ref="B194:M194"/>
    <mergeCell ref="F195:G195"/>
    <mergeCell ref="F196:G196"/>
    <mergeCell ref="F197:G197"/>
    <mergeCell ref="D199:E199"/>
    <mergeCell ref="F199:G199"/>
    <mergeCell ref="D200:E200"/>
    <mergeCell ref="F200:G200"/>
    <mergeCell ref="H189:I189"/>
    <mergeCell ref="J199:K199"/>
    <mergeCell ref="L199:M199"/>
    <mergeCell ref="H198:I198"/>
    <mergeCell ref="J198:K198"/>
    <mergeCell ref="L198:M198"/>
    <mergeCell ref="L195:M195"/>
    <mergeCell ref="H199:I199"/>
    <mergeCell ref="L197:M197"/>
    <mergeCell ref="H196:I196"/>
    <mergeCell ref="H197:I197"/>
    <mergeCell ref="L196:M196"/>
    <mergeCell ref="B224:C224"/>
  </mergeCells>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tabColor rgb="FF5379B7"/>
  </sheetPr>
  <dimension ref="B2:Y274"/>
  <sheetViews>
    <sheetView showGridLines="0" topLeftCell="H67" zoomScale="80" zoomScaleNormal="80" workbookViewId="0">
      <selection activeCell="B4" sqref="B4:Y4"/>
    </sheetView>
  </sheetViews>
  <sheetFormatPr defaultColWidth="10.140625" defaultRowHeight="14.25" customHeight="1" x14ac:dyDescent="0.25"/>
  <cols>
    <col min="1" max="1" width="9.140625" customWidth="1"/>
    <col min="2" max="2" width="17" customWidth="1"/>
    <col min="3" max="3" width="43.5703125" customWidth="1"/>
    <col min="4" max="4" width="16.42578125" customWidth="1"/>
    <col min="5" max="5" width="9.28515625" customWidth="1"/>
    <col min="6" max="6" width="21.5703125" customWidth="1"/>
    <col min="7" max="7" width="18.7109375" customWidth="1"/>
    <col min="8" max="8" width="35.42578125" customWidth="1"/>
    <col min="9" max="17" width="16.42578125" customWidth="1"/>
    <col min="18" max="18" width="16.28515625" customWidth="1"/>
    <col min="19" max="19" width="15.7109375" customWidth="1"/>
    <col min="20" max="28" width="11.85546875" customWidth="1"/>
    <col min="29" max="200" width="9.140625" customWidth="1"/>
  </cols>
  <sheetData>
    <row r="2" spans="2:25" ht="48.95" customHeight="1" x14ac:dyDescent="0.25"/>
    <row r="4" spans="2:25" ht="39.950000000000003" customHeight="1" thickBot="1" x14ac:dyDescent="0.3">
      <c r="B4" s="22" t="s">
        <v>1312</v>
      </c>
      <c r="C4" s="19" t="s">
        <v>624</v>
      </c>
      <c r="D4" s="19" t="s">
        <v>625</v>
      </c>
      <c r="E4" s="19" t="s">
        <v>311</v>
      </c>
      <c r="F4" s="19" t="s">
        <v>1335</v>
      </c>
      <c r="G4" s="19" t="s">
        <v>1339</v>
      </c>
      <c r="H4" s="19" t="s">
        <v>1431</v>
      </c>
      <c r="I4" s="93"/>
      <c r="J4" s="93"/>
      <c r="K4" s="93"/>
      <c r="L4" s="93"/>
      <c r="M4" s="93"/>
      <c r="N4" s="21" t="s">
        <v>300</v>
      </c>
      <c r="O4" s="21" t="s">
        <v>301</v>
      </c>
      <c r="P4" s="21" t="s">
        <v>302</v>
      </c>
      <c r="Q4" s="21" t="s">
        <v>1336</v>
      </c>
      <c r="R4" s="21" t="s">
        <v>1337</v>
      </c>
      <c r="S4" s="21" t="s">
        <v>313</v>
      </c>
      <c r="T4" s="21" t="s">
        <v>314</v>
      </c>
      <c r="U4" s="21" t="s">
        <v>315</v>
      </c>
      <c r="V4" s="21" t="s">
        <v>316</v>
      </c>
      <c r="W4" s="20" t="s">
        <v>1340</v>
      </c>
      <c r="X4" s="20" t="s">
        <v>1440</v>
      </c>
      <c r="Y4" s="93"/>
    </row>
    <row r="5" spans="2:25" ht="14.25" customHeight="1" x14ac:dyDescent="0.25">
      <c r="B5" t="s">
        <v>309</v>
      </c>
      <c r="C5" t="s">
        <v>1179</v>
      </c>
      <c r="D5" t="s">
        <v>693</v>
      </c>
      <c r="E5">
        <v>2013</v>
      </c>
      <c r="F5" t="s">
        <v>1361</v>
      </c>
      <c r="H5" t="s">
        <v>1194</v>
      </c>
      <c r="S5">
        <f>SUMIFS(Projektudgifter!$AG:$AG,Projektudgifter!$W:$W,B5&amp;C5&amp;D5&amp;E5,Projektudgifter!$S:$S,F5)</f>
        <v>0</v>
      </c>
      <c r="T5">
        <f>SUMIFS(Projektudgifter!$AH:$AH,Projektudgifter!$W:$W,B5&amp;C5&amp;D5&amp;E5,Projektudgifter!$T:$T,F5)</f>
        <v>0</v>
      </c>
      <c r="U5">
        <f>SUMIFS(Projektudgifter!$AI:$AI,Projektudgifter!$W:$W,B5&amp;C5&amp;D5&amp;E5,Projektudgifter!$S:$S,F5)</f>
        <v>0</v>
      </c>
      <c r="V5">
        <f>SUMIFS(Projektudgifter!$AJ:$AJ,Projektudgifter!$W:$W,B5&amp;C5&amp;D5&amp;E5,Projektudgifter!$T:$T,F5)</f>
        <v>0</v>
      </c>
      <c r="W5">
        <f>SUMIFS(Projektudgifter!$AK:$AK,Projektudgifter!$W:$W,B5&amp;C5&amp;D5&amp;E5,Projektudgifter!$S:$S,F5)</f>
        <v>0</v>
      </c>
      <c r="X5">
        <f>SUMIFS(Projektudgifter!$AL:$AL,Projektudgifter!$W:$W,B5&amp;C5&amp;D5&amp;E5,Projektudgifter!$T:$T,F5)</f>
        <v>0</v>
      </c>
    </row>
    <row r="6" spans="2:25" ht="14.25" customHeight="1" x14ac:dyDescent="0.25">
      <c r="B6" t="s">
        <v>309</v>
      </c>
      <c r="C6" t="s">
        <v>1179</v>
      </c>
      <c r="D6" t="s">
        <v>693</v>
      </c>
      <c r="E6">
        <v>2013</v>
      </c>
      <c r="F6" t="s">
        <v>680</v>
      </c>
      <c r="H6" t="s">
        <v>1194</v>
      </c>
      <c r="S6">
        <f>SUMIFS(Projektudgifter!$AG:$AG,Projektudgifter!$W:$W,B6&amp;C6&amp;D6&amp;E6,Projektudgifter!$S:$S,F6)</f>
        <v>0</v>
      </c>
      <c r="T6">
        <f>SUMIFS(Projektudgifter!$AH:$AH,Projektudgifter!$W:$W,B6&amp;C6&amp;D6&amp;E6,Projektudgifter!$T:$T,F6)</f>
        <v>0</v>
      </c>
      <c r="U6">
        <f>SUMIFS(Projektudgifter!$AI:$AI,Projektudgifter!$W:$W,B6&amp;C6&amp;D6&amp;E6,Projektudgifter!$S:$S,F6)</f>
        <v>0</v>
      </c>
      <c r="V6">
        <f>SUMIFS(Projektudgifter!$AJ:$AJ,Projektudgifter!$W:$W,B6&amp;C6&amp;D6&amp;E6,Projektudgifter!$T:$T,F6)</f>
        <v>0</v>
      </c>
      <c r="W6">
        <f>SUMIFS(Projektudgifter!$AK:$AK,Projektudgifter!$W:$W,B6&amp;C6&amp;D6&amp;E6,Projektudgifter!$S:$S,F6)</f>
        <v>0</v>
      </c>
      <c r="X6">
        <f>SUMIFS(Projektudgifter!$AL:$AL,Projektudgifter!$W:$W,B6&amp;C6&amp;D6&amp;E6,Projektudgifter!$T:$T,F6)</f>
        <v>0</v>
      </c>
    </row>
    <row r="7" spans="2:25" ht="14.25" customHeight="1" x14ac:dyDescent="0.25">
      <c r="B7" t="s">
        <v>309</v>
      </c>
      <c r="C7" t="s">
        <v>1179</v>
      </c>
      <c r="D7" t="s">
        <v>693</v>
      </c>
      <c r="E7">
        <v>2013</v>
      </c>
      <c r="N7">
        <f>SUMIFS(Projektudgifter!$Y:$Y,Projektudgifter!$W:$W,B7&amp;C7&amp;D7&amp;E7)</f>
        <v>0</v>
      </c>
      <c r="O7">
        <f>SUMIFS(Projektudgifter!$Z:$Z,Projektudgifter!$W:$W,B7&amp;C7&amp;D7&amp;E7)</f>
        <v>0</v>
      </c>
      <c r="P7">
        <f>SUMIFS(Projektudgifter!$AA:$AA,Projektudgifter!$W:$W,B7&amp;C7&amp;D7&amp;E7)</f>
        <v>0</v>
      </c>
      <c r="Q7">
        <f>SUMIFS(Projektudgifter!$AB:$AB,Projektudgifter!$W:$W,B7&amp;C7&amp;D7&amp;E7)</f>
        <v>0</v>
      </c>
      <c r="R7">
        <f>SUMIFS(Projektudgifter!$AC:$AC,Projektudgifter!$W:$W,B7&amp;C7&amp;D7&amp;E7)</f>
        <v>0</v>
      </c>
      <c r="S7">
        <f>SUMIFS(Projektudgifter!$AG:$AG,Projektudgifter!$W:$W,B7&amp;C7&amp;D7&amp;E7,Projektudgifter!$S:$S,"")</f>
        <v>0</v>
      </c>
      <c r="U7">
        <f>SUMIFS(Projektudgifter!$AI:$AI,Projektudgifter!$W:$W,B7&amp;C7&amp;D7&amp;E7,Projektudgifter!$S:$S,"")</f>
        <v>0</v>
      </c>
      <c r="W7">
        <f>SUMIFS(Projektudgifter!$AK:$AK,Projektudgifter!$W:$W,B7&amp;C7&amp;D7&amp;E7,Projektudgifter!$S:$S,"")</f>
        <v>0</v>
      </c>
    </row>
    <row r="8" spans="2:25" ht="14.25" customHeight="1" x14ac:dyDescent="0.25">
      <c r="B8" t="s">
        <v>309</v>
      </c>
      <c r="C8" t="s">
        <v>1179</v>
      </c>
      <c r="D8" t="s">
        <v>693</v>
      </c>
      <c r="E8">
        <v>2014</v>
      </c>
      <c r="F8" t="s">
        <v>1361</v>
      </c>
      <c r="H8" t="s">
        <v>1194</v>
      </c>
      <c r="S8">
        <f>SUMIFS(Projektudgifter!$AG:$AG,Projektudgifter!$W:$W,B8&amp;C8&amp;D8&amp;E8,Projektudgifter!$S:$S,F8)</f>
        <v>0</v>
      </c>
      <c r="T8">
        <f>SUMIFS(Projektudgifter!$AH:$AH,Projektudgifter!$W:$W,B8&amp;C8&amp;D8&amp;E8,Projektudgifter!$T:$T,F8)</f>
        <v>0</v>
      </c>
      <c r="U8">
        <f>SUMIFS(Projektudgifter!$AI:$AI,Projektudgifter!$W:$W,B8&amp;C8&amp;D8&amp;E8,Projektudgifter!$S:$S,F8)</f>
        <v>0</v>
      </c>
      <c r="V8">
        <f>SUMIFS(Projektudgifter!$AJ:$AJ,Projektudgifter!$W:$W,B8&amp;C8&amp;D8&amp;E8,Projektudgifter!$T:$T,F8)</f>
        <v>0</v>
      </c>
      <c r="W8">
        <f>SUMIFS(Projektudgifter!$AK:$AK,Projektudgifter!$W:$W,B8&amp;C8&amp;D8&amp;E8,Projektudgifter!$S:$S,F8)</f>
        <v>0</v>
      </c>
      <c r="X8">
        <f>SUMIFS(Projektudgifter!$AL:$AL,Projektudgifter!$W:$W,B8&amp;C8&amp;D8&amp;E8,Projektudgifter!$T:$T,F8)</f>
        <v>0</v>
      </c>
    </row>
    <row r="9" spans="2:25" ht="14.25" customHeight="1" x14ac:dyDescent="0.25">
      <c r="B9" t="s">
        <v>309</v>
      </c>
      <c r="C9" t="s">
        <v>1179</v>
      </c>
      <c r="D9" t="s">
        <v>693</v>
      </c>
      <c r="E9">
        <v>2014</v>
      </c>
      <c r="F9" t="s">
        <v>680</v>
      </c>
      <c r="H9" t="s">
        <v>1194</v>
      </c>
      <c r="S9">
        <f>SUMIFS(Projektudgifter!$AG:$AG,Projektudgifter!$W:$W,B9&amp;C9&amp;D9&amp;E9,Projektudgifter!$S:$S,F9)</f>
        <v>0</v>
      </c>
      <c r="T9">
        <f>SUMIFS(Projektudgifter!$AH:$AH,Projektudgifter!$W:$W,B9&amp;C9&amp;D9&amp;E9,Projektudgifter!$T:$T,F9)</f>
        <v>0</v>
      </c>
      <c r="U9">
        <f>SUMIFS(Projektudgifter!$AI:$AI,Projektudgifter!$W:$W,B9&amp;C9&amp;D9&amp;E9,Projektudgifter!$S:$S,F9)</f>
        <v>0</v>
      </c>
      <c r="V9">
        <f>SUMIFS(Projektudgifter!$AJ:$AJ,Projektudgifter!$W:$W,B9&amp;C9&amp;D9&amp;E9,Projektudgifter!$T:$T,F9)</f>
        <v>0</v>
      </c>
      <c r="W9">
        <f>SUMIFS(Projektudgifter!$AK:$AK,Projektudgifter!$W:$W,B9&amp;C9&amp;D9&amp;E9,Projektudgifter!$S:$S,F9)</f>
        <v>0</v>
      </c>
      <c r="X9">
        <f>SUMIFS(Projektudgifter!$AL:$AL,Projektudgifter!$W:$W,B9&amp;C9&amp;D9&amp;E9,Projektudgifter!$T:$T,F9)</f>
        <v>0</v>
      </c>
    </row>
    <row r="10" spans="2:25" ht="14.25" customHeight="1" x14ac:dyDescent="0.25">
      <c r="B10" t="s">
        <v>309</v>
      </c>
      <c r="C10" t="s">
        <v>1179</v>
      </c>
      <c r="D10" t="s">
        <v>693</v>
      </c>
      <c r="E10">
        <v>2014</v>
      </c>
      <c r="N10">
        <f>SUMIFS(Projektudgifter!$Y:$Y,Projektudgifter!$W:$W,B10&amp;C10&amp;D10&amp;E10)</f>
        <v>0</v>
      </c>
      <c r="O10">
        <f>SUMIFS(Projektudgifter!$Z:$Z,Projektudgifter!$W:$W,B10&amp;C10&amp;D10&amp;E10)</f>
        <v>0</v>
      </c>
      <c r="P10">
        <f>SUMIFS(Projektudgifter!$AA:$AA,Projektudgifter!$W:$W,B10&amp;C10&amp;D10&amp;E10)</f>
        <v>0</v>
      </c>
      <c r="Q10">
        <f>SUMIFS(Projektudgifter!$AB:$AB,Projektudgifter!$W:$W,B10&amp;C10&amp;D10&amp;E10)</f>
        <v>0</v>
      </c>
      <c r="R10">
        <f>SUMIFS(Projektudgifter!$AC:$AC,Projektudgifter!$W:$W,B10&amp;C10&amp;D10&amp;E10)</f>
        <v>0</v>
      </c>
      <c r="S10">
        <f>SUMIFS(Projektudgifter!$AG:$AG,Projektudgifter!$W:$W,B10&amp;C10&amp;D10&amp;E10,Projektudgifter!$S:$S,"")</f>
        <v>0</v>
      </c>
      <c r="U10">
        <f>SUMIFS(Projektudgifter!$AI:$AI,Projektudgifter!$W:$W,B10&amp;C10&amp;D10&amp;E10,Projektudgifter!$S:$S,"")</f>
        <v>0</v>
      </c>
      <c r="W10">
        <f>SUMIFS(Projektudgifter!$AK:$AK,Projektudgifter!$W:$W,B10&amp;C10&amp;D10&amp;E10,Projektudgifter!$S:$S,"")</f>
        <v>0</v>
      </c>
    </row>
    <row r="11" spans="2:25" ht="14.25" customHeight="1" x14ac:dyDescent="0.25">
      <c r="B11" t="s">
        <v>309</v>
      </c>
      <c r="C11" t="s">
        <v>1180</v>
      </c>
      <c r="D11" t="s">
        <v>693</v>
      </c>
      <c r="E11">
        <v>2013</v>
      </c>
      <c r="F11" t="s">
        <v>1361</v>
      </c>
      <c r="H11" t="s">
        <v>1194</v>
      </c>
      <c r="S11">
        <f>SUMIFS(Projektudgifter!$AG:$AG,Projektudgifter!$W:$W,B11&amp;C11&amp;D11&amp;E11,Projektudgifter!$S:$S,F11)</f>
        <v>0</v>
      </c>
      <c r="T11">
        <f>SUMIFS(Projektudgifter!$AH:$AH,Projektudgifter!$W:$W,B11&amp;C11&amp;D11&amp;E11,Projektudgifter!$T:$T,F11)</f>
        <v>0</v>
      </c>
      <c r="U11">
        <f>SUMIFS(Projektudgifter!$AI:$AI,Projektudgifter!$W:$W,B11&amp;C11&amp;D11&amp;E11,Projektudgifter!$S:$S,F11)</f>
        <v>0</v>
      </c>
      <c r="V11">
        <f>SUMIFS(Projektudgifter!$AJ:$AJ,Projektudgifter!$W:$W,B11&amp;C11&amp;D11&amp;E11,Projektudgifter!$T:$T,F11)</f>
        <v>0</v>
      </c>
      <c r="W11">
        <f>SUMIFS(Projektudgifter!$AK:$AK,Projektudgifter!$W:$W,B11&amp;C11&amp;D11&amp;E11,Projektudgifter!$S:$S,F11)</f>
        <v>0</v>
      </c>
      <c r="X11">
        <f>SUMIFS(Projektudgifter!$AL:$AL,Projektudgifter!$W:$W,B11&amp;C11&amp;D11&amp;E11,Projektudgifter!$T:$T,F11)</f>
        <v>0</v>
      </c>
    </row>
    <row r="12" spans="2:25" ht="14.25" customHeight="1" x14ac:dyDescent="0.25">
      <c r="B12" t="s">
        <v>309</v>
      </c>
      <c r="C12" t="s">
        <v>1180</v>
      </c>
      <c r="D12" t="s">
        <v>693</v>
      </c>
      <c r="E12">
        <v>2013</v>
      </c>
      <c r="F12" t="s">
        <v>680</v>
      </c>
      <c r="H12" t="s">
        <v>1194</v>
      </c>
      <c r="S12">
        <f>SUMIFS(Projektudgifter!$AG:$AG,Projektudgifter!$W:$W,B12&amp;C12&amp;D12&amp;E12,Projektudgifter!$S:$S,F12)</f>
        <v>0</v>
      </c>
      <c r="T12">
        <f>SUMIFS(Projektudgifter!$AH:$AH,Projektudgifter!$W:$W,B12&amp;C12&amp;D12&amp;E12,Projektudgifter!$T:$T,F12)</f>
        <v>0</v>
      </c>
      <c r="U12">
        <f>SUMIFS(Projektudgifter!$AI:$AI,Projektudgifter!$W:$W,B12&amp;C12&amp;D12&amp;E12,Projektudgifter!$S:$S,F12)</f>
        <v>0</v>
      </c>
      <c r="V12">
        <f>SUMIFS(Projektudgifter!$AJ:$AJ,Projektudgifter!$W:$W,B12&amp;C12&amp;D12&amp;E12,Projektudgifter!$T:$T,F12)</f>
        <v>0</v>
      </c>
      <c r="W12">
        <f>SUMIFS(Projektudgifter!$AK:$AK,Projektudgifter!$W:$W,B12&amp;C12&amp;D12&amp;E12,Projektudgifter!$S:$S,F12)</f>
        <v>0</v>
      </c>
      <c r="X12">
        <f>SUMIFS(Projektudgifter!$AL:$AL,Projektudgifter!$W:$W,B12&amp;C12&amp;D12&amp;E12,Projektudgifter!$T:$T,F12)</f>
        <v>0</v>
      </c>
    </row>
    <row r="13" spans="2:25" ht="14.25" customHeight="1" x14ac:dyDescent="0.25">
      <c r="B13" t="s">
        <v>309</v>
      </c>
      <c r="C13" t="s">
        <v>1180</v>
      </c>
      <c r="D13" t="s">
        <v>693</v>
      </c>
      <c r="E13">
        <v>2013</v>
      </c>
      <c r="N13">
        <f>SUMIFS(Projektudgifter!$Y:$Y,Projektudgifter!$W:$W,B13&amp;C13&amp;D13&amp;E13)</f>
        <v>0</v>
      </c>
      <c r="O13">
        <f>SUMIFS(Projektudgifter!$Z:$Z,Projektudgifter!$W:$W,B13&amp;C13&amp;D13&amp;E13)</f>
        <v>0</v>
      </c>
      <c r="P13">
        <f>SUMIFS(Projektudgifter!$AA:$AA,Projektudgifter!$W:$W,B13&amp;C13&amp;D13&amp;E13)</f>
        <v>0</v>
      </c>
      <c r="Q13">
        <f>SUMIFS(Projektudgifter!$AB:$AB,Projektudgifter!$W:$W,B13&amp;C13&amp;D13&amp;E13)</f>
        <v>0</v>
      </c>
      <c r="R13">
        <f>SUMIFS(Projektudgifter!$AC:$AC,Projektudgifter!$W:$W,B13&amp;C13&amp;D13&amp;E13)</f>
        <v>0</v>
      </c>
      <c r="S13">
        <f>SUMIFS(Projektudgifter!$AG:$AG,Projektudgifter!$W:$W,B13&amp;C13&amp;D13&amp;E13,Projektudgifter!$S:$S,"")</f>
        <v>0</v>
      </c>
      <c r="U13">
        <f>SUMIFS(Projektudgifter!$AI:$AI,Projektudgifter!$W:$W,B13&amp;C13&amp;D13&amp;E13,Projektudgifter!$S:$S,"")</f>
        <v>0</v>
      </c>
      <c r="W13">
        <f>SUMIFS(Projektudgifter!$AK:$AK,Projektudgifter!$W:$W,B13&amp;C13&amp;D13&amp;E13,Projektudgifter!$S:$S,"")</f>
        <v>0</v>
      </c>
    </row>
    <row r="14" spans="2:25" ht="14.25" customHeight="1" x14ac:dyDescent="0.25">
      <c r="B14" t="s">
        <v>309</v>
      </c>
      <c r="C14" t="s">
        <v>1180</v>
      </c>
      <c r="D14" t="s">
        <v>693</v>
      </c>
      <c r="E14">
        <v>2014</v>
      </c>
      <c r="F14" t="s">
        <v>1361</v>
      </c>
      <c r="H14" t="s">
        <v>1194</v>
      </c>
      <c r="S14">
        <f>SUMIFS(Projektudgifter!$AG:$AG,Projektudgifter!$W:$W,B14&amp;C14&amp;D14&amp;E14,Projektudgifter!$S:$S,F14)</f>
        <v>0</v>
      </c>
      <c r="T14">
        <f>SUMIFS(Projektudgifter!$AH:$AH,Projektudgifter!$W:$W,B14&amp;C14&amp;D14&amp;E14,Projektudgifter!$T:$T,F14)</f>
        <v>0</v>
      </c>
      <c r="U14">
        <f>SUMIFS(Projektudgifter!$AI:$AI,Projektudgifter!$W:$W,B14&amp;C14&amp;D14&amp;E14,Projektudgifter!$S:$S,F14)</f>
        <v>0</v>
      </c>
      <c r="V14">
        <f>SUMIFS(Projektudgifter!$AJ:$AJ,Projektudgifter!$W:$W,B14&amp;C14&amp;D14&amp;E14,Projektudgifter!$T:$T,F14)</f>
        <v>0</v>
      </c>
      <c r="W14">
        <f>SUMIFS(Projektudgifter!$AK:$AK,Projektudgifter!$W:$W,B14&amp;C14&amp;D14&amp;E14,Projektudgifter!$S:$S,F14)</f>
        <v>0</v>
      </c>
      <c r="X14">
        <f>SUMIFS(Projektudgifter!$AL:$AL,Projektudgifter!$W:$W,B14&amp;C14&amp;D14&amp;E14,Projektudgifter!$T:$T,F14)</f>
        <v>0</v>
      </c>
    </row>
    <row r="15" spans="2:25" ht="14.25" customHeight="1" x14ac:dyDescent="0.25">
      <c r="B15" t="s">
        <v>309</v>
      </c>
      <c r="C15" t="s">
        <v>1180</v>
      </c>
      <c r="D15" t="s">
        <v>693</v>
      </c>
      <c r="E15">
        <v>2014</v>
      </c>
      <c r="F15" t="s">
        <v>680</v>
      </c>
      <c r="H15" t="s">
        <v>1194</v>
      </c>
      <c r="S15">
        <f>SUMIFS(Projektudgifter!$AG:$AG,Projektudgifter!$W:$W,B15&amp;C15&amp;D15&amp;E15,Projektudgifter!$S:$S,F15)</f>
        <v>0</v>
      </c>
      <c r="T15">
        <f>SUMIFS(Projektudgifter!$AH:$AH,Projektudgifter!$W:$W,B15&amp;C15&amp;D15&amp;E15,Projektudgifter!$T:$T,F15)</f>
        <v>0</v>
      </c>
      <c r="U15">
        <f>SUMIFS(Projektudgifter!$AI:$AI,Projektudgifter!$W:$W,B15&amp;C15&amp;D15&amp;E15,Projektudgifter!$S:$S,F15)</f>
        <v>0</v>
      </c>
      <c r="V15">
        <f>SUMIFS(Projektudgifter!$AJ:$AJ,Projektudgifter!$W:$W,B15&amp;C15&amp;D15&amp;E15,Projektudgifter!$T:$T,F15)</f>
        <v>0</v>
      </c>
      <c r="W15">
        <f>SUMIFS(Projektudgifter!$AK:$AK,Projektudgifter!$W:$W,B15&amp;C15&amp;D15&amp;E15,Projektudgifter!$S:$S,F15)</f>
        <v>0</v>
      </c>
      <c r="X15">
        <f>SUMIFS(Projektudgifter!$AL:$AL,Projektudgifter!$W:$W,B15&amp;C15&amp;D15&amp;E15,Projektudgifter!$T:$T,F15)</f>
        <v>0</v>
      </c>
    </row>
    <row r="16" spans="2:25" ht="14.25" customHeight="1" x14ac:dyDescent="0.25">
      <c r="B16" t="s">
        <v>309</v>
      </c>
      <c r="C16" t="s">
        <v>1180</v>
      </c>
      <c r="D16" t="s">
        <v>693</v>
      </c>
      <c r="E16">
        <v>2014</v>
      </c>
      <c r="N16">
        <f>SUMIFS(Projektudgifter!$Y:$Y,Projektudgifter!$W:$W,B16&amp;C16&amp;D16&amp;E16)</f>
        <v>0</v>
      </c>
      <c r="O16">
        <f>SUMIFS(Projektudgifter!$Z:$Z,Projektudgifter!$W:$W,B16&amp;C16&amp;D16&amp;E16)</f>
        <v>0</v>
      </c>
      <c r="P16">
        <f>SUMIFS(Projektudgifter!$AA:$AA,Projektudgifter!$W:$W,B16&amp;C16&amp;D16&amp;E16)</f>
        <v>0</v>
      </c>
      <c r="Q16">
        <f>SUMIFS(Projektudgifter!$AB:$AB,Projektudgifter!$W:$W,B16&amp;C16&amp;D16&amp;E16)</f>
        <v>0</v>
      </c>
      <c r="R16">
        <f>SUMIFS(Projektudgifter!$AC:$AC,Projektudgifter!$W:$W,B16&amp;C16&amp;D16&amp;E16)</f>
        <v>0</v>
      </c>
      <c r="S16">
        <f>SUMIFS(Projektudgifter!$AG:$AG,Projektudgifter!$W:$W,B16&amp;C16&amp;D16&amp;E16,Projektudgifter!$S:$S,"")</f>
        <v>0</v>
      </c>
      <c r="U16">
        <f>SUMIFS(Projektudgifter!$AI:$AI,Projektudgifter!$W:$W,B16&amp;C16&amp;D16&amp;E16,Projektudgifter!$S:$S,"")</f>
        <v>0</v>
      </c>
      <c r="W16">
        <f>SUMIFS(Projektudgifter!$AK:$AK,Projektudgifter!$W:$W,B16&amp;C16&amp;D16&amp;E16,Projektudgifter!$S:$S,"")</f>
        <v>0</v>
      </c>
    </row>
    <row r="17" spans="2:24" ht="14.25" customHeight="1" x14ac:dyDescent="0.25">
      <c r="B17" t="s">
        <v>309</v>
      </c>
      <c r="C17" t="s">
        <v>1181</v>
      </c>
      <c r="D17" t="s">
        <v>693</v>
      </c>
      <c r="E17">
        <v>2013</v>
      </c>
      <c r="F17" t="s">
        <v>1361</v>
      </c>
      <c r="H17" t="s">
        <v>1194</v>
      </c>
      <c r="S17">
        <f>SUMIFS(Projektudgifter!$AG:$AG,Projektudgifter!$W:$W,B17&amp;C17&amp;D17&amp;E17,Projektudgifter!$S:$S,F17)</f>
        <v>0</v>
      </c>
      <c r="T17">
        <f>SUMIFS(Projektudgifter!$AH:$AH,Projektudgifter!$W:$W,B17&amp;C17&amp;D17&amp;E17,Projektudgifter!$T:$T,F17)</f>
        <v>0</v>
      </c>
      <c r="U17">
        <f>SUMIFS(Projektudgifter!$AI:$AI,Projektudgifter!$W:$W,B17&amp;C17&amp;D17&amp;E17,Projektudgifter!$S:$S,F17)</f>
        <v>0</v>
      </c>
      <c r="V17">
        <f>SUMIFS(Projektudgifter!$AJ:$AJ,Projektudgifter!$W:$W,B17&amp;C17&amp;D17&amp;E17,Projektudgifter!$T:$T,F17)</f>
        <v>0</v>
      </c>
      <c r="W17">
        <f>SUMIFS(Projektudgifter!$AK:$AK,Projektudgifter!$W:$W,B17&amp;C17&amp;D17&amp;E17,Projektudgifter!$S:$S,F17)</f>
        <v>0</v>
      </c>
      <c r="X17">
        <f>SUMIFS(Projektudgifter!$AL:$AL,Projektudgifter!$W:$W,B17&amp;C17&amp;D17&amp;E17,Projektudgifter!$T:$T,F17)</f>
        <v>0</v>
      </c>
    </row>
    <row r="18" spans="2:24" ht="14.25" customHeight="1" x14ac:dyDescent="0.25">
      <c r="B18" t="s">
        <v>309</v>
      </c>
      <c r="C18" t="s">
        <v>1181</v>
      </c>
      <c r="D18" t="s">
        <v>693</v>
      </c>
      <c r="E18">
        <v>2013</v>
      </c>
      <c r="F18" t="s">
        <v>680</v>
      </c>
      <c r="H18" t="s">
        <v>1194</v>
      </c>
      <c r="S18">
        <f>SUMIFS(Projektudgifter!$AG:$AG,Projektudgifter!$W:$W,B18&amp;C18&amp;D18&amp;E18,Projektudgifter!$S:$S,F18)</f>
        <v>0</v>
      </c>
      <c r="T18">
        <f>SUMIFS(Projektudgifter!$AH:$AH,Projektudgifter!$W:$W,B18&amp;C18&amp;D18&amp;E18,Projektudgifter!$T:$T,F18)</f>
        <v>0</v>
      </c>
      <c r="U18">
        <f>SUMIFS(Projektudgifter!$AI:$AI,Projektudgifter!$W:$W,B18&amp;C18&amp;D18&amp;E18,Projektudgifter!$S:$S,F18)</f>
        <v>0</v>
      </c>
      <c r="V18">
        <f>SUMIFS(Projektudgifter!$AJ:$AJ,Projektudgifter!$W:$W,B18&amp;C18&amp;D18&amp;E18,Projektudgifter!$T:$T,F18)</f>
        <v>0</v>
      </c>
      <c r="W18">
        <f>SUMIFS(Projektudgifter!$AK:$AK,Projektudgifter!$W:$W,B18&amp;C18&amp;D18&amp;E18,Projektudgifter!$S:$S,F18)</f>
        <v>0</v>
      </c>
      <c r="X18">
        <f>SUMIFS(Projektudgifter!$AL:$AL,Projektudgifter!$W:$W,B18&amp;C18&amp;D18&amp;E18,Projektudgifter!$T:$T,F18)</f>
        <v>0</v>
      </c>
    </row>
    <row r="19" spans="2:24" ht="14.25" customHeight="1" x14ac:dyDescent="0.25">
      <c r="B19" t="s">
        <v>309</v>
      </c>
      <c r="C19" t="s">
        <v>1181</v>
      </c>
      <c r="D19" t="s">
        <v>693</v>
      </c>
      <c r="E19">
        <v>2013</v>
      </c>
      <c r="N19">
        <f>SUMIFS(Projektudgifter!$Y:$Y,Projektudgifter!$W:$W,B19&amp;C19&amp;D19&amp;E19)</f>
        <v>0</v>
      </c>
      <c r="O19">
        <f>SUMIFS(Projektudgifter!$Z:$Z,Projektudgifter!$W:$W,B19&amp;C19&amp;D19&amp;E19)</f>
        <v>0</v>
      </c>
      <c r="P19">
        <f>SUMIFS(Projektudgifter!$AA:$AA,Projektudgifter!$W:$W,B19&amp;C19&amp;D19&amp;E19)</f>
        <v>0</v>
      </c>
      <c r="Q19">
        <f>SUMIFS(Projektudgifter!$AB:$AB,Projektudgifter!$W:$W,B19&amp;C19&amp;D19&amp;E19)</f>
        <v>0</v>
      </c>
      <c r="R19">
        <f>SUMIFS(Projektudgifter!$AC:$AC,Projektudgifter!$W:$W,B19&amp;C19&amp;D19&amp;E19)</f>
        <v>0</v>
      </c>
      <c r="S19">
        <f>SUMIFS(Projektudgifter!$AG:$AG,Projektudgifter!$W:$W,B19&amp;C19&amp;D19&amp;E19,Projektudgifter!$S:$S,"")</f>
        <v>0</v>
      </c>
      <c r="U19">
        <f>SUMIFS(Projektudgifter!$AI:$AI,Projektudgifter!$W:$W,B19&amp;C19&amp;D19&amp;E19,Projektudgifter!$S:$S,"")</f>
        <v>0</v>
      </c>
      <c r="W19">
        <f>SUMIFS(Projektudgifter!$AK:$AK,Projektudgifter!$W:$W,B19&amp;C19&amp;D19&amp;E19,Projektudgifter!$S:$S,"")</f>
        <v>0</v>
      </c>
    </row>
    <row r="20" spans="2:24" ht="14.25" customHeight="1" x14ac:dyDescent="0.25">
      <c r="B20" t="s">
        <v>309</v>
      </c>
      <c r="C20" t="s">
        <v>1181</v>
      </c>
      <c r="D20" t="s">
        <v>693</v>
      </c>
      <c r="E20">
        <v>2014</v>
      </c>
      <c r="F20" t="s">
        <v>1361</v>
      </c>
      <c r="H20" t="s">
        <v>1194</v>
      </c>
      <c r="S20">
        <f>SUMIFS(Projektudgifter!$AG:$AG,Projektudgifter!$W:$W,B20&amp;C20&amp;D20&amp;E20,Projektudgifter!$S:$S,F20)</f>
        <v>0</v>
      </c>
      <c r="T20">
        <f>SUMIFS(Projektudgifter!$AH:$AH,Projektudgifter!$W:$W,B20&amp;C20&amp;D20&amp;E20,Projektudgifter!$T:$T,F20)</f>
        <v>0</v>
      </c>
      <c r="U20">
        <f>SUMIFS(Projektudgifter!$AI:$AI,Projektudgifter!$W:$W,B20&amp;C20&amp;D20&amp;E20,Projektudgifter!$S:$S,F20)</f>
        <v>0</v>
      </c>
      <c r="V20">
        <f>SUMIFS(Projektudgifter!$AJ:$AJ,Projektudgifter!$W:$W,B20&amp;C20&amp;D20&amp;E20,Projektudgifter!$T:$T,F20)</f>
        <v>0</v>
      </c>
      <c r="W20">
        <f>SUMIFS(Projektudgifter!$AK:$AK,Projektudgifter!$W:$W,B20&amp;C20&amp;D20&amp;E20,Projektudgifter!$S:$S,F20)</f>
        <v>0</v>
      </c>
      <c r="X20">
        <f>SUMIFS(Projektudgifter!$AL:$AL,Projektudgifter!$W:$W,B20&amp;C20&amp;D20&amp;E20,Projektudgifter!$T:$T,F20)</f>
        <v>0</v>
      </c>
    </row>
    <row r="21" spans="2:24" ht="14.25" customHeight="1" x14ac:dyDescent="0.25">
      <c r="B21" t="s">
        <v>309</v>
      </c>
      <c r="C21" t="s">
        <v>1181</v>
      </c>
      <c r="D21" t="s">
        <v>693</v>
      </c>
      <c r="E21">
        <v>2014</v>
      </c>
      <c r="F21" t="s">
        <v>680</v>
      </c>
      <c r="H21" t="s">
        <v>1194</v>
      </c>
      <c r="S21">
        <f>SUMIFS(Projektudgifter!$AG:$AG,Projektudgifter!$W:$W,B21&amp;C21&amp;D21&amp;E21,Projektudgifter!$S:$S,F21)</f>
        <v>0</v>
      </c>
      <c r="T21">
        <f>SUMIFS(Projektudgifter!$AH:$AH,Projektudgifter!$W:$W,B21&amp;C21&amp;D21&amp;E21,Projektudgifter!$T:$T,F21)</f>
        <v>0</v>
      </c>
      <c r="U21">
        <f>SUMIFS(Projektudgifter!$AI:$AI,Projektudgifter!$W:$W,B21&amp;C21&amp;D21&amp;E21,Projektudgifter!$S:$S,F21)</f>
        <v>0</v>
      </c>
      <c r="V21">
        <f>SUMIFS(Projektudgifter!$AJ:$AJ,Projektudgifter!$W:$W,B21&amp;C21&amp;D21&amp;E21,Projektudgifter!$T:$T,F21)</f>
        <v>0</v>
      </c>
      <c r="W21">
        <f>SUMIFS(Projektudgifter!$AK:$AK,Projektudgifter!$W:$W,B21&amp;C21&amp;D21&amp;E21,Projektudgifter!$S:$S,F21)</f>
        <v>0</v>
      </c>
      <c r="X21">
        <f>SUMIFS(Projektudgifter!$AL:$AL,Projektudgifter!$W:$W,B21&amp;C21&amp;D21&amp;E21,Projektudgifter!$T:$T,F21)</f>
        <v>0</v>
      </c>
    </row>
    <row r="22" spans="2:24" ht="14.25" customHeight="1" x14ac:dyDescent="0.25">
      <c r="B22" t="s">
        <v>309</v>
      </c>
      <c r="C22" t="s">
        <v>1181</v>
      </c>
      <c r="D22" t="s">
        <v>693</v>
      </c>
      <c r="E22">
        <v>2014</v>
      </c>
      <c r="N22">
        <f>SUMIFS(Projektudgifter!$Y:$Y,Projektudgifter!$W:$W,B22&amp;C22&amp;D22&amp;E22)</f>
        <v>0</v>
      </c>
      <c r="O22">
        <f>SUMIFS(Projektudgifter!$Z:$Z,Projektudgifter!$W:$W,B22&amp;C22&amp;D22&amp;E22)</f>
        <v>0</v>
      </c>
      <c r="P22">
        <f>SUMIFS(Projektudgifter!$AA:$AA,Projektudgifter!$W:$W,B22&amp;C22&amp;D22&amp;E22)</f>
        <v>0</v>
      </c>
      <c r="Q22">
        <f>SUMIFS(Projektudgifter!$AB:$AB,Projektudgifter!$W:$W,B22&amp;C22&amp;D22&amp;E22)</f>
        <v>0</v>
      </c>
      <c r="R22">
        <f>SUMIFS(Projektudgifter!$AC:$AC,Projektudgifter!$W:$W,B22&amp;C22&amp;D22&amp;E22)</f>
        <v>0</v>
      </c>
      <c r="S22">
        <f>SUMIFS(Projektudgifter!$AG:$AG,Projektudgifter!$W:$W,B22&amp;C22&amp;D22&amp;E22,Projektudgifter!$S:$S,"")</f>
        <v>0</v>
      </c>
      <c r="U22">
        <f>SUMIFS(Projektudgifter!$AI:$AI,Projektudgifter!$W:$W,B22&amp;C22&amp;D22&amp;E22,Projektudgifter!$S:$S,"")</f>
        <v>0</v>
      </c>
      <c r="W22">
        <f>SUMIFS(Projektudgifter!$AK:$AK,Projektudgifter!$W:$W,B22&amp;C22&amp;D22&amp;E22,Projektudgifter!$S:$S,"")</f>
        <v>0</v>
      </c>
    </row>
    <row r="23" spans="2:24" ht="14.25" customHeight="1" x14ac:dyDescent="0.25">
      <c r="B23" t="s">
        <v>309</v>
      </c>
      <c r="C23" t="s">
        <v>1182</v>
      </c>
      <c r="D23" t="s">
        <v>693</v>
      </c>
      <c r="E23">
        <v>2013</v>
      </c>
      <c r="F23" t="s">
        <v>1361</v>
      </c>
      <c r="H23" t="s">
        <v>1194</v>
      </c>
      <c r="S23">
        <f>SUMIFS(Projektudgifter!$AG:$AG,Projektudgifter!$W:$W,B23&amp;C23&amp;D23&amp;E23,Projektudgifter!$S:$S,F23)</f>
        <v>0</v>
      </c>
      <c r="T23">
        <f>SUMIFS(Projektudgifter!$AH:$AH,Projektudgifter!$W:$W,B23&amp;C23&amp;D23&amp;E23,Projektudgifter!$T:$T,F23)</f>
        <v>0</v>
      </c>
      <c r="U23">
        <f>SUMIFS(Projektudgifter!$AI:$AI,Projektudgifter!$W:$W,B23&amp;C23&amp;D23&amp;E23,Projektudgifter!$S:$S,F23)</f>
        <v>0</v>
      </c>
      <c r="V23">
        <f>SUMIFS(Projektudgifter!$AJ:$AJ,Projektudgifter!$W:$W,B23&amp;C23&amp;D23&amp;E23,Projektudgifter!$T:$T,F23)</f>
        <v>0</v>
      </c>
      <c r="W23">
        <f>SUMIFS(Projektudgifter!$AK:$AK,Projektudgifter!$W:$W,B23&amp;C23&amp;D23&amp;E23,Projektudgifter!$S:$S,F23)</f>
        <v>0</v>
      </c>
      <c r="X23">
        <f>SUMIFS(Projektudgifter!$AL:$AL,Projektudgifter!$W:$W,B23&amp;C23&amp;D23&amp;E23,Projektudgifter!$T:$T,F23)</f>
        <v>0</v>
      </c>
    </row>
    <row r="24" spans="2:24" ht="14.25" customHeight="1" x14ac:dyDescent="0.25">
      <c r="B24" t="s">
        <v>309</v>
      </c>
      <c r="C24" t="s">
        <v>1182</v>
      </c>
      <c r="D24" t="s">
        <v>693</v>
      </c>
      <c r="E24">
        <v>2013</v>
      </c>
      <c r="F24" t="s">
        <v>680</v>
      </c>
      <c r="H24" t="s">
        <v>1194</v>
      </c>
      <c r="S24">
        <f>SUMIFS(Projektudgifter!$AG:$AG,Projektudgifter!$W:$W,B24&amp;C24&amp;D24&amp;E24,Projektudgifter!$S:$S,F24)</f>
        <v>0</v>
      </c>
      <c r="T24">
        <f>SUMIFS(Projektudgifter!$AH:$AH,Projektudgifter!$W:$W,B24&amp;C24&amp;D24&amp;E24,Projektudgifter!$T:$T,F24)</f>
        <v>0</v>
      </c>
      <c r="U24">
        <f>SUMIFS(Projektudgifter!$AI:$AI,Projektudgifter!$W:$W,B24&amp;C24&amp;D24&amp;E24,Projektudgifter!$S:$S,F24)</f>
        <v>0</v>
      </c>
      <c r="V24">
        <f>SUMIFS(Projektudgifter!$AJ:$AJ,Projektudgifter!$W:$W,B24&amp;C24&amp;D24&amp;E24,Projektudgifter!$T:$T,F24)</f>
        <v>0</v>
      </c>
      <c r="W24">
        <f>SUMIFS(Projektudgifter!$AK:$AK,Projektudgifter!$W:$W,B24&amp;C24&amp;D24&amp;E24,Projektudgifter!$S:$S,F24)</f>
        <v>0</v>
      </c>
      <c r="X24">
        <f>SUMIFS(Projektudgifter!$AL:$AL,Projektudgifter!$W:$W,B24&amp;C24&amp;D24&amp;E24,Projektudgifter!$T:$T,F24)</f>
        <v>0</v>
      </c>
    </row>
    <row r="25" spans="2:24" ht="14.25" customHeight="1" x14ac:dyDescent="0.25">
      <c r="B25" t="s">
        <v>309</v>
      </c>
      <c r="C25" t="s">
        <v>1182</v>
      </c>
      <c r="D25" t="s">
        <v>693</v>
      </c>
      <c r="E25">
        <v>2013</v>
      </c>
      <c r="N25">
        <f>SUMIFS(Projektudgifter!$Y:$Y,Projektudgifter!$W:$W,B25&amp;C25&amp;D25&amp;E25)</f>
        <v>0</v>
      </c>
      <c r="O25">
        <f>SUMIFS(Projektudgifter!$Z:$Z,Projektudgifter!$W:$W,B25&amp;C25&amp;D25&amp;E25)</f>
        <v>0</v>
      </c>
      <c r="P25">
        <f>SUMIFS(Projektudgifter!$AA:$AA,Projektudgifter!$W:$W,B25&amp;C25&amp;D25&amp;E25)</f>
        <v>0</v>
      </c>
      <c r="Q25">
        <f>SUMIFS(Projektudgifter!$AB:$AB,Projektudgifter!$W:$W,B25&amp;C25&amp;D25&amp;E25)</f>
        <v>0</v>
      </c>
      <c r="R25">
        <f>SUMIFS(Projektudgifter!$AC:$AC,Projektudgifter!$W:$W,B25&amp;C25&amp;D25&amp;E25)</f>
        <v>0</v>
      </c>
      <c r="S25">
        <f>SUMIFS(Projektudgifter!$AG:$AG,Projektudgifter!$W:$W,B25&amp;C25&amp;D25&amp;E25,Projektudgifter!$S:$S,"")</f>
        <v>0</v>
      </c>
      <c r="U25">
        <f>SUMIFS(Projektudgifter!$AI:$AI,Projektudgifter!$W:$W,B25&amp;C25&amp;D25&amp;E25,Projektudgifter!$S:$S,"")</f>
        <v>0</v>
      </c>
      <c r="W25">
        <f>SUMIFS(Projektudgifter!$AK:$AK,Projektudgifter!$W:$W,B25&amp;C25&amp;D25&amp;E25,Projektudgifter!$S:$S,"")</f>
        <v>0</v>
      </c>
    </row>
    <row r="26" spans="2:24" ht="14.25" customHeight="1" x14ac:dyDescent="0.25">
      <c r="B26" t="s">
        <v>309</v>
      </c>
      <c r="C26" t="s">
        <v>1182</v>
      </c>
      <c r="D26" t="s">
        <v>693</v>
      </c>
      <c r="E26">
        <v>2014</v>
      </c>
      <c r="F26" t="s">
        <v>1361</v>
      </c>
      <c r="H26" t="s">
        <v>1194</v>
      </c>
      <c r="S26">
        <f>SUMIFS(Projektudgifter!$AG:$AG,Projektudgifter!$W:$W,B26&amp;C26&amp;D26&amp;E26,Projektudgifter!$S:$S,F26)</f>
        <v>0</v>
      </c>
      <c r="T26">
        <f>SUMIFS(Projektudgifter!$AH:$AH,Projektudgifter!$W:$W,B26&amp;C26&amp;D26&amp;E26,Projektudgifter!$T:$T,F26)</f>
        <v>0</v>
      </c>
      <c r="U26">
        <f>SUMIFS(Projektudgifter!$AI:$AI,Projektudgifter!$W:$W,B26&amp;C26&amp;D26&amp;E26,Projektudgifter!$S:$S,F26)</f>
        <v>0</v>
      </c>
      <c r="V26">
        <f>SUMIFS(Projektudgifter!$AJ:$AJ,Projektudgifter!$W:$W,B26&amp;C26&amp;D26&amp;E26,Projektudgifter!$T:$T,F26)</f>
        <v>0</v>
      </c>
      <c r="W26">
        <f>SUMIFS(Projektudgifter!$AK:$AK,Projektudgifter!$W:$W,B26&amp;C26&amp;D26&amp;E26,Projektudgifter!$S:$S,F26)</f>
        <v>0</v>
      </c>
      <c r="X26">
        <f>SUMIFS(Projektudgifter!$AL:$AL,Projektudgifter!$W:$W,B26&amp;C26&amp;D26&amp;E26,Projektudgifter!$T:$T,F26)</f>
        <v>0</v>
      </c>
    </row>
    <row r="27" spans="2:24" ht="14.25" customHeight="1" x14ac:dyDescent="0.25">
      <c r="B27" t="s">
        <v>309</v>
      </c>
      <c r="C27" t="s">
        <v>1182</v>
      </c>
      <c r="D27" t="s">
        <v>693</v>
      </c>
      <c r="E27">
        <v>2014</v>
      </c>
      <c r="F27" t="s">
        <v>680</v>
      </c>
      <c r="H27" t="s">
        <v>1194</v>
      </c>
      <c r="S27">
        <f>SUMIFS(Projektudgifter!$AG:$AG,Projektudgifter!$W:$W,B27&amp;C27&amp;D27&amp;E27,Projektudgifter!$S:$S,F27)</f>
        <v>0</v>
      </c>
      <c r="T27">
        <f>SUMIFS(Projektudgifter!$AH:$AH,Projektudgifter!$W:$W,B27&amp;C27&amp;D27&amp;E27,Projektudgifter!$T:$T,F27)</f>
        <v>0</v>
      </c>
      <c r="U27">
        <f>SUMIFS(Projektudgifter!$AI:$AI,Projektudgifter!$W:$W,B27&amp;C27&amp;D27&amp;E27,Projektudgifter!$S:$S,F27)</f>
        <v>0</v>
      </c>
      <c r="V27">
        <f>SUMIFS(Projektudgifter!$AJ:$AJ,Projektudgifter!$W:$W,B27&amp;C27&amp;D27&amp;E27,Projektudgifter!$T:$T,F27)</f>
        <v>0</v>
      </c>
      <c r="W27">
        <f>SUMIFS(Projektudgifter!$AK:$AK,Projektudgifter!$W:$W,B27&amp;C27&amp;D27&amp;E27,Projektudgifter!$S:$S,F27)</f>
        <v>0</v>
      </c>
      <c r="X27">
        <f>SUMIFS(Projektudgifter!$AL:$AL,Projektudgifter!$W:$W,B27&amp;C27&amp;D27&amp;E27,Projektudgifter!$T:$T,F27)</f>
        <v>0</v>
      </c>
    </row>
    <row r="28" spans="2:24" ht="14.25" customHeight="1" x14ac:dyDescent="0.25">
      <c r="B28" t="s">
        <v>309</v>
      </c>
      <c r="C28" t="s">
        <v>1182</v>
      </c>
      <c r="D28" t="s">
        <v>693</v>
      </c>
      <c r="E28">
        <v>2014</v>
      </c>
      <c r="N28">
        <f>SUMIFS(Projektudgifter!$Y:$Y,Projektudgifter!$W:$W,B28&amp;C28&amp;D28&amp;E28)</f>
        <v>0</v>
      </c>
      <c r="O28">
        <f>SUMIFS(Projektudgifter!$Z:$Z,Projektudgifter!$W:$W,B28&amp;C28&amp;D28&amp;E28)</f>
        <v>0</v>
      </c>
      <c r="P28">
        <f>SUMIFS(Projektudgifter!$AA:$AA,Projektudgifter!$W:$W,B28&amp;C28&amp;D28&amp;E28)</f>
        <v>0</v>
      </c>
      <c r="Q28">
        <f>SUMIFS(Projektudgifter!$AB:$AB,Projektudgifter!$W:$W,B28&amp;C28&amp;D28&amp;E28)</f>
        <v>0</v>
      </c>
      <c r="R28">
        <f>SUMIFS(Projektudgifter!$AC:$AC,Projektudgifter!$W:$W,B28&amp;C28&amp;D28&amp;E28)</f>
        <v>0</v>
      </c>
      <c r="S28">
        <f>SUMIFS(Projektudgifter!$AG:$AG,Projektudgifter!$W:$W,B28&amp;C28&amp;D28&amp;E28,Projektudgifter!$S:$S,"")</f>
        <v>0</v>
      </c>
      <c r="U28">
        <f>SUMIFS(Projektudgifter!$AI:$AI,Projektudgifter!$W:$W,B28&amp;C28&amp;D28&amp;E28,Projektudgifter!$S:$S,"")</f>
        <v>0</v>
      </c>
      <c r="W28">
        <f>SUMIFS(Projektudgifter!$AK:$AK,Projektudgifter!$W:$W,B28&amp;C28&amp;D28&amp;E28,Projektudgifter!$S:$S,"")</f>
        <v>0</v>
      </c>
    </row>
    <row r="29" spans="2:24" ht="14.25" customHeight="1" x14ac:dyDescent="0.25">
      <c r="B29" t="s">
        <v>309</v>
      </c>
      <c r="C29" t="s">
        <v>1183</v>
      </c>
      <c r="D29" t="s">
        <v>693</v>
      </c>
      <c r="E29">
        <v>2013</v>
      </c>
      <c r="F29" t="s">
        <v>1361</v>
      </c>
      <c r="H29" t="s">
        <v>1194</v>
      </c>
      <c r="S29">
        <f>SUMIFS(Projektudgifter!$AG:$AG,Projektudgifter!$W:$W,B29&amp;C29&amp;D29&amp;E29,Projektudgifter!$S:$S,F29)</f>
        <v>0</v>
      </c>
      <c r="T29">
        <f>SUMIFS(Projektudgifter!$AH:$AH,Projektudgifter!$W:$W,B29&amp;C29&amp;D29&amp;E29,Projektudgifter!$T:$T,F29)</f>
        <v>0</v>
      </c>
      <c r="U29">
        <f>SUMIFS(Projektudgifter!$AI:$AI,Projektudgifter!$W:$W,B29&amp;C29&amp;D29&amp;E29,Projektudgifter!$S:$S,F29)</f>
        <v>0</v>
      </c>
      <c r="V29">
        <f>SUMIFS(Projektudgifter!$AJ:$AJ,Projektudgifter!$W:$W,B29&amp;C29&amp;D29&amp;E29,Projektudgifter!$T:$T,F29)</f>
        <v>0</v>
      </c>
      <c r="W29">
        <f>SUMIFS(Projektudgifter!$AK:$AK,Projektudgifter!$W:$W,B29&amp;C29&amp;D29&amp;E29,Projektudgifter!$S:$S,F29)</f>
        <v>0</v>
      </c>
      <c r="X29">
        <f>SUMIFS(Projektudgifter!$AL:$AL,Projektudgifter!$W:$W,B29&amp;C29&amp;D29&amp;E29,Projektudgifter!$T:$T,F29)</f>
        <v>0</v>
      </c>
    </row>
    <row r="30" spans="2:24" ht="14.25" customHeight="1" x14ac:dyDescent="0.25">
      <c r="B30" t="s">
        <v>309</v>
      </c>
      <c r="C30" t="s">
        <v>1183</v>
      </c>
      <c r="D30" t="s">
        <v>693</v>
      </c>
      <c r="E30">
        <v>2013</v>
      </c>
      <c r="F30" t="s">
        <v>680</v>
      </c>
      <c r="H30" t="s">
        <v>1194</v>
      </c>
      <c r="S30">
        <f>SUMIFS(Projektudgifter!$AG:$AG,Projektudgifter!$W:$W,B30&amp;C30&amp;D30&amp;E30,Projektudgifter!$S:$S,F30)</f>
        <v>0</v>
      </c>
      <c r="T30">
        <f>SUMIFS(Projektudgifter!$AH:$AH,Projektudgifter!$W:$W,B30&amp;C30&amp;D30&amp;E30,Projektudgifter!$T:$T,F30)</f>
        <v>0</v>
      </c>
      <c r="U30">
        <f>SUMIFS(Projektudgifter!$AI:$AI,Projektudgifter!$W:$W,B30&amp;C30&amp;D30&amp;E30,Projektudgifter!$S:$S,F30)</f>
        <v>0</v>
      </c>
      <c r="V30">
        <f>SUMIFS(Projektudgifter!$AJ:$AJ,Projektudgifter!$W:$W,B30&amp;C30&amp;D30&amp;E30,Projektudgifter!$T:$T,F30)</f>
        <v>0</v>
      </c>
      <c r="W30">
        <f>SUMIFS(Projektudgifter!$AK:$AK,Projektudgifter!$W:$W,B30&amp;C30&amp;D30&amp;E30,Projektudgifter!$S:$S,F30)</f>
        <v>0</v>
      </c>
      <c r="X30">
        <f>SUMIFS(Projektudgifter!$AL:$AL,Projektudgifter!$W:$W,B30&amp;C30&amp;D30&amp;E30,Projektudgifter!$T:$T,F30)</f>
        <v>0</v>
      </c>
    </row>
    <row r="31" spans="2:24" ht="14.25" customHeight="1" x14ac:dyDescent="0.25">
      <c r="B31" t="s">
        <v>309</v>
      </c>
      <c r="C31" t="s">
        <v>1183</v>
      </c>
      <c r="D31" t="s">
        <v>693</v>
      </c>
      <c r="E31">
        <v>2013</v>
      </c>
      <c r="N31">
        <f>SUMIFS(Projektudgifter!$Y:$Y,Projektudgifter!$W:$W,B31&amp;C31&amp;D31&amp;E31)</f>
        <v>0</v>
      </c>
      <c r="O31">
        <f>SUMIFS(Projektudgifter!$Z:$Z,Projektudgifter!$W:$W,B31&amp;C31&amp;D31&amp;E31)</f>
        <v>0</v>
      </c>
      <c r="P31">
        <f>SUMIFS(Projektudgifter!$AA:$AA,Projektudgifter!$W:$W,B31&amp;C31&amp;D31&amp;E31)</f>
        <v>0</v>
      </c>
      <c r="Q31">
        <f>SUMIFS(Projektudgifter!$AB:$AB,Projektudgifter!$W:$W,B31&amp;C31&amp;D31&amp;E31)</f>
        <v>0</v>
      </c>
      <c r="R31">
        <f>SUMIFS(Projektudgifter!$AC:$AC,Projektudgifter!$W:$W,B31&amp;C31&amp;D31&amp;E31)</f>
        <v>0</v>
      </c>
      <c r="S31">
        <f>SUMIFS(Projektudgifter!$AG:$AG,Projektudgifter!$W:$W,B31&amp;C31&amp;D31&amp;E31,Projektudgifter!$S:$S,"")</f>
        <v>0</v>
      </c>
      <c r="U31">
        <f>SUMIFS(Projektudgifter!$AI:$AI,Projektudgifter!$W:$W,B31&amp;C31&amp;D31&amp;E31,Projektudgifter!$S:$S,"")</f>
        <v>0</v>
      </c>
      <c r="W31">
        <f>SUMIFS(Projektudgifter!$AK:$AK,Projektudgifter!$W:$W,B31&amp;C31&amp;D31&amp;E31,Projektudgifter!$S:$S,"")</f>
        <v>0</v>
      </c>
    </row>
    <row r="32" spans="2:24" ht="14.25" customHeight="1" x14ac:dyDescent="0.25">
      <c r="B32" t="s">
        <v>309</v>
      </c>
      <c r="C32" t="s">
        <v>1183</v>
      </c>
      <c r="D32" t="s">
        <v>693</v>
      </c>
      <c r="E32">
        <v>2014</v>
      </c>
      <c r="F32" t="s">
        <v>1361</v>
      </c>
      <c r="H32" t="s">
        <v>1194</v>
      </c>
      <c r="S32">
        <f>SUMIFS(Projektudgifter!$AG:$AG,Projektudgifter!$W:$W,B32&amp;C32&amp;D32&amp;E32,Projektudgifter!$S:$S,F32)</f>
        <v>0</v>
      </c>
      <c r="T32">
        <f>SUMIFS(Projektudgifter!$AH:$AH,Projektudgifter!$W:$W,B32&amp;C32&amp;D32&amp;E32,Projektudgifter!$T:$T,F32)</f>
        <v>0</v>
      </c>
      <c r="U32">
        <f>SUMIFS(Projektudgifter!$AI:$AI,Projektudgifter!$W:$W,B32&amp;C32&amp;D32&amp;E32,Projektudgifter!$S:$S,F32)</f>
        <v>0</v>
      </c>
      <c r="V32">
        <f>SUMIFS(Projektudgifter!$AJ:$AJ,Projektudgifter!$W:$W,B32&amp;C32&amp;D32&amp;E32,Projektudgifter!$T:$T,F32)</f>
        <v>0</v>
      </c>
      <c r="W32">
        <f>SUMIFS(Projektudgifter!$AK:$AK,Projektudgifter!$W:$W,B32&amp;C32&amp;D32&amp;E32,Projektudgifter!$S:$S,F32)</f>
        <v>0</v>
      </c>
      <c r="X32">
        <f>SUMIFS(Projektudgifter!$AL:$AL,Projektudgifter!$W:$W,B32&amp;C32&amp;D32&amp;E32,Projektudgifter!$T:$T,F32)</f>
        <v>0</v>
      </c>
    </row>
    <row r="33" spans="2:24" ht="14.25" customHeight="1" x14ac:dyDescent="0.25">
      <c r="B33" t="s">
        <v>309</v>
      </c>
      <c r="C33" t="s">
        <v>1183</v>
      </c>
      <c r="D33" t="s">
        <v>693</v>
      </c>
      <c r="E33">
        <v>2014</v>
      </c>
      <c r="F33" t="s">
        <v>680</v>
      </c>
      <c r="H33" t="s">
        <v>1194</v>
      </c>
      <c r="S33">
        <f>SUMIFS(Projektudgifter!$AG:$AG,Projektudgifter!$W:$W,B33&amp;C33&amp;D33&amp;E33,Projektudgifter!$S:$S,F33)</f>
        <v>0</v>
      </c>
      <c r="T33">
        <f>SUMIFS(Projektudgifter!$AH:$AH,Projektudgifter!$W:$W,B33&amp;C33&amp;D33&amp;E33,Projektudgifter!$T:$T,F33)</f>
        <v>0</v>
      </c>
      <c r="U33">
        <f>SUMIFS(Projektudgifter!$AI:$AI,Projektudgifter!$W:$W,B33&amp;C33&amp;D33&amp;E33,Projektudgifter!$S:$S,F33)</f>
        <v>0</v>
      </c>
      <c r="V33">
        <f>SUMIFS(Projektudgifter!$AJ:$AJ,Projektudgifter!$W:$W,B33&amp;C33&amp;D33&amp;E33,Projektudgifter!$T:$T,F33)</f>
        <v>0</v>
      </c>
      <c r="W33">
        <f>SUMIFS(Projektudgifter!$AK:$AK,Projektudgifter!$W:$W,B33&amp;C33&amp;D33&amp;E33,Projektudgifter!$S:$S,F33)</f>
        <v>0</v>
      </c>
      <c r="X33">
        <f>SUMIFS(Projektudgifter!$AL:$AL,Projektudgifter!$W:$W,B33&amp;C33&amp;D33&amp;E33,Projektudgifter!$T:$T,F33)</f>
        <v>0</v>
      </c>
    </row>
    <row r="34" spans="2:24" ht="14.25" customHeight="1" x14ac:dyDescent="0.25">
      <c r="B34" t="s">
        <v>309</v>
      </c>
      <c r="C34" t="s">
        <v>1183</v>
      </c>
      <c r="D34" t="s">
        <v>693</v>
      </c>
      <c r="E34">
        <v>2014</v>
      </c>
      <c r="N34">
        <f>SUMIFS(Projektudgifter!$Y:$Y,Projektudgifter!$W:$W,B34&amp;C34&amp;D34&amp;E34)</f>
        <v>0</v>
      </c>
      <c r="O34">
        <f>SUMIFS(Projektudgifter!$Z:$Z,Projektudgifter!$W:$W,B34&amp;C34&amp;D34&amp;E34)</f>
        <v>0</v>
      </c>
      <c r="P34">
        <f>SUMIFS(Projektudgifter!$AA:$AA,Projektudgifter!$W:$W,B34&amp;C34&amp;D34&amp;E34)</f>
        <v>0</v>
      </c>
      <c r="Q34">
        <f>SUMIFS(Projektudgifter!$AB:$AB,Projektudgifter!$W:$W,B34&amp;C34&amp;D34&amp;E34)</f>
        <v>0</v>
      </c>
      <c r="R34">
        <f>SUMIFS(Projektudgifter!$AC:$AC,Projektudgifter!$W:$W,B34&amp;C34&amp;D34&amp;E34)</f>
        <v>0</v>
      </c>
      <c r="S34">
        <f>SUMIFS(Projektudgifter!$AG:$AG,Projektudgifter!$W:$W,B34&amp;C34&amp;D34&amp;E34,Projektudgifter!$S:$S,"")</f>
        <v>0</v>
      </c>
      <c r="U34">
        <f>SUMIFS(Projektudgifter!$AI:$AI,Projektudgifter!$W:$W,B34&amp;C34&amp;D34&amp;E34,Projektudgifter!$S:$S,"")</f>
        <v>0</v>
      </c>
      <c r="W34">
        <f>SUMIFS(Projektudgifter!$AK:$AK,Projektudgifter!$W:$W,B34&amp;C34&amp;D34&amp;E34,Projektudgifter!$S:$S,"")</f>
        <v>0</v>
      </c>
    </row>
    <row r="35" spans="2:24" ht="14.25" customHeight="1" x14ac:dyDescent="0.25">
      <c r="B35" t="s">
        <v>309</v>
      </c>
      <c r="C35" t="s">
        <v>84</v>
      </c>
      <c r="D35" t="s">
        <v>693</v>
      </c>
      <c r="E35">
        <v>2013</v>
      </c>
      <c r="F35" t="s">
        <v>1361</v>
      </c>
      <c r="H35" t="s">
        <v>1194</v>
      </c>
      <c r="S35">
        <f>SUMIFS(Projektudgifter!$AG:$AG,Projektudgifter!$W:$W,B35&amp;C35&amp;D35&amp;E35,Projektudgifter!$S:$S,F35)</f>
        <v>0</v>
      </c>
      <c r="T35">
        <f>SUMIFS(Projektudgifter!$AH:$AH,Projektudgifter!$W:$W,B35&amp;C35&amp;D35&amp;E35,Projektudgifter!$T:$T,F35)</f>
        <v>0</v>
      </c>
      <c r="U35">
        <f>SUMIFS(Projektudgifter!$AI:$AI,Projektudgifter!$W:$W,B35&amp;C35&amp;D35&amp;E35,Projektudgifter!$S:$S,F35)</f>
        <v>0</v>
      </c>
      <c r="V35">
        <f>SUMIFS(Projektudgifter!$AJ:$AJ,Projektudgifter!$W:$W,B35&amp;C35&amp;D35&amp;E35,Projektudgifter!$T:$T,F35)</f>
        <v>0</v>
      </c>
      <c r="W35">
        <f>SUMIFS(Projektudgifter!$AK:$AK,Projektudgifter!$W:$W,B35&amp;C35&amp;D35&amp;E35,Projektudgifter!$S:$S,F35)</f>
        <v>0</v>
      </c>
      <c r="X35">
        <f>SUMIFS(Projektudgifter!$AL:$AL,Projektudgifter!$W:$W,B35&amp;C35&amp;D35&amp;E35,Projektudgifter!$T:$T,F35)</f>
        <v>0</v>
      </c>
    </row>
    <row r="36" spans="2:24" ht="14.25" customHeight="1" x14ac:dyDescent="0.25">
      <c r="B36" t="s">
        <v>309</v>
      </c>
      <c r="C36" t="s">
        <v>84</v>
      </c>
      <c r="D36" t="s">
        <v>693</v>
      </c>
      <c r="E36">
        <v>2013</v>
      </c>
      <c r="F36" t="s">
        <v>680</v>
      </c>
      <c r="H36" t="s">
        <v>1194</v>
      </c>
      <c r="S36">
        <f>SUMIFS(Projektudgifter!$AG:$AG,Projektudgifter!$W:$W,B36&amp;C36&amp;D36&amp;E36,Projektudgifter!$S:$S,F36)</f>
        <v>0</v>
      </c>
      <c r="T36">
        <f>SUMIFS(Projektudgifter!$AH:$AH,Projektudgifter!$W:$W,B36&amp;C36&amp;D36&amp;E36,Projektudgifter!$T:$T,F36)</f>
        <v>0</v>
      </c>
      <c r="U36">
        <f>SUMIFS(Projektudgifter!$AI:$AI,Projektudgifter!$W:$W,B36&amp;C36&amp;D36&amp;E36,Projektudgifter!$S:$S,F36)</f>
        <v>0</v>
      </c>
      <c r="V36">
        <f>SUMIFS(Projektudgifter!$AJ:$AJ,Projektudgifter!$W:$W,B36&amp;C36&amp;D36&amp;E36,Projektudgifter!$T:$T,F36)</f>
        <v>0</v>
      </c>
      <c r="W36">
        <f>SUMIFS(Projektudgifter!$AK:$AK,Projektudgifter!$W:$W,B36&amp;C36&amp;D36&amp;E36,Projektudgifter!$S:$S,F36)</f>
        <v>0</v>
      </c>
      <c r="X36">
        <f>SUMIFS(Projektudgifter!$AL:$AL,Projektudgifter!$W:$W,B36&amp;C36&amp;D36&amp;E36,Projektudgifter!$T:$T,F36)</f>
        <v>0</v>
      </c>
    </row>
    <row r="37" spans="2:24" ht="14.25" customHeight="1" x14ac:dyDescent="0.25">
      <c r="B37" t="s">
        <v>309</v>
      </c>
      <c r="C37" t="s">
        <v>84</v>
      </c>
      <c r="D37" t="s">
        <v>693</v>
      </c>
      <c r="E37">
        <v>2013</v>
      </c>
      <c r="N37">
        <f>SUMIFS(Projektudgifter!$Y:$Y,Projektudgifter!$W:$W,B37&amp;C37&amp;D37&amp;E37)</f>
        <v>0</v>
      </c>
      <c r="O37">
        <f>SUMIFS(Projektudgifter!$Z:$Z,Projektudgifter!$W:$W,B37&amp;C37&amp;D37&amp;E37)</f>
        <v>0</v>
      </c>
      <c r="P37">
        <f>SUMIFS(Projektudgifter!$AA:$AA,Projektudgifter!$W:$W,B37&amp;C37&amp;D37&amp;E37)</f>
        <v>0</v>
      </c>
      <c r="Q37">
        <f>SUMIFS(Projektudgifter!$AB:$AB,Projektudgifter!$W:$W,B37&amp;C37&amp;D37&amp;E37)</f>
        <v>0</v>
      </c>
      <c r="R37">
        <f>SUMIFS(Projektudgifter!$AC:$AC,Projektudgifter!$W:$W,B37&amp;C37&amp;D37&amp;E37)</f>
        <v>0</v>
      </c>
      <c r="S37">
        <f>SUMIFS(Projektudgifter!$AG:$AG,Projektudgifter!$W:$W,B37&amp;C37&amp;D37&amp;E37,Projektudgifter!$S:$S,"")</f>
        <v>0</v>
      </c>
      <c r="U37">
        <f>SUMIFS(Projektudgifter!$AI:$AI,Projektudgifter!$W:$W,B37&amp;C37&amp;D37&amp;E37,Projektudgifter!$S:$S,"")</f>
        <v>0</v>
      </c>
      <c r="W37">
        <f>SUMIFS(Projektudgifter!$AK:$AK,Projektudgifter!$W:$W,B37&amp;C37&amp;D37&amp;E37,Projektudgifter!$S:$S,"")</f>
        <v>0</v>
      </c>
    </row>
    <row r="38" spans="2:24" ht="14.25" customHeight="1" x14ac:dyDescent="0.25">
      <c r="B38" t="s">
        <v>309</v>
      </c>
      <c r="C38" t="s">
        <v>84</v>
      </c>
      <c r="D38" t="s">
        <v>693</v>
      </c>
      <c r="E38">
        <v>2014</v>
      </c>
      <c r="F38" t="s">
        <v>1361</v>
      </c>
      <c r="H38" t="s">
        <v>1194</v>
      </c>
      <c r="S38">
        <f>SUMIFS(Projektudgifter!$AG:$AG,Projektudgifter!$W:$W,B38&amp;C38&amp;D38&amp;E38,Projektudgifter!$S:$S,F38)</f>
        <v>0</v>
      </c>
      <c r="T38">
        <f>SUMIFS(Projektudgifter!$AH:$AH,Projektudgifter!$W:$W,B38&amp;C38&amp;D38&amp;E38,Projektudgifter!$T:$T,F38)</f>
        <v>0</v>
      </c>
      <c r="U38">
        <f>SUMIFS(Projektudgifter!$AI:$AI,Projektudgifter!$W:$W,B38&amp;C38&amp;D38&amp;E38,Projektudgifter!$S:$S,F38)</f>
        <v>0</v>
      </c>
      <c r="V38">
        <f>SUMIFS(Projektudgifter!$AJ:$AJ,Projektudgifter!$W:$W,B38&amp;C38&amp;D38&amp;E38,Projektudgifter!$T:$T,F38)</f>
        <v>0</v>
      </c>
      <c r="W38">
        <f>SUMIFS(Projektudgifter!$AK:$AK,Projektudgifter!$W:$W,B38&amp;C38&amp;D38&amp;E38,Projektudgifter!$S:$S,F38)</f>
        <v>0</v>
      </c>
      <c r="X38">
        <f>SUMIFS(Projektudgifter!$AL:$AL,Projektudgifter!$W:$W,B38&amp;C38&amp;D38&amp;E38,Projektudgifter!$T:$T,F38)</f>
        <v>0</v>
      </c>
    </row>
    <row r="39" spans="2:24" ht="14.25" customHeight="1" x14ac:dyDescent="0.25">
      <c r="B39" t="s">
        <v>309</v>
      </c>
      <c r="C39" t="s">
        <v>84</v>
      </c>
      <c r="D39" t="s">
        <v>693</v>
      </c>
      <c r="E39">
        <v>2014</v>
      </c>
      <c r="F39" t="s">
        <v>680</v>
      </c>
      <c r="H39" t="s">
        <v>1194</v>
      </c>
      <c r="S39">
        <f>SUMIFS(Projektudgifter!$AG:$AG,Projektudgifter!$W:$W,B39&amp;C39&amp;D39&amp;E39,Projektudgifter!$S:$S,F39)</f>
        <v>0</v>
      </c>
      <c r="T39">
        <f>SUMIFS(Projektudgifter!$AH:$AH,Projektudgifter!$W:$W,B39&amp;C39&amp;D39&amp;E39,Projektudgifter!$T:$T,F39)</f>
        <v>0</v>
      </c>
      <c r="U39">
        <f>SUMIFS(Projektudgifter!$AI:$AI,Projektudgifter!$W:$W,B39&amp;C39&amp;D39&amp;E39,Projektudgifter!$S:$S,F39)</f>
        <v>0</v>
      </c>
      <c r="V39">
        <f>SUMIFS(Projektudgifter!$AJ:$AJ,Projektudgifter!$W:$W,B39&amp;C39&amp;D39&amp;E39,Projektudgifter!$T:$T,F39)</f>
        <v>0</v>
      </c>
      <c r="W39">
        <f>SUMIFS(Projektudgifter!$AK:$AK,Projektudgifter!$W:$W,B39&amp;C39&amp;D39&amp;E39,Projektudgifter!$S:$S,F39)</f>
        <v>0</v>
      </c>
      <c r="X39">
        <f>SUMIFS(Projektudgifter!$AL:$AL,Projektudgifter!$W:$W,B39&amp;C39&amp;D39&amp;E39,Projektudgifter!$T:$T,F39)</f>
        <v>0</v>
      </c>
    </row>
    <row r="40" spans="2:24" ht="14.25" customHeight="1" x14ac:dyDescent="0.25">
      <c r="B40" t="s">
        <v>309</v>
      </c>
      <c r="C40" t="s">
        <v>84</v>
      </c>
      <c r="D40" t="s">
        <v>693</v>
      </c>
      <c r="E40">
        <v>2014</v>
      </c>
      <c r="N40">
        <f>SUMIFS(Projektudgifter!$Y:$Y,Projektudgifter!$W:$W,B40&amp;C40&amp;D40&amp;E40)</f>
        <v>0</v>
      </c>
      <c r="O40">
        <f>SUMIFS(Projektudgifter!$Z:$Z,Projektudgifter!$W:$W,B40&amp;C40&amp;D40&amp;E40)</f>
        <v>0</v>
      </c>
      <c r="P40">
        <f>SUMIFS(Projektudgifter!$AA:$AA,Projektudgifter!$W:$W,B40&amp;C40&amp;D40&amp;E40)</f>
        <v>0</v>
      </c>
      <c r="Q40">
        <f>SUMIFS(Projektudgifter!$AB:$AB,Projektudgifter!$W:$W,B40&amp;C40&amp;D40&amp;E40)</f>
        <v>0</v>
      </c>
      <c r="R40">
        <f>SUMIFS(Projektudgifter!$AC:$AC,Projektudgifter!$W:$W,B40&amp;C40&amp;D40&amp;E40)</f>
        <v>0</v>
      </c>
      <c r="S40">
        <f>SUMIFS(Projektudgifter!$AG:$AG,Projektudgifter!$W:$W,B40&amp;C40&amp;D40&amp;E40,Projektudgifter!$S:$S,"")</f>
        <v>0</v>
      </c>
      <c r="U40">
        <f>SUMIFS(Projektudgifter!$AI:$AI,Projektudgifter!$W:$W,B40&amp;C40&amp;D40&amp;E40,Projektudgifter!$S:$S,"")</f>
        <v>0</v>
      </c>
      <c r="W40">
        <f>SUMIFS(Projektudgifter!$AK:$AK,Projektudgifter!$W:$W,B40&amp;C40&amp;D40&amp;E40,Projektudgifter!$S:$S,"")</f>
        <v>0</v>
      </c>
    </row>
    <row r="41" spans="2:24" ht="14.25" customHeight="1" x14ac:dyDescent="0.25">
      <c r="B41" t="s">
        <v>309</v>
      </c>
      <c r="C41" t="s">
        <v>85</v>
      </c>
      <c r="D41" t="s">
        <v>693</v>
      </c>
      <c r="E41">
        <v>2013</v>
      </c>
      <c r="F41" t="s">
        <v>1361</v>
      </c>
      <c r="H41" t="s">
        <v>1194</v>
      </c>
      <c r="S41">
        <f>SUMIFS(Projektudgifter!$AG:$AG,Projektudgifter!$W:$W,B41&amp;C41&amp;D41&amp;E41,Projektudgifter!$S:$S,F41)</f>
        <v>0</v>
      </c>
      <c r="T41">
        <f>SUMIFS(Projektudgifter!$AH:$AH,Projektudgifter!$W:$W,B41&amp;C41&amp;D41&amp;E41,Projektudgifter!$T:$T,F41)</f>
        <v>0</v>
      </c>
      <c r="U41">
        <f>SUMIFS(Projektudgifter!$AI:$AI,Projektudgifter!$W:$W,B41&amp;C41&amp;D41&amp;E41,Projektudgifter!$S:$S,F41)</f>
        <v>0</v>
      </c>
      <c r="V41">
        <f>SUMIFS(Projektudgifter!$AJ:$AJ,Projektudgifter!$W:$W,B41&amp;C41&amp;D41&amp;E41,Projektudgifter!$T:$T,F41)</f>
        <v>0</v>
      </c>
      <c r="W41">
        <f>SUMIFS(Projektudgifter!$AK:$AK,Projektudgifter!$W:$W,B41&amp;C41&amp;D41&amp;E41,Projektudgifter!$S:$S,F41)</f>
        <v>0</v>
      </c>
      <c r="X41">
        <f>SUMIFS(Projektudgifter!$AL:$AL,Projektudgifter!$W:$W,B41&amp;C41&amp;D41&amp;E41,Projektudgifter!$T:$T,F41)</f>
        <v>0</v>
      </c>
    </row>
    <row r="42" spans="2:24" ht="14.25" customHeight="1" x14ac:dyDescent="0.25">
      <c r="B42" t="s">
        <v>309</v>
      </c>
      <c r="C42" t="s">
        <v>85</v>
      </c>
      <c r="D42" t="s">
        <v>693</v>
      </c>
      <c r="E42">
        <v>2013</v>
      </c>
      <c r="F42" t="s">
        <v>680</v>
      </c>
      <c r="H42" t="s">
        <v>1194</v>
      </c>
      <c r="S42">
        <f>SUMIFS(Projektudgifter!$AG:$AG,Projektudgifter!$W:$W,B42&amp;C42&amp;D42&amp;E42,Projektudgifter!$S:$S,F42)</f>
        <v>0</v>
      </c>
      <c r="T42">
        <f>SUMIFS(Projektudgifter!$AH:$AH,Projektudgifter!$W:$W,B42&amp;C42&amp;D42&amp;E42,Projektudgifter!$T:$T,F42)</f>
        <v>0</v>
      </c>
      <c r="U42">
        <f>SUMIFS(Projektudgifter!$AI:$AI,Projektudgifter!$W:$W,B42&amp;C42&amp;D42&amp;E42,Projektudgifter!$S:$S,F42)</f>
        <v>0</v>
      </c>
      <c r="V42">
        <f>SUMIFS(Projektudgifter!$AJ:$AJ,Projektudgifter!$W:$W,B42&amp;C42&amp;D42&amp;E42,Projektudgifter!$T:$T,F42)</f>
        <v>0</v>
      </c>
      <c r="W42">
        <f>SUMIFS(Projektudgifter!$AK:$AK,Projektudgifter!$W:$W,B42&amp;C42&amp;D42&amp;E42,Projektudgifter!$S:$S,F42)</f>
        <v>0</v>
      </c>
      <c r="X42">
        <f>SUMIFS(Projektudgifter!$AL:$AL,Projektudgifter!$W:$W,B42&amp;C42&amp;D42&amp;E42,Projektudgifter!$T:$T,F42)</f>
        <v>0</v>
      </c>
    </row>
    <row r="43" spans="2:24" ht="14.25" customHeight="1" x14ac:dyDescent="0.25">
      <c r="B43" t="s">
        <v>309</v>
      </c>
      <c r="C43" t="s">
        <v>85</v>
      </c>
      <c r="D43" t="s">
        <v>693</v>
      </c>
      <c r="E43">
        <v>2013</v>
      </c>
      <c r="N43">
        <f>SUMIFS(Projektudgifter!$Y:$Y,Projektudgifter!$W:$W,B43&amp;C43&amp;D43&amp;E43)</f>
        <v>0</v>
      </c>
      <c r="O43">
        <f>SUMIFS(Projektudgifter!$Z:$Z,Projektudgifter!$W:$W,B43&amp;C43&amp;D43&amp;E43)</f>
        <v>0</v>
      </c>
      <c r="P43">
        <f>SUMIFS(Projektudgifter!$AA:$AA,Projektudgifter!$W:$W,B43&amp;C43&amp;D43&amp;E43)</f>
        <v>0</v>
      </c>
      <c r="Q43">
        <f>SUMIFS(Projektudgifter!$AB:$AB,Projektudgifter!$W:$W,B43&amp;C43&amp;D43&amp;E43)</f>
        <v>0</v>
      </c>
      <c r="R43">
        <f>SUMIFS(Projektudgifter!$AC:$AC,Projektudgifter!$W:$W,B43&amp;C43&amp;D43&amp;E43)</f>
        <v>0</v>
      </c>
      <c r="S43">
        <f>SUMIFS(Projektudgifter!$AG:$AG,Projektudgifter!$W:$W,B43&amp;C43&amp;D43&amp;E43,Projektudgifter!$S:$S,"")</f>
        <v>0</v>
      </c>
      <c r="U43">
        <f>SUMIFS(Projektudgifter!$AI:$AI,Projektudgifter!$W:$W,B43&amp;C43&amp;D43&amp;E43,Projektudgifter!$S:$S,"")</f>
        <v>0</v>
      </c>
      <c r="W43">
        <f>SUMIFS(Projektudgifter!$AK:$AK,Projektudgifter!$W:$W,B43&amp;C43&amp;D43&amp;E43,Projektudgifter!$S:$S,"")</f>
        <v>0</v>
      </c>
    </row>
    <row r="44" spans="2:24" ht="14.25" customHeight="1" x14ac:dyDescent="0.25">
      <c r="B44" t="s">
        <v>309</v>
      </c>
      <c r="C44" t="s">
        <v>85</v>
      </c>
      <c r="D44" t="s">
        <v>693</v>
      </c>
      <c r="E44">
        <v>2014</v>
      </c>
      <c r="F44" t="s">
        <v>1361</v>
      </c>
      <c r="H44" t="s">
        <v>1194</v>
      </c>
      <c r="S44">
        <f>SUMIFS(Projektudgifter!$AG:$AG,Projektudgifter!$W:$W,B44&amp;C44&amp;D44&amp;E44,Projektudgifter!$S:$S,F44)</f>
        <v>0</v>
      </c>
      <c r="T44">
        <f>SUMIFS(Projektudgifter!$AH:$AH,Projektudgifter!$W:$W,B44&amp;C44&amp;D44&amp;E44,Projektudgifter!$T:$T,F44)</f>
        <v>0</v>
      </c>
      <c r="U44">
        <f>SUMIFS(Projektudgifter!$AI:$AI,Projektudgifter!$W:$W,B44&amp;C44&amp;D44&amp;E44,Projektudgifter!$S:$S,F44)</f>
        <v>0</v>
      </c>
      <c r="V44">
        <f>SUMIFS(Projektudgifter!$AJ:$AJ,Projektudgifter!$W:$W,B44&amp;C44&amp;D44&amp;E44,Projektudgifter!$T:$T,F44)</f>
        <v>0</v>
      </c>
      <c r="W44">
        <f>SUMIFS(Projektudgifter!$AK:$AK,Projektudgifter!$W:$W,B44&amp;C44&amp;D44&amp;E44,Projektudgifter!$S:$S,F44)</f>
        <v>0</v>
      </c>
      <c r="X44">
        <f>SUMIFS(Projektudgifter!$AL:$AL,Projektudgifter!$W:$W,B44&amp;C44&amp;D44&amp;E44,Projektudgifter!$T:$T,F44)</f>
        <v>0</v>
      </c>
    </row>
    <row r="45" spans="2:24" ht="14.25" customHeight="1" x14ac:dyDescent="0.25">
      <c r="B45" t="s">
        <v>309</v>
      </c>
      <c r="C45" t="s">
        <v>85</v>
      </c>
      <c r="D45" t="s">
        <v>693</v>
      </c>
      <c r="E45">
        <v>2014</v>
      </c>
      <c r="F45" t="s">
        <v>680</v>
      </c>
      <c r="H45" t="s">
        <v>1194</v>
      </c>
      <c r="S45">
        <f>SUMIFS(Projektudgifter!$AG:$AG,Projektudgifter!$W:$W,B45&amp;C45&amp;D45&amp;E45,Projektudgifter!$S:$S,F45)</f>
        <v>0</v>
      </c>
      <c r="T45">
        <f>SUMIFS(Projektudgifter!$AH:$AH,Projektudgifter!$W:$W,B45&amp;C45&amp;D45&amp;E45,Projektudgifter!$T:$T,F45)</f>
        <v>0</v>
      </c>
      <c r="U45">
        <f>SUMIFS(Projektudgifter!$AI:$AI,Projektudgifter!$W:$W,B45&amp;C45&amp;D45&amp;E45,Projektudgifter!$S:$S,F45)</f>
        <v>0</v>
      </c>
      <c r="V45">
        <f>SUMIFS(Projektudgifter!$AJ:$AJ,Projektudgifter!$W:$W,B45&amp;C45&amp;D45&amp;E45,Projektudgifter!$T:$T,F45)</f>
        <v>0</v>
      </c>
      <c r="W45">
        <f>SUMIFS(Projektudgifter!$AK:$AK,Projektudgifter!$W:$W,B45&amp;C45&amp;D45&amp;E45,Projektudgifter!$S:$S,F45)</f>
        <v>0</v>
      </c>
      <c r="X45">
        <f>SUMIFS(Projektudgifter!$AL:$AL,Projektudgifter!$W:$W,B45&amp;C45&amp;D45&amp;E45,Projektudgifter!$T:$T,F45)</f>
        <v>0</v>
      </c>
    </row>
    <row r="46" spans="2:24" ht="14.25" customHeight="1" x14ac:dyDescent="0.25">
      <c r="B46" t="s">
        <v>309</v>
      </c>
      <c r="C46" t="s">
        <v>85</v>
      </c>
      <c r="D46" t="s">
        <v>693</v>
      </c>
      <c r="E46">
        <v>2014</v>
      </c>
      <c r="N46">
        <f>SUMIFS(Projektudgifter!$Y:$Y,Projektudgifter!$W:$W,B46&amp;C46&amp;D46&amp;E46)</f>
        <v>0</v>
      </c>
      <c r="O46">
        <f>SUMIFS(Projektudgifter!$Z:$Z,Projektudgifter!$W:$W,B46&amp;C46&amp;D46&amp;E46)</f>
        <v>0</v>
      </c>
      <c r="P46">
        <f>SUMIFS(Projektudgifter!$AA:$AA,Projektudgifter!$W:$W,B46&amp;C46&amp;D46&amp;E46)</f>
        <v>0</v>
      </c>
      <c r="Q46">
        <f>SUMIFS(Projektudgifter!$AB:$AB,Projektudgifter!$W:$W,B46&amp;C46&amp;D46&amp;E46)</f>
        <v>0</v>
      </c>
      <c r="R46">
        <f>SUMIFS(Projektudgifter!$AC:$AC,Projektudgifter!$W:$W,B46&amp;C46&amp;D46&amp;E46)</f>
        <v>0</v>
      </c>
      <c r="S46">
        <f>SUMIFS(Projektudgifter!$AG:$AG,Projektudgifter!$W:$W,B46&amp;C46&amp;D46&amp;E46,Projektudgifter!$S:$S,"")</f>
        <v>0</v>
      </c>
      <c r="U46">
        <f>SUMIFS(Projektudgifter!$AI:$AI,Projektudgifter!$W:$W,B46&amp;C46&amp;D46&amp;E46,Projektudgifter!$S:$S,"")</f>
        <v>0</v>
      </c>
      <c r="W46">
        <f>SUMIFS(Projektudgifter!$AK:$AK,Projektudgifter!$W:$W,B46&amp;C46&amp;D46&amp;E46,Projektudgifter!$S:$S,"")</f>
        <v>0</v>
      </c>
    </row>
    <row r="47" spans="2:24" ht="14.25" customHeight="1" x14ac:dyDescent="0.25">
      <c r="B47" t="s">
        <v>309</v>
      </c>
      <c r="C47" t="s">
        <v>86</v>
      </c>
      <c r="D47" t="s">
        <v>693</v>
      </c>
      <c r="E47">
        <v>2013</v>
      </c>
      <c r="F47" t="s">
        <v>1361</v>
      </c>
      <c r="H47" t="s">
        <v>1194</v>
      </c>
      <c r="S47">
        <f>SUMIFS(Projektudgifter!$AG:$AG,Projektudgifter!$W:$W,B47&amp;C47&amp;D47&amp;E47,Projektudgifter!$S:$S,F47)</f>
        <v>0</v>
      </c>
      <c r="T47">
        <f>SUMIFS(Projektudgifter!$AH:$AH,Projektudgifter!$W:$W,B47&amp;C47&amp;D47&amp;E47,Projektudgifter!$T:$T,F47)</f>
        <v>0</v>
      </c>
      <c r="U47">
        <f>SUMIFS(Projektudgifter!$AI:$AI,Projektudgifter!$W:$W,B47&amp;C47&amp;D47&amp;E47,Projektudgifter!$S:$S,F47)</f>
        <v>0</v>
      </c>
      <c r="V47">
        <f>SUMIFS(Projektudgifter!$AJ:$AJ,Projektudgifter!$W:$W,B47&amp;C47&amp;D47&amp;E47,Projektudgifter!$T:$T,F47)</f>
        <v>0</v>
      </c>
      <c r="W47">
        <f>SUMIFS(Projektudgifter!$AK:$AK,Projektudgifter!$W:$W,B47&amp;C47&amp;D47&amp;E47,Projektudgifter!$S:$S,F47)</f>
        <v>0</v>
      </c>
      <c r="X47">
        <f>SUMIFS(Projektudgifter!$AL:$AL,Projektudgifter!$W:$W,B47&amp;C47&amp;D47&amp;E47,Projektudgifter!$T:$T,F47)</f>
        <v>0</v>
      </c>
    </row>
    <row r="48" spans="2:24" ht="14.25" customHeight="1" x14ac:dyDescent="0.25">
      <c r="B48" t="s">
        <v>309</v>
      </c>
      <c r="C48" t="s">
        <v>86</v>
      </c>
      <c r="D48" t="s">
        <v>693</v>
      </c>
      <c r="E48">
        <v>2013</v>
      </c>
      <c r="F48" t="s">
        <v>680</v>
      </c>
      <c r="H48" t="s">
        <v>1194</v>
      </c>
      <c r="S48">
        <f>SUMIFS(Projektudgifter!$AG:$AG,Projektudgifter!$W:$W,B48&amp;C48&amp;D48&amp;E48,Projektudgifter!$S:$S,F48)</f>
        <v>0</v>
      </c>
      <c r="T48">
        <f>SUMIFS(Projektudgifter!$AH:$AH,Projektudgifter!$W:$W,B48&amp;C48&amp;D48&amp;E48,Projektudgifter!$T:$T,F48)</f>
        <v>0</v>
      </c>
      <c r="U48">
        <f>SUMIFS(Projektudgifter!$AI:$AI,Projektudgifter!$W:$W,B48&amp;C48&amp;D48&amp;E48,Projektudgifter!$S:$S,F48)</f>
        <v>0</v>
      </c>
      <c r="V48">
        <f>SUMIFS(Projektudgifter!$AJ:$AJ,Projektudgifter!$W:$W,B48&amp;C48&amp;D48&amp;E48,Projektudgifter!$T:$T,F48)</f>
        <v>0</v>
      </c>
      <c r="W48">
        <f>SUMIFS(Projektudgifter!$AK:$AK,Projektudgifter!$W:$W,B48&amp;C48&amp;D48&amp;E48,Projektudgifter!$S:$S,F48)</f>
        <v>0</v>
      </c>
      <c r="X48">
        <f>SUMIFS(Projektudgifter!$AL:$AL,Projektudgifter!$W:$W,B48&amp;C48&amp;D48&amp;E48,Projektudgifter!$T:$T,F48)</f>
        <v>0</v>
      </c>
    </row>
    <row r="49" spans="2:24" ht="14.25" customHeight="1" x14ac:dyDescent="0.25">
      <c r="B49" t="s">
        <v>309</v>
      </c>
      <c r="C49" t="s">
        <v>86</v>
      </c>
      <c r="D49" t="s">
        <v>693</v>
      </c>
      <c r="E49">
        <v>2013</v>
      </c>
      <c r="N49">
        <f>SUMIFS(Projektudgifter!$Y:$Y,Projektudgifter!$W:$W,B49&amp;C49&amp;D49&amp;E49)</f>
        <v>0</v>
      </c>
      <c r="O49">
        <f>SUMIFS(Projektudgifter!$Z:$Z,Projektudgifter!$W:$W,B49&amp;C49&amp;D49&amp;E49)</f>
        <v>0</v>
      </c>
      <c r="P49">
        <f>SUMIFS(Projektudgifter!$AA:$AA,Projektudgifter!$W:$W,B49&amp;C49&amp;D49&amp;E49)</f>
        <v>0</v>
      </c>
      <c r="Q49">
        <f>SUMIFS(Projektudgifter!$AB:$AB,Projektudgifter!$W:$W,B49&amp;C49&amp;D49&amp;E49)</f>
        <v>0</v>
      </c>
      <c r="R49">
        <f>SUMIFS(Projektudgifter!$AC:$AC,Projektudgifter!$W:$W,B49&amp;C49&amp;D49&amp;E49)</f>
        <v>0</v>
      </c>
      <c r="S49">
        <f>SUMIFS(Projektudgifter!$AG:$AG,Projektudgifter!$W:$W,B49&amp;C49&amp;D49&amp;E49,Projektudgifter!$S:$S,"")</f>
        <v>0</v>
      </c>
      <c r="U49">
        <f>SUMIFS(Projektudgifter!$AI:$AI,Projektudgifter!$W:$W,B49&amp;C49&amp;D49&amp;E49,Projektudgifter!$S:$S,"")</f>
        <v>0</v>
      </c>
      <c r="W49">
        <f>SUMIFS(Projektudgifter!$AK:$AK,Projektudgifter!$W:$W,B49&amp;C49&amp;D49&amp;E49,Projektudgifter!$S:$S,"")</f>
        <v>0</v>
      </c>
    </row>
    <row r="50" spans="2:24" ht="14.25" customHeight="1" x14ac:dyDescent="0.25">
      <c r="B50" t="s">
        <v>309</v>
      </c>
      <c r="C50" t="s">
        <v>86</v>
      </c>
      <c r="D50" t="s">
        <v>693</v>
      </c>
      <c r="E50">
        <v>2014</v>
      </c>
      <c r="F50" t="s">
        <v>1361</v>
      </c>
      <c r="H50" t="s">
        <v>1194</v>
      </c>
      <c r="S50">
        <f>SUMIFS(Projektudgifter!$AG:$AG,Projektudgifter!$W:$W,B50&amp;C50&amp;D50&amp;E50,Projektudgifter!$S:$S,F50)</f>
        <v>0</v>
      </c>
      <c r="T50">
        <f>SUMIFS(Projektudgifter!$AH:$AH,Projektudgifter!$W:$W,B50&amp;C50&amp;D50&amp;E50,Projektudgifter!$T:$T,F50)</f>
        <v>0</v>
      </c>
      <c r="U50">
        <f>SUMIFS(Projektudgifter!$AI:$AI,Projektudgifter!$W:$W,B50&amp;C50&amp;D50&amp;E50,Projektudgifter!$S:$S,F50)</f>
        <v>0</v>
      </c>
      <c r="V50">
        <f>SUMIFS(Projektudgifter!$AJ:$AJ,Projektudgifter!$W:$W,B50&amp;C50&amp;D50&amp;E50,Projektudgifter!$T:$T,F50)</f>
        <v>0</v>
      </c>
      <c r="W50">
        <f>SUMIFS(Projektudgifter!$AK:$AK,Projektudgifter!$W:$W,B50&amp;C50&amp;D50&amp;E50,Projektudgifter!$S:$S,F50)</f>
        <v>0</v>
      </c>
      <c r="X50">
        <f>SUMIFS(Projektudgifter!$AL:$AL,Projektudgifter!$W:$W,B50&amp;C50&amp;D50&amp;E50,Projektudgifter!$T:$T,F50)</f>
        <v>0</v>
      </c>
    </row>
    <row r="51" spans="2:24" ht="14.25" customHeight="1" x14ac:dyDescent="0.25">
      <c r="B51" t="s">
        <v>309</v>
      </c>
      <c r="C51" t="s">
        <v>86</v>
      </c>
      <c r="D51" t="s">
        <v>693</v>
      </c>
      <c r="E51">
        <v>2014</v>
      </c>
      <c r="F51" t="s">
        <v>680</v>
      </c>
      <c r="H51" t="s">
        <v>1194</v>
      </c>
      <c r="S51">
        <f>SUMIFS(Projektudgifter!$AG:$AG,Projektudgifter!$W:$W,B51&amp;C51&amp;D51&amp;E51,Projektudgifter!$S:$S,F51)</f>
        <v>0</v>
      </c>
      <c r="T51">
        <f>SUMIFS(Projektudgifter!$AH:$AH,Projektudgifter!$W:$W,B51&amp;C51&amp;D51&amp;E51,Projektudgifter!$T:$T,F51)</f>
        <v>0</v>
      </c>
      <c r="U51">
        <f>SUMIFS(Projektudgifter!$AI:$AI,Projektudgifter!$W:$W,B51&amp;C51&amp;D51&amp;E51,Projektudgifter!$S:$S,F51)</f>
        <v>0</v>
      </c>
      <c r="V51">
        <f>SUMIFS(Projektudgifter!$AJ:$AJ,Projektudgifter!$W:$W,B51&amp;C51&amp;D51&amp;E51,Projektudgifter!$T:$T,F51)</f>
        <v>0</v>
      </c>
      <c r="W51">
        <f>SUMIFS(Projektudgifter!$AK:$AK,Projektudgifter!$W:$W,B51&amp;C51&amp;D51&amp;E51,Projektudgifter!$S:$S,F51)</f>
        <v>0</v>
      </c>
      <c r="X51">
        <f>SUMIFS(Projektudgifter!$AL:$AL,Projektudgifter!$W:$W,B51&amp;C51&amp;D51&amp;E51,Projektudgifter!$T:$T,F51)</f>
        <v>0</v>
      </c>
    </row>
    <row r="52" spans="2:24" ht="14.25" customHeight="1" x14ac:dyDescent="0.25">
      <c r="B52" t="s">
        <v>309</v>
      </c>
      <c r="C52" t="s">
        <v>86</v>
      </c>
      <c r="D52" t="s">
        <v>693</v>
      </c>
      <c r="E52">
        <v>2014</v>
      </c>
      <c r="N52">
        <f>SUMIFS(Projektudgifter!$Y:$Y,Projektudgifter!$W:$W,B52&amp;C52&amp;D52&amp;E52)</f>
        <v>0</v>
      </c>
      <c r="O52">
        <f>SUMIFS(Projektudgifter!$Z:$Z,Projektudgifter!$W:$W,B52&amp;C52&amp;D52&amp;E52)</f>
        <v>0</v>
      </c>
      <c r="P52">
        <f>SUMIFS(Projektudgifter!$AA:$AA,Projektudgifter!$W:$W,B52&amp;C52&amp;D52&amp;E52)</f>
        <v>0</v>
      </c>
      <c r="Q52">
        <f>SUMIFS(Projektudgifter!$AB:$AB,Projektudgifter!$W:$W,B52&amp;C52&amp;D52&amp;E52)</f>
        <v>0</v>
      </c>
      <c r="R52">
        <f>SUMIFS(Projektudgifter!$AC:$AC,Projektudgifter!$W:$W,B52&amp;C52&amp;D52&amp;E52)</f>
        <v>0</v>
      </c>
      <c r="S52">
        <f>SUMIFS(Projektudgifter!$AG:$AG,Projektudgifter!$W:$W,B52&amp;C52&amp;D52&amp;E52,Projektudgifter!$S:$S,"")</f>
        <v>0</v>
      </c>
      <c r="U52">
        <f>SUMIFS(Projektudgifter!$AI:$AI,Projektudgifter!$W:$W,B52&amp;C52&amp;D52&amp;E52,Projektudgifter!$S:$S,"")</f>
        <v>0</v>
      </c>
      <c r="W52">
        <f>SUMIFS(Projektudgifter!$AK:$AK,Projektudgifter!$W:$W,B52&amp;C52&amp;D52&amp;E52,Projektudgifter!$S:$S,"")</f>
        <v>0</v>
      </c>
    </row>
    <row r="53" spans="2:24" ht="14.25" customHeight="1" x14ac:dyDescent="0.25">
      <c r="B53" t="s">
        <v>309</v>
      </c>
      <c r="C53" t="s">
        <v>1486</v>
      </c>
      <c r="D53" t="s">
        <v>693</v>
      </c>
      <c r="E53">
        <v>2013</v>
      </c>
      <c r="F53" t="s">
        <v>1361</v>
      </c>
      <c r="H53" t="s">
        <v>1194</v>
      </c>
      <c r="S53">
        <f>SUMIFS(Projektudgifter!$AG:$AG,Projektudgifter!$W:$W,B53&amp;C53&amp;D53&amp;E53,Projektudgifter!$S:$S,F53)</f>
        <v>0</v>
      </c>
      <c r="T53">
        <f>SUMIFS(Projektudgifter!$AH:$AH,Projektudgifter!$W:$W,B53&amp;C53&amp;D53&amp;E53,Projektudgifter!$T:$T,F53)</f>
        <v>0</v>
      </c>
      <c r="U53">
        <f>SUMIFS(Projektudgifter!$AI:$AI,Projektudgifter!$W:$W,B53&amp;C53&amp;D53&amp;E53,Projektudgifter!$S:$S,F53)</f>
        <v>0</v>
      </c>
      <c r="V53">
        <f>SUMIFS(Projektudgifter!$AJ:$AJ,Projektudgifter!$W:$W,B53&amp;C53&amp;D53&amp;E53,Projektudgifter!$T:$T,F53)</f>
        <v>0</v>
      </c>
      <c r="W53">
        <f>SUMIFS(Projektudgifter!$AK:$AK,Projektudgifter!$W:$W,B53&amp;C53&amp;D53&amp;E53,Projektudgifter!$S:$S,F53)</f>
        <v>0</v>
      </c>
      <c r="X53">
        <f>SUMIFS(Projektudgifter!$AL:$AL,Projektudgifter!$W:$W,B53&amp;C53&amp;D53&amp;E53,Projektudgifter!$T:$T,F53)</f>
        <v>0</v>
      </c>
    </row>
    <row r="54" spans="2:24" ht="14.25" customHeight="1" x14ac:dyDescent="0.25">
      <c r="B54" t="s">
        <v>309</v>
      </c>
      <c r="C54" t="s">
        <v>1486</v>
      </c>
      <c r="D54" t="s">
        <v>693</v>
      </c>
      <c r="E54">
        <v>2013</v>
      </c>
      <c r="F54" t="s">
        <v>680</v>
      </c>
      <c r="H54" t="s">
        <v>1194</v>
      </c>
      <c r="S54">
        <f>SUMIFS(Projektudgifter!$AG:$AG,Projektudgifter!$W:$W,B54&amp;C54&amp;D54&amp;E54,Projektudgifter!$S:$S,F54)</f>
        <v>0</v>
      </c>
      <c r="T54">
        <f>SUMIFS(Projektudgifter!$AH:$AH,Projektudgifter!$W:$W,B54&amp;C54&amp;D54&amp;E54,Projektudgifter!$T:$T,F54)</f>
        <v>0</v>
      </c>
      <c r="U54">
        <f>SUMIFS(Projektudgifter!$AI:$AI,Projektudgifter!$W:$W,B54&amp;C54&amp;D54&amp;E54,Projektudgifter!$S:$S,F54)</f>
        <v>0</v>
      </c>
      <c r="V54">
        <f>SUMIFS(Projektudgifter!$AJ:$AJ,Projektudgifter!$W:$W,B54&amp;C54&amp;D54&amp;E54,Projektudgifter!$T:$T,F54)</f>
        <v>0</v>
      </c>
      <c r="W54">
        <f>SUMIFS(Projektudgifter!$AK:$AK,Projektudgifter!$W:$W,B54&amp;C54&amp;D54&amp;E54,Projektudgifter!$S:$S,F54)</f>
        <v>0</v>
      </c>
      <c r="X54">
        <f>SUMIFS(Projektudgifter!$AL:$AL,Projektudgifter!$W:$W,B54&amp;C54&amp;D54&amp;E54,Projektudgifter!$T:$T,F54)</f>
        <v>0</v>
      </c>
    </row>
    <row r="55" spans="2:24" ht="14.25" customHeight="1" x14ac:dyDescent="0.25">
      <c r="B55" t="s">
        <v>309</v>
      </c>
      <c r="C55" t="s">
        <v>1486</v>
      </c>
      <c r="D55" t="s">
        <v>693</v>
      </c>
      <c r="E55">
        <v>2013</v>
      </c>
      <c r="N55">
        <f>SUMIFS(Projektudgifter!$Y:$Y,Projektudgifter!$W:$W,B55&amp;C55&amp;D55&amp;E55)</f>
        <v>0</v>
      </c>
      <c r="O55">
        <f>SUMIFS(Projektudgifter!$Z:$Z,Projektudgifter!$W:$W,B55&amp;C55&amp;D55&amp;E55)</f>
        <v>0</v>
      </c>
      <c r="P55">
        <f>SUMIFS(Projektudgifter!$AA:$AA,Projektudgifter!$W:$W,B55&amp;C55&amp;D55&amp;E55)</f>
        <v>0</v>
      </c>
      <c r="Q55">
        <f>SUMIFS(Projektudgifter!$AB:$AB,Projektudgifter!$W:$W,B55&amp;C55&amp;D55&amp;E55)</f>
        <v>0</v>
      </c>
      <c r="R55">
        <f>SUMIFS(Projektudgifter!$AC:$AC,Projektudgifter!$W:$W,B55&amp;C55&amp;D55&amp;E55)</f>
        <v>0</v>
      </c>
      <c r="S55">
        <f>SUMIFS(Projektudgifter!$AG:$AG,Projektudgifter!$W:$W,B55&amp;C55&amp;D55&amp;E55,Projektudgifter!$S:$S,"")</f>
        <v>0</v>
      </c>
      <c r="U55">
        <f>SUMIFS(Projektudgifter!$AI:$AI,Projektudgifter!$W:$W,B55&amp;C55&amp;D55&amp;E55,Projektudgifter!$S:$S,"")</f>
        <v>0</v>
      </c>
      <c r="W55">
        <f>SUMIFS(Projektudgifter!$AK:$AK,Projektudgifter!$W:$W,B55&amp;C55&amp;D55&amp;E55,Projektudgifter!$S:$S,"")</f>
        <v>0</v>
      </c>
    </row>
    <row r="56" spans="2:24" ht="14.25" customHeight="1" x14ac:dyDescent="0.25">
      <c r="B56" t="s">
        <v>309</v>
      </c>
      <c r="C56" t="s">
        <v>1486</v>
      </c>
      <c r="D56" t="s">
        <v>693</v>
      </c>
      <c r="E56">
        <v>2014</v>
      </c>
      <c r="F56" t="s">
        <v>1361</v>
      </c>
      <c r="H56" t="s">
        <v>1194</v>
      </c>
      <c r="S56">
        <f>SUMIFS(Projektudgifter!$AG:$AG,Projektudgifter!$W:$W,B56&amp;C56&amp;D56&amp;E56,Projektudgifter!$S:$S,F56)</f>
        <v>0</v>
      </c>
      <c r="T56">
        <f>SUMIFS(Projektudgifter!$AH:$AH,Projektudgifter!$W:$W,B56&amp;C56&amp;D56&amp;E56,Projektudgifter!$T:$T,F56)</f>
        <v>0</v>
      </c>
      <c r="U56">
        <f>SUMIFS(Projektudgifter!$AI:$AI,Projektudgifter!$W:$W,B56&amp;C56&amp;D56&amp;E56,Projektudgifter!$S:$S,F56)</f>
        <v>0</v>
      </c>
      <c r="V56">
        <f>SUMIFS(Projektudgifter!$AJ:$AJ,Projektudgifter!$W:$W,B56&amp;C56&amp;D56&amp;E56,Projektudgifter!$T:$T,F56)</f>
        <v>0</v>
      </c>
      <c r="W56">
        <f>SUMIFS(Projektudgifter!$AK:$AK,Projektudgifter!$W:$W,B56&amp;C56&amp;D56&amp;E56,Projektudgifter!$S:$S,F56)</f>
        <v>0</v>
      </c>
      <c r="X56">
        <f>SUMIFS(Projektudgifter!$AL:$AL,Projektudgifter!$W:$W,B56&amp;C56&amp;D56&amp;E56,Projektudgifter!$T:$T,F56)</f>
        <v>0</v>
      </c>
    </row>
    <row r="57" spans="2:24" ht="14.25" customHeight="1" x14ac:dyDescent="0.25">
      <c r="B57" t="s">
        <v>309</v>
      </c>
      <c r="C57" t="s">
        <v>1486</v>
      </c>
      <c r="D57" t="s">
        <v>693</v>
      </c>
      <c r="E57">
        <v>2014</v>
      </c>
      <c r="F57" t="s">
        <v>680</v>
      </c>
      <c r="H57" t="s">
        <v>1194</v>
      </c>
      <c r="S57">
        <f>SUMIFS(Projektudgifter!$AG:$AG,Projektudgifter!$W:$W,B57&amp;C57&amp;D57&amp;E57,Projektudgifter!$S:$S,F57)</f>
        <v>0</v>
      </c>
      <c r="T57">
        <f>SUMIFS(Projektudgifter!$AH:$AH,Projektudgifter!$W:$W,B57&amp;C57&amp;D57&amp;E57,Projektudgifter!$T:$T,F57)</f>
        <v>0</v>
      </c>
      <c r="U57">
        <f>SUMIFS(Projektudgifter!$AI:$AI,Projektudgifter!$W:$W,B57&amp;C57&amp;D57&amp;E57,Projektudgifter!$S:$S,F57)</f>
        <v>0</v>
      </c>
      <c r="V57">
        <f>SUMIFS(Projektudgifter!$AJ:$AJ,Projektudgifter!$W:$W,B57&amp;C57&amp;D57&amp;E57,Projektudgifter!$T:$T,F57)</f>
        <v>0</v>
      </c>
      <c r="W57">
        <f>SUMIFS(Projektudgifter!$AK:$AK,Projektudgifter!$W:$W,B57&amp;C57&amp;D57&amp;E57,Projektudgifter!$S:$S,F57)</f>
        <v>0</v>
      </c>
      <c r="X57">
        <f>SUMIFS(Projektudgifter!$AL:$AL,Projektudgifter!$W:$W,B57&amp;C57&amp;D57&amp;E57,Projektudgifter!$T:$T,F57)</f>
        <v>0</v>
      </c>
    </row>
    <row r="58" spans="2:24" ht="14.25" customHeight="1" x14ac:dyDescent="0.25">
      <c r="B58" t="s">
        <v>309</v>
      </c>
      <c r="C58" t="s">
        <v>1486</v>
      </c>
      <c r="D58" t="s">
        <v>693</v>
      </c>
      <c r="E58">
        <v>2014</v>
      </c>
      <c r="N58">
        <f>SUMIFS(Projektudgifter!$Y:$Y,Projektudgifter!$W:$W,B58&amp;C58&amp;D58&amp;E58)</f>
        <v>0</v>
      </c>
      <c r="O58">
        <f>SUMIFS(Projektudgifter!$Z:$Z,Projektudgifter!$W:$W,B58&amp;C58&amp;D58&amp;E58)</f>
        <v>0</v>
      </c>
      <c r="P58">
        <f>SUMIFS(Projektudgifter!$AA:$AA,Projektudgifter!$W:$W,B58&amp;C58&amp;D58&amp;E58)</f>
        <v>0</v>
      </c>
      <c r="Q58">
        <f>SUMIFS(Projektudgifter!$AB:$AB,Projektudgifter!$W:$W,B58&amp;C58&amp;D58&amp;E58)</f>
        <v>0</v>
      </c>
      <c r="R58">
        <f>SUMIFS(Projektudgifter!$AC:$AC,Projektudgifter!$W:$W,B58&amp;C58&amp;D58&amp;E58)</f>
        <v>0</v>
      </c>
      <c r="S58">
        <f>SUMIFS(Projektudgifter!$AG:$AG,Projektudgifter!$W:$W,B58&amp;C58&amp;D58&amp;E58,Projektudgifter!$S:$S,"")</f>
        <v>0</v>
      </c>
      <c r="U58">
        <f>SUMIFS(Projektudgifter!$AI:$AI,Projektudgifter!$W:$W,B58&amp;C58&amp;D58&amp;E58,Projektudgifter!$S:$S,"")</f>
        <v>0</v>
      </c>
      <c r="W58">
        <f>SUMIFS(Projektudgifter!$AK:$AK,Projektudgifter!$W:$W,B58&amp;C58&amp;D58&amp;E58,Projektudgifter!$S:$S,"")</f>
        <v>0</v>
      </c>
    </row>
    <row r="59" spans="2:24" ht="14.25" customHeight="1" x14ac:dyDescent="0.25">
      <c r="B59" t="s">
        <v>317</v>
      </c>
      <c r="C59" t="s">
        <v>1179</v>
      </c>
      <c r="D59" t="s">
        <v>693</v>
      </c>
      <c r="E59">
        <v>2013</v>
      </c>
      <c r="F59" t="s">
        <v>1361</v>
      </c>
      <c r="H59" t="s">
        <v>1194</v>
      </c>
      <c r="S59">
        <f>SUMIFS(Projektudgifter!$AG:$AG,Projektudgifter!$W:$W,B59&amp;C59&amp;D59&amp;E59,Projektudgifter!$S:$S,F59)</f>
        <v>0</v>
      </c>
      <c r="T59">
        <f>SUMIFS(Projektudgifter!$AH:$AH,Projektudgifter!$W:$W,B59&amp;C59&amp;D59&amp;E59,Projektudgifter!$T:$T,F59)</f>
        <v>0</v>
      </c>
      <c r="U59">
        <f>SUMIFS(Projektudgifter!$AI:$AI,Projektudgifter!$W:$W,B59&amp;C59&amp;D59&amp;E59,Projektudgifter!$S:$S,F59)</f>
        <v>0</v>
      </c>
      <c r="V59">
        <f>SUMIFS(Projektudgifter!$AJ:$AJ,Projektudgifter!$W:$W,B59&amp;C59&amp;D59&amp;E59,Projektudgifter!$T:$T,F59)</f>
        <v>0</v>
      </c>
      <c r="W59">
        <f>SUMIFS(Projektudgifter!$AK:$AK,Projektudgifter!$W:$W,B59&amp;C59&amp;D59&amp;E59,Projektudgifter!$S:$S,F59)</f>
        <v>0</v>
      </c>
      <c r="X59">
        <f>SUMIFS(Projektudgifter!$AL:$AL,Projektudgifter!$W:$W,B59&amp;C59&amp;D59&amp;E59,Projektudgifter!$T:$T,F59)</f>
        <v>0</v>
      </c>
    </row>
    <row r="60" spans="2:24" ht="14.25" customHeight="1" x14ac:dyDescent="0.25">
      <c r="B60" t="s">
        <v>317</v>
      </c>
      <c r="C60" t="s">
        <v>1179</v>
      </c>
      <c r="D60" t="s">
        <v>693</v>
      </c>
      <c r="E60">
        <v>2013</v>
      </c>
      <c r="F60" t="s">
        <v>680</v>
      </c>
      <c r="H60" t="s">
        <v>1194</v>
      </c>
      <c r="S60">
        <f>SUMIFS(Projektudgifter!$AG:$AG,Projektudgifter!$W:$W,B60&amp;C60&amp;D60&amp;E60,Projektudgifter!$S:$S,F60)</f>
        <v>0</v>
      </c>
      <c r="T60">
        <f>SUMIFS(Projektudgifter!$AH:$AH,Projektudgifter!$W:$W,B60&amp;C60&amp;D60&amp;E60,Projektudgifter!$T:$T,F60)</f>
        <v>0</v>
      </c>
      <c r="U60">
        <f>SUMIFS(Projektudgifter!$AI:$AI,Projektudgifter!$W:$W,B60&amp;C60&amp;D60&amp;E60,Projektudgifter!$S:$S,F60)</f>
        <v>0</v>
      </c>
      <c r="V60">
        <f>SUMIFS(Projektudgifter!$AJ:$AJ,Projektudgifter!$W:$W,B60&amp;C60&amp;D60&amp;E60,Projektudgifter!$T:$T,F60)</f>
        <v>0</v>
      </c>
      <c r="W60">
        <f>SUMIFS(Projektudgifter!$AK:$AK,Projektudgifter!$W:$W,B60&amp;C60&amp;D60&amp;E60,Projektudgifter!$S:$S,F60)</f>
        <v>0</v>
      </c>
      <c r="X60">
        <f>SUMIFS(Projektudgifter!$AL:$AL,Projektudgifter!$W:$W,B60&amp;C60&amp;D60&amp;E60,Projektudgifter!$T:$T,F60)</f>
        <v>0</v>
      </c>
    </row>
    <row r="61" spans="2:24" ht="14.25" customHeight="1" x14ac:dyDescent="0.25">
      <c r="B61" t="s">
        <v>317</v>
      </c>
      <c r="C61" t="s">
        <v>1179</v>
      </c>
      <c r="D61" t="s">
        <v>693</v>
      </c>
      <c r="E61">
        <v>2013</v>
      </c>
      <c r="N61">
        <f>SUMIFS(Projektudgifter!$Y:$Y,Projektudgifter!$W:$W,B61&amp;C61&amp;D61&amp;E61)</f>
        <v>0</v>
      </c>
      <c r="O61">
        <f>SUMIFS(Projektudgifter!$Z:$Z,Projektudgifter!$W:$W,B61&amp;C61&amp;D61&amp;E61)</f>
        <v>0</v>
      </c>
      <c r="P61">
        <f>SUMIFS(Projektudgifter!$AA:$AA,Projektudgifter!$W:$W,B61&amp;C61&amp;D61&amp;E61)</f>
        <v>0</v>
      </c>
      <c r="Q61">
        <f>SUMIFS(Projektudgifter!$AB:$AB,Projektudgifter!$W:$W,B61&amp;C61&amp;D61&amp;E61)</f>
        <v>0</v>
      </c>
      <c r="R61">
        <f>SUMIFS(Projektudgifter!$AC:$AC,Projektudgifter!$W:$W,B61&amp;C61&amp;D61&amp;E61)</f>
        <v>0</v>
      </c>
      <c r="S61">
        <f>SUMIFS(Projektudgifter!$AG:$AG,Projektudgifter!$W:$W,B61&amp;C61&amp;D61&amp;E61,Projektudgifter!$S:$S,"")</f>
        <v>0</v>
      </c>
      <c r="U61">
        <f>SUMIFS(Projektudgifter!$AI:$AI,Projektudgifter!$W:$W,B61&amp;C61&amp;D61&amp;E61,Projektudgifter!$S:$S,"")</f>
        <v>0</v>
      </c>
      <c r="W61">
        <f>SUMIFS(Projektudgifter!$AK:$AK,Projektudgifter!$W:$W,B61&amp;C61&amp;D61&amp;E61,Projektudgifter!$S:$S,"")</f>
        <v>0</v>
      </c>
    </row>
    <row r="62" spans="2:24" ht="14.25" customHeight="1" x14ac:dyDescent="0.25">
      <c r="B62" t="s">
        <v>317</v>
      </c>
      <c r="C62" t="s">
        <v>1179</v>
      </c>
      <c r="D62" t="s">
        <v>693</v>
      </c>
      <c r="E62">
        <v>2014</v>
      </c>
      <c r="F62" t="s">
        <v>1361</v>
      </c>
      <c r="H62" t="s">
        <v>1194</v>
      </c>
      <c r="S62">
        <f>SUMIFS(Projektudgifter!$AG:$AG,Projektudgifter!$W:$W,B62&amp;C62&amp;D62&amp;E62,Projektudgifter!$S:$S,F62)</f>
        <v>0</v>
      </c>
      <c r="T62">
        <f>SUMIFS(Projektudgifter!$AH:$AH,Projektudgifter!$W:$W,B62&amp;C62&amp;D62&amp;E62,Projektudgifter!$T:$T,F62)</f>
        <v>0</v>
      </c>
      <c r="U62">
        <f>SUMIFS(Projektudgifter!$AI:$AI,Projektudgifter!$W:$W,B62&amp;C62&amp;D62&amp;E62,Projektudgifter!$S:$S,F62)</f>
        <v>0</v>
      </c>
      <c r="V62">
        <f>SUMIFS(Projektudgifter!$AJ:$AJ,Projektudgifter!$W:$W,B62&amp;C62&amp;D62&amp;E62,Projektudgifter!$T:$T,F62)</f>
        <v>0</v>
      </c>
      <c r="W62">
        <f>SUMIFS(Projektudgifter!$AK:$AK,Projektudgifter!$W:$W,B62&amp;C62&amp;D62&amp;E62,Projektudgifter!$S:$S,F62)</f>
        <v>0</v>
      </c>
      <c r="X62">
        <f>SUMIFS(Projektudgifter!$AL:$AL,Projektudgifter!$W:$W,B62&amp;C62&amp;D62&amp;E62,Projektudgifter!$T:$T,F62)</f>
        <v>0</v>
      </c>
    </row>
    <row r="63" spans="2:24" ht="14.25" customHeight="1" x14ac:dyDescent="0.25">
      <c r="B63" t="s">
        <v>317</v>
      </c>
      <c r="C63" t="s">
        <v>1179</v>
      </c>
      <c r="D63" t="s">
        <v>693</v>
      </c>
      <c r="E63">
        <v>2014</v>
      </c>
      <c r="F63" t="s">
        <v>680</v>
      </c>
      <c r="H63" t="s">
        <v>1194</v>
      </c>
      <c r="S63">
        <f>SUMIFS(Projektudgifter!$AG:$AG,Projektudgifter!$W:$W,B63&amp;C63&amp;D63&amp;E63,Projektudgifter!$S:$S,F63)</f>
        <v>0</v>
      </c>
      <c r="T63">
        <f>SUMIFS(Projektudgifter!$AH:$AH,Projektudgifter!$W:$W,B63&amp;C63&amp;D63&amp;E63,Projektudgifter!$T:$T,F63)</f>
        <v>0</v>
      </c>
      <c r="U63">
        <f>SUMIFS(Projektudgifter!$AI:$AI,Projektudgifter!$W:$W,B63&amp;C63&amp;D63&amp;E63,Projektudgifter!$S:$S,F63)</f>
        <v>0</v>
      </c>
      <c r="V63">
        <f>SUMIFS(Projektudgifter!$AJ:$AJ,Projektudgifter!$W:$W,B63&amp;C63&amp;D63&amp;E63,Projektudgifter!$T:$T,F63)</f>
        <v>0</v>
      </c>
      <c r="W63">
        <f>SUMIFS(Projektudgifter!$AK:$AK,Projektudgifter!$W:$W,B63&amp;C63&amp;D63&amp;E63,Projektudgifter!$S:$S,F63)</f>
        <v>0</v>
      </c>
      <c r="X63">
        <f>SUMIFS(Projektudgifter!$AL:$AL,Projektudgifter!$W:$W,B63&amp;C63&amp;D63&amp;E63,Projektudgifter!$T:$T,F63)</f>
        <v>0</v>
      </c>
    </row>
    <row r="64" spans="2:24" ht="14.25" customHeight="1" x14ac:dyDescent="0.25">
      <c r="B64" t="s">
        <v>317</v>
      </c>
      <c r="C64" t="s">
        <v>1179</v>
      </c>
      <c r="D64" t="s">
        <v>693</v>
      </c>
      <c r="E64">
        <v>2014</v>
      </c>
      <c r="N64">
        <f>SUMIFS(Projektudgifter!$Y:$Y,Projektudgifter!$W:$W,B64&amp;C64&amp;D64&amp;E64)</f>
        <v>0</v>
      </c>
      <c r="O64">
        <f>SUMIFS(Projektudgifter!$Z:$Z,Projektudgifter!$W:$W,B64&amp;C64&amp;D64&amp;E64)</f>
        <v>0</v>
      </c>
      <c r="P64">
        <f>SUMIFS(Projektudgifter!$AA:$AA,Projektudgifter!$W:$W,B64&amp;C64&amp;D64&amp;E64)</f>
        <v>0</v>
      </c>
      <c r="Q64">
        <f>SUMIFS(Projektudgifter!$AB:$AB,Projektudgifter!$W:$W,B64&amp;C64&amp;D64&amp;E64)</f>
        <v>0</v>
      </c>
      <c r="R64">
        <f>SUMIFS(Projektudgifter!$AC:$AC,Projektudgifter!$W:$W,B64&amp;C64&amp;D64&amp;E64)</f>
        <v>0</v>
      </c>
      <c r="S64">
        <f>SUMIFS(Projektudgifter!$AG:$AG,Projektudgifter!$W:$W,B64&amp;C64&amp;D64&amp;E64,Projektudgifter!$S:$S,"")</f>
        <v>0</v>
      </c>
      <c r="U64">
        <f>SUMIFS(Projektudgifter!$AI:$AI,Projektudgifter!$W:$W,B64&amp;C64&amp;D64&amp;E64,Projektudgifter!$S:$S,"")</f>
        <v>0</v>
      </c>
      <c r="W64">
        <f>SUMIFS(Projektudgifter!$AK:$AK,Projektudgifter!$W:$W,B64&amp;C64&amp;D64&amp;E64,Projektudgifter!$S:$S,"")</f>
        <v>0</v>
      </c>
    </row>
    <row r="65" spans="2:24" ht="14.25" customHeight="1" x14ac:dyDescent="0.25">
      <c r="B65" t="s">
        <v>317</v>
      </c>
      <c r="C65" t="s">
        <v>1180</v>
      </c>
      <c r="D65" t="s">
        <v>693</v>
      </c>
      <c r="E65">
        <v>2013</v>
      </c>
      <c r="F65" t="s">
        <v>1361</v>
      </c>
      <c r="H65" t="s">
        <v>1194</v>
      </c>
      <c r="S65">
        <f>SUMIFS(Projektudgifter!$AG:$AG,Projektudgifter!$W:$W,B65&amp;C65&amp;D65&amp;E65,Projektudgifter!$S:$S,F65)</f>
        <v>0</v>
      </c>
      <c r="T65">
        <f>SUMIFS(Projektudgifter!$AH:$AH,Projektudgifter!$W:$W,B65&amp;C65&amp;D65&amp;E65,Projektudgifter!$T:$T,F65)</f>
        <v>0</v>
      </c>
      <c r="U65">
        <f>SUMIFS(Projektudgifter!$AI:$AI,Projektudgifter!$W:$W,B65&amp;C65&amp;D65&amp;E65,Projektudgifter!$S:$S,F65)</f>
        <v>0</v>
      </c>
      <c r="V65">
        <f>SUMIFS(Projektudgifter!$AJ:$AJ,Projektudgifter!$W:$W,B65&amp;C65&amp;D65&amp;E65,Projektudgifter!$T:$T,F65)</f>
        <v>0</v>
      </c>
      <c r="W65">
        <f>SUMIFS(Projektudgifter!$AK:$AK,Projektudgifter!$W:$W,B65&amp;C65&amp;D65&amp;E65,Projektudgifter!$S:$S,F65)</f>
        <v>0</v>
      </c>
      <c r="X65">
        <f>SUMIFS(Projektudgifter!$AL:$AL,Projektudgifter!$W:$W,B65&amp;C65&amp;D65&amp;E65,Projektudgifter!$T:$T,F65)</f>
        <v>0</v>
      </c>
    </row>
    <row r="66" spans="2:24" ht="14.25" customHeight="1" x14ac:dyDescent="0.25">
      <c r="B66" t="s">
        <v>317</v>
      </c>
      <c r="C66" t="s">
        <v>1180</v>
      </c>
      <c r="D66" t="s">
        <v>693</v>
      </c>
      <c r="E66">
        <v>2013</v>
      </c>
      <c r="F66" t="s">
        <v>680</v>
      </c>
      <c r="H66" t="s">
        <v>1194</v>
      </c>
      <c r="S66">
        <f>SUMIFS(Projektudgifter!$AG:$AG,Projektudgifter!$W:$W,B66&amp;C66&amp;D66&amp;E66,Projektudgifter!$S:$S,F66)</f>
        <v>0</v>
      </c>
      <c r="T66">
        <f>SUMIFS(Projektudgifter!$AH:$AH,Projektudgifter!$W:$W,B66&amp;C66&amp;D66&amp;E66,Projektudgifter!$T:$T,F66)</f>
        <v>0</v>
      </c>
      <c r="U66">
        <f>SUMIFS(Projektudgifter!$AI:$AI,Projektudgifter!$W:$W,B66&amp;C66&amp;D66&amp;E66,Projektudgifter!$S:$S,F66)</f>
        <v>0</v>
      </c>
      <c r="V66">
        <f>SUMIFS(Projektudgifter!$AJ:$AJ,Projektudgifter!$W:$W,B66&amp;C66&amp;D66&amp;E66,Projektudgifter!$T:$T,F66)</f>
        <v>0</v>
      </c>
      <c r="W66">
        <f>SUMIFS(Projektudgifter!$AK:$AK,Projektudgifter!$W:$W,B66&amp;C66&amp;D66&amp;E66,Projektudgifter!$S:$S,F66)</f>
        <v>0</v>
      </c>
      <c r="X66">
        <f>SUMIFS(Projektudgifter!$AL:$AL,Projektudgifter!$W:$W,B66&amp;C66&amp;D66&amp;E66,Projektudgifter!$T:$T,F66)</f>
        <v>0</v>
      </c>
    </row>
    <row r="67" spans="2:24" ht="14.25" customHeight="1" x14ac:dyDescent="0.25">
      <c r="B67" t="s">
        <v>317</v>
      </c>
      <c r="C67" t="s">
        <v>1180</v>
      </c>
      <c r="D67" t="s">
        <v>693</v>
      </c>
      <c r="E67">
        <v>2013</v>
      </c>
      <c r="N67">
        <f>SUMIFS(Projektudgifter!$Y:$Y,Projektudgifter!$W:$W,B67&amp;C67&amp;D67&amp;E67)</f>
        <v>0</v>
      </c>
      <c r="O67">
        <f>SUMIFS(Projektudgifter!$Z:$Z,Projektudgifter!$W:$W,B67&amp;C67&amp;D67&amp;E67)</f>
        <v>0</v>
      </c>
      <c r="P67">
        <f>SUMIFS(Projektudgifter!$AA:$AA,Projektudgifter!$W:$W,B67&amp;C67&amp;D67&amp;E67)</f>
        <v>0</v>
      </c>
      <c r="Q67">
        <f>SUMIFS(Projektudgifter!$AB:$AB,Projektudgifter!$W:$W,B67&amp;C67&amp;D67&amp;E67)</f>
        <v>0</v>
      </c>
      <c r="R67">
        <f>SUMIFS(Projektudgifter!$AC:$AC,Projektudgifter!$W:$W,B67&amp;C67&amp;D67&amp;E67)</f>
        <v>0</v>
      </c>
      <c r="S67">
        <f>SUMIFS(Projektudgifter!$AG:$AG,Projektudgifter!$W:$W,B67&amp;C67&amp;D67&amp;E67,Projektudgifter!$S:$S,"")</f>
        <v>0</v>
      </c>
      <c r="U67">
        <f>SUMIFS(Projektudgifter!$AI:$AI,Projektudgifter!$W:$W,B67&amp;C67&amp;D67&amp;E67,Projektudgifter!$S:$S,"")</f>
        <v>0</v>
      </c>
      <c r="W67">
        <f>SUMIFS(Projektudgifter!$AK:$AK,Projektudgifter!$W:$W,B67&amp;C67&amp;D67&amp;E67,Projektudgifter!$S:$S,"")</f>
        <v>0</v>
      </c>
    </row>
    <row r="68" spans="2:24" ht="14.25" customHeight="1" x14ac:dyDescent="0.25">
      <c r="B68" t="s">
        <v>317</v>
      </c>
      <c r="C68" t="s">
        <v>1180</v>
      </c>
      <c r="D68" t="s">
        <v>693</v>
      </c>
      <c r="E68">
        <v>2014</v>
      </c>
      <c r="F68" t="s">
        <v>1361</v>
      </c>
      <c r="H68" t="s">
        <v>1194</v>
      </c>
      <c r="S68">
        <f>SUMIFS(Projektudgifter!$AG:$AG,Projektudgifter!$W:$W,B68&amp;C68&amp;D68&amp;E68,Projektudgifter!$S:$S,F68)</f>
        <v>0</v>
      </c>
      <c r="T68">
        <f>SUMIFS(Projektudgifter!$AH:$AH,Projektudgifter!$W:$W,B68&amp;C68&amp;D68&amp;E68,Projektudgifter!$T:$T,F68)</f>
        <v>0</v>
      </c>
      <c r="U68">
        <f>SUMIFS(Projektudgifter!$AI:$AI,Projektudgifter!$W:$W,B68&amp;C68&amp;D68&amp;E68,Projektudgifter!$S:$S,F68)</f>
        <v>0</v>
      </c>
      <c r="V68">
        <f>SUMIFS(Projektudgifter!$AJ:$AJ,Projektudgifter!$W:$W,B68&amp;C68&amp;D68&amp;E68,Projektudgifter!$T:$T,F68)</f>
        <v>0</v>
      </c>
      <c r="W68">
        <f>SUMIFS(Projektudgifter!$AK:$AK,Projektudgifter!$W:$W,B68&amp;C68&amp;D68&amp;E68,Projektudgifter!$S:$S,F68)</f>
        <v>0</v>
      </c>
      <c r="X68">
        <f>SUMIFS(Projektudgifter!$AL:$AL,Projektudgifter!$W:$W,B68&amp;C68&amp;D68&amp;E68,Projektudgifter!$T:$T,F68)</f>
        <v>0</v>
      </c>
    </row>
    <row r="69" spans="2:24" ht="14.25" customHeight="1" x14ac:dyDescent="0.25">
      <c r="B69" t="s">
        <v>317</v>
      </c>
      <c r="C69" t="s">
        <v>1180</v>
      </c>
      <c r="D69" t="s">
        <v>693</v>
      </c>
      <c r="E69">
        <v>2014</v>
      </c>
      <c r="F69" t="s">
        <v>680</v>
      </c>
      <c r="H69" t="s">
        <v>1194</v>
      </c>
      <c r="S69">
        <f>SUMIFS(Projektudgifter!$AG:$AG,Projektudgifter!$W:$W,B69&amp;C69&amp;D69&amp;E69,Projektudgifter!$S:$S,F69)</f>
        <v>0</v>
      </c>
      <c r="T69">
        <f>SUMIFS(Projektudgifter!$AH:$AH,Projektudgifter!$W:$W,B69&amp;C69&amp;D69&amp;E69,Projektudgifter!$T:$T,F69)</f>
        <v>0</v>
      </c>
      <c r="U69">
        <f>SUMIFS(Projektudgifter!$AI:$AI,Projektudgifter!$W:$W,B69&amp;C69&amp;D69&amp;E69,Projektudgifter!$S:$S,F69)</f>
        <v>0</v>
      </c>
      <c r="V69">
        <f>SUMIFS(Projektudgifter!$AJ:$AJ,Projektudgifter!$W:$W,B69&amp;C69&amp;D69&amp;E69,Projektudgifter!$T:$T,F69)</f>
        <v>0</v>
      </c>
      <c r="W69">
        <f>SUMIFS(Projektudgifter!$AK:$AK,Projektudgifter!$W:$W,B69&amp;C69&amp;D69&amp;E69,Projektudgifter!$S:$S,F69)</f>
        <v>0</v>
      </c>
      <c r="X69">
        <f>SUMIFS(Projektudgifter!$AL:$AL,Projektudgifter!$W:$W,B69&amp;C69&amp;D69&amp;E69,Projektudgifter!$T:$T,F69)</f>
        <v>0</v>
      </c>
    </row>
    <row r="70" spans="2:24" ht="14.25" customHeight="1" x14ac:dyDescent="0.25">
      <c r="B70" t="s">
        <v>317</v>
      </c>
      <c r="C70" t="s">
        <v>1180</v>
      </c>
      <c r="D70" t="s">
        <v>693</v>
      </c>
      <c r="E70">
        <v>2014</v>
      </c>
      <c r="N70">
        <f>SUMIFS(Projektudgifter!$Y:$Y,Projektudgifter!$W:$W,B70&amp;C70&amp;D70&amp;E70)</f>
        <v>0</v>
      </c>
      <c r="O70">
        <f>SUMIFS(Projektudgifter!$Z:$Z,Projektudgifter!$W:$W,B70&amp;C70&amp;D70&amp;E70)</f>
        <v>0</v>
      </c>
      <c r="P70">
        <f>SUMIFS(Projektudgifter!$AA:$AA,Projektudgifter!$W:$W,B70&amp;C70&amp;D70&amp;E70)</f>
        <v>0</v>
      </c>
      <c r="Q70">
        <f>SUMIFS(Projektudgifter!$AB:$AB,Projektudgifter!$W:$W,B70&amp;C70&amp;D70&amp;E70)</f>
        <v>0</v>
      </c>
      <c r="R70">
        <f>SUMIFS(Projektudgifter!$AC:$AC,Projektudgifter!$W:$W,B70&amp;C70&amp;D70&amp;E70)</f>
        <v>0</v>
      </c>
      <c r="S70">
        <f>SUMIFS(Projektudgifter!$AG:$AG,Projektudgifter!$W:$W,B70&amp;C70&amp;D70&amp;E70,Projektudgifter!$S:$S,"")</f>
        <v>0</v>
      </c>
      <c r="U70">
        <f>SUMIFS(Projektudgifter!$AI:$AI,Projektudgifter!$W:$W,B70&amp;C70&amp;D70&amp;E70,Projektudgifter!$S:$S,"")</f>
        <v>0</v>
      </c>
      <c r="W70">
        <f>SUMIFS(Projektudgifter!$AK:$AK,Projektudgifter!$W:$W,B70&amp;C70&amp;D70&amp;E70,Projektudgifter!$S:$S,"")</f>
        <v>0</v>
      </c>
    </row>
    <row r="71" spans="2:24" ht="14.25" customHeight="1" x14ac:dyDescent="0.25">
      <c r="B71" t="s">
        <v>317</v>
      </c>
      <c r="C71" t="s">
        <v>1181</v>
      </c>
      <c r="D71" t="s">
        <v>693</v>
      </c>
      <c r="E71">
        <v>2013</v>
      </c>
      <c r="F71" t="s">
        <v>1361</v>
      </c>
      <c r="H71" t="s">
        <v>1194</v>
      </c>
      <c r="S71">
        <f>SUMIFS(Projektudgifter!$AG:$AG,Projektudgifter!$W:$W,B71&amp;C71&amp;D71&amp;E71,Projektudgifter!$S:$S,F71)</f>
        <v>0</v>
      </c>
      <c r="T71">
        <f>SUMIFS(Projektudgifter!$AH:$AH,Projektudgifter!$W:$W,B71&amp;C71&amp;D71&amp;E71,Projektudgifter!$T:$T,F71)</f>
        <v>0</v>
      </c>
      <c r="U71">
        <f>SUMIFS(Projektudgifter!$AI:$AI,Projektudgifter!$W:$W,B71&amp;C71&amp;D71&amp;E71,Projektudgifter!$S:$S,F71)</f>
        <v>0</v>
      </c>
      <c r="V71">
        <f>SUMIFS(Projektudgifter!$AJ:$AJ,Projektudgifter!$W:$W,B71&amp;C71&amp;D71&amp;E71,Projektudgifter!$T:$T,F71)</f>
        <v>0</v>
      </c>
      <c r="W71">
        <f>SUMIFS(Projektudgifter!$AK:$AK,Projektudgifter!$W:$W,B71&amp;C71&amp;D71&amp;E71,Projektudgifter!$S:$S,F71)</f>
        <v>0</v>
      </c>
      <c r="X71">
        <f>SUMIFS(Projektudgifter!$AL:$AL,Projektudgifter!$W:$W,B71&amp;C71&amp;D71&amp;E71,Projektudgifter!$T:$T,F71)</f>
        <v>0</v>
      </c>
    </row>
    <row r="72" spans="2:24" ht="14.25" customHeight="1" x14ac:dyDescent="0.25">
      <c r="B72" t="s">
        <v>317</v>
      </c>
      <c r="C72" t="s">
        <v>1181</v>
      </c>
      <c r="D72" t="s">
        <v>693</v>
      </c>
      <c r="E72">
        <v>2013</v>
      </c>
      <c r="F72" t="s">
        <v>680</v>
      </c>
      <c r="H72" t="s">
        <v>1194</v>
      </c>
      <c r="S72">
        <f>SUMIFS(Projektudgifter!$AG:$AG,Projektudgifter!$W:$W,B72&amp;C72&amp;D72&amp;E72,Projektudgifter!$S:$S,F72)</f>
        <v>0</v>
      </c>
      <c r="T72">
        <f>SUMIFS(Projektudgifter!$AH:$AH,Projektudgifter!$W:$W,B72&amp;C72&amp;D72&amp;E72,Projektudgifter!$T:$T,F72)</f>
        <v>0</v>
      </c>
      <c r="U72">
        <f>SUMIFS(Projektudgifter!$AI:$AI,Projektudgifter!$W:$W,B72&amp;C72&amp;D72&amp;E72,Projektudgifter!$S:$S,F72)</f>
        <v>0</v>
      </c>
      <c r="V72">
        <f>SUMIFS(Projektudgifter!$AJ:$AJ,Projektudgifter!$W:$W,B72&amp;C72&amp;D72&amp;E72,Projektudgifter!$T:$T,F72)</f>
        <v>0</v>
      </c>
      <c r="W72">
        <f>SUMIFS(Projektudgifter!$AK:$AK,Projektudgifter!$W:$W,B72&amp;C72&amp;D72&amp;E72,Projektudgifter!$S:$S,F72)</f>
        <v>0</v>
      </c>
      <c r="X72">
        <f>SUMIFS(Projektudgifter!$AL:$AL,Projektudgifter!$W:$W,B72&amp;C72&amp;D72&amp;E72,Projektudgifter!$T:$T,F72)</f>
        <v>0</v>
      </c>
    </row>
    <row r="73" spans="2:24" ht="14.25" customHeight="1" x14ac:dyDescent="0.25">
      <c r="B73" t="s">
        <v>317</v>
      </c>
      <c r="C73" t="s">
        <v>1181</v>
      </c>
      <c r="D73" t="s">
        <v>693</v>
      </c>
      <c r="E73">
        <v>2013</v>
      </c>
      <c r="N73">
        <f>SUMIFS(Projektudgifter!$Y:$Y,Projektudgifter!$W:$W,B73&amp;C73&amp;D73&amp;E73)</f>
        <v>0</v>
      </c>
      <c r="O73">
        <f>SUMIFS(Projektudgifter!$Z:$Z,Projektudgifter!$W:$W,B73&amp;C73&amp;D73&amp;E73)</f>
        <v>0</v>
      </c>
      <c r="P73">
        <f>SUMIFS(Projektudgifter!$AA:$AA,Projektudgifter!$W:$W,B73&amp;C73&amp;D73&amp;E73)</f>
        <v>0</v>
      </c>
      <c r="Q73">
        <f>SUMIFS(Projektudgifter!$AB:$AB,Projektudgifter!$W:$W,B73&amp;C73&amp;D73&amp;E73)</f>
        <v>0</v>
      </c>
      <c r="R73">
        <f>SUMIFS(Projektudgifter!$AC:$AC,Projektudgifter!$W:$W,B73&amp;C73&amp;D73&amp;E73)</f>
        <v>0</v>
      </c>
      <c r="S73">
        <f>SUMIFS(Projektudgifter!$AG:$AG,Projektudgifter!$W:$W,B73&amp;C73&amp;D73&amp;E73,Projektudgifter!$S:$S,"")</f>
        <v>0</v>
      </c>
      <c r="U73">
        <f>SUMIFS(Projektudgifter!$AI:$AI,Projektudgifter!$W:$W,B73&amp;C73&amp;D73&amp;E73,Projektudgifter!$S:$S,"")</f>
        <v>0</v>
      </c>
      <c r="W73">
        <f>SUMIFS(Projektudgifter!$AK:$AK,Projektudgifter!$W:$W,B73&amp;C73&amp;D73&amp;E73,Projektudgifter!$S:$S,"")</f>
        <v>0</v>
      </c>
    </row>
    <row r="74" spans="2:24" ht="14.25" customHeight="1" x14ac:dyDescent="0.25">
      <c r="B74" t="s">
        <v>317</v>
      </c>
      <c r="C74" t="s">
        <v>1181</v>
      </c>
      <c r="D74" t="s">
        <v>693</v>
      </c>
      <c r="E74">
        <v>2014</v>
      </c>
      <c r="F74" t="s">
        <v>1361</v>
      </c>
      <c r="H74" t="s">
        <v>1194</v>
      </c>
      <c r="S74">
        <f>SUMIFS(Projektudgifter!$AG:$AG,Projektudgifter!$W:$W,B74&amp;C74&amp;D74&amp;E74,Projektudgifter!$S:$S,F74)</f>
        <v>0</v>
      </c>
      <c r="T74">
        <f>SUMIFS(Projektudgifter!$AH:$AH,Projektudgifter!$W:$W,B74&amp;C74&amp;D74&amp;E74,Projektudgifter!$T:$T,F74)</f>
        <v>0</v>
      </c>
      <c r="U74">
        <f>SUMIFS(Projektudgifter!$AI:$AI,Projektudgifter!$W:$W,B74&amp;C74&amp;D74&amp;E74,Projektudgifter!$S:$S,F74)</f>
        <v>0</v>
      </c>
      <c r="V74">
        <f>SUMIFS(Projektudgifter!$AJ:$AJ,Projektudgifter!$W:$W,B74&amp;C74&amp;D74&amp;E74,Projektudgifter!$T:$T,F74)</f>
        <v>0</v>
      </c>
      <c r="W74">
        <f>SUMIFS(Projektudgifter!$AK:$AK,Projektudgifter!$W:$W,B74&amp;C74&amp;D74&amp;E74,Projektudgifter!$S:$S,F74)</f>
        <v>0</v>
      </c>
      <c r="X74">
        <f>SUMIFS(Projektudgifter!$AL:$AL,Projektudgifter!$W:$W,B74&amp;C74&amp;D74&amp;E74,Projektudgifter!$T:$T,F74)</f>
        <v>0</v>
      </c>
    </row>
    <row r="75" spans="2:24" ht="14.25" customHeight="1" x14ac:dyDescent="0.25">
      <c r="B75" t="s">
        <v>317</v>
      </c>
      <c r="C75" t="s">
        <v>1181</v>
      </c>
      <c r="D75" t="s">
        <v>693</v>
      </c>
      <c r="E75">
        <v>2014</v>
      </c>
      <c r="F75" t="s">
        <v>680</v>
      </c>
      <c r="H75" t="s">
        <v>1194</v>
      </c>
      <c r="S75">
        <f>SUMIFS(Projektudgifter!$AG:$AG,Projektudgifter!$W:$W,B75&amp;C75&amp;D75&amp;E75,Projektudgifter!$S:$S,F75)</f>
        <v>0</v>
      </c>
      <c r="T75">
        <f>SUMIFS(Projektudgifter!$AH:$AH,Projektudgifter!$W:$W,B75&amp;C75&amp;D75&amp;E75,Projektudgifter!$T:$T,F75)</f>
        <v>0</v>
      </c>
      <c r="U75">
        <f>SUMIFS(Projektudgifter!$AI:$AI,Projektudgifter!$W:$W,B75&amp;C75&amp;D75&amp;E75,Projektudgifter!$S:$S,F75)</f>
        <v>0</v>
      </c>
      <c r="V75">
        <f>SUMIFS(Projektudgifter!$AJ:$AJ,Projektudgifter!$W:$W,B75&amp;C75&amp;D75&amp;E75,Projektudgifter!$T:$T,F75)</f>
        <v>0</v>
      </c>
      <c r="W75">
        <f>SUMIFS(Projektudgifter!$AK:$AK,Projektudgifter!$W:$W,B75&amp;C75&amp;D75&amp;E75,Projektudgifter!$S:$S,F75)</f>
        <v>0</v>
      </c>
      <c r="X75">
        <f>SUMIFS(Projektudgifter!$AL:$AL,Projektudgifter!$W:$W,B75&amp;C75&amp;D75&amp;E75,Projektudgifter!$T:$T,F75)</f>
        <v>0</v>
      </c>
    </row>
    <row r="76" spans="2:24" ht="14.25" customHeight="1" x14ac:dyDescent="0.25">
      <c r="B76" t="s">
        <v>317</v>
      </c>
      <c r="C76" t="s">
        <v>1181</v>
      </c>
      <c r="D76" t="s">
        <v>693</v>
      </c>
      <c r="E76">
        <v>2014</v>
      </c>
      <c r="N76">
        <f>SUMIFS(Projektudgifter!$Y:$Y,Projektudgifter!$W:$W,B76&amp;C76&amp;D76&amp;E76)</f>
        <v>0</v>
      </c>
      <c r="O76">
        <f>SUMIFS(Projektudgifter!$Z:$Z,Projektudgifter!$W:$W,B76&amp;C76&amp;D76&amp;E76)</f>
        <v>0</v>
      </c>
      <c r="P76">
        <f>SUMIFS(Projektudgifter!$AA:$AA,Projektudgifter!$W:$W,B76&amp;C76&amp;D76&amp;E76)</f>
        <v>0</v>
      </c>
      <c r="Q76">
        <f>SUMIFS(Projektudgifter!$AB:$AB,Projektudgifter!$W:$W,B76&amp;C76&amp;D76&amp;E76)</f>
        <v>0</v>
      </c>
      <c r="R76">
        <f>SUMIFS(Projektudgifter!$AC:$AC,Projektudgifter!$W:$W,B76&amp;C76&amp;D76&amp;E76)</f>
        <v>0</v>
      </c>
      <c r="S76">
        <f>SUMIFS(Projektudgifter!$AG:$AG,Projektudgifter!$W:$W,B76&amp;C76&amp;D76&amp;E76,Projektudgifter!$S:$S,"")</f>
        <v>0</v>
      </c>
      <c r="U76">
        <f>SUMIFS(Projektudgifter!$AI:$AI,Projektudgifter!$W:$W,B76&amp;C76&amp;D76&amp;E76,Projektudgifter!$S:$S,"")</f>
        <v>0</v>
      </c>
      <c r="W76">
        <f>SUMIFS(Projektudgifter!$AK:$AK,Projektudgifter!$W:$W,B76&amp;C76&amp;D76&amp;E76,Projektudgifter!$S:$S,"")</f>
        <v>0</v>
      </c>
    </row>
    <row r="77" spans="2:24" ht="14.25" customHeight="1" x14ac:dyDescent="0.25">
      <c r="B77" t="s">
        <v>317</v>
      </c>
      <c r="C77" t="s">
        <v>1182</v>
      </c>
      <c r="D77" t="s">
        <v>693</v>
      </c>
      <c r="E77">
        <v>2013</v>
      </c>
      <c r="F77" t="s">
        <v>1361</v>
      </c>
      <c r="H77" t="s">
        <v>1194</v>
      </c>
      <c r="S77">
        <f>SUMIFS(Projektudgifter!$AG:$AG,Projektudgifter!$W:$W,B77&amp;C77&amp;D77&amp;E77,Projektudgifter!$S:$S,F77)</f>
        <v>0</v>
      </c>
      <c r="T77">
        <f>SUMIFS(Projektudgifter!$AH:$AH,Projektudgifter!$W:$W,B77&amp;C77&amp;D77&amp;E77,Projektudgifter!$T:$T,F77)</f>
        <v>0</v>
      </c>
      <c r="U77">
        <f>SUMIFS(Projektudgifter!$AI:$AI,Projektudgifter!$W:$W,B77&amp;C77&amp;D77&amp;E77,Projektudgifter!$S:$S,F77)</f>
        <v>0</v>
      </c>
      <c r="V77">
        <f>SUMIFS(Projektudgifter!$AJ:$AJ,Projektudgifter!$W:$W,B77&amp;C77&amp;D77&amp;E77,Projektudgifter!$T:$T,F77)</f>
        <v>0</v>
      </c>
      <c r="W77">
        <f>SUMIFS(Projektudgifter!$AK:$AK,Projektudgifter!$W:$W,B77&amp;C77&amp;D77&amp;E77,Projektudgifter!$S:$S,F77)</f>
        <v>0</v>
      </c>
      <c r="X77">
        <f>SUMIFS(Projektudgifter!$AL:$AL,Projektudgifter!$W:$W,B77&amp;C77&amp;D77&amp;E77,Projektudgifter!$T:$T,F77)</f>
        <v>0</v>
      </c>
    </row>
    <row r="78" spans="2:24" ht="14.25" customHeight="1" x14ac:dyDescent="0.25">
      <c r="B78" t="s">
        <v>317</v>
      </c>
      <c r="C78" t="s">
        <v>1182</v>
      </c>
      <c r="D78" t="s">
        <v>693</v>
      </c>
      <c r="E78">
        <v>2013</v>
      </c>
      <c r="F78" t="s">
        <v>680</v>
      </c>
      <c r="H78" t="s">
        <v>1194</v>
      </c>
      <c r="S78">
        <f>SUMIFS(Projektudgifter!$AG:$AG,Projektudgifter!$W:$W,B78&amp;C78&amp;D78&amp;E78,Projektudgifter!$S:$S,F78)</f>
        <v>0</v>
      </c>
      <c r="T78">
        <f>SUMIFS(Projektudgifter!$AH:$AH,Projektudgifter!$W:$W,B78&amp;C78&amp;D78&amp;E78,Projektudgifter!$T:$T,F78)</f>
        <v>0</v>
      </c>
      <c r="U78">
        <f>SUMIFS(Projektudgifter!$AI:$AI,Projektudgifter!$W:$W,B78&amp;C78&amp;D78&amp;E78,Projektudgifter!$S:$S,F78)</f>
        <v>0</v>
      </c>
      <c r="V78">
        <f>SUMIFS(Projektudgifter!$AJ:$AJ,Projektudgifter!$W:$W,B78&amp;C78&amp;D78&amp;E78,Projektudgifter!$T:$T,F78)</f>
        <v>0</v>
      </c>
      <c r="W78">
        <f>SUMIFS(Projektudgifter!$AK:$AK,Projektudgifter!$W:$W,B78&amp;C78&amp;D78&amp;E78,Projektudgifter!$S:$S,F78)</f>
        <v>0</v>
      </c>
      <c r="X78">
        <f>SUMIFS(Projektudgifter!$AL:$AL,Projektudgifter!$W:$W,B78&amp;C78&amp;D78&amp;E78,Projektudgifter!$T:$T,F78)</f>
        <v>0</v>
      </c>
    </row>
    <row r="79" spans="2:24" ht="14.25" customHeight="1" x14ac:dyDescent="0.25">
      <c r="B79" t="s">
        <v>317</v>
      </c>
      <c r="C79" t="s">
        <v>1182</v>
      </c>
      <c r="D79" t="s">
        <v>693</v>
      </c>
      <c r="E79">
        <v>2013</v>
      </c>
      <c r="N79">
        <f>SUMIFS(Projektudgifter!$Y:$Y,Projektudgifter!$W:$W,B79&amp;C79&amp;D79&amp;E79)</f>
        <v>0</v>
      </c>
      <c r="O79">
        <f>SUMIFS(Projektudgifter!$Z:$Z,Projektudgifter!$W:$W,B79&amp;C79&amp;D79&amp;E79)</f>
        <v>0</v>
      </c>
      <c r="P79">
        <f>SUMIFS(Projektudgifter!$AA:$AA,Projektudgifter!$W:$W,B79&amp;C79&amp;D79&amp;E79)</f>
        <v>0</v>
      </c>
      <c r="Q79">
        <f>SUMIFS(Projektudgifter!$AB:$AB,Projektudgifter!$W:$W,B79&amp;C79&amp;D79&amp;E79)</f>
        <v>0</v>
      </c>
      <c r="R79">
        <f>SUMIFS(Projektudgifter!$AC:$AC,Projektudgifter!$W:$W,B79&amp;C79&amp;D79&amp;E79)</f>
        <v>0</v>
      </c>
      <c r="S79">
        <f>SUMIFS(Projektudgifter!$AG:$AG,Projektudgifter!$W:$W,B79&amp;C79&amp;D79&amp;E79,Projektudgifter!$S:$S,"")</f>
        <v>0</v>
      </c>
      <c r="U79">
        <f>SUMIFS(Projektudgifter!$AI:$AI,Projektudgifter!$W:$W,B79&amp;C79&amp;D79&amp;E79,Projektudgifter!$S:$S,"")</f>
        <v>0</v>
      </c>
      <c r="W79">
        <f>SUMIFS(Projektudgifter!$AK:$AK,Projektudgifter!$W:$W,B79&amp;C79&amp;D79&amp;E79,Projektudgifter!$S:$S,"")</f>
        <v>0</v>
      </c>
    </row>
    <row r="80" spans="2:24" ht="14.25" customHeight="1" x14ac:dyDescent="0.25">
      <c r="B80" t="s">
        <v>317</v>
      </c>
      <c r="C80" t="s">
        <v>1182</v>
      </c>
      <c r="D80" t="s">
        <v>693</v>
      </c>
      <c r="E80">
        <v>2014</v>
      </c>
      <c r="F80" t="s">
        <v>1361</v>
      </c>
      <c r="H80" t="s">
        <v>1194</v>
      </c>
      <c r="S80">
        <f>SUMIFS(Projektudgifter!$AG:$AG,Projektudgifter!$W:$W,B80&amp;C80&amp;D80&amp;E80,Projektudgifter!$S:$S,F80)</f>
        <v>0</v>
      </c>
      <c r="T80">
        <f>SUMIFS(Projektudgifter!$AH:$AH,Projektudgifter!$W:$W,B80&amp;C80&amp;D80&amp;E80,Projektudgifter!$T:$T,F80)</f>
        <v>0</v>
      </c>
      <c r="U80">
        <f>SUMIFS(Projektudgifter!$AI:$AI,Projektudgifter!$W:$W,B80&amp;C80&amp;D80&amp;E80,Projektudgifter!$S:$S,F80)</f>
        <v>0</v>
      </c>
      <c r="V80">
        <f>SUMIFS(Projektudgifter!$AJ:$AJ,Projektudgifter!$W:$W,B80&amp;C80&amp;D80&amp;E80,Projektudgifter!$T:$T,F80)</f>
        <v>0</v>
      </c>
      <c r="W80">
        <f>SUMIFS(Projektudgifter!$AK:$AK,Projektudgifter!$W:$W,B80&amp;C80&amp;D80&amp;E80,Projektudgifter!$S:$S,F80)</f>
        <v>0</v>
      </c>
      <c r="X80">
        <f>SUMIFS(Projektudgifter!$AL:$AL,Projektudgifter!$W:$W,B80&amp;C80&amp;D80&amp;E80,Projektudgifter!$T:$T,F80)</f>
        <v>0</v>
      </c>
    </row>
    <row r="81" spans="2:24" ht="14.25" customHeight="1" x14ac:dyDescent="0.25">
      <c r="B81" t="s">
        <v>317</v>
      </c>
      <c r="C81" t="s">
        <v>1182</v>
      </c>
      <c r="D81" t="s">
        <v>693</v>
      </c>
      <c r="E81">
        <v>2014</v>
      </c>
      <c r="F81" t="s">
        <v>680</v>
      </c>
      <c r="H81" t="s">
        <v>1194</v>
      </c>
      <c r="S81">
        <f>SUMIFS(Projektudgifter!$AG:$AG,Projektudgifter!$W:$W,B81&amp;C81&amp;D81&amp;E81,Projektudgifter!$S:$S,F81)</f>
        <v>0</v>
      </c>
      <c r="T81">
        <f>SUMIFS(Projektudgifter!$AH:$AH,Projektudgifter!$W:$W,B81&amp;C81&amp;D81&amp;E81,Projektudgifter!$T:$T,F81)</f>
        <v>0</v>
      </c>
      <c r="U81">
        <f>SUMIFS(Projektudgifter!$AI:$AI,Projektudgifter!$W:$W,B81&amp;C81&amp;D81&amp;E81,Projektudgifter!$S:$S,F81)</f>
        <v>0</v>
      </c>
      <c r="V81">
        <f>SUMIFS(Projektudgifter!$AJ:$AJ,Projektudgifter!$W:$W,B81&amp;C81&amp;D81&amp;E81,Projektudgifter!$T:$T,F81)</f>
        <v>0</v>
      </c>
      <c r="W81">
        <f>SUMIFS(Projektudgifter!$AK:$AK,Projektudgifter!$W:$W,B81&amp;C81&amp;D81&amp;E81,Projektudgifter!$S:$S,F81)</f>
        <v>0</v>
      </c>
      <c r="X81">
        <f>SUMIFS(Projektudgifter!$AL:$AL,Projektudgifter!$W:$W,B81&amp;C81&amp;D81&amp;E81,Projektudgifter!$T:$T,F81)</f>
        <v>0</v>
      </c>
    </row>
    <row r="82" spans="2:24" ht="14.25" customHeight="1" x14ac:dyDescent="0.25">
      <c r="B82" t="s">
        <v>317</v>
      </c>
      <c r="C82" t="s">
        <v>1182</v>
      </c>
      <c r="D82" t="s">
        <v>693</v>
      </c>
      <c r="E82">
        <v>2014</v>
      </c>
      <c r="N82">
        <f>SUMIFS(Projektudgifter!$Y:$Y,Projektudgifter!$W:$W,B82&amp;C82&amp;D82&amp;E82)</f>
        <v>0</v>
      </c>
      <c r="O82">
        <f>SUMIFS(Projektudgifter!$Z:$Z,Projektudgifter!$W:$W,B82&amp;C82&amp;D82&amp;E82)</f>
        <v>0</v>
      </c>
      <c r="P82">
        <f>SUMIFS(Projektudgifter!$AA:$AA,Projektudgifter!$W:$W,B82&amp;C82&amp;D82&amp;E82)</f>
        <v>0</v>
      </c>
      <c r="Q82">
        <f>SUMIFS(Projektudgifter!$AB:$AB,Projektudgifter!$W:$W,B82&amp;C82&amp;D82&amp;E82)</f>
        <v>0</v>
      </c>
      <c r="R82">
        <f>SUMIFS(Projektudgifter!$AC:$AC,Projektudgifter!$W:$W,B82&amp;C82&amp;D82&amp;E82)</f>
        <v>0</v>
      </c>
      <c r="S82">
        <f>SUMIFS(Projektudgifter!$AG:$AG,Projektudgifter!$W:$W,B82&amp;C82&amp;D82&amp;E82,Projektudgifter!$S:$S,"")</f>
        <v>0</v>
      </c>
      <c r="U82">
        <f>SUMIFS(Projektudgifter!$AI:$AI,Projektudgifter!$W:$W,B82&amp;C82&amp;D82&amp;E82,Projektudgifter!$S:$S,"")</f>
        <v>0</v>
      </c>
      <c r="W82">
        <f>SUMIFS(Projektudgifter!$AK:$AK,Projektudgifter!$W:$W,B82&amp;C82&amp;D82&amp;E82,Projektudgifter!$S:$S,"")</f>
        <v>0</v>
      </c>
    </row>
    <row r="83" spans="2:24" ht="14.25" customHeight="1" x14ac:dyDescent="0.25">
      <c r="B83" t="s">
        <v>317</v>
      </c>
      <c r="C83" t="s">
        <v>1183</v>
      </c>
      <c r="D83" t="s">
        <v>693</v>
      </c>
      <c r="E83">
        <v>2013</v>
      </c>
      <c r="F83" t="s">
        <v>1361</v>
      </c>
      <c r="H83" t="s">
        <v>1194</v>
      </c>
      <c r="S83">
        <f>SUMIFS(Projektudgifter!$AG:$AG,Projektudgifter!$W:$W,B83&amp;C83&amp;D83&amp;E83,Projektudgifter!$S:$S,F83)</f>
        <v>0</v>
      </c>
      <c r="T83">
        <f>SUMIFS(Projektudgifter!$AH:$AH,Projektudgifter!$W:$W,B83&amp;C83&amp;D83&amp;E83,Projektudgifter!$T:$T,F83)</f>
        <v>0</v>
      </c>
      <c r="U83">
        <f>SUMIFS(Projektudgifter!$AI:$AI,Projektudgifter!$W:$W,B83&amp;C83&amp;D83&amp;E83,Projektudgifter!$S:$S,F83)</f>
        <v>0</v>
      </c>
      <c r="V83">
        <f>SUMIFS(Projektudgifter!$AJ:$AJ,Projektudgifter!$W:$W,B83&amp;C83&amp;D83&amp;E83,Projektudgifter!$T:$T,F83)</f>
        <v>0</v>
      </c>
      <c r="W83">
        <f>SUMIFS(Projektudgifter!$AK:$AK,Projektudgifter!$W:$W,B83&amp;C83&amp;D83&amp;E83,Projektudgifter!$S:$S,F83)</f>
        <v>0</v>
      </c>
      <c r="X83">
        <f>SUMIFS(Projektudgifter!$AL:$AL,Projektudgifter!$W:$W,B83&amp;C83&amp;D83&amp;E83,Projektudgifter!$T:$T,F83)</f>
        <v>0</v>
      </c>
    </row>
    <row r="84" spans="2:24" ht="14.25" customHeight="1" x14ac:dyDescent="0.25">
      <c r="B84" t="s">
        <v>317</v>
      </c>
      <c r="C84" t="s">
        <v>1183</v>
      </c>
      <c r="D84" t="s">
        <v>693</v>
      </c>
      <c r="E84">
        <v>2013</v>
      </c>
      <c r="F84" t="s">
        <v>680</v>
      </c>
      <c r="H84" t="s">
        <v>1194</v>
      </c>
      <c r="S84">
        <f>SUMIFS(Projektudgifter!$AG:$AG,Projektudgifter!$W:$W,B84&amp;C84&amp;D84&amp;E84,Projektudgifter!$S:$S,F84)</f>
        <v>0</v>
      </c>
      <c r="T84">
        <f>SUMIFS(Projektudgifter!$AH:$AH,Projektudgifter!$W:$W,B84&amp;C84&amp;D84&amp;E84,Projektudgifter!$T:$T,F84)</f>
        <v>0</v>
      </c>
      <c r="U84">
        <f>SUMIFS(Projektudgifter!$AI:$AI,Projektudgifter!$W:$W,B84&amp;C84&amp;D84&amp;E84,Projektudgifter!$S:$S,F84)</f>
        <v>0</v>
      </c>
      <c r="V84">
        <f>SUMIFS(Projektudgifter!$AJ:$AJ,Projektudgifter!$W:$W,B84&amp;C84&amp;D84&amp;E84,Projektudgifter!$T:$T,F84)</f>
        <v>0</v>
      </c>
      <c r="W84">
        <f>SUMIFS(Projektudgifter!$AK:$AK,Projektudgifter!$W:$W,B84&amp;C84&amp;D84&amp;E84,Projektudgifter!$S:$S,F84)</f>
        <v>0</v>
      </c>
      <c r="X84">
        <f>SUMIFS(Projektudgifter!$AL:$AL,Projektudgifter!$W:$W,B84&amp;C84&amp;D84&amp;E84,Projektudgifter!$T:$T,F84)</f>
        <v>0</v>
      </c>
    </row>
    <row r="85" spans="2:24" ht="14.25" customHeight="1" x14ac:dyDescent="0.25">
      <c r="B85" t="s">
        <v>317</v>
      </c>
      <c r="C85" t="s">
        <v>1183</v>
      </c>
      <c r="D85" t="s">
        <v>693</v>
      </c>
      <c r="E85">
        <v>2013</v>
      </c>
      <c r="N85">
        <f>SUMIFS(Projektudgifter!$Y:$Y,Projektudgifter!$W:$W,B85&amp;C85&amp;D85&amp;E85)</f>
        <v>0</v>
      </c>
      <c r="O85">
        <f>SUMIFS(Projektudgifter!$Z:$Z,Projektudgifter!$W:$W,B85&amp;C85&amp;D85&amp;E85)</f>
        <v>0</v>
      </c>
      <c r="P85">
        <f>SUMIFS(Projektudgifter!$AA:$AA,Projektudgifter!$W:$W,B85&amp;C85&amp;D85&amp;E85)</f>
        <v>0</v>
      </c>
      <c r="Q85">
        <f>SUMIFS(Projektudgifter!$AB:$AB,Projektudgifter!$W:$W,B85&amp;C85&amp;D85&amp;E85)</f>
        <v>0</v>
      </c>
      <c r="R85">
        <f>SUMIFS(Projektudgifter!$AC:$AC,Projektudgifter!$W:$W,B85&amp;C85&amp;D85&amp;E85)</f>
        <v>0</v>
      </c>
      <c r="S85">
        <f>SUMIFS(Projektudgifter!$AG:$AG,Projektudgifter!$W:$W,B85&amp;C85&amp;D85&amp;E85,Projektudgifter!$S:$S,"")</f>
        <v>0</v>
      </c>
      <c r="U85">
        <f>SUMIFS(Projektudgifter!$AI:$AI,Projektudgifter!$W:$W,B85&amp;C85&amp;D85&amp;E85,Projektudgifter!$S:$S,"")</f>
        <v>0</v>
      </c>
      <c r="W85">
        <f>SUMIFS(Projektudgifter!$AK:$AK,Projektudgifter!$W:$W,B85&amp;C85&amp;D85&amp;E85,Projektudgifter!$S:$S,"")</f>
        <v>0</v>
      </c>
    </row>
    <row r="86" spans="2:24" ht="14.25" customHeight="1" x14ac:dyDescent="0.25">
      <c r="B86" t="s">
        <v>317</v>
      </c>
      <c r="C86" t="s">
        <v>1183</v>
      </c>
      <c r="D86" t="s">
        <v>693</v>
      </c>
      <c r="E86">
        <v>2014</v>
      </c>
      <c r="F86" t="s">
        <v>1361</v>
      </c>
      <c r="H86" t="s">
        <v>1194</v>
      </c>
      <c r="S86">
        <f>SUMIFS(Projektudgifter!$AG:$AG,Projektudgifter!$W:$W,B86&amp;C86&amp;D86&amp;E86,Projektudgifter!$S:$S,F86)</f>
        <v>0</v>
      </c>
      <c r="T86">
        <f>SUMIFS(Projektudgifter!$AH:$AH,Projektudgifter!$W:$W,B86&amp;C86&amp;D86&amp;E86,Projektudgifter!$T:$T,F86)</f>
        <v>0</v>
      </c>
      <c r="U86">
        <f>SUMIFS(Projektudgifter!$AI:$AI,Projektudgifter!$W:$W,B86&amp;C86&amp;D86&amp;E86,Projektudgifter!$S:$S,F86)</f>
        <v>0</v>
      </c>
      <c r="V86">
        <f>SUMIFS(Projektudgifter!$AJ:$AJ,Projektudgifter!$W:$W,B86&amp;C86&amp;D86&amp;E86,Projektudgifter!$T:$T,F86)</f>
        <v>0</v>
      </c>
      <c r="W86">
        <f>SUMIFS(Projektudgifter!$AK:$AK,Projektudgifter!$W:$W,B86&amp;C86&amp;D86&amp;E86,Projektudgifter!$S:$S,F86)</f>
        <v>0</v>
      </c>
      <c r="X86">
        <f>SUMIFS(Projektudgifter!$AL:$AL,Projektudgifter!$W:$W,B86&amp;C86&amp;D86&amp;E86,Projektudgifter!$T:$T,F86)</f>
        <v>0</v>
      </c>
    </row>
    <row r="87" spans="2:24" ht="14.25" customHeight="1" x14ac:dyDescent="0.25">
      <c r="B87" t="s">
        <v>317</v>
      </c>
      <c r="C87" t="s">
        <v>1183</v>
      </c>
      <c r="D87" t="s">
        <v>693</v>
      </c>
      <c r="E87">
        <v>2014</v>
      </c>
      <c r="F87" t="s">
        <v>680</v>
      </c>
      <c r="H87" t="s">
        <v>1194</v>
      </c>
      <c r="S87">
        <f>SUMIFS(Projektudgifter!$AG:$AG,Projektudgifter!$W:$W,B87&amp;C87&amp;D87&amp;E87,Projektudgifter!$S:$S,F87)</f>
        <v>0</v>
      </c>
      <c r="T87">
        <f>SUMIFS(Projektudgifter!$AH:$AH,Projektudgifter!$W:$W,B87&amp;C87&amp;D87&amp;E87,Projektudgifter!$T:$T,F87)</f>
        <v>0</v>
      </c>
      <c r="U87">
        <f>SUMIFS(Projektudgifter!$AI:$AI,Projektudgifter!$W:$W,B87&amp;C87&amp;D87&amp;E87,Projektudgifter!$S:$S,F87)</f>
        <v>0</v>
      </c>
      <c r="V87">
        <f>SUMIFS(Projektudgifter!$AJ:$AJ,Projektudgifter!$W:$W,B87&amp;C87&amp;D87&amp;E87,Projektudgifter!$T:$T,F87)</f>
        <v>0</v>
      </c>
      <c r="W87">
        <f>SUMIFS(Projektudgifter!$AK:$AK,Projektudgifter!$W:$W,B87&amp;C87&amp;D87&amp;E87,Projektudgifter!$S:$S,F87)</f>
        <v>0</v>
      </c>
      <c r="X87">
        <f>SUMIFS(Projektudgifter!$AL:$AL,Projektudgifter!$W:$W,B87&amp;C87&amp;D87&amp;E87,Projektudgifter!$T:$T,F87)</f>
        <v>0</v>
      </c>
    </row>
    <row r="88" spans="2:24" ht="14.25" customHeight="1" x14ac:dyDescent="0.25">
      <c r="B88" t="s">
        <v>317</v>
      </c>
      <c r="C88" t="s">
        <v>1183</v>
      </c>
      <c r="D88" t="s">
        <v>693</v>
      </c>
      <c r="E88">
        <v>2014</v>
      </c>
      <c r="N88">
        <f>SUMIFS(Projektudgifter!$Y:$Y,Projektudgifter!$W:$W,B88&amp;C88&amp;D88&amp;E88)</f>
        <v>0</v>
      </c>
      <c r="O88">
        <f>SUMIFS(Projektudgifter!$Z:$Z,Projektudgifter!$W:$W,B88&amp;C88&amp;D88&amp;E88)</f>
        <v>0</v>
      </c>
      <c r="P88">
        <f>SUMIFS(Projektudgifter!$AA:$AA,Projektudgifter!$W:$W,B88&amp;C88&amp;D88&amp;E88)</f>
        <v>0</v>
      </c>
      <c r="Q88">
        <f>SUMIFS(Projektudgifter!$AB:$AB,Projektudgifter!$W:$W,B88&amp;C88&amp;D88&amp;E88)</f>
        <v>0</v>
      </c>
      <c r="R88">
        <f>SUMIFS(Projektudgifter!$AC:$AC,Projektudgifter!$W:$W,B88&amp;C88&amp;D88&amp;E88)</f>
        <v>0</v>
      </c>
      <c r="S88">
        <f>SUMIFS(Projektudgifter!$AG:$AG,Projektudgifter!$W:$W,B88&amp;C88&amp;D88&amp;E88,Projektudgifter!$S:$S,"")</f>
        <v>0</v>
      </c>
      <c r="U88">
        <f>SUMIFS(Projektudgifter!$AI:$AI,Projektudgifter!$W:$W,B88&amp;C88&amp;D88&amp;E88,Projektudgifter!$S:$S,"")</f>
        <v>0</v>
      </c>
      <c r="W88">
        <f>SUMIFS(Projektudgifter!$AK:$AK,Projektudgifter!$W:$W,B88&amp;C88&amp;D88&amp;E88,Projektudgifter!$S:$S,"")</f>
        <v>0</v>
      </c>
    </row>
    <row r="89" spans="2:24" ht="14.25" customHeight="1" x14ac:dyDescent="0.25">
      <c r="B89" t="s">
        <v>317</v>
      </c>
      <c r="C89" t="s">
        <v>84</v>
      </c>
      <c r="D89" t="s">
        <v>693</v>
      </c>
      <c r="E89">
        <v>2013</v>
      </c>
      <c r="F89" t="s">
        <v>1361</v>
      </c>
      <c r="H89" t="s">
        <v>1194</v>
      </c>
      <c r="S89">
        <f>SUMIFS(Projektudgifter!$AG:$AG,Projektudgifter!$W:$W,B89&amp;C89&amp;D89&amp;E89,Projektudgifter!$S:$S,F89)</f>
        <v>0</v>
      </c>
      <c r="T89">
        <f>SUMIFS(Projektudgifter!$AH:$AH,Projektudgifter!$W:$W,B89&amp;C89&amp;D89&amp;E89,Projektudgifter!$T:$T,F89)</f>
        <v>0</v>
      </c>
      <c r="U89">
        <f>SUMIFS(Projektudgifter!$AI:$AI,Projektudgifter!$W:$W,B89&amp;C89&amp;D89&amp;E89,Projektudgifter!$S:$S,F89)</f>
        <v>0</v>
      </c>
      <c r="V89">
        <f>SUMIFS(Projektudgifter!$AJ:$AJ,Projektudgifter!$W:$W,B89&amp;C89&amp;D89&amp;E89,Projektudgifter!$T:$T,F89)</f>
        <v>0</v>
      </c>
      <c r="W89">
        <f>SUMIFS(Projektudgifter!$AK:$AK,Projektudgifter!$W:$W,B89&amp;C89&amp;D89&amp;E89,Projektudgifter!$S:$S,F89)</f>
        <v>0</v>
      </c>
      <c r="X89">
        <f>SUMIFS(Projektudgifter!$AL:$AL,Projektudgifter!$W:$W,B89&amp;C89&amp;D89&amp;E89,Projektudgifter!$T:$T,F89)</f>
        <v>0</v>
      </c>
    </row>
    <row r="90" spans="2:24" ht="14.25" customHeight="1" x14ac:dyDescent="0.25">
      <c r="B90" t="s">
        <v>317</v>
      </c>
      <c r="C90" t="s">
        <v>84</v>
      </c>
      <c r="D90" t="s">
        <v>693</v>
      </c>
      <c r="E90">
        <v>2013</v>
      </c>
      <c r="F90" t="s">
        <v>680</v>
      </c>
      <c r="H90" t="s">
        <v>1194</v>
      </c>
      <c r="S90">
        <f>SUMIFS(Projektudgifter!$AG:$AG,Projektudgifter!$W:$W,B90&amp;C90&amp;D90&amp;E90,Projektudgifter!$S:$S,F90)</f>
        <v>0</v>
      </c>
      <c r="T90">
        <f>SUMIFS(Projektudgifter!$AH:$AH,Projektudgifter!$W:$W,B90&amp;C90&amp;D90&amp;E90,Projektudgifter!$T:$T,F90)</f>
        <v>0</v>
      </c>
      <c r="U90">
        <f>SUMIFS(Projektudgifter!$AI:$AI,Projektudgifter!$W:$W,B90&amp;C90&amp;D90&amp;E90,Projektudgifter!$S:$S,F90)</f>
        <v>0</v>
      </c>
      <c r="V90">
        <f>SUMIFS(Projektudgifter!$AJ:$AJ,Projektudgifter!$W:$W,B90&amp;C90&amp;D90&amp;E90,Projektudgifter!$T:$T,F90)</f>
        <v>0</v>
      </c>
      <c r="W90">
        <f>SUMIFS(Projektudgifter!$AK:$AK,Projektudgifter!$W:$W,B90&amp;C90&amp;D90&amp;E90,Projektudgifter!$S:$S,F90)</f>
        <v>0</v>
      </c>
      <c r="X90">
        <f>SUMIFS(Projektudgifter!$AL:$AL,Projektudgifter!$W:$W,B90&amp;C90&amp;D90&amp;E90,Projektudgifter!$T:$T,F90)</f>
        <v>0</v>
      </c>
    </row>
    <row r="91" spans="2:24" ht="14.25" customHeight="1" x14ac:dyDescent="0.25">
      <c r="B91" t="s">
        <v>317</v>
      </c>
      <c r="C91" t="s">
        <v>84</v>
      </c>
      <c r="D91" t="s">
        <v>693</v>
      </c>
      <c r="E91">
        <v>2013</v>
      </c>
      <c r="N91">
        <f>SUMIFS(Projektudgifter!$Y:$Y,Projektudgifter!$W:$W,B91&amp;C91&amp;D91&amp;E91)</f>
        <v>0</v>
      </c>
      <c r="O91">
        <f>SUMIFS(Projektudgifter!$Z:$Z,Projektudgifter!$W:$W,B91&amp;C91&amp;D91&amp;E91)</f>
        <v>0</v>
      </c>
      <c r="P91">
        <f>SUMIFS(Projektudgifter!$AA:$AA,Projektudgifter!$W:$W,B91&amp;C91&amp;D91&amp;E91)</f>
        <v>0</v>
      </c>
      <c r="Q91">
        <f>SUMIFS(Projektudgifter!$AB:$AB,Projektudgifter!$W:$W,B91&amp;C91&amp;D91&amp;E91)</f>
        <v>0</v>
      </c>
      <c r="R91">
        <f>SUMIFS(Projektudgifter!$AC:$AC,Projektudgifter!$W:$W,B91&amp;C91&amp;D91&amp;E91)</f>
        <v>0</v>
      </c>
      <c r="S91">
        <f>SUMIFS(Projektudgifter!$AG:$AG,Projektudgifter!$W:$W,B91&amp;C91&amp;D91&amp;E91,Projektudgifter!$S:$S,"")</f>
        <v>0</v>
      </c>
      <c r="U91">
        <f>SUMIFS(Projektudgifter!$AI:$AI,Projektudgifter!$W:$W,B91&amp;C91&amp;D91&amp;E91,Projektudgifter!$S:$S,"")</f>
        <v>0</v>
      </c>
      <c r="W91">
        <f>SUMIFS(Projektudgifter!$AK:$AK,Projektudgifter!$W:$W,B91&amp;C91&amp;D91&amp;E91,Projektudgifter!$S:$S,"")</f>
        <v>0</v>
      </c>
    </row>
    <row r="92" spans="2:24" ht="14.25" customHeight="1" x14ac:dyDescent="0.25">
      <c r="B92" t="s">
        <v>317</v>
      </c>
      <c r="C92" t="s">
        <v>84</v>
      </c>
      <c r="D92" t="s">
        <v>693</v>
      </c>
      <c r="E92">
        <v>2014</v>
      </c>
      <c r="F92" t="s">
        <v>1361</v>
      </c>
      <c r="H92" t="s">
        <v>1194</v>
      </c>
      <c r="S92">
        <f>SUMIFS(Projektudgifter!$AG:$AG,Projektudgifter!$W:$W,B92&amp;C92&amp;D92&amp;E92,Projektudgifter!$S:$S,F92)</f>
        <v>0</v>
      </c>
      <c r="T92">
        <f>SUMIFS(Projektudgifter!$AH:$AH,Projektudgifter!$W:$W,B92&amp;C92&amp;D92&amp;E92,Projektudgifter!$T:$T,F92)</f>
        <v>0</v>
      </c>
      <c r="U92">
        <f>SUMIFS(Projektudgifter!$AI:$AI,Projektudgifter!$W:$W,B92&amp;C92&amp;D92&amp;E92,Projektudgifter!$S:$S,F92)</f>
        <v>0</v>
      </c>
      <c r="V92">
        <f>SUMIFS(Projektudgifter!$AJ:$AJ,Projektudgifter!$W:$W,B92&amp;C92&amp;D92&amp;E92,Projektudgifter!$T:$T,F92)</f>
        <v>0</v>
      </c>
      <c r="W92">
        <f>SUMIFS(Projektudgifter!$AK:$AK,Projektudgifter!$W:$W,B92&amp;C92&amp;D92&amp;E92,Projektudgifter!$S:$S,F92)</f>
        <v>0</v>
      </c>
      <c r="X92">
        <f>SUMIFS(Projektudgifter!$AL:$AL,Projektudgifter!$W:$W,B92&amp;C92&amp;D92&amp;E92,Projektudgifter!$T:$T,F92)</f>
        <v>0</v>
      </c>
    </row>
    <row r="93" spans="2:24" ht="14.25" customHeight="1" x14ac:dyDescent="0.25">
      <c r="B93" t="s">
        <v>317</v>
      </c>
      <c r="C93" t="s">
        <v>84</v>
      </c>
      <c r="D93" t="s">
        <v>693</v>
      </c>
      <c r="E93">
        <v>2014</v>
      </c>
      <c r="F93" t="s">
        <v>680</v>
      </c>
      <c r="H93" t="s">
        <v>1194</v>
      </c>
      <c r="S93">
        <f>SUMIFS(Projektudgifter!$AG:$AG,Projektudgifter!$W:$W,B93&amp;C93&amp;D93&amp;E93,Projektudgifter!$S:$S,F93)</f>
        <v>0</v>
      </c>
      <c r="T93">
        <f>SUMIFS(Projektudgifter!$AH:$AH,Projektudgifter!$W:$W,B93&amp;C93&amp;D93&amp;E93,Projektudgifter!$T:$T,F93)</f>
        <v>0</v>
      </c>
      <c r="U93">
        <f>SUMIFS(Projektudgifter!$AI:$AI,Projektudgifter!$W:$W,B93&amp;C93&amp;D93&amp;E93,Projektudgifter!$S:$S,F93)</f>
        <v>0</v>
      </c>
      <c r="V93">
        <f>SUMIFS(Projektudgifter!$AJ:$AJ,Projektudgifter!$W:$W,B93&amp;C93&amp;D93&amp;E93,Projektudgifter!$T:$T,F93)</f>
        <v>0</v>
      </c>
      <c r="W93">
        <f>SUMIFS(Projektudgifter!$AK:$AK,Projektudgifter!$W:$W,B93&amp;C93&amp;D93&amp;E93,Projektudgifter!$S:$S,F93)</f>
        <v>0</v>
      </c>
      <c r="X93">
        <f>SUMIFS(Projektudgifter!$AL:$AL,Projektudgifter!$W:$W,B93&amp;C93&amp;D93&amp;E93,Projektudgifter!$T:$T,F93)</f>
        <v>0</v>
      </c>
    </row>
    <row r="94" spans="2:24" ht="14.25" customHeight="1" x14ac:dyDescent="0.25">
      <c r="B94" t="s">
        <v>317</v>
      </c>
      <c r="C94" t="s">
        <v>84</v>
      </c>
      <c r="D94" t="s">
        <v>693</v>
      </c>
      <c r="E94">
        <v>2014</v>
      </c>
      <c r="N94">
        <f>SUMIFS(Projektudgifter!$Y:$Y,Projektudgifter!$W:$W,B94&amp;C94&amp;D94&amp;E94)</f>
        <v>0</v>
      </c>
      <c r="O94">
        <f>SUMIFS(Projektudgifter!$Z:$Z,Projektudgifter!$W:$W,B94&amp;C94&amp;D94&amp;E94)</f>
        <v>0</v>
      </c>
      <c r="P94">
        <f>SUMIFS(Projektudgifter!$AA:$AA,Projektudgifter!$W:$W,B94&amp;C94&amp;D94&amp;E94)</f>
        <v>0</v>
      </c>
      <c r="Q94">
        <f>SUMIFS(Projektudgifter!$AB:$AB,Projektudgifter!$W:$W,B94&amp;C94&amp;D94&amp;E94)</f>
        <v>0</v>
      </c>
      <c r="R94">
        <f>SUMIFS(Projektudgifter!$AC:$AC,Projektudgifter!$W:$W,B94&amp;C94&amp;D94&amp;E94)</f>
        <v>0</v>
      </c>
      <c r="S94">
        <f>SUMIFS(Projektudgifter!$AG:$AG,Projektudgifter!$W:$W,B94&amp;C94&amp;D94&amp;E94,Projektudgifter!$S:$S,"")</f>
        <v>0</v>
      </c>
      <c r="U94">
        <f>SUMIFS(Projektudgifter!$AI:$AI,Projektudgifter!$W:$W,B94&amp;C94&amp;D94&amp;E94,Projektudgifter!$S:$S,"")</f>
        <v>0</v>
      </c>
      <c r="W94">
        <f>SUMIFS(Projektudgifter!$AK:$AK,Projektudgifter!$W:$W,B94&amp;C94&amp;D94&amp;E94,Projektudgifter!$S:$S,"")</f>
        <v>0</v>
      </c>
    </row>
    <row r="95" spans="2:24" ht="14.25" customHeight="1" x14ac:dyDescent="0.25">
      <c r="B95" t="s">
        <v>317</v>
      </c>
      <c r="C95" t="s">
        <v>85</v>
      </c>
      <c r="D95" t="s">
        <v>693</v>
      </c>
      <c r="E95">
        <v>2013</v>
      </c>
      <c r="F95" t="s">
        <v>1361</v>
      </c>
      <c r="H95" t="s">
        <v>1194</v>
      </c>
      <c r="S95">
        <f>SUMIFS(Projektudgifter!$AG:$AG,Projektudgifter!$W:$W,B95&amp;C95&amp;D95&amp;E95,Projektudgifter!$S:$S,F95)</f>
        <v>0</v>
      </c>
      <c r="T95">
        <f>SUMIFS(Projektudgifter!$AH:$AH,Projektudgifter!$W:$W,B95&amp;C95&amp;D95&amp;E95,Projektudgifter!$T:$T,F95)</f>
        <v>0</v>
      </c>
      <c r="U95">
        <f>SUMIFS(Projektudgifter!$AI:$AI,Projektudgifter!$W:$W,B95&amp;C95&amp;D95&amp;E95,Projektudgifter!$S:$S,F95)</f>
        <v>0</v>
      </c>
      <c r="V95">
        <f>SUMIFS(Projektudgifter!$AJ:$AJ,Projektudgifter!$W:$W,B95&amp;C95&amp;D95&amp;E95,Projektudgifter!$T:$T,F95)</f>
        <v>0</v>
      </c>
      <c r="W95">
        <f>SUMIFS(Projektudgifter!$AK:$AK,Projektudgifter!$W:$W,B95&amp;C95&amp;D95&amp;E95,Projektudgifter!$S:$S,F95)</f>
        <v>0</v>
      </c>
      <c r="X95">
        <f>SUMIFS(Projektudgifter!$AL:$AL,Projektudgifter!$W:$W,B95&amp;C95&amp;D95&amp;E95,Projektudgifter!$T:$T,F95)</f>
        <v>0</v>
      </c>
    </row>
    <row r="96" spans="2:24" ht="14.25" customHeight="1" x14ac:dyDescent="0.25">
      <c r="B96" t="s">
        <v>317</v>
      </c>
      <c r="C96" t="s">
        <v>85</v>
      </c>
      <c r="D96" t="s">
        <v>693</v>
      </c>
      <c r="E96">
        <v>2013</v>
      </c>
      <c r="F96" t="s">
        <v>680</v>
      </c>
      <c r="H96" t="s">
        <v>1194</v>
      </c>
      <c r="S96">
        <f>SUMIFS(Projektudgifter!$AG:$AG,Projektudgifter!$W:$W,B96&amp;C96&amp;D96&amp;E96,Projektudgifter!$S:$S,F96)</f>
        <v>0</v>
      </c>
      <c r="T96">
        <f>SUMIFS(Projektudgifter!$AH:$AH,Projektudgifter!$W:$W,B96&amp;C96&amp;D96&amp;E96,Projektudgifter!$T:$T,F96)</f>
        <v>0</v>
      </c>
      <c r="U96">
        <f>SUMIFS(Projektudgifter!$AI:$AI,Projektudgifter!$W:$W,B96&amp;C96&amp;D96&amp;E96,Projektudgifter!$S:$S,F96)</f>
        <v>0</v>
      </c>
      <c r="V96">
        <f>SUMIFS(Projektudgifter!$AJ:$AJ,Projektudgifter!$W:$W,B96&amp;C96&amp;D96&amp;E96,Projektudgifter!$T:$T,F96)</f>
        <v>0</v>
      </c>
      <c r="W96">
        <f>SUMIFS(Projektudgifter!$AK:$AK,Projektudgifter!$W:$W,B96&amp;C96&amp;D96&amp;E96,Projektudgifter!$S:$S,F96)</f>
        <v>0</v>
      </c>
      <c r="X96">
        <f>SUMIFS(Projektudgifter!$AL:$AL,Projektudgifter!$W:$W,B96&amp;C96&amp;D96&amp;E96,Projektudgifter!$T:$T,F96)</f>
        <v>0</v>
      </c>
    </row>
    <row r="97" spans="2:24" ht="14.25" customHeight="1" x14ac:dyDescent="0.25">
      <c r="B97" t="s">
        <v>317</v>
      </c>
      <c r="C97" t="s">
        <v>85</v>
      </c>
      <c r="D97" t="s">
        <v>693</v>
      </c>
      <c r="E97">
        <v>2013</v>
      </c>
      <c r="N97">
        <f>SUMIFS(Projektudgifter!$Y:$Y,Projektudgifter!$W:$W,B97&amp;C97&amp;D97&amp;E97)</f>
        <v>0</v>
      </c>
      <c r="O97">
        <f>SUMIFS(Projektudgifter!$Z:$Z,Projektudgifter!$W:$W,B97&amp;C97&amp;D97&amp;E97)</f>
        <v>0</v>
      </c>
      <c r="P97">
        <f>SUMIFS(Projektudgifter!$AA:$AA,Projektudgifter!$W:$W,B97&amp;C97&amp;D97&amp;E97)</f>
        <v>0</v>
      </c>
      <c r="Q97">
        <f>SUMIFS(Projektudgifter!$AB:$AB,Projektudgifter!$W:$W,B97&amp;C97&amp;D97&amp;E97)</f>
        <v>0</v>
      </c>
      <c r="R97">
        <f>SUMIFS(Projektudgifter!$AC:$AC,Projektudgifter!$W:$W,B97&amp;C97&amp;D97&amp;E97)</f>
        <v>0</v>
      </c>
      <c r="S97">
        <f>SUMIFS(Projektudgifter!$AG:$AG,Projektudgifter!$W:$W,B97&amp;C97&amp;D97&amp;E97,Projektudgifter!$S:$S,"")</f>
        <v>0</v>
      </c>
      <c r="U97">
        <f>SUMIFS(Projektudgifter!$AI:$AI,Projektudgifter!$W:$W,B97&amp;C97&amp;D97&amp;E97,Projektudgifter!$S:$S,"")</f>
        <v>0</v>
      </c>
      <c r="W97">
        <f>SUMIFS(Projektudgifter!$AK:$AK,Projektudgifter!$W:$W,B97&amp;C97&amp;D97&amp;E97,Projektudgifter!$S:$S,"")</f>
        <v>0</v>
      </c>
    </row>
    <row r="98" spans="2:24" ht="14.25" customHeight="1" x14ac:dyDescent="0.25">
      <c r="B98" t="s">
        <v>317</v>
      </c>
      <c r="C98" t="s">
        <v>85</v>
      </c>
      <c r="D98" t="s">
        <v>693</v>
      </c>
      <c r="E98">
        <v>2014</v>
      </c>
      <c r="F98" t="s">
        <v>1361</v>
      </c>
      <c r="H98" t="s">
        <v>1194</v>
      </c>
      <c r="S98">
        <f>SUMIFS(Projektudgifter!$AG:$AG,Projektudgifter!$W:$W,B98&amp;C98&amp;D98&amp;E98,Projektudgifter!$S:$S,F98)</f>
        <v>0</v>
      </c>
      <c r="T98">
        <f>SUMIFS(Projektudgifter!$AH:$AH,Projektudgifter!$W:$W,B98&amp;C98&amp;D98&amp;E98,Projektudgifter!$T:$T,F98)</f>
        <v>0</v>
      </c>
      <c r="U98">
        <f>SUMIFS(Projektudgifter!$AI:$AI,Projektudgifter!$W:$W,B98&amp;C98&amp;D98&amp;E98,Projektudgifter!$S:$S,F98)</f>
        <v>0</v>
      </c>
      <c r="V98">
        <f>SUMIFS(Projektudgifter!$AJ:$AJ,Projektudgifter!$W:$W,B98&amp;C98&amp;D98&amp;E98,Projektudgifter!$T:$T,F98)</f>
        <v>0</v>
      </c>
      <c r="W98">
        <f>SUMIFS(Projektudgifter!$AK:$AK,Projektudgifter!$W:$W,B98&amp;C98&amp;D98&amp;E98,Projektudgifter!$S:$S,F98)</f>
        <v>0</v>
      </c>
      <c r="X98">
        <f>SUMIFS(Projektudgifter!$AL:$AL,Projektudgifter!$W:$W,B98&amp;C98&amp;D98&amp;E98,Projektudgifter!$T:$T,F98)</f>
        <v>0</v>
      </c>
    </row>
    <row r="99" spans="2:24" ht="14.25" customHeight="1" x14ac:dyDescent="0.25">
      <c r="B99" t="s">
        <v>317</v>
      </c>
      <c r="C99" t="s">
        <v>85</v>
      </c>
      <c r="D99" t="s">
        <v>693</v>
      </c>
      <c r="E99">
        <v>2014</v>
      </c>
      <c r="F99" t="s">
        <v>680</v>
      </c>
      <c r="H99" t="s">
        <v>1194</v>
      </c>
      <c r="S99">
        <f>SUMIFS(Projektudgifter!$AG:$AG,Projektudgifter!$W:$W,B99&amp;C99&amp;D99&amp;E99,Projektudgifter!$S:$S,F99)</f>
        <v>0</v>
      </c>
      <c r="T99">
        <f>SUMIFS(Projektudgifter!$AH:$AH,Projektudgifter!$W:$W,B99&amp;C99&amp;D99&amp;E99,Projektudgifter!$T:$T,F99)</f>
        <v>0</v>
      </c>
      <c r="U99">
        <f>SUMIFS(Projektudgifter!$AI:$AI,Projektudgifter!$W:$W,B99&amp;C99&amp;D99&amp;E99,Projektudgifter!$S:$S,F99)</f>
        <v>0</v>
      </c>
      <c r="V99">
        <f>SUMIFS(Projektudgifter!$AJ:$AJ,Projektudgifter!$W:$W,B99&amp;C99&amp;D99&amp;E99,Projektudgifter!$T:$T,F99)</f>
        <v>0</v>
      </c>
      <c r="W99">
        <f>SUMIFS(Projektudgifter!$AK:$AK,Projektudgifter!$W:$W,B99&amp;C99&amp;D99&amp;E99,Projektudgifter!$S:$S,F99)</f>
        <v>0</v>
      </c>
      <c r="X99">
        <f>SUMIFS(Projektudgifter!$AL:$AL,Projektudgifter!$W:$W,B99&amp;C99&amp;D99&amp;E99,Projektudgifter!$T:$T,F99)</f>
        <v>0</v>
      </c>
    </row>
    <row r="100" spans="2:24" ht="14.25" customHeight="1" x14ac:dyDescent="0.25">
      <c r="B100" t="s">
        <v>317</v>
      </c>
      <c r="C100" t="s">
        <v>85</v>
      </c>
      <c r="D100" t="s">
        <v>693</v>
      </c>
      <c r="E100">
        <v>2014</v>
      </c>
      <c r="N100">
        <f>SUMIFS(Projektudgifter!$Y:$Y,Projektudgifter!$W:$W,B100&amp;C100&amp;D100&amp;E100)</f>
        <v>0</v>
      </c>
      <c r="O100">
        <f>SUMIFS(Projektudgifter!$Z:$Z,Projektudgifter!$W:$W,B100&amp;C100&amp;D100&amp;E100)</f>
        <v>0</v>
      </c>
      <c r="P100">
        <f>SUMIFS(Projektudgifter!$AA:$AA,Projektudgifter!$W:$W,B100&amp;C100&amp;D100&amp;E100)</f>
        <v>0</v>
      </c>
      <c r="Q100">
        <f>SUMIFS(Projektudgifter!$AB:$AB,Projektudgifter!$W:$W,B100&amp;C100&amp;D100&amp;E100)</f>
        <v>0</v>
      </c>
      <c r="R100">
        <f>SUMIFS(Projektudgifter!$AC:$AC,Projektudgifter!$W:$W,B100&amp;C100&amp;D100&amp;E100)</f>
        <v>0</v>
      </c>
      <c r="S100">
        <f>SUMIFS(Projektudgifter!$AG:$AG,Projektudgifter!$W:$W,B100&amp;C100&amp;D100&amp;E100,Projektudgifter!$S:$S,"")</f>
        <v>0</v>
      </c>
      <c r="U100">
        <f>SUMIFS(Projektudgifter!$AI:$AI,Projektudgifter!$W:$W,B100&amp;C100&amp;D100&amp;E100,Projektudgifter!$S:$S,"")</f>
        <v>0</v>
      </c>
      <c r="W100">
        <f>SUMIFS(Projektudgifter!$AK:$AK,Projektudgifter!$W:$W,B100&amp;C100&amp;D100&amp;E100,Projektudgifter!$S:$S,"")</f>
        <v>0</v>
      </c>
    </row>
    <row r="101" spans="2:24" ht="14.25" customHeight="1" x14ac:dyDescent="0.25">
      <c r="B101" t="s">
        <v>317</v>
      </c>
      <c r="C101" t="s">
        <v>86</v>
      </c>
      <c r="D101" t="s">
        <v>693</v>
      </c>
      <c r="E101">
        <v>2013</v>
      </c>
      <c r="F101" t="s">
        <v>1361</v>
      </c>
      <c r="H101" t="s">
        <v>1194</v>
      </c>
      <c r="S101">
        <f>SUMIFS(Projektudgifter!$AG:$AG,Projektudgifter!$W:$W,B101&amp;C101&amp;D101&amp;E101,Projektudgifter!$S:$S,F101)</f>
        <v>0</v>
      </c>
      <c r="T101">
        <f>SUMIFS(Projektudgifter!$AH:$AH,Projektudgifter!$W:$W,B101&amp;C101&amp;D101&amp;E101,Projektudgifter!$T:$T,F101)</f>
        <v>0</v>
      </c>
      <c r="U101">
        <f>SUMIFS(Projektudgifter!$AI:$AI,Projektudgifter!$W:$W,B101&amp;C101&amp;D101&amp;E101,Projektudgifter!$S:$S,F101)</f>
        <v>0</v>
      </c>
      <c r="V101">
        <f>SUMIFS(Projektudgifter!$AJ:$AJ,Projektudgifter!$W:$W,B101&amp;C101&amp;D101&amp;E101,Projektudgifter!$T:$T,F101)</f>
        <v>0</v>
      </c>
      <c r="W101">
        <f>SUMIFS(Projektudgifter!$AK:$AK,Projektudgifter!$W:$W,B101&amp;C101&amp;D101&amp;E101,Projektudgifter!$S:$S,F101)</f>
        <v>0</v>
      </c>
      <c r="X101">
        <f>SUMIFS(Projektudgifter!$AL:$AL,Projektudgifter!$W:$W,B101&amp;C101&amp;D101&amp;E101,Projektudgifter!$T:$T,F101)</f>
        <v>0</v>
      </c>
    </row>
    <row r="102" spans="2:24" ht="14.25" customHeight="1" x14ac:dyDescent="0.25">
      <c r="B102" t="s">
        <v>317</v>
      </c>
      <c r="C102" t="s">
        <v>86</v>
      </c>
      <c r="D102" t="s">
        <v>693</v>
      </c>
      <c r="E102">
        <v>2013</v>
      </c>
      <c r="F102" t="s">
        <v>680</v>
      </c>
      <c r="H102" t="s">
        <v>1194</v>
      </c>
      <c r="S102">
        <f>SUMIFS(Projektudgifter!$AG:$AG,Projektudgifter!$W:$W,B102&amp;C102&amp;D102&amp;E102,Projektudgifter!$S:$S,F102)</f>
        <v>0</v>
      </c>
      <c r="T102">
        <f>SUMIFS(Projektudgifter!$AH:$AH,Projektudgifter!$W:$W,B102&amp;C102&amp;D102&amp;E102,Projektudgifter!$T:$T,F102)</f>
        <v>0</v>
      </c>
      <c r="U102">
        <f>SUMIFS(Projektudgifter!$AI:$AI,Projektudgifter!$W:$W,B102&amp;C102&amp;D102&amp;E102,Projektudgifter!$S:$S,F102)</f>
        <v>0</v>
      </c>
      <c r="V102">
        <f>SUMIFS(Projektudgifter!$AJ:$AJ,Projektudgifter!$W:$W,B102&amp;C102&amp;D102&amp;E102,Projektudgifter!$T:$T,F102)</f>
        <v>0</v>
      </c>
      <c r="W102">
        <f>SUMIFS(Projektudgifter!$AK:$AK,Projektudgifter!$W:$W,B102&amp;C102&amp;D102&amp;E102,Projektudgifter!$S:$S,F102)</f>
        <v>0</v>
      </c>
      <c r="X102">
        <f>SUMIFS(Projektudgifter!$AL:$AL,Projektudgifter!$W:$W,B102&amp;C102&amp;D102&amp;E102,Projektudgifter!$T:$T,F102)</f>
        <v>0</v>
      </c>
    </row>
    <row r="103" spans="2:24" ht="14.25" customHeight="1" x14ac:dyDescent="0.25">
      <c r="B103" t="s">
        <v>317</v>
      </c>
      <c r="C103" t="s">
        <v>86</v>
      </c>
      <c r="D103" t="s">
        <v>693</v>
      </c>
      <c r="E103">
        <v>2013</v>
      </c>
      <c r="N103">
        <f>SUMIFS(Projektudgifter!$Y:$Y,Projektudgifter!$W:$W,B103&amp;C103&amp;D103&amp;E103)</f>
        <v>0</v>
      </c>
      <c r="O103">
        <f>SUMIFS(Projektudgifter!$Z:$Z,Projektudgifter!$W:$W,B103&amp;C103&amp;D103&amp;E103)</f>
        <v>0</v>
      </c>
      <c r="P103">
        <f>SUMIFS(Projektudgifter!$AA:$AA,Projektudgifter!$W:$W,B103&amp;C103&amp;D103&amp;E103)</f>
        <v>0</v>
      </c>
      <c r="Q103">
        <f>SUMIFS(Projektudgifter!$AB:$AB,Projektudgifter!$W:$W,B103&amp;C103&amp;D103&amp;E103)</f>
        <v>0</v>
      </c>
      <c r="R103">
        <f>SUMIFS(Projektudgifter!$AC:$AC,Projektudgifter!$W:$W,B103&amp;C103&amp;D103&amp;E103)</f>
        <v>0</v>
      </c>
      <c r="S103">
        <f>SUMIFS(Projektudgifter!$AG:$AG,Projektudgifter!$W:$W,B103&amp;C103&amp;D103&amp;E103,Projektudgifter!$S:$S,"")</f>
        <v>0</v>
      </c>
      <c r="U103">
        <f>SUMIFS(Projektudgifter!$AI:$AI,Projektudgifter!$W:$W,B103&amp;C103&amp;D103&amp;E103,Projektudgifter!$S:$S,"")</f>
        <v>0</v>
      </c>
      <c r="W103">
        <f>SUMIFS(Projektudgifter!$AK:$AK,Projektudgifter!$W:$W,B103&amp;C103&amp;D103&amp;E103,Projektudgifter!$S:$S,"")</f>
        <v>0</v>
      </c>
    </row>
    <row r="104" spans="2:24" ht="14.25" customHeight="1" x14ac:dyDescent="0.25">
      <c r="B104" t="s">
        <v>317</v>
      </c>
      <c r="C104" t="s">
        <v>86</v>
      </c>
      <c r="D104" t="s">
        <v>693</v>
      </c>
      <c r="E104">
        <v>2014</v>
      </c>
      <c r="F104" t="s">
        <v>1361</v>
      </c>
      <c r="H104" t="s">
        <v>1194</v>
      </c>
      <c r="S104">
        <f>SUMIFS(Projektudgifter!$AG:$AG,Projektudgifter!$W:$W,B104&amp;C104&amp;D104&amp;E104,Projektudgifter!$S:$S,F104)</f>
        <v>0</v>
      </c>
      <c r="T104">
        <f>SUMIFS(Projektudgifter!$AH:$AH,Projektudgifter!$W:$W,B104&amp;C104&amp;D104&amp;E104,Projektudgifter!$T:$T,F104)</f>
        <v>0</v>
      </c>
      <c r="U104">
        <f>SUMIFS(Projektudgifter!$AI:$AI,Projektudgifter!$W:$W,B104&amp;C104&amp;D104&amp;E104,Projektudgifter!$S:$S,F104)</f>
        <v>0</v>
      </c>
      <c r="V104">
        <f>SUMIFS(Projektudgifter!$AJ:$AJ,Projektudgifter!$W:$W,B104&amp;C104&amp;D104&amp;E104,Projektudgifter!$T:$T,F104)</f>
        <v>0</v>
      </c>
      <c r="W104">
        <f>SUMIFS(Projektudgifter!$AK:$AK,Projektudgifter!$W:$W,B104&amp;C104&amp;D104&amp;E104,Projektudgifter!$S:$S,F104)</f>
        <v>0</v>
      </c>
      <c r="X104">
        <f>SUMIFS(Projektudgifter!$AL:$AL,Projektudgifter!$W:$W,B104&amp;C104&amp;D104&amp;E104,Projektudgifter!$T:$T,F104)</f>
        <v>0</v>
      </c>
    </row>
    <row r="105" spans="2:24" ht="14.25" customHeight="1" x14ac:dyDescent="0.25">
      <c r="B105" t="s">
        <v>317</v>
      </c>
      <c r="C105" t="s">
        <v>86</v>
      </c>
      <c r="D105" t="s">
        <v>693</v>
      </c>
      <c r="E105">
        <v>2014</v>
      </c>
      <c r="F105" t="s">
        <v>680</v>
      </c>
      <c r="H105" t="s">
        <v>1194</v>
      </c>
      <c r="S105">
        <f>SUMIFS(Projektudgifter!$AG:$AG,Projektudgifter!$W:$W,B105&amp;C105&amp;D105&amp;E105,Projektudgifter!$S:$S,F105)</f>
        <v>0</v>
      </c>
      <c r="T105">
        <f>SUMIFS(Projektudgifter!$AH:$AH,Projektudgifter!$W:$W,B105&amp;C105&amp;D105&amp;E105,Projektudgifter!$T:$T,F105)</f>
        <v>0</v>
      </c>
      <c r="U105">
        <f>SUMIFS(Projektudgifter!$AI:$AI,Projektudgifter!$W:$W,B105&amp;C105&amp;D105&amp;E105,Projektudgifter!$S:$S,F105)</f>
        <v>0</v>
      </c>
      <c r="V105">
        <f>SUMIFS(Projektudgifter!$AJ:$AJ,Projektudgifter!$W:$W,B105&amp;C105&amp;D105&amp;E105,Projektudgifter!$T:$T,F105)</f>
        <v>0</v>
      </c>
      <c r="W105">
        <f>SUMIFS(Projektudgifter!$AK:$AK,Projektudgifter!$W:$W,B105&amp;C105&amp;D105&amp;E105,Projektudgifter!$S:$S,F105)</f>
        <v>0</v>
      </c>
      <c r="X105">
        <f>SUMIFS(Projektudgifter!$AL:$AL,Projektudgifter!$W:$W,B105&amp;C105&amp;D105&amp;E105,Projektudgifter!$T:$T,F105)</f>
        <v>0</v>
      </c>
    </row>
    <row r="106" spans="2:24" ht="14.25" customHeight="1" x14ac:dyDescent="0.25">
      <c r="B106" t="s">
        <v>317</v>
      </c>
      <c r="C106" t="s">
        <v>86</v>
      </c>
      <c r="D106" t="s">
        <v>693</v>
      </c>
      <c r="E106">
        <v>2014</v>
      </c>
      <c r="N106">
        <f>SUMIFS(Projektudgifter!$Y:$Y,Projektudgifter!$W:$W,B106&amp;C106&amp;D106&amp;E106)</f>
        <v>0</v>
      </c>
      <c r="O106">
        <f>SUMIFS(Projektudgifter!$Z:$Z,Projektudgifter!$W:$W,B106&amp;C106&amp;D106&amp;E106)</f>
        <v>0</v>
      </c>
      <c r="P106">
        <f>SUMIFS(Projektudgifter!$AA:$AA,Projektudgifter!$W:$W,B106&amp;C106&amp;D106&amp;E106)</f>
        <v>0</v>
      </c>
      <c r="Q106">
        <f>SUMIFS(Projektudgifter!$AB:$AB,Projektudgifter!$W:$W,B106&amp;C106&amp;D106&amp;E106)</f>
        <v>0</v>
      </c>
      <c r="R106">
        <f>SUMIFS(Projektudgifter!$AC:$AC,Projektudgifter!$W:$W,B106&amp;C106&amp;D106&amp;E106)</f>
        <v>0</v>
      </c>
      <c r="S106">
        <f>SUMIFS(Projektudgifter!$AG:$AG,Projektudgifter!$W:$W,B106&amp;C106&amp;D106&amp;E106,Projektudgifter!$S:$S,"")</f>
        <v>0</v>
      </c>
      <c r="U106">
        <f>SUMIFS(Projektudgifter!$AI:$AI,Projektudgifter!$W:$W,B106&amp;C106&amp;D106&amp;E106,Projektudgifter!$S:$S,"")</f>
        <v>0</v>
      </c>
      <c r="W106">
        <f>SUMIFS(Projektudgifter!$AK:$AK,Projektudgifter!$W:$W,B106&amp;C106&amp;D106&amp;E106,Projektudgifter!$S:$S,"")</f>
        <v>0</v>
      </c>
    </row>
    <row r="107" spans="2:24" ht="14.25" customHeight="1" x14ac:dyDescent="0.25">
      <c r="B107" t="s">
        <v>317</v>
      </c>
      <c r="C107" t="s">
        <v>1486</v>
      </c>
      <c r="D107" t="s">
        <v>693</v>
      </c>
      <c r="E107">
        <v>2013</v>
      </c>
      <c r="F107" t="s">
        <v>1361</v>
      </c>
      <c r="H107" t="s">
        <v>1194</v>
      </c>
      <c r="S107">
        <f>SUMIFS(Projektudgifter!$AG:$AG,Projektudgifter!$W:$W,B107&amp;C107&amp;D107&amp;E107,Projektudgifter!$S:$S,F107)</f>
        <v>0</v>
      </c>
      <c r="T107">
        <f>SUMIFS(Projektudgifter!$AH:$AH,Projektudgifter!$W:$W,B107&amp;C107&amp;D107&amp;E107,Projektudgifter!$T:$T,F107)</f>
        <v>0</v>
      </c>
      <c r="U107">
        <f>SUMIFS(Projektudgifter!$AI:$AI,Projektudgifter!$W:$W,B107&amp;C107&amp;D107&amp;E107,Projektudgifter!$S:$S,F107)</f>
        <v>0</v>
      </c>
      <c r="V107">
        <f>SUMIFS(Projektudgifter!$AJ:$AJ,Projektudgifter!$W:$W,B107&amp;C107&amp;D107&amp;E107,Projektudgifter!$T:$T,F107)</f>
        <v>0</v>
      </c>
      <c r="W107">
        <f>SUMIFS(Projektudgifter!$AK:$AK,Projektudgifter!$W:$W,B107&amp;C107&amp;D107&amp;E107,Projektudgifter!$S:$S,F107)</f>
        <v>0</v>
      </c>
      <c r="X107">
        <f>SUMIFS(Projektudgifter!$AL:$AL,Projektudgifter!$W:$W,B107&amp;C107&amp;D107&amp;E107,Projektudgifter!$T:$T,F107)</f>
        <v>0</v>
      </c>
    </row>
    <row r="108" spans="2:24" ht="14.25" customHeight="1" x14ac:dyDescent="0.25">
      <c r="B108" t="s">
        <v>317</v>
      </c>
      <c r="C108" t="s">
        <v>1486</v>
      </c>
      <c r="D108" t="s">
        <v>693</v>
      </c>
      <c r="E108">
        <v>2013</v>
      </c>
      <c r="F108" t="s">
        <v>680</v>
      </c>
      <c r="H108" t="s">
        <v>1194</v>
      </c>
      <c r="S108">
        <f>SUMIFS(Projektudgifter!$AG:$AG,Projektudgifter!$W:$W,B108&amp;C108&amp;D108&amp;E108,Projektudgifter!$S:$S,F108)</f>
        <v>0</v>
      </c>
      <c r="T108">
        <f>SUMIFS(Projektudgifter!$AH:$AH,Projektudgifter!$W:$W,B108&amp;C108&amp;D108&amp;E108,Projektudgifter!$T:$T,F108)</f>
        <v>0</v>
      </c>
      <c r="U108">
        <f>SUMIFS(Projektudgifter!$AI:$AI,Projektudgifter!$W:$W,B108&amp;C108&amp;D108&amp;E108,Projektudgifter!$S:$S,F108)</f>
        <v>0</v>
      </c>
      <c r="V108">
        <f>SUMIFS(Projektudgifter!$AJ:$AJ,Projektudgifter!$W:$W,B108&amp;C108&amp;D108&amp;E108,Projektudgifter!$T:$T,F108)</f>
        <v>0</v>
      </c>
      <c r="W108">
        <f>SUMIFS(Projektudgifter!$AK:$AK,Projektudgifter!$W:$W,B108&amp;C108&amp;D108&amp;E108,Projektudgifter!$S:$S,F108)</f>
        <v>0</v>
      </c>
      <c r="X108">
        <f>SUMIFS(Projektudgifter!$AL:$AL,Projektudgifter!$W:$W,B108&amp;C108&amp;D108&amp;E108,Projektudgifter!$T:$T,F108)</f>
        <v>0</v>
      </c>
    </row>
    <row r="109" spans="2:24" ht="14.25" customHeight="1" x14ac:dyDescent="0.25">
      <c r="B109" t="s">
        <v>317</v>
      </c>
      <c r="C109" t="s">
        <v>1486</v>
      </c>
      <c r="D109" t="s">
        <v>693</v>
      </c>
      <c r="E109">
        <v>2013</v>
      </c>
      <c r="N109">
        <f>SUMIFS(Projektudgifter!$Y:$Y,Projektudgifter!$W:$W,B109&amp;C109&amp;D109&amp;E109)</f>
        <v>0</v>
      </c>
      <c r="O109">
        <f>SUMIFS(Projektudgifter!$Z:$Z,Projektudgifter!$W:$W,B109&amp;C109&amp;D109&amp;E109)</f>
        <v>0</v>
      </c>
      <c r="P109">
        <f>SUMIFS(Projektudgifter!$AA:$AA,Projektudgifter!$W:$W,B109&amp;C109&amp;D109&amp;E109)</f>
        <v>0</v>
      </c>
      <c r="Q109">
        <f>SUMIFS(Projektudgifter!$AB:$AB,Projektudgifter!$W:$W,B109&amp;C109&amp;D109&amp;E109)</f>
        <v>0</v>
      </c>
      <c r="R109">
        <f>SUMIFS(Projektudgifter!$AC:$AC,Projektudgifter!$W:$W,B109&amp;C109&amp;D109&amp;E109)</f>
        <v>0</v>
      </c>
      <c r="S109">
        <f>SUMIFS(Projektudgifter!$AG:$AG,Projektudgifter!$W:$W,B109&amp;C109&amp;D109&amp;E109,Projektudgifter!$S:$S,"")</f>
        <v>0</v>
      </c>
      <c r="U109">
        <f>SUMIFS(Projektudgifter!$AI:$AI,Projektudgifter!$W:$W,B109&amp;C109&amp;D109&amp;E109,Projektudgifter!$S:$S,"")</f>
        <v>0</v>
      </c>
      <c r="W109">
        <f>SUMIFS(Projektudgifter!$AK:$AK,Projektudgifter!$W:$W,B109&amp;C109&amp;D109&amp;E109,Projektudgifter!$S:$S,"")</f>
        <v>0</v>
      </c>
    </row>
    <row r="110" spans="2:24" ht="14.25" customHeight="1" x14ac:dyDescent="0.25">
      <c r="B110" t="s">
        <v>317</v>
      </c>
      <c r="C110" t="s">
        <v>1486</v>
      </c>
      <c r="D110" t="s">
        <v>693</v>
      </c>
      <c r="E110">
        <v>2014</v>
      </c>
      <c r="F110" t="s">
        <v>1361</v>
      </c>
      <c r="H110" t="s">
        <v>1194</v>
      </c>
      <c r="S110">
        <f>SUMIFS(Projektudgifter!$AG:$AG,Projektudgifter!$W:$W,B110&amp;C110&amp;D110&amp;E110,Projektudgifter!$S:$S,F110)</f>
        <v>0</v>
      </c>
      <c r="T110">
        <f>SUMIFS(Projektudgifter!$AH:$AH,Projektudgifter!$W:$W,B110&amp;C110&amp;D110&amp;E110,Projektudgifter!$T:$T,F110)</f>
        <v>0</v>
      </c>
      <c r="U110">
        <f>SUMIFS(Projektudgifter!$AI:$AI,Projektudgifter!$W:$W,B110&amp;C110&amp;D110&amp;E110,Projektudgifter!$S:$S,F110)</f>
        <v>0</v>
      </c>
      <c r="V110">
        <f>SUMIFS(Projektudgifter!$AJ:$AJ,Projektudgifter!$W:$W,B110&amp;C110&amp;D110&amp;E110,Projektudgifter!$T:$T,F110)</f>
        <v>0</v>
      </c>
      <c r="W110">
        <f>SUMIFS(Projektudgifter!$AK:$AK,Projektudgifter!$W:$W,B110&amp;C110&amp;D110&amp;E110,Projektudgifter!$S:$S,F110)</f>
        <v>0</v>
      </c>
      <c r="X110">
        <f>SUMIFS(Projektudgifter!$AL:$AL,Projektudgifter!$W:$W,B110&amp;C110&amp;D110&amp;E110,Projektudgifter!$T:$T,F110)</f>
        <v>0</v>
      </c>
    </row>
    <row r="111" spans="2:24" ht="14.25" customHeight="1" x14ac:dyDescent="0.25">
      <c r="B111" t="s">
        <v>317</v>
      </c>
      <c r="C111" t="s">
        <v>1486</v>
      </c>
      <c r="D111" t="s">
        <v>693</v>
      </c>
      <c r="E111">
        <v>2014</v>
      </c>
      <c r="F111" t="s">
        <v>680</v>
      </c>
      <c r="H111" t="s">
        <v>1194</v>
      </c>
      <c r="S111">
        <f>SUMIFS(Projektudgifter!$AG:$AG,Projektudgifter!$W:$W,B111&amp;C111&amp;D111&amp;E111,Projektudgifter!$S:$S,F111)</f>
        <v>0</v>
      </c>
      <c r="T111">
        <f>SUMIFS(Projektudgifter!$AH:$AH,Projektudgifter!$W:$W,B111&amp;C111&amp;D111&amp;E111,Projektudgifter!$T:$T,F111)</f>
        <v>0</v>
      </c>
      <c r="U111">
        <f>SUMIFS(Projektudgifter!$AI:$AI,Projektudgifter!$W:$W,B111&amp;C111&amp;D111&amp;E111,Projektudgifter!$S:$S,F111)</f>
        <v>0</v>
      </c>
      <c r="V111">
        <f>SUMIFS(Projektudgifter!$AJ:$AJ,Projektudgifter!$W:$W,B111&amp;C111&amp;D111&amp;E111,Projektudgifter!$T:$T,F111)</f>
        <v>0</v>
      </c>
      <c r="W111">
        <f>SUMIFS(Projektudgifter!$AK:$AK,Projektudgifter!$W:$W,B111&amp;C111&amp;D111&amp;E111,Projektudgifter!$S:$S,F111)</f>
        <v>0</v>
      </c>
      <c r="X111">
        <f>SUMIFS(Projektudgifter!$AL:$AL,Projektudgifter!$W:$W,B111&amp;C111&amp;D111&amp;E111,Projektudgifter!$T:$T,F111)</f>
        <v>0</v>
      </c>
    </row>
    <row r="112" spans="2:24" ht="14.25" customHeight="1" x14ac:dyDescent="0.25">
      <c r="B112" t="s">
        <v>317</v>
      </c>
      <c r="C112" t="s">
        <v>1486</v>
      </c>
      <c r="D112" t="s">
        <v>693</v>
      </c>
      <c r="E112">
        <v>2014</v>
      </c>
      <c r="N112">
        <f>SUMIFS(Projektudgifter!$Y:$Y,Projektudgifter!$W:$W,B112&amp;C112&amp;D112&amp;E112)</f>
        <v>0</v>
      </c>
      <c r="O112">
        <f>SUMIFS(Projektudgifter!$Z:$Z,Projektudgifter!$W:$W,B112&amp;C112&amp;D112&amp;E112)</f>
        <v>0</v>
      </c>
      <c r="P112">
        <f>SUMIFS(Projektudgifter!$AA:$AA,Projektudgifter!$W:$W,B112&amp;C112&amp;D112&amp;E112)</f>
        <v>0</v>
      </c>
      <c r="Q112">
        <f>SUMIFS(Projektudgifter!$AB:$AB,Projektudgifter!$W:$W,B112&amp;C112&amp;D112&amp;E112)</f>
        <v>0</v>
      </c>
      <c r="R112">
        <f>SUMIFS(Projektudgifter!$AC:$AC,Projektudgifter!$W:$W,B112&amp;C112&amp;D112&amp;E112)</f>
        <v>0</v>
      </c>
      <c r="S112">
        <f>SUMIFS(Projektudgifter!$AG:$AG,Projektudgifter!$W:$W,B112&amp;C112&amp;D112&amp;E112,Projektudgifter!$S:$S,"")</f>
        <v>0</v>
      </c>
      <c r="U112">
        <f>SUMIFS(Projektudgifter!$AI:$AI,Projektudgifter!$W:$W,B112&amp;C112&amp;D112&amp;E112,Projektudgifter!$S:$S,"")</f>
        <v>0</v>
      </c>
      <c r="W112">
        <f>SUMIFS(Projektudgifter!$AK:$AK,Projektudgifter!$W:$W,B112&amp;C112&amp;D112&amp;E112,Projektudgifter!$S:$S,"")</f>
        <v>0</v>
      </c>
    </row>
    <row r="113" spans="2:24" ht="14.25" customHeight="1" x14ac:dyDescent="0.25">
      <c r="B113" t="s">
        <v>318</v>
      </c>
      <c r="C113" t="s">
        <v>1179</v>
      </c>
      <c r="D113" t="s">
        <v>693</v>
      </c>
      <c r="E113">
        <v>2013</v>
      </c>
      <c r="F113" t="s">
        <v>1361</v>
      </c>
      <c r="H113" t="s">
        <v>1194</v>
      </c>
      <c r="S113">
        <f>SUMIFS(Projektudgifter!$AG:$AG,Projektudgifter!$W:$W,B113&amp;C113&amp;D113&amp;E113,Projektudgifter!$S:$S,F113)</f>
        <v>0</v>
      </c>
      <c r="T113">
        <f>SUMIFS(Projektudgifter!$AH:$AH,Projektudgifter!$W:$W,B113&amp;C113&amp;D113&amp;E113,Projektudgifter!$T:$T,F113)</f>
        <v>0</v>
      </c>
      <c r="U113">
        <f>SUMIFS(Projektudgifter!$AI:$AI,Projektudgifter!$W:$W,B113&amp;C113&amp;D113&amp;E113,Projektudgifter!$S:$S,F113)</f>
        <v>0</v>
      </c>
      <c r="V113">
        <f>SUMIFS(Projektudgifter!$AJ:$AJ,Projektudgifter!$W:$W,B113&amp;C113&amp;D113&amp;E113,Projektudgifter!$T:$T,F113)</f>
        <v>0</v>
      </c>
      <c r="W113">
        <f>SUMIFS(Projektudgifter!$AK:$AK,Projektudgifter!$W:$W,B113&amp;C113&amp;D113&amp;E113,Projektudgifter!$S:$S,F113)</f>
        <v>0</v>
      </c>
      <c r="X113">
        <f>SUMIFS(Projektudgifter!$AL:$AL,Projektudgifter!$W:$W,B113&amp;C113&amp;D113&amp;E113,Projektudgifter!$T:$T,F113)</f>
        <v>0</v>
      </c>
    </row>
    <row r="114" spans="2:24" ht="14.25" customHeight="1" x14ac:dyDescent="0.25">
      <c r="B114" t="s">
        <v>318</v>
      </c>
      <c r="C114" t="s">
        <v>1179</v>
      </c>
      <c r="D114" t="s">
        <v>693</v>
      </c>
      <c r="E114">
        <v>2013</v>
      </c>
      <c r="F114" t="s">
        <v>680</v>
      </c>
      <c r="H114" t="s">
        <v>1194</v>
      </c>
      <c r="S114">
        <f>SUMIFS(Projektudgifter!$AG:$AG,Projektudgifter!$W:$W,B114&amp;C114&amp;D114&amp;E114,Projektudgifter!$S:$S,F114)</f>
        <v>0</v>
      </c>
      <c r="T114">
        <f>SUMIFS(Projektudgifter!$AH:$AH,Projektudgifter!$W:$W,B114&amp;C114&amp;D114&amp;E114,Projektudgifter!$T:$T,F114)</f>
        <v>0</v>
      </c>
      <c r="U114">
        <f>SUMIFS(Projektudgifter!$AI:$AI,Projektudgifter!$W:$W,B114&amp;C114&amp;D114&amp;E114,Projektudgifter!$S:$S,F114)</f>
        <v>0</v>
      </c>
      <c r="V114">
        <f>SUMIFS(Projektudgifter!$AJ:$AJ,Projektudgifter!$W:$W,B114&amp;C114&amp;D114&amp;E114,Projektudgifter!$T:$T,F114)</f>
        <v>0</v>
      </c>
      <c r="W114">
        <f>SUMIFS(Projektudgifter!$AK:$AK,Projektudgifter!$W:$W,B114&amp;C114&amp;D114&amp;E114,Projektudgifter!$S:$S,F114)</f>
        <v>0</v>
      </c>
      <c r="X114">
        <f>SUMIFS(Projektudgifter!$AL:$AL,Projektudgifter!$W:$W,B114&amp;C114&amp;D114&amp;E114,Projektudgifter!$T:$T,F114)</f>
        <v>0</v>
      </c>
    </row>
    <row r="115" spans="2:24" ht="14.25" customHeight="1" x14ac:dyDescent="0.25">
      <c r="B115" t="s">
        <v>318</v>
      </c>
      <c r="C115" t="s">
        <v>1179</v>
      </c>
      <c r="D115" t="s">
        <v>693</v>
      </c>
      <c r="E115">
        <v>2013</v>
      </c>
      <c r="N115">
        <f>SUMIFS(Projektudgifter!$Y:$Y,Projektudgifter!$W:$W,B115&amp;C115&amp;D115&amp;E115)</f>
        <v>0</v>
      </c>
      <c r="O115">
        <f>SUMIFS(Projektudgifter!$Z:$Z,Projektudgifter!$W:$W,B115&amp;C115&amp;D115&amp;E115)</f>
        <v>0</v>
      </c>
      <c r="P115">
        <f>SUMIFS(Projektudgifter!$AA:$AA,Projektudgifter!$W:$W,B115&amp;C115&amp;D115&amp;E115)</f>
        <v>0</v>
      </c>
      <c r="Q115">
        <f>SUMIFS(Projektudgifter!$AB:$AB,Projektudgifter!$W:$W,B115&amp;C115&amp;D115&amp;E115)</f>
        <v>0</v>
      </c>
      <c r="R115">
        <f>SUMIFS(Projektudgifter!$AC:$AC,Projektudgifter!$W:$W,B115&amp;C115&amp;D115&amp;E115)</f>
        <v>0</v>
      </c>
      <c r="S115">
        <f>SUMIFS(Projektudgifter!$AG:$AG,Projektudgifter!$W:$W,B115&amp;C115&amp;D115&amp;E115,Projektudgifter!$S:$S,"")</f>
        <v>0</v>
      </c>
      <c r="U115">
        <f>SUMIFS(Projektudgifter!$AI:$AI,Projektudgifter!$W:$W,B115&amp;C115&amp;D115&amp;E115,Projektudgifter!$S:$S,"")</f>
        <v>0</v>
      </c>
      <c r="W115">
        <f>SUMIFS(Projektudgifter!$AK:$AK,Projektudgifter!$W:$W,B115&amp;C115&amp;D115&amp;E115,Projektudgifter!$S:$S,"")</f>
        <v>0</v>
      </c>
    </row>
    <row r="116" spans="2:24" ht="14.25" customHeight="1" x14ac:dyDescent="0.25">
      <c r="B116" t="s">
        <v>318</v>
      </c>
      <c r="C116" t="s">
        <v>1179</v>
      </c>
      <c r="D116" t="s">
        <v>693</v>
      </c>
      <c r="E116">
        <v>2014</v>
      </c>
      <c r="F116" t="s">
        <v>1361</v>
      </c>
      <c r="H116" t="s">
        <v>1194</v>
      </c>
      <c r="S116">
        <f>SUMIFS(Projektudgifter!$AG:$AG,Projektudgifter!$W:$W,B116&amp;C116&amp;D116&amp;E116,Projektudgifter!$S:$S,F116)</f>
        <v>0</v>
      </c>
      <c r="T116">
        <f>SUMIFS(Projektudgifter!$AH:$AH,Projektudgifter!$W:$W,B116&amp;C116&amp;D116&amp;E116,Projektudgifter!$T:$T,F116)</f>
        <v>0</v>
      </c>
      <c r="U116">
        <f>SUMIFS(Projektudgifter!$AI:$AI,Projektudgifter!$W:$W,B116&amp;C116&amp;D116&amp;E116,Projektudgifter!$S:$S,F116)</f>
        <v>0</v>
      </c>
      <c r="V116">
        <f>SUMIFS(Projektudgifter!$AJ:$AJ,Projektudgifter!$W:$W,B116&amp;C116&amp;D116&amp;E116,Projektudgifter!$T:$T,F116)</f>
        <v>0</v>
      </c>
      <c r="W116">
        <f>SUMIFS(Projektudgifter!$AK:$AK,Projektudgifter!$W:$W,B116&amp;C116&amp;D116&amp;E116,Projektudgifter!$S:$S,F116)</f>
        <v>0</v>
      </c>
      <c r="X116">
        <f>SUMIFS(Projektudgifter!$AL:$AL,Projektudgifter!$W:$W,B116&amp;C116&amp;D116&amp;E116,Projektudgifter!$T:$T,F116)</f>
        <v>0</v>
      </c>
    </row>
    <row r="117" spans="2:24" ht="14.25" customHeight="1" x14ac:dyDescent="0.25">
      <c r="B117" t="s">
        <v>318</v>
      </c>
      <c r="C117" t="s">
        <v>1179</v>
      </c>
      <c r="D117" t="s">
        <v>693</v>
      </c>
      <c r="E117">
        <v>2014</v>
      </c>
      <c r="F117" t="s">
        <v>680</v>
      </c>
      <c r="H117" t="s">
        <v>1194</v>
      </c>
      <c r="S117">
        <f>SUMIFS(Projektudgifter!$AG:$AG,Projektudgifter!$W:$W,B117&amp;C117&amp;D117&amp;E117,Projektudgifter!$S:$S,F117)</f>
        <v>0</v>
      </c>
      <c r="T117">
        <f>SUMIFS(Projektudgifter!$AH:$AH,Projektudgifter!$W:$W,B117&amp;C117&amp;D117&amp;E117,Projektudgifter!$T:$T,F117)</f>
        <v>0</v>
      </c>
      <c r="U117">
        <f>SUMIFS(Projektudgifter!$AI:$AI,Projektudgifter!$W:$W,B117&amp;C117&amp;D117&amp;E117,Projektudgifter!$S:$S,F117)</f>
        <v>0</v>
      </c>
      <c r="V117">
        <f>SUMIFS(Projektudgifter!$AJ:$AJ,Projektudgifter!$W:$W,B117&amp;C117&amp;D117&amp;E117,Projektudgifter!$T:$T,F117)</f>
        <v>0</v>
      </c>
      <c r="W117">
        <f>SUMIFS(Projektudgifter!$AK:$AK,Projektudgifter!$W:$W,B117&amp;C117&amp;D117&amp;E117,Projektudgifter!$S:$S,F117)</f>
        <v>0</v>
      </c>
      <c r="X117">
        <f>SUMIFS(Projektudgifter!$AL:$AL,Projektudgifter!$W:$W,B117&amp;C117&amp;D117&amp;E117,Projektudgifter!$T:$T,F117)</f>
        <v>0</v>
      </c>
    </row>
    <row r="118" spans="2:24" ht="14.25" customHeight="1" x14ac:dyDescent="0.25">
      <c r="B118" t="s">
        <v>318</v>
      </c>
      <c r="C118" t="s">
        <v>1179</v>
      </c>
      <c r="D118" t="s">
        <v>693</v>
      </c>
      <c r="E118">
        <v>2014</v>
      </c>
      <c r="N118">
        <f>SUMIFS(Projektudgifter!$Y:$Y,Projektudgifter!$W:$W,B118&amp;C118&amp;D118&amp;E118)</f>
        <v>0</v>
      </c>
      <c r="O118">
        <f>SUMIFS(Projektudgifter!$Z:$Z,Projektudgifter!$W:$W,B118&amp;C118&amp;D118&amp;E118)</f>
        <v>0</v>
      </c>
      <c r="P118">
        <f>SUMIFS(Projektudgifter!$AA:$AA,Projektudgifter!$W:$W,B118&amp;C118&amp;D118&amp;E118)</f>
        <v>0</v>
      </c>
      <c r="Q118">
        <f>SUMIFS(Projektudgifter!$AB:$AB,Projektudgifter!$W:$W,B118&amp;C118&amp;D118&amp;E118)</f>
        <v>0</v>
      </c>
      <c r="R118">
        <f>SUMIFS(Projektudgifter!$AC:$AC,Projektudgifter!$W:$W,B118&amp;C118&amp;D118&amp;E118)</f>
        <v>0</v>
      </c>
      <c r="S118">
        <f>SUMIFS(Projektudgifter!$AG:$AG,Projektudgifter!$W:$W,B118&amp;C118&amp;D118&amp;E118,Projektudgifter!$S:$S,"")</f>
        <v>0</v>
      </c>
      <c r="U118">
        <f>SUMIFS(Projektudgifter!$AI:$AI,Projektudgifter!$W:$W,B118&amp;C118&amp;D118&amp;E118,Projektudgifter!$S:$S,"")</f>
        <v>0</v>
      </c>
      <c r="W118">
        <f>SUMIFS(Projektudgifter!$AK:$AK,Projektudgifter!$W:$W,B118&amp;C118&amp;D118&amp;E118,Projektudgifter!$S:$S,"")</f>
        <v>0</v>
      </c>
    </row>
    <row r="119" spans="2:24" ht="14.25" customHeight="1" x14ac:dyDescent="0.25">
      <c r="B119" t="s">
        <v>318</v>
      </c>
      <c r="C119" t="s">
        <v>1180</v>
      </c>
      <c r="D119" t="s">
        <v>693</v>
      </c>
      <c r="E119">
        <v>2013</v>
      </c>
      <c r="F119" t="s">
        <v>1361</v>
      </c>
      <c r="H119" t="s">
        <v>1194</v>
      </c>
      <c r="S119">
        <f>SUMIFS(Projektudgifter!$AG:$AG,Projektudgifter!$W:$W,B119&amp;C119&amp;D119&amp;E119,Projektudgifter!$S:$S,F119)</f>
        <v>0</v>
      </c>
      <c r="T119">
        <f>SUMIFS(Projektudgifter!$AH:$AH,Projektudgifter!$W:$W,B119&amp;C119&amp;D119&amp;E119,Projektudgifter!$T:$T,F119)</f>
        <v>0</v>
      </c>
      <c r="U119">
        <f>SUMIFS(Projektudgifter!$AI:$AI,Projektudgifter!$W:$W,B119&amp;C119&amp;D119&amp;E119,Projektudgifter!$S:$S,F119)</f>
        <v>0</v>
      </c>
      <c r="V119">
        <f>SUMIFS(Projektudgifter!$AJ:$AJ,Projektudgifter!$W:$W,B119&amp;C119&amp;D119&amp;E119,Projektudgifter!$T:$T,F119)</f>
        <v>0</v>
      </c>
      <c r="W119">
        <f>SUMIFS(Projektudgifter!$AK:$AK,Projektudgifter!$W:$W,B119&amp;C119&amp;D119&amp;E119,Projektudgifter!$S:$S,F119)</f>
        <v>0</v>
      </c>
      <c r="X119">
        <f>SUMIFS(Projektudgifter!$AL:$AL,Projektudgifter!$W:$W,B119&amp;C119&amp;D119&amp;E119,Projektudgifter!$T:$T,F119)</f>
        <v>0</v>
      </c>
    </row>
    <row r="120" spans="2:24" ht="14.25" customHeight="1" x14ac:dyDescent="0.25">
      <c r="B120" t="s">
        <v>318</v>
      </c>
      <c r="C120" t="s">
        <v>1180</v>
      </c>
      <c r="D120" t="s">
        <v>693</v>
      </c>
      <c r="E120">
        <v>2013</v>
      </c>
      <c r="F120" t="s">
        <v>680</v>
      </c>
      <c r="H120" t="s">
        <v>1194</v>
      </c>
      <c r="S120">
        <f>SUMIFS(Projektudgifter!$AG:$AG,Projektudgifter!$W:$W,B120&amp;C120&amp;D120&amp;E120,Projektudgifter!$S:$S,F120)</f>
        <v>0</v>
      </c>
      <c r="T120">
        <f>SUMIFS(Projektudgifter!$AH:$AH,Projektudgifter!$W:$W,B120&amp;C120&amp;D120&amp;E120,Projektudgifter!$T:$T,F120)</f>
        <v>0</v>
      </c>
      <c r="U120">
        <f>SUMIFS(Projektudgifter!$AI:$AI,Projektudgifter!$W:$W,B120&amp;C120&amp;D120&amp;E120,Projektudgifter!$S:$S,F120)</f>
        <v>0</v>
      </c>
      <c r="V120">
        <f>SUMIFS(Projektudgifter!$AJ:$AJ,Projektudgifter!$W:$W,B120&amp;C120&amp;D120&amp;E120,Projektudgifter!$T:$T,F120)</f>
        <v>0</v>
      </c>
      <c r="W120">
        <f>SUMIFS(Projektudgifter!$AK:$AK,Projektudgifter!$W:$W,B120&amp;C120&amp;D120&amp;E120,Projektudgifter!$S:$S,F120)</f>
        <v>0</v>
      </c>
      <c r="X120">
        <f>SUMIFS(Projektudgifter!$AL:$AL,Projektudgifter!$W:$W,B120&amp;C120&amp;D120&amp;E120,Projektudgifter!$T:$T,F120)</f>
        <v>0</v>
      </c>
    </row>
    <row r="121" spans="2:24" ht="14.25" customHeight="1" x14ac:dyDescent="0.25">
      <c r="B121" t="s">
        <v>318</v>
      </c>
      <c r="C121" t="s">
        <v>1180</v>
      </c>
      <c r="D121" t="s">
        <v>693</v>
      </c>
      <c r="E121">
        <v>2013</v>
      </c>
      <c r="N121">
        <f>SUMIFS(Projektudgifter!$Y:$Y,Projektudgifter!$W:$W,B121&amp;C121&amp;D121&amp;E121)</f>
        <v>0</v>
      </c>
      <c r="O121">
        <f>SUMIFS(Projektudgifter!$Z:$Z,Projektudgifter!$W:$W,B121&amp;C121&amp;D121&amp;E121)</f>
        <v>0</v>
      </c>
      <c r="P121">
        <f>SUMIFS(Projektudgifter!$AA:$AA,Projektudgifter!$W:$W,B121&amp;C121&amp;D121&amp;E121)</f>
        <v>0</v>
      </c>
      <c r="Q121">
        <f>SUMIFS(Projektudgifter!$AB:$AB,Projektudgifter!$W:$W,B121&amp;C121&amp;D121&amp;E121)</f>
        <v>0</v>
      </c>
      <c r="R121">
        <f>SUMIFS(Projektudgifter!$AC:$AC,Projektudgifter!$W:$W,B121&amp;C121&amp;D121&amp;E121)</f>
        <v>0</v>
      </c>
      <c r="S121">
        <f>SUMIFS(Projektudgifter!$AG:$AG,Projektudgifter!$W:$W,B121&amp;C121&amp;D121&amp;E121,Projektudgifter!$S:$S,"")</f>
        <v>0</v>
      </c>
      <c r="U121">
        <f>SUMIFS(Projektudgifter!$AI:$AI,Projektudgifter!$W:$W,B121&amp;C121&amp;D121&amp;E121,Projektudgifter!$S:$S,"")</f>
        <v>0</v>
      </c>
      <c r="W121">
        <f>SUMIFS(Projektudgifter!$AK:$AK,Projektudgifter!$W:$W,B121&amp;C121&amp;D121&amp;E121,Projektudgifter!$S:$S,"")</f>
        <v>0</v>
      </c>
    </row>
    <row r="122" spans="2:24" ht="14.25" customHeight="1" x14ac:dyDescent="0.25">
      <c r="B122" t="s">
        <v>318</v>
      </c>
      <c r="C122" t="s">
        <v>1180</v>
      </c>
      <c r="D122" t="s">
        <v>693</v>
      </c>
      <c r="E122">
        <v>2014</v>
      </c>
      <c r="F122" t="s">
        <v>1361</v>
      </c>
      <c r="H122" t="s">
        <v>1194</v>
      </c>
      <c r="S122">
        <f>SUMIFS(Projektudgifter!$AG:$AG,Projektudgifter!$W:$W,B122&amp;C122&amp;D122&amp;E122,Projektudgifter!$S:$S,F122)</f>
        <v>0</v>
      </c>
      <c r="T122">
        <f>SUMIFS(Projektudgifter!$AH:$AH,Projektudgifter!$W:$W,B122&amp;C122&amp;D122&amp;E122,Projektudgifter!$T:$T,F122)</f>
        <v>0</v>
      </c>
      <c r="U122">
        <f>SUMIFS(Projektudgifter!$AI:$AI,Projektudgifter!$W:$W,B122&amp;C122&amp;D122&amp;E122,Projektudgifter!$S:$S,F122)</f>
        <v>0</v>
      </c>
      <c r="V122">
        <f>SUMIFS(Projektudgifter!$AJ:$AJ,Projektudgifter!$W:$W,B122&amp;C122&amp;D122&amp;E122,Projektudgifter!$T:$T,F122)</f>
        <v>0</v>
      </c>
      <c r="W122">
        <f>SUMIFS(Projektudgifter!$AK:$AK,Projektudgifter!$W:$W,B122&amp;C122&amp;D122&amp;E122,Projektudgifter!$S:$S,F122)</f>
        <v>0</v>
      </c>
      <c r="X122">
        <f>SUMIFS(Projektudgifter!$AL:$AL,Projektudgifter!$W:$W,B122&amp;C122&amp;D122&amp;E122,Projektudgifter!$T:$T,F122)</f>
        <v>0</v>
      </c>
    </row>
    <row r="123" spans="2:24" ht="14.25" customHeight="1" x14ac:dyDescent="0.25">
      <c r="B123" t="s">
        <v>318</v>
      </c>
      <c r="C123" t="s">
        <v>1180</v>
      </c>
      <c r="D123" t="s">
        <v>693</v>
      </c>
      <c r="E123">
        <v>2014</v>
      </c>
      <c r="F123" t="s">
        <v>680</v>
      </c>
      <c r="H123" t="s">
        <v>1194</v>
      </c>
      <c r="S123">
        <f>SUMIFS(Projektudgifter!$AG:$AG,Projektudgifter!$W:$W,B123&amp;C123&amp;D123&amp;E123,Projektudgifter!$S:$S,F123)</f>
        <v>0</v>
      </c>
      <c r="T123">
        <f>SUMIFS(Projektudgifter!$AH:$AH,Projektudgifter!$W:$W,B123&amp;C123&amp;D123&amp;E123,Projektudgifter!$T:$T,F123)</f>
        <v>0</v>
      </c>
      <c r="U123">
        <f>SUMIFS(Projektudgifter!$AI:$AI,Projektudgifter!$W:$W,B123&amp;C123&amp;D123&amp;E123,Projektudgifter!$S:$S,F123)</f>
        <v>0</v>
      </c>
      <c r="V123">
        <f>SUMIFS(Projektudgifter!$AJ:$AJ,Projektudgifter!$W:$W,B123&amp;C123&amp;D123&amp;E123,Projektudgifter!$T:$T,F123)</f>
        <v>0</v>
      </c>
      <c r="W123">
        <f>SUMIFS(Projektudgifter!$AK:$AK,Projektudgifter!$W:$W,B123&amp;C123&amp;D123&amp;E123,Projektudgifter!$S:$S,F123)</f>
        <v>0</v>
      </c>
      <c r="X123">
        <f>SUMIFS(Projektudgifter!$AL:$AL,Projektudgifter!$W:$W,B123&amp;C123&amp;D123&amp;E123,Projektudgifter!$T:$T,F123)</f>
        <v>0</v>
      </c>
    </row>
    <row r="124" spans="2:24" ht="14.25" customHeight="1" x14ac:dyDescent="0.25">
      <c r="B124" t="s">
        <v>318</v>
      </c>
      <c r="C124" t="s">
        <v>1180</v>
      </c>
      <c r="D124" t="s">
        <v>693</v>
      </c>
      <c r="E124">
        <v>2014</v>
      </c>
      <c r="N124">
        <f>SUMIFS(Projektudgifter!$Y:$Y,Projektudgifter!$W:$W,B124&amp;C124&amp;D124&amp;E124)</f>
        <v>0</v>
      </c>
      <c r="O124">
        <f>SUMIFS(Projektudgifter!$Z:$Z,Projektudgifter!$W:$W,B124&amp;C124&amp;D124&amp;E124)</f>
        <v>0</v>
      </c>
      <c r="P124">
        <f>SUMIFS(Projektudgifter!$AA:$AA,Projektudgifter!$W:$W,B124&amp;C124&amp;D124&amp;E124)</f>
        <v>0</v>
      </c>
      <c r="Q124">
        <f>SUMIFS(Projektudgifter!$AB:$AB,Projektudgifter!$W:$W,B124&amp;C124&amp;D124&amp;E124)</f>
        <v>0</v>
      </c>
      <c r="R124">
        <f>SUMIFS(Projektudgifter!$AC:$AC,Projektudgifter!$W:$W,B124&amp;C124&amp;D124&amp;E124)</f>
        <v>0</v>
      </c>
      <c r="S124">
        <f>SUMIFS(Projektudgifter!$AG:$AG,Projektudgifter!$W:$W,B124&amp;C124&amp;D124&amp;E124,Projektudgifter!$S:$S,"")</f>
        <v>0</v>
      </c>
      <c r="U124">
        <f>SUMIFS(Projektudgifter!$AI:$AI,Projektudgifter!$W:$W,B124&amp;C124&amp;D124&amp;E124,Projektudgifter!$S:$S,"")</f>
        <v>0</v>
      </c>
      <c r="W124">
        <f>SUMIFS(Projektudgifter!$AK:$AK,Projektudgifter!$W:$W,B124&amp;C124&amp;D124&amp;E124,Projektudgifter!$S:$S,"")</f>
        <v>0</v>
      </c>
    </row>
    <row r="125" spans="2:24" ht="14.25" customHeight="1" x14ac:dyDescent="0.25">
      <c r="B125" t="s">
        <v>318</v>
      </c>
      <c r="C125" t="s">
        <v>1181</v>
      </c>
      <c r="D125" t="s">
        <v>693</v>
      </c>
      <c r="E125">
        <v>2013</v>
      </c>
      <c r="F125" t="s">
        <v>1361</v>
      </c>
      <c r="H125" t="s">
        <v>1194</v>
      </c>
      <c r="S125">
        <f>SUMIFS(Projektudgifter!$AG:$AG,Projektudgifter!$W:$W,B125&amp;C125&amp;D125&amp;E125,Projektudgifter!$S:$S,F125)</f>
        <v>0</v>
      </c>
      <c r="T125">
        <f>SUMIFS(Projektudgifter!$AH:$AH,Projektudgifter!$W:$W,B125&amp;C125&amp;D125&amp;E125,Projektudgifter!$T:$T,F125)</f>
        <v>0</v>
      </c>
      <c r="U125">
        <f>SUMIFS(Projektudgifter!$AI:$AI,Projektudgifter!$W:$W,B125&amp;C125&amp;D125&amp;E125,Projektudgifter!$S:$S,F125)</f>
        <v>0</v>
      </c>
      <c r="V125">
        <f>SUMIFS(Projektudgifter!$AJ:$AJ,Projektudgifter!$W:$W,B125&amp;C125&amp;D125&amp;E125,Projektudgifter!$T:$T,F125)</f>
        <v>0</v>
      </c>
      <c r="W125">
        <f>SUMIFS(Projektudgifter!$AK:$AK,Projektudgifter!$W:$W,B125&amp;C125&amp;D125&amp;E125,Projektudgifter!$S:$S,F125)</f>
        <v>0</v>
      </c>
      <c r="X125">
        <f>SUMIFS(Projektudgifter!$AL:$AL,Projektudgifter!$W:$W,B125&amp;C125&amp;D125&amp;E125,Projektudgifter!$T:$T,F125)</f>
        <v>0</v>
      </c>
    </row>
    <row r="126" spans="2:24" ht="14.25" customHeight="1" x14ac:dyDescent="0.25">
      <c r="B126" t="s">
        <v>318</v>
      </c>
      <c r="C126" t="s">
        <v>1181</v>
      </c>
      <c r="D126" t="s">
        <v>693</v>
      </c>
      <c r="E126">
        <v>2013</v>
      </c>
      <c r="F126" t="s">
        <v>680</v>
      </c>
      <c r="H126" t="s">
        <v>1194</v>
      </c>
      <c r="S126">
        <f>SUMIFS(Projektudgifter!$AG:$AG,Projektudgifter!$W:$W,B126&amp;C126&amp;D126&amp;E126,Projektudgifter!$S:$S,F126)</f>
        <v>0</v>
      </c>
      <c r="T126">
        <f>SUMIFS(Projektudgifter!$AH:$AH,Projektudgifter!$W:$W,B126&amp;C126&amp;D126&amp;E126,Projektudgifter!$T:$T,F126)</f>
        <v>0</v>
      </c>
      <c r="U126">
        <f>SUMIFS(Projektudgifter!$AI:$AI,Projektudgifter!$W:$W,B126&amp;C126&amp;D126&amp;E126,Projektudgifter!$S:$S,F126)</f>
        <v>0</v>
      </c>
      <c r="V126">
        <f>SUMIFS(Projektudgifter!$AJ:$AJ,Projektudgifter!$W:$W,B126&amp;C126&amp;D126&amp;E126,Projektudgifter!$T:$T,F126)</f>
        <v>0</v>
      </c>
      <c r="W126">
        <f>SUMIFS(Projektudgifter!$AK:$AK,Projektudgifter!$W:$W,B126&amp;C126&amp;D126&amp;E126,Projektudgifter!$S:$S,F126)</f>
        <v>0</v>
      </c>
      <c r="X126">
        <f>SUMIFS(Projektudgifter!$AL:$AL,Projektudgifter!$W:$W,B126&amp;C126&amp;D126&amp;E126,Projektudgifter!$T:$T,F126)</f>
        <v>0</v>
      </c>
    </row>
    <row r="127" spans="2:24" ht="14.25" customHeight="1" x14ac:dyDescent="0.25">
      <c r="B127" t="s">
        <v>318</v>
      </c>
      <c r="C127" t="s">
        <v>1181</v>
      </c>
      <c r="D127" t="s">
        <v>693</v>
      </c>
      <c r="E127">
        <v>2013</v>
      </c>
      <c r="N127">
        <f>SUMIFS(Projektudgifter!$Y:$Y,Projektudgifter!$W:$W,B127&amp;C127&amp;D127&amp;E127)</f>
        <v>0</v>
      </c>
      <c r="O127">
        <f>SUMIFS(Projektudgifter!$Z:$Z,Projektudgifter!$W:$W,B127&amp;C127&amp;D127&amp;E127)</f>
        <v>0</v>
      </c>
      <c r="P127">
        <f>SUMIFS(Projektudgifter!$AA:$AA,Projektudgifter!$W:$W,B127&amp;C127&amp;D127&amp;E127)</f>
        <v>0</v>
      </c>
      <c r="Q127">
        <f>SUMIFS(Projektudgifter!$AB:$AB,Projektudgifter!$W:$W,B127&amp;C127&amp;D127&amp;E127)</f>
        <v>0</v>
      </c>
      <c r="R127">
        <f>SUMIFS(Projektudgifter!$AC:$AC,Projektudgifter!$W:$W,B127&amp;C127&amp;D127&amp;E127)</f>
        <v>0</v>
      </c>
      <c r="S127">
        <f>SUMIFS(Projektudgifter!$AG:$AG,Projektudgifter!$W:$W,B127&amp;C127&amp;D127&amp;E127,Projektudgifter!$S:$S,"")</f>
        <v>0</v>
      </c>
      <c r="U127">
        <f>SUMIFS(Projektudgifter!$AI:$AI,Projektudgifter!$W:$W,B127&amp;C127&amp;D127&amp;E127,Projektudgifter!$S:$S,"")</f>
        <v>0</v>
      </c>
      <c r="W127">
        <f>SUMIFS(Projektudgifter!$AK:$AK,Projektudgifter!$W:$W,B127&amp;C127&amp;D127&amp;E127,Projektudgifter!$S:$S,"")</f>
        <v>0</v>
      </c>
    </row>
    <row r="128" spans="2:24" ht="14.25" customHeight="1" x14ac:dyDescent="0.25">
      <c r="B128" t="s">
        <v>318</v>
      </c>
      <c r="C128" t="s">
        <v>1181</v>
      </c>
      <c r="D128" t="s">
        <v>693</v>
      </c>
      <c r="E128">
        <v>2014</v>
      </c>
      <c r="F128" t="s">
        <v>1361</v>
      </c>
      <c r="H128" t="s">
        <v>1194</v>
      </c>
      <c r="S128">
        <f>SUMIFS(Projektudgifter!$AG:$AG,Projektudgifter!$W:$W,B128&amp;C128&amp;D128&amp;E128,Projektudgifter!$S:$S,F128)</f>
        <v>0</v>
      </c>
      <c r="T128">
        <f>SUMIFS(Projektudgifter!$AH:$AH,Projektudgifter!$W:$W,B128&amp;C128&amp;D128&amp;E128,Projektudgifter!$T:$T,F128)</f>
        <v>0</v>
      </c>
      <c r="U128">
        <f>SUMIFS(Projektudgifter!$AI:$AI,Projektudgifter!$W:$W,B128&amp;C128&amp;D128&amp;E128,Projektudgifter!$S:$S,F128)</f>
        <v>0</v>
      </c>
      <c r="V128">
        <f>SUMIFS(Projektudgifter!$AJ:$AJ,Projektudgifter!$W:$W,B128&amp;C128&amp;D128&amp;E128,Projektudgifter!$T:$T,F128)</f>
        <v>0</v>
      </c>
      <c r="W128">
        <f>SUMIFS(Projektudgifter!$AK:$AK,Projektudgifter!$W:$W,B128&amp;C128&amp;D128&amp;E128,Projektudgifter!$S:$S,F128)</f>
        <v>0</v>
      </c>
      <c r="X128">
        <f>SUMIFS(Projektudgifter!$AL:$AL,Projektudgifter!$W:$W,B128&amp;C128&amp;D128&amp;E128,Projektudgifter!$T:$T,F128)</f>
        <v>0</v>
      </c>
    </row>
    <row r="129" spans="2:24" ht="14.25" customHeight="1" x14ac:dyDescent="0.25">
      <c r="B129" t="s">
        <v>318</v>
      </c>
      <c r="C129" t="s">
        <v>1181</v>
      </c>
      <c r="D129" t="s">
        <v>693</v>
      </c>
      <c r="E129">
        <v>2014</v>
      </c>
      <c r="F129" t="s">
        <v>680</v>
      </c>
      <c r="H129" t="s">
        <v>1194</v>
      </c>
      <c r="S129">
        <f>SUMIFS(Projektudgifter!$AG:$AG,Projektudgifter!$W:$W,B129&amp;C129&amp;D129&amp;E129,Projektudgifter!$S:$S,F129)</f>
        <v>0</v>
      </c>
      <c r="T129">
        <f>SUMIFS(Projektudgifter!$AH:$AH,Projektudgifter!$W:$W,B129&amp;C129&amp;D129&amp;E129,Projektudgifter!$T:$T,F129)</f>
        <v>0</v>
      </c>
      <c r="U129">
        <f>SUMIFS(Projektudgifter!$AI:$AI,Projektudgifter!$W:$W,B129&amp;C129&amp;D129&amp;E129,Projektudgifter!$S:$S,F129)</f>
        <v>0</v>
      </c>
      <c r="V129">
        <f>SUMIFS(Projektudgifter!$AJ:$AJ,Projektudgifter!$W:$W,B129&amp;C129&amp;D129&amp;E129,Projektudgifter!$T:$T,F129)</f>
        <v>0</v>
      </c>
      <c r="W129">
        <f>SUMIFS(Projektudgifter!$AK:$AK,Projektudgifter!$W:$W,B129&amp;C129&amp;D129&amp;E129,Projektudgifter!$S:$S,F129)</f>
        <v>0</v>
      </c>
      <c r="X129">
        <f>SUMIFS(Projektudgifter!$AL:$AL,Projektudgifter!$W:$W,B129&amp;C129&amp;D129&amp;E129,Projektudgifter!$T:$T,F129)</f>
        <v>0</v>
      </c>
    </row>
    <row r="130" spans="2:24" ht="14.25" customHeight="1" x14ac:dyDescent="0.25">
      <c r="B130" t="s">
        <v>318</v>
      </c>
      <c r="C130" t="s">
        <v>1181</v>
      </c>
      <c r="D130" t="s">
        <v>693</v>
      </c>
      <c r="E130">
        <v>2014</v>
      </c>
      <c r="N130">
        <f>SUMIFS(Projektudgifter!$Y:$Y,Projektudgifter!$W:$W,B130&amp;C130&amp;D130&amp;E130)</f>
        <v>0</v>
      </c>
      <c r="O130">
        <f>SUMIFS(Projektudgifter!$Z:$Z,Projektudgifter!$W:$W,B130&amp;C130&amp;D130&amp;E130)</f>
        <v>0</v>
      </c>
      <c r="P130">
        <f>SUMIFS(Projektudgifter!$AA:$AA,Projektudgifter!$W:$W,B130&amp;C130&amp;D130&amp;E130)</f>
        <v>0</v>
      </c>
      <c r="Q130">
        <f>SUMIFS(Projektudgifter!$AB:$AB,Projektudgifter!$W:$W,B130&amp;C130&amp;D130&amp;E130)</f>
        <v>0</v>
      </c>
      <c r="R130">
        <f>SUMIFS(Projektudgifter!$AC:$AC,Projektudgifter!$W:$W,B130&amp;C130&amp;D130&amp;E130)</f>
        <v>0</v>
      </c>
      <c r="S130">
        <f>SUMIFS(Projektudgifter!$AG:$AG,Projektudgifter!$W:$W,B130&amp;C130&amp;D130&amp;E130,Projektudgifter!$S:$S,"")</f>
        <v>0</v>
      </c>
      <c r="U130">
        <f>SUMIFS(Projektudgifter!$AI:$AI,Projektudgifter!$W:$W,B130&amp;C130&amp;D130&amp;E130,Projektudgifter!$S:$S,"")</f>
        <v>0</v>
      </c>
      <c r="W130">
        <f>SUMIFS(Projektudgifter!$AK:$AK,Projektudgifter!$W:$W,B130&amp;C130&amp;D130&amp;E130,Projektudgifter!$S:$S,"")</f>
        <v>0</v>
      </c>
    </row>
    <row r="131" spans="2:24" ht="14.25" customHeight="1" x14ac:dyDescent="0.25">
      <c r="B131" t="s">
        <v>318</v>
      </c>
      <c r="C131" t="s">
        <v>1182</v>
      </c>
      <c r="D131" t="s">
        <v>693</v>
      </c>
      <c r="E131">
        <v>2013</v>
      </c>
      <c r="F131" t="s">
        <v>1361</v>
      </c>
      <c r="H131" t="s">
        <v>1194</v>
      </c>
      <c r="S131">
        <f>SUMIFS(Projektudgifter!$AG:$AG,Projektudgifter!$W:$W,B131&amp;C131&amp;D131&amp;E131,Projektudgifter!$S:$S,F131)</f>
        <v>0</v>
      </c>
      <c r="T131">
        <f>SUMIFS(Projektudgifter!$AH:$AH,Projektudgifter!$W:$W,B131&amp;C131&amp;D131&amp;E131,Projektudgifter!$T:$T,F131)</f>
        <v>0</v>
      </c>
      <c r="U131">
        <f>SUMIFS(Projektudgifter!$AI:$AI,Projektudgifter!$W:$W,B131&amp;C131&amp;D131&amp;E131,Projektudgifter!$S:$S,F131)</f>
        <v>0</v>
      </c>
      <c r="V131">
        <f>SUMIFS(Projektudgifter!$AJ:$AJ,Projektudgifter!$W:$W,B131&amp;C131&amp;D131&amp;E131,Projektudgifter!$T:$T,F131)</f>
        <v>0</v>
      </c>
      <c r="W131">
        <f>SUMIFS(Projektudgifter!$AK:$AK,Projektudgifter!$W:$W,B131&amp;C131&amp;D131&amp;E131,Projektudgifter!$S:$S,F131)</f>
        <v>0</v>
      </c>
      <c r="X131">
        <f>SUMIFS(Projektudgifter!$AL:$AL,Projektudgifter!$W:$W,B131&amp;C131&amp;D131&amp;E131,Projektudgifter!$T:$T,F131)</f>
        <v>0</v>
      </c>
    </row>
    <row r="132" spans="2:24" ht="14.25" customHeight="1" x14ac:dyDescent="0.25">
      <c r="B132" t="s">
        <v>318</v>
      </c>
      <c r="C132" t="s">
        <v>1182</v>
      </c>
      <c r="D132" t="s">
        <v>693</v>
      </c>
      <c r="E132">
        <v>2013</v>
      </c>
      <c r="F132" t="s">
        <v>680</v>
      </c>
      <c r="H132" t="s">
        <v>1194</v>
      </c>
      <c r="S132">
        <f>SUMIFS(Projektudgifter!$AG:$AG,Projektudgifter!$W:$W,B132&amp;C132&amp;D132&amp;E132,Projektudgifter!$S:$S,F132)</f>
        <v>0</v>
      </c>
      <c r="T132">
        <f>SUMIFS(Projektudgifter!$AH:$AH,Projektudgifter!$W:$W,B132&amp;C132&amp;D132&amp;E132,Projektudgifter!$T:$T,F132)</f>
        <v>0</v>
      </c>
      <c r="U132">
        <f>SUMIFS(Projektudgifter!$AI:$AI,Projektudgifter!$W:$W,B132&amp;C132&amp;D132&amp;E132,Projektudgifter!$S:$S,F132)</f>
        <v>0</v>
      </c>
      <c r="V132">
        <f>SUMIFS(Projektudgifter!$AJ:$AJ,Projektudgifter!$W:$W,B132&amp;C132&amp;D132&amp;E132,Projektudgifter!$T:$T,F132)</f>
        <v>0</v>
      </c>
      <c r="W132">
        <f>SUMIFS(Projektudgifter!$AK:$AK,Projektudgifter!$W:$W,B132&amp;C132&amp;D132&amp;E132,Projektudgifter!$S:$S,F132)</f>
        <v>0</v>
      </c>
      <c r="X132">
        <f>SUMIFS(Projektudgifter!$AL:$AL,Projektudgifter!$W:$W,B132&amp;C132&amp;D132&amp;E132,Projektudgifter!$T:$T,F132)</f>
        <v>0</v>
      </c>
    </row>
    <row r="133" spans="2:24" ht="14.25" customHeight="1" x14ac:dyDescent="0.25">
      <c r="B133" t="s">
        <v>318</v>
      </c>
      <c r="C133" t="s">
        <v>1182</v>
      </c>
      <c r="D133" t="s">
        <v>693</v>
      </c>
      <c r="E133">
        <v>2013</v>
      </c>
      <c r="N133">
        <f>SUMIFS(Projektudgifter!$Y:$Y,Projektudgifter!$W:$W,B133&amp;C133&amp;D133&amp;E133)</f>
        <v>0</v>
      </c>
      <c r="O133">
        <f>SUMIFS(Projektudgifter!$Z:$Z,Projektudgifter!$W:$W,B133&amp;C133&amp;D133&amp;E133)</f>
        <v>0</v>
      </c>
      <c r="P133">
        <f>SUMIFS(Projektudgifter!$AA:$AA,Projektudgifter!$W:$W,B133&amp;C133&amp;D133&amp;E133)</f>
        <v>0</v>
      </c>
      <c r="Q133">
        <f>SUMIFS(Projektudgifter!$AB:$AB,Projektudgifter!$W:$W,B133&amp;C133&amp;D133&amp;E133)</f>
        <v>0</v>
      </c>
      <c r="R133">
        <f>SUMIFS(Projektudgifter!$AC:$AC,Projektudgifter!$W:$W,B133&amp;C133&amp;D133&amp;E133)</f>
        <v>0</v>
      </c>
      <c r="S133">
        <f>SUMIFS(Projektudgifter!$AG:$AG,Projektudgifter!$W:$W,B133&amp;C133&amp;D133&amp;E133,Projektudgifter!$S:$S,"")</f>
        <v>0</v>
      </c>
      <c r="U133">
        <f>SUMIFS(Projektudgifter!$AI:$AI,Projektudgifter!$W:$W,B133&amp;C133&amp;D133&amp;E133,Projektudgifter!$S:$S,"")</f>
        <v>0</v>
      </c>
      <c r="W133">
        <f>SUMIFS(Projektudgifter!$AK:$AK,Projektudgifter!$W:$W,B133&amp;C133&amp;D133&amp;E133,Projektudgifter!$S:$S,"")</f>
        <v>0</v>
      </c>
    </row>
    <row r="134" spans="2:24" ht="14.25" customHeight="1" x14ac:dyDescent="0.25">
      <c r="B134" t="s">
        <v>318</v>
      </c>
      <c r="C134" t="s">
        <v>1182</v>
      </c>
      <c r="D134" t="s">
        <v>693</v>
      </c>
      <c r="E134">
        <v>2014</v>
      </c>
      <c r="F134" t="s">
        <v>1361</v>
      </c>
      <c r="H134" t="s">
        <v>1194</v>
      </c>
      <c r="S134">
        <f>SUMIFS(Projektudgifter!$AG:$AG,Projektudgifter!$W:$W,B134&amp;C134&amp;D134&amp;E134,Projektudgifter!$S:$S,F134)</f>
        <v>0</v>
      </c>
      <c r="T134">
        <f>SUMIFS(Projektudgifter!$AH:$AH,Projektudgifter!$W:$W,B134&amp;C134&amp;D134&amp;E134,Projektudgifter!$T:$T,F134)</f>
        <v>0</v>
      </c>
      <c r="U134">
        <f>SUMIFS(Projektudgifter!$AI:$AI,Projektudgifter!$W:$W,B134&amp;C134&amp;D134&amp;E134,Projektudgifter!$S:$S,F134)</f>
        <v>0</v>
      </c>
      <c r="V134">
        <f>SUMIFS(Projektudgifter!$AJ:$AJ,Projektudgifter!$W:$W,B134&amp;C134&amp;D134&amp;E134,Projektudgifter!$T:$T,F134)</f>
        <v>0</v>
      </c>
      <c r="W134">
        <f>SUMIFS(Projektudgifter!$AK:$AK,Projektudgifter!$W:$W,B134&amp;C134&amp;D134&amp;E134,Projektudgifter!$S:$S,F134)</f>
        <v>0</v>
      </c>
      <c r="X134">
        <f>SUMIFS(Projektudgifter!$AL:$AL,Projektudgifter!$W:$W,B134&amp;C134&amp;D134&amp;E134,Projektudgifter!$T:$T,F134)</f>
        <v>0</v>
      </c>
    </row>
    <row r="135" spans="2:24" ht="14.25" customHeight="1" x14ac:dyDescent="0.25">
      <c r="B135" t="s">
        <v>318</v>
      </c>
      <c r="C135" t="s">
        <v>1182</v>
      </c>
      <c r="D135" t="s">
        <v>693</v>
      </c>
      <c r="E135">
        <v>2014</v>
      </c>
      <c r="F135" t="s">
        <v>680</v>
      </c>
      <c r="H135" t="s">
        <v>1194</v>
      </c>
      <c r="S135">
        <f>SUMIFS(Projektudgifter!$AG:$AG,Projektudgifter!$W:$W,B135&amp;C135&amp;D135&amp;E135,Projektudgifter!$S:$S,F135)</f>
        <v>0</v>
      </c>
      <c r="T135">
        <f>SUMIFS(Projektudgifter!$AH:$AH,Projektudgifter!$W:$W,B135&amp;C135&amp;D135&amp;E135,Projektudgifter!$T:$T,F135)</f>
        <v>0</v>
      </c>
      <c r="U135">
        <f>SUMIFS(Projektudgifter!$AI:$AI,Projektudgifter!$W:$W,B135&amp;C135&amp;D135&amp;E135,Projektudgifter!$S:$S,F135)</f>
        <v>0</v>
      </c>
      <c r="V135">
        <f>SUMIFS(Projektudgifter!$AJ:$AJ,Projektudgifter!$W:$W,B135&amp;C135&amp;D135&amp;E135,Projektudgifter!$T:$T,F135)</f>
        <v>0</v>
      </c>
      <c r="W135">
        <f>SUMIFS(Projektudgifter!$AK:$AK,Projektudgifter!$W:$W,B135&amp;C135&amp;D135&amp;E135,Projektudgifter!$S:$S,F135)</f>
        <v>0</v>
      </c>
      <c r="X135">
        <f>SUMIFS(Projektudgifter!$AL:$AL,Projektudgifter!$W:$W,B135&amp;C135&amp;D135&amp;E135,Projektudgifter!$T:$T,F135)</f>
        <v>0</v>
      </c>
    </row>
    <row r="136" spans="2:24" ht="14.25" customHeight="1" x14ac:dyDescent="0.25">
      <c r="B136" t="s">
        <v>318</v>
      </c>
      <c r="C136" t="s">
        <v>1182</v>
      </c>
      <c r="D136" t="s">
        <v>693</v>
      </c>
      <c r="E136">
        <v>2014</v>
      </c>
      <c r="N136">
        <f>SUMIFS(Projektudgifter!$Y:$Y,Projektudgifter!$W:$W,B136&amp;C136&amp;D136&amp;E136)</f>
        <v>0</v>
      </c>
      <c r="O136">
        <f>SUMIFS(Projektudgifter!$Z:$Z,Projektudgifter!$W:$W,B136&amp;C136&amp;D136&amp;E136)</f>
        <v>0</v>
      </c>
      <c r="P136">
        <f>SUMIFS(Projektudgifter!$AA:$AA,Projektudgifter!$W:$W,B136&amp;C136&amp;D136&amp;E136)</f>
        <v>0</v>
      </c>
      <c r="Q136">
        <f>SUMIFS(Projektudgifter!$AB:$AB,Projektudgifter!$W:$W,B136&amp;C136&amp;D136&amp;E136)</f>
        <v>0</v>
      </c>
      <c r="R136">
        <f>SUMIFS(Projektudgifter!$AC:$AC,Projektudgifter!$W:$W,B136&amp;C136&amp;D136&amp;E136)</f>
        <v>0</v>
      </c>
      <c r="S136">
        <f>SUMIFS(Projektudgifter!$AG:$AG,Projektudgifter!$W:$W,B136&amp;C136&amp;D136&amp;E136,Projektudgifter!$S:$S,"")</f>
        <v>0</v>
      </c>
      <c r="U136">
        <f>SUMIFS(Projektudgifter!$AI:$AI,Projektudgifter!$W:$W,B136&amp;C136&amp;D136&amp;E136,Projektudgifter!$S:$S,"")</f>
        <v>0</v>
      </c>
      <c r="W136">
        <f>SUMIFS(Projektudgifter!$AK:$AK,Projektudgifter!$W:$W,B136&amp;C136&amp;D136&amp;E136,Projektudgifter!$S:$S,"")</f>
        <v>0</v>
      </c>
    </row>
    <row r="137" spans="2:24" ht="14.25" customHeight="1" x14ac:dyDescent="0.25">
      <c r="B137" t="s">
        <v>318</v>
      </c>
      <c r="C137" t="s">
        <v>1183</v>
      </c>
      <c r="D137" t="s">
        <v>693</v>
      </c>
      <c r="E137">
        <v>2013</v>
      </c>
      <c r="F137" t="s">
        <v>1361</v>
      </c>
      <c r="H137" t="s">
        <v>1194</v>
      </c>
      <c r="S137">
        <f>SUMIFS(Projektudgifter!$AG:$AG,Projektudgifter!$W:$W,B137&amp;C137&amp;D137&amp;E137,Projektudgifter!$S:$S,F137)</f>
        <v>0</v>
      </c>
      <c r="T137">
        <f>SUMIFS(Projektudgifter!$AH:$AH,Projektudgifter!$W:$W,B137&amp;C137&amp;D137&amp;E137,Projektudgifter!$T:$T,F137)</f>
        <v>0</v>
      </c>
      <c r="U137">
        <f>SUMIFS(Projektudgifter!$AI:$AI,Projektudgifter!$W:$W,B137&amp;C137&amp;D137&amp;E137,Projektudgifter!$S:$S,F137)</f>
        <v>0</v>
      </c>
      <c r="V137">
        <f>SUMIFS(Projektudgifter!$AJ:$AJ,Projektudgifter!$W:$W,B137&amp;C137&amp;D137&amp;E137,Projektudgifter!$T:$T,F137)</f>
        <v>0</v>
      </c>
      <c r="W137">
        <f>SUMIFS(Projektudgifter!$AK:$AK,Projektudgifter!$W:$W,B137&amp;C137&amp;D137&amp;E137,Projektudgifter!$S:$S,F137)</f>
        <v>0</v>
      </c>
      <c r="X137">
        <f>SUMIFS(Projektudgifter!$AL:$AL,Projektudgifter!$W:$W,B137&amp;C137&amp;D137&amp;E137,Projektudgifter!$T:$T,F137)</f>
        <v>0</v>
      </c>
    </row>
    <row r="138" spans="2:24" ht="14.25" customHeight="1" x14ac:dyDescent="0.25">
      <c r="B138" t="s">
        <v>318</v>
      </c>
      <c r="C138" t="s">
        <v>1183</v>
      </c>
      <c r="D138" t="s">
        <v>693</v>
      </c>
      <c r="E138">
        <v>2013</v>
      </c>
      <c r="F138" t="s">
        <v>680</v>
      </c>
      <c r="H138" t="s">
        <v>1194</v>
      </c>
      <c r="S138">
        <f>SUMIFS(Projektudgifter!$AG:$AG,Projektudgifter!$W:$W,B138&amp;C138&amp;D138&amp;E138,Projektudgifter!$S:$S,F138)</f>
        <v>0</v>
      </c>
      <c r="T138">
        <f>SUMIFS(Projektudgifter!$AH:$AH,Projektudgifter!$W:$W,B138&amp;C138&amp;D138&amp;E138,Projektudgifter!$T:$T,F138)</f>
        <v>0</v>
      </c>
      <c r="U138">
        <f>SUMIFS(Projektudgifter!$AI:$AI,Projektudgifter!$W:$W,B138&amp;C138&amp;D138&amp;E138,Projektudgifter!$S:$S,F138)</f>
        <v>0</v>
      </c>
      <c r="V138">
        <f>SUMIFS(Projektudgifter!$AJ:$AJ,Projektudgifter!$W:$W,B138&amp;C138&amp;D138&amp;E138,Projektudgifter!$T:$T,F138)</f>
        <v>0</v>
      </c>
      <c r="W138">
        <f>SUMIFS(Projektudgifter!$AK:$AK,Projektudgifter!$W:$W,B138&amp;C138&amp;D138&amp;E138,Projektudgifter!$S:$S,F138)</f>
        <v>0</v>
      </c>
      <c r="X138">
        <f>SUMIFS(Projektudgifter!$AL:$AL,Projektudgifter!$W:$W,B138&amp;C138&amp;D138&amp;E138,Projektudgifter!$T:$T,F138)</f>
        <v>0</v>
      </c>
    </row>
    <row r="139" spans="2:24" ht="14.25" customHeight="1" x14ac:dyDescent="0.25">
      <c r="B139" t="s">
        <v>318</v>
      </c>
      <c r="C139" t="s">
        <v>1183</v>
      </c>
      <c r="D139" t="s">
        <v>693</v>
      </c>
      <c r="E139">
        <v>2013</v>
      </c>
      <c r="N139">
        <f>SUMIFS(Projektudgifter!$Y:$Y,Projektudgifter!$W:$W,B139&amp;C139&amp;D139&amp;E139)</f>
        <v>0</v>
      </c>
      <c r="O139">
        <f>SUMIFS(Projektudgifter!$Z:$Z,Projektudgifter!$W:$W,B139&amp;C139&amp;D139&amp;E139)</f>
        <v>0</v>
      </c>
      <c r="P139">
        <f>SUMIFS(Projektudgifter!$AA:$AA,Projektudgifter!$W:$W,B139&amp;C139&amp;D139&amp;E139)</f>
        <v>0</v>
      </c>
      <c r="Q139">
        <f>SUMIFS(Projektudgifter!$AB:$AB,Projektudgifter!$W:$W,B139&amp;C139&amp;D139&amp;E139)</f>
        <v>0</v>
      </c>
      <c r="R139">
        <f>SUMIFS(Projektudgifter!$AC:$AC,Projektudgifter!$W:$W,B139&amp;C139&amp;D139&amp;E139)</f>
        <v>0</v>
      </c>
      <c r="S139">
        <f>SUMIFS(Projektudgifter!$AG:$AG,Projektudgifter!$W:$W,B139&amp;C139&amp;D139&amp;E139,Projektudgifter!$S:$S,"")</f>
        <v>0</v>
      </c>
      <c r="U139">
        <f>SUMIFS(Projektudgifter!$AI:$AI,Projektudgifter!$W:$W,B139&amp;C139&amp;D139&amp;E139,Projektudgifter!$S:$S,"")</f>
        <v>0</v>
      </c>
      <c r="W139">
        <f>SUMIFS(Projektudgifter!$AK:$AK,Projektudgifter!$W:$W,B139&amp;C139&amp;D139&amp;E139,Projektudgifter!$S:$S,"")</f>
        <v>0</v>
      </c>
    </row>
    <row r="140" spans="2:24" ht="14.25" customHeight="1" x14ac:dyDescent="0.25">
      <c r="B140" t="s">
        <v>318</v>
      </c>
      <c r="C140" t="s">
        <v>1183</v>
      </c>
      <c r="D140" t="s">
        <v>693</v>
      </c>
      <c r="E140">
        <v>2014</v>
      </c>
      <c r="F140" t="s">
        <v>1361</v>
      </c>
      <c r="H140" t="s">
        <v>1194</v>
      </c>
      <c r="S140">
        <f>SUMIFS(Projektudgifter!$AG:$AG,Projektudgifter!$W:$W,B140&amp;C140&amp;D140&amp;E140,Projektudgifter!$S:$S,F140)</f>
        <v>0</v>
      </c>
      <c r="T140">
        <f>SUMIFS(Projektudgifter!$AH:$AH,Projektudgifter!$W:$W,B140&amp;C140&amp;D140&amp;E140,Projektudgifter!$T:$T,F140)</f>
        <v>0</v>
      </c>
      <c r="U140">
        <f>SUMIFS(Projektudgifter!$AI:$AI,Projektudgifter!$W:$W,B140&amp;C140&amp;D140&amp;E140,Projektudgifter!$S:$S,F140)</f>
        <v>0</v>
      </c>
      <c r="V140">
        <f>SUMIFS(Projektudgifter!$AJ:$AJ,Projektudgifter!$W:$W,B140&amp;C140&amp;D140&amp;E140,Projektudgifter!$T:$T,F140)</f>
        <v>0</v>
      </c>
      <c r="W140">
        <f>SUMIFS(Projektudgifter!$AK:$AK,Projektudgifter!$W:$W,B140&amp;C140&amp;D140&amp;E140,Projektudgifter!$S:$S,F140)</f>
        <v>0</v>
      </c>
      <c r="X140">
        <f>SUMIFS(Projektudgifter!$AL:$AL,Projektudgifter!$W:$W,B140&amp;C140&amp;D140&amp;E140,Projektudgifter!$T:$T,F140)</f>
        <v>0</v>
      </c>
    </row>
    <row r="141" spans="2:24" ht="14.25" customHeight="1" x14ac:dyDescent="0.25">
      <c r="B141" t="s">
        <v>318</v>
      </c>
      <c r="C141" t="s">
        <v>1183</v>
      </c>
      <c r="D141" t="s">
        <v>693</v>
      </c>
      <c r="E141">
        <v>2014</v>
      </c>
      <c r="F141" t="s">
        <v>680</v>
      </c>
      <c r="H141" t="s">
        <v>1194</v>
      </c>
      <c r="S141">
        <f>SUMIFS(Projektudgifter!$AG:$AG,Projektudgifter!$W:$W,B141&amp;C141&amp;D141&amp;E141,Projektudgifter!$S:$S,F141)</f>
        <v>0</v>
      </c>
      <c r="T141">
        <f>SUMIFS(Projektudgifter!$AH:$AH,Projektudgifter!$W:$W,B141&amp;C141&amp;D141&amp;E141,Projektudgifter!$T:$T,F141)</f>
        <v>0</v>
      </c>
      <c r="U141">
        <f>SUMIFS(Projektudgifter!$AI:$AI,Projektudgifter!$W:$W,B141&amp;C141&amp;D141&amp;E141,Projektudgifter!$S:$S,F141)</f>
        <v>0</v>
      </c>
      <c r="V141">
        <f>SUMIFS(Projektudgifter!$AJ:$AJ,Projektudgifter!$W:$W,B141&amp;C141&amp;D141&amp;E141,Projektudgifter!$T:$T,F141)</f>
        <v>0</v>
      </c>
      <c r="W141">
        <f>SUMIFS(Projektudgifter!$AK:$AK,Projektudgifter!$W:$W,B141&amp;C141&amp;D141&amp;E141,Projektudgifter!$S:$S,F141)</f>
        <v>0</v>
      </c>
      <c r="X141">
        <f>SUMIFS(Projektudgifter!$AL:$AL,Projektudgifter!$W:$W,B141&amp;C141&amp;D141&amp;E141,Projektudgifter!$T:$T,F141)</f>
        <v>0</v>
      </c>
    </row>
    <row r="142" spans="2:24" ht="14.25" customHeight="1" x14ac:dyDescent="0.25">
      <c r="B142" t="s">
        <v>318</v>
      </c>
      <c r="C142" t="s">
        <v>1183</v>
      </c>
      <c r="D142" t="s">
        <v>693</v>
      </c>
      <c r="E142">
        <v>2014</v>
      </c>
      <c r="N142">
        <f>SUMIFS(Projektudgifter!$Y:$Y,Projektudgifter!$W:$W,B142&amp;C142&amp;D142&amp;E142)</f>
        <v>0</v>
      </c>
      <c r="O142">
        <f>SUMIFS(Projektudgifter!$Z:$Z,Projektudgifter!$W:$W,B142&amp;C142&amp;D142&amp;E142)</f>
        <v>0</v>
      </c>
      <c r="P142">
        <f>SUMIFS(Projektudgifter!$AA:$AA,Projektudgifter!$W:$W,B142&amp;C142&amp;D142&amp;E142)</f>
        <v>0</v>
      </c>
      <c r="Q142">
        <f>SUMIFS(Projektudgifter!$AB:$AB,Projektudgifter!$W:$W,B142&amp;C142&amp;D142&amp;E142)</f>
        <v>0</v>
      </c>
      <c r="R142">
        <f>SUMIFS(Projektudgifter!$AC:$AC,Projektudgifter!$W:$W,B142&amp;C142&amp;D142&amp;E142)</f>
        <v>0</v>
      </c>
      <c r="S142">
        <f>SUMIFS(Projektudgifter!$AG:$AG,Projektudgifter!$W:$W,B142&amp;C142&amp;D142&amp;E142,Projektudgifter!$S:$S,"")</f>
        <v>0</v>
      </c>
      <c r="U142">
        <f>SUMIFS(Projektudgifter!$AI:$AI,Projektudgifter!$W:$W,B142&amp;C142&amp;D142&amp;E142,Projektudgifter!$S:$S,"")</f>
        <v>0</v>
      </c>
      <c r="W142">
        <f>SUMIFS(Projektudgifter!$AK:$AK,Projektudgifter!$W:$W,B142&amp;C142&amp;D142&amp;E142,Projektudgifter!$S:$S,"")</f>
        <v>0</v>
      </c>
    </row>
    <row r="143" spans="2:24" ht="14.25" customHeight="1" x14ac:dyDescent="0.25">
      <c r="B143" t="s">
        <v>318</v>
      </c>
      <c r="C143" t="s">
        <v>84</v>
      </c>
      <c r="D143" t="s">
        <v>693</v>
      </c>
      <c r="E143">
        <v>2013</v>
      </c>
      <c r="F143" t="s">
        <v>1361</v>
      </c>
      <c r="H143" t="s">
        <v>1194</v>
      </c>
      <c r="S143">
        <f>SUMIFS(Projektudgifter!$AG:$AG,Projektudgifter!$W:$W,B143&amp;C143&amp;D143&amp;E143,Projektudgifter!$S:$S,F143)</f>
        <v>0</v>
      </c>
      <c r="T143">
        <f>SUMIFS(Projektudgifter!$AH:$AH,Projektudgifter!$W:$W,B143&amp;C143&amp;D143&amp;E143,Projektudgifter!$T:$T,F143)</f>
        <v>0</v>
      </c>
      <c r="U143">
        <f>SUMIFS(Projektudgifter!$AI:$AI,Projektudgifter!$W:$W,B143&amp;C143&amp;D143&amp;E143,Projektudgifter!$S:$S,F143)</f>
        <v>0</v>
      </c>
      <c r="V143">
        <f>SUMIFS(Projektudgifter!$AJ:$AJ,Projektudgifter!$W:$W,B143&amp;C143&amp;D143&amp;E143,Projektudgifter!$T:$T,F143)</f>
        <v>0</v>
      </c>
      <c r="W143">
        <f>SUMIFS(Projektudgifter!$AK:$AK,Projektudgifter!$W:$W,B143&amp;C143&amp;D143&amp;E143,Projektudgifter!$S:$S,F143)</f>
        <v>0</v>
      </c>
      <c r="X143">
        <f>SUMIFS(Projektudgifter!$AL:$AL,Projektudgifter!$W:$W,B143&amp;C143&amp;D143&amp;E143,Projektudgifter!$T:$T,F143)</f>
        <v>0</v>
      </c>
    </row>
    <row r="144" spans="2:24" ht="14.25" customHeight="1" x14ac:dyDescent="0.25">
      <c r="B144" t="s">
        <v>318</v>
      </c>
      <c r="C144" t="s">
        <v>84</v>
      </c>
      <c r="D144" t="s">
        <v>693</v>
      </c>
      <c r="E144">
        <v>2013</v>
      </c>
      <c r="F144" t="s">
        <v>680</v>
      </c>
      <c r="H144" t="s">
        <v>1194</v>
      </c>
      <c r="S144">
        <f>SUMIFS(Projektudgifter!$AG:$AG,Projektudgifter!$W:$W,B144&amp;C144&amp;D144&amp;E144,Projektudgifter!$S:$S,F144)</f>
        <v>0</v>
      </c>
      <c r="T144">
        <f>SUMIFS(Projektudgifter!$AH:$AH,Projektudgifter!$W:$W,B144&amp;C144&amp;D144&amp;E144,Projektudgifter!$T:$T,F144)</f>
        <v>0</v>
      </c>
      <c r="U144">
        <f>SUMIFS(Projektudgifter!$AI:$AI,Projektudgifter!$W:$W,B144&amp;C144&amp;D144&amp;E144,Projektudgifter!$S:$S,F144)</f>
        <v>0</v>
      </c>
      <c r="V144">
        <f>SUMIFS(Projektudgifter!$AJ:$AJ,Projektudgifter!$W:$W,B144&amp;C144&amp;D144&amp;E144,Projektudgifter!$T:$T,F144)</f>
        <v>0</v>
      </c>
      <c r="W144">
        <f>SUMIFS(Projektudgifter!$AK:$AK,Projektudgifter!$W:$W,B144&amp;C144&amp;D144&amp;E144,Projektudgifter!$S:$S,F144)</f>
        <v>0</v>
      </c>
      <c r="X144">
        <f>SUMIFS(Projektudgifter!$AL:$AL,Projektudgifter!$W:$W,B144&amp;C144&amp;D144&amp;E144,Projektudgifter!$T:$T,F144)</f>
        <v>0</v>
      </c>
    </row>
    <row r="145" spans="2:24" ht="14.25" customHeight="1" x14ac:dyDescent="0.25">
      <c r="B145" t="s">
        <v>318</v>
      </c>
      <c r="C145" t="s">
        <v>84</v>
      </c>
      <c r="D145" t="s">
        <v>693</v>
      </c>
      <c r="E145">
        <v>2013</v>
      </c>
      <c r="N145">
        <f>SUMIFS(Projektudgifter!$Y:$Y,Projektudgifter!$W:$W,B145&amp;C145&amp;D145&amp;E145)</f>
        <v>0</v>
      </c>
      <c r="O145">
        <f>SUMIFS(Projektudgifter!$Z:$Z,Projektudgifter!$W:$W,B145&amp;C145&amp;D145&amp;E145)</f>
        <v>0</v>
      </c>
      <c r="P145">
        <f>SUMIFS(Projektudgifter!$AA:$AA,Projektudgifter!$W:$W,B145&amp;C145&amp;D145&amp;E145)</f>
        <v>0</v>
      </c>
      <c r="Q145">
        <f>SUMIFS(Projektudgifter!$AB:$AB,Projektudgifter!$W:$W,B145&amp;C145&amp;D145&amp;E145)</f>
        <v>0</v>
      </c>
      <c r="R145">
        <f>SUMIFS(Projektudgifter!$AC:$AC,Projektudgifter!$W:$W,B145&amp;C145&amp;D145&amp;E145)</f>
        <v>0</v>
      </c>
      <c r="S145">
        <f>SUMIFS(Projektudgifter!$AG:$AG,Projektudgifter!$W:$W,B145&amp;C145&amp;D145&amp;E145,Projektudgifter!$S:$S,"")</f>
        <v>0</v>
      </c>
      <c r="U145">
        <f>SUMIFS(Projektudgifter!$AI:$AI,Projektudgifter!$W:$W,B145&amp;C145&amp;D145&amp;E145,Projektudgifter!$S:$S,"")</f>
        <v>0</v>
      </c>
      <c r="W145">
        <f>SUMIFS(Projektudgifter!$AK:$AK,Projektudgifter!$W:$W,B145&amp;C145&amp;D145&amp;E145,Projektudgifter!$S:$S,"")</f>
        <v>0</v>
      </c>
    </row>
    <row r="146" spans="2:24" ht="14.25" customHeight="1" x14ac:dyDescent="0.25">
      <c r="B146" t="s">
        <v>318</v>
      </c>
      <c r="C146" t="s">
        <v>84</v>
      </c>
      <c r="D146" t="s">
        <v>693</v>
      </c>
      <c r="E146">
        <v>2014</v>
      </c>
      <c r="F146" t="s">
        <v>1361</v>
      </c>
      <c r="H146" t="s">
        <v>1194</v>
      </c>
      <c r="S146">
        <f>SUMIFS(Projektudgifter!$AG:$AG,Projektudgifter!$W:$W,B146&amp;C146&amp;D146&amp;E146,Projektudgifter!$S:$S,F146)</f>
        <v>0</v>
      </c>
      <c r="T146">
        <f>SUMIFS(Projektudgifter!$AH:$AH,Projektudgifter!$W:$W,B146&amp;C146&amp;D146&amp;E146,Projektudgifter!$T:$T,F146)</f>
        <v>0</v>
      </c>
      <c r="U146">
        <f>SUMIFS(Projektudgifter!$AI:$AI,Projektudgifter!$W:$W,B146&amp;C146&amp;D146&amp;E146,Projektudgifter!$S:$S,F146)</f>
        <v>0</v>
      </c>
      <c r="V146">
        <f>SUMIFS(Projektudgifter!$AJ:$AJ,Projektudgifter!$W:$W,B146&amp;C146&amp;D146&amp;E146,Projektudgifter!$T:$T,F146)</f>
        <v>0</v>
      </c>
      <c r="W146">
        <f>SUMIFS(Projektudgifter!$AK:$AK,Projektudgifter!$W:$W,B146&amp;C146&amp;D146&amp;E146,Projektudgifter!$S:$S,F146)</f>
        <v>0</v>
      </c>
      <c r="X146">
        <f>SUMIFS(Projektudgifter!$AL:$AL,Projektudgifter!$W:$W,B146&amp;C146&amp;D146&amp;E146,Projektudgifter!$T:$T,F146)</f>
        <v>0</v>
      </c>
    </row>
    <row r="147" spans="2:24" ht="14.25" customHeight="1" x14ac:dyDescent="0.25">
      <c r="B147" t="s">
        <v>318</v>
      </c>
      <c r="C147" t="s">
        <v>84</v>
      </c>
      <c r="D147" t="s">
        <v>693</v>
      </c>
      <c r="E147">
        <v>2014</v>
      </c>
      <c r="F147" t="s">
        <v>680</v>
      </c>
      <c r="H147" t="s">
        <v>1194</v>
      </c>
      <c r="S147">
        <f>SUMIFS(Projektudgifter!$AG:$AG,Projektudgifter!$W:$W,B147&amp;C147&amp;D147&amp;E147,Projektudgifter!$S:$S,F147)</f>
        <v>0</v>
      </c>
      <c r="T147">
        <f>SUMIFS(Projektudgifter!$AH:$AH,Projektudgifter!$W:$W,B147&amp;C147&amp;D147&amp;E147,Projektudgifter!$T:$T,F147)</f>
        <v>0</v>
      </c>
      <c r="U147">
        <f>SUMIFS(Projektudgifter!$AI:$AI,Projektudgifter!$W:$W,B147&amp;C147&amp;D147&amp;E147,Projektudgifter!$S:$S,F147)</f>
        <v>0</v>
      </c>
      <c r="V147">
        <f>SUMIFS(Projektudgifter!$AJ:$AJ,Projektudgifter!$W:$W,B147&amp;C147&amp;D147&amp;E147,Projektudgifter!$T:$T,F147)</f>
        <v>0</v>
      </c>
      <c r="W147">
        <f>SUMIFS(Projektudgifter!$AK:$AK,Projektudgifter!$W:$W,B147&amp;C147&amp;D147&amp;E147,Projektudgifter!$S:$S,F147)</f>
        <v>0</v>
      </c>
      <c r="X147">
        <f>SUMIFS(Projektudgifter!$AL:$AL,Projektudgifter!$W:$W,B147&amp;C147&amp;D147&amp;E147,Projektudgifter!$T:$T,F147)</f>
        <v>0</v>
      </c>
    </row>
    <row r="148" spans="2:24" ht="14.25" customHeight="1" x14ac:dyDescent="0.25">
      <c r="B148" t="s">
        <v>318</v>
      </c>
      <c r="C148" t="s">
        <v>84</v>
      </c>
      <c r="D148" t="s">
        <v>693</v>
      </c>
      <c r="E148">
        <v>2014</v>
      </c>
      <c r="N148">
        <f>SUMIFS(Projektudgifter!$Y:$Y,Projektudgifter!$W:$W,B148&amp;C148&amp;D148&amp;E148)</f>
        <v>0</v>
      </c>
      <c r="O148">
        <f>SUMIFS(Projektudgifter!$Z:$Z,Projektudgifter!$W:$W,B148&amp;C148&amp;D148&amp;E148)</f>
        <v>0</v>
      </c>
      <c r="P148">
        <f>SUMIFS(Projektudgifter!$AA:$AA,Projektudgifter!$W:$W,B148&amp;C148&amp;D148&amp;E148)</f>
        <v>0</v>
      </c>
      <c r="Q148">
        <f>SUMIFS(Projektudgifter!$AB:$AB,Projektudgifter!$W:$W,B148&amp;C148&amp;D148&amp;E148)</f>
        <v>0</v>
      </c>
      <c r="R148">
        <f>SUMIFS(Projektudgifter!$AC:$AC,Projektudgifter!$W:$W,B148&amp;C148&amp;D148&amp;E148)</f>
        <v>0</v>
      </c>
      <c r="S148">
        <f>SUMIFS(Projektudgifter!$AG:$AG,Projektudgifter!$W:$W,B148&amp;C148&amp;D148&amp;E148,Projektudgifter!$S:$S,"")</f>
        <v>0</v>
      </c>
      <c r="U148">
        <f>SUMIFS(Projektudgifter!$AI:$AI,Projektudgifter!$W:$W,B148&amp;C148&amp;D148&amp;E148,Projektudgifter!$S:$S,"")</f>
        <v>0</v>
      </c>
      <c r="W148">
        <f>SUMIFS(Projektudgifter!$AK:$AK,Projektudgifter!$W:$W,B148&amp;C148&amp;D148&amp;E148,Projektudgifter!$S:$S,"")</f>
        <v>0</v>
      </c>
    </row>
    <row r="149" spans="2:24" ht="14.25" customHeight="1" x14ac:dyDescent="0.25">
      <c r="B149" t="s">
        <v>318</v>
      </c>
      <c r="C149" t="s">
        <v>85</v>
      </c>
      <c r="D149" t="s">
        <v>693</v>
      </c>
      <c r="E149">
        <v>2013</v>
      </c>
      <c r="F149" t="s">
        <v>1361</v>
      </c>
      <c r="H149" t="s">
        <v>1194</v>
      </c>
      <c r="S149">
        <f>SUMIFS(Projektudgifter!$AG:$AG,Projektudgifter!$W:$W,B149&amp;C149&amp;D149&amp;E149,Projektudgifter!$S:$S,F149)</f>
        <v>0</v>
      </c>
      <c r="T149">
        <f>SUMIFS(Projektudgifter!$AH:$AH,Projektudgifter!$W:$W,B149&amp;C149&amp;D149&amp;E149,Projektudgifter!$T:$T,F149)</f>
        <v>0</v>
      </c>
      <c r="U149">
        <f>SUMIFS(Projektudgifter!$AI:$AI,Projektudgifter!$W:$W,B149&amp;C149&amp;D149&amp;E149,Projektudgifter!$S:$S,F149)</f>
        <v>0</v>
      </c>
      <c r="V149">
        <f>SUMIFS(Projektudgifter!$AJ:$AJ,Projektudgifter!$W:$W,B149&amp;C149&amp;D149&amp;E149,Projektudgifter!$T:$T,F149)</f>
        <v>0</v>
      </c>
      <c r="W149">
        <f>SUMIFS(Projektudgifter!$AK:$AK,Projektudgifter!$W:$W,B149&amp;C149&amp;D149&amp;E149,Projektudgifter!$S:$S,F149)</f>
        <v>0</v>
      </c>
      <c r="X149">
        <f>SUMIFS(Projektudgifter!$AL:$AL,Projektudgifter!$W:$W,B149&amp;C149&amp;D149&amp;E149,Projektudgifter!$T:$T,F149)</f>
        <v>0</v>
      </c>
    </row>
    <row r="150" spans="2:24" ht="14.25" customHeight="1" x14ac:dyDescent="0.25">
      <c r="B150" t="s">
        <v>318</v>
      </c>
      <c r="C150" t="s">
        <v>85</v>
      </c>
      <c r="D150" t="s">
        <v>693</v>
      </c>
      <c r="E150">
        <v>2013</v>
      </c>
      <c r="F150" t="s">
        <v>680</v>
      </c>
      <c r="H150" t="s">
        <v>1194</v>
      </c>
      <c r="S150">
        <f>SUMIFS(Projektudgifter!$AG:$AG,Projektudgifter!$W:$W,B150&amp;C150&amp;D150&amp;E150,Projektudgifter!$S:$S,F150)</f>
        <v>0</v>
      </c>
      <c r="T150">
        <f>SUMIFS(Projektudgifter!$AH:$AH,Projektudgifter!$W:$W,B150&amp;C150&amp;D150&amp;E150,Projektudgifter!$T:$T,F150)</f>
        <v>0</v>
      </c>
      <c r="U150">
        <f>SUMIFS(Projektudgifter!$AI:$AI,Projektudgifter!$W:$W,B150&amp;C150&amp;D150&amp;E150,Projektudgifter!$S:$S,F150)</f>
        <v>0</v>
      </c>
      <c r="V150">
        <f>SUMIFS(Projektudgifter!$AJ:$AJ,Projektudgifter!$W:$W,B150&amp;C150&amp;D150&amp;E150,Projektudgifter!$T:$T,F150)</f>
        <v>0</v>
      </c>
      <c r="W150">
        <f>SUMIFS(Projektudgifter!$AK:$AK,Projektudgifter!$W:$W,B150&amp;C150&amp;D150&amp;E150,Projektudgifter!$S:$S,F150)</f>
        <v>0</v>
      </c>
      <c r="X150">
        <f>SUMIFS(Projektudgifter!$AL:$AL,Projektudgifter!$W:$W,B150&amp;C150&amp;D150&amp;E150,Projektudgifter!$T:$T,F150)</f>
        <v>0</v>
      </c>
    </row>
    <row r="151" spans="2:24" ht="14.25" customHeight="1" x14ac:dyDescent="0.25">
      <c r="B151" t="s">
        <v>318</v>
      </c>
      <c r="C151" t="s">
        <v>85</v>
      </c>
      <c r="D151" t="s">
        <v>693</v>
      </c>
      <c r="E151">
        <v>2013</v>
      </c>
      <c r="N151">
        <f>SUMIFS(Projektudgifter!$Y:$Y,Projektudgifter!$W:$W,B151&amp;C151&amp;D151&amp;E151)</f>
        <v>0</v>
      </c>
      <c r="O151">
        <f>SUMIFS(Projektudgifter!$Z:$Z,Projektudgifter!$W:$W,B151&amp;C151&amp;D151&amp;E151)</f>
        <v>0</v>
      </c>
      <c r="P151">
        <f>SUMIFS(Projektudgifter!$AA:$AA,Projektudgifter!$W:$W,B151&amp;C151&amp;D151&amp;E151)</f>
        <v>0</v>
      </c>
      <c r="Q151">
        <f>SUMIFS(Projektudgifter!$AB:$AB,Projektudgifter!$W:$W,B151&amp;C151&amp;D151&amp;E151)</f>
        <v>0</v>
      </c>
      <c r="R151">
        <f>SUMIFS(Projektudgifter!$AC:$AC,Projektudgifter!$W:$W,B151&amp;C151&amp;D151&amp;E151)</f>
        <v>0</v>
      </c>
      <c r="S151">
        <f>SUMIFS(Projektudgifter!$AG:$AG,Projektudgifter!$W:$W,B151&amp;C151&amp;D151&amp;E151,Projektudgifter!$S:$S,"")</f>
        <v>0</v>
      </c>
      <c r="U151">
        <f>SUMIFS(Projektudgifter!$AI:$AI,Projektudgifter!$W:$W,B151&amp;C151&amp;D151&amp;E151,Projektudgifter!$S:$S,"")</f>
        <v>0</v>
      </c>
      <c r="W151">
        <f>SUMIFS(Projektudgifter!$AK:$AK,Projektudgifter!$W:$W,B151&amp;C151&amp;D151&amp;E151,Projektudgifter!$S:$S,"")</f>
        <v>0</v>
      </c>
    </row>
    <row r="152" spans="2:24" ht="14.25" customHeight="1" x14ac:dyDescent="0.25">
      <c r="B152" t="s">
        <v>318</v>
      </c>
      <c r="C152" t="s">
        <v>85</v>
      </c>
      <c r="D152" t="s">
        <v>693</v>
      </c>
      <c r="E152">
        <v>2014</v>
      </c>
      <c r="F152" t="s">
        <v>1361</v>
      </c>
      <c r="H152" t="s">
        <v>1194</v>
      </c>
      <c r="S152">
        <f>SUMIFS(Projektudgifter!$AG:$AG,Projektudgifter!$W:$W,B152&amp;C152&amp;D152&amp;E152,Projektudgifter!$S:$S,F152)</f>
        <v>0</v>
      </c>
      <c r="T152">
        <f>SUMIFS(Projektudgifter!$AH:$AH,Projektudgifter!$W:$W,B152&amp;C152&amp;D152&amp;E152,Projektudgifter!$T:$T,F152)</f>
        <v>0</v>
      </c>
      <c r="U152">
        <f>SUMIFS(Projektudgifter!$AI:$AI,Projektudgifter!$W:$W,B152&amp;C152&amp;D152&amp;E152,Projektudgifter!$S:$S,F152)</f>
        <v>0</v>
      </c>
      <c r="V152">
        <f>SUMIFS(Projektudgifter!$AJ:$AJ,Projektudgifter!$W:$W,B152&amp;C152&amp;D152&amp;E152,Projektudgifter!$T:$T,F152)</f>
        <v>0</v>
      </c>
      <c r="W152">
        <f>SUMIFS(Projektudgifter!$AK:$AK,Projektudgifter!$W:$W,B152&amp;C152&amp;D152&amp;E152,Projektudgifter!$S:$S,F152)</f>
        <v>0</v>
      </c>
      <c r="X152">
        <f>SUMIFS(Projektudgifter!$AL:$AL,Projektudgifter!$W:$W,B152&amp;C152&amp;D152&amp;E152,Projektudgifter!$T:$T,F152)</f>
        <v>0</v>
      </c>
    </row>
    <row r="153" spans="2:24" ht="14.25" customHeight="1" x14ac:dyDescent="0.25">
      <c r="B153" t="s">
        <v>318</v>
      </c>
      <c r="C153" t="s">
        <v>85</v>
      </c>
      <c r="D153" t="s">
        <v>693</v>
      </c>
      <c r="E153">
        <v>2014</v>
      </c>
      <c r="F153" t="s">
        <v>680</v>
      </c>
      <c r="H153" t="s">
        <v>1194</v>
      </c>
      <c r="S153">
        <f>SUMIFS(Projektudgifter!$AG:$AG,Projektudgifter!$W:$W,B153&amp;C153&amp;D153&amp;E153,Projektudgifter!$S:$S,F153)</f>
        <v>0</v>
      </c>
      <c r="T153">
        <f>SUMIFS(Projektudgifter!$AH:$AH,Projektudgifter!$W:$W,B153&amp;C153&amp;D153&amp;E153,Projektudgifter!$T:$T,F153)</f>
        <v>0</v>
      </c>
      <c r="U153">
        <f>SUMIFS(Projektudgifter!$AI:$AI,Projektudgifter!$W:$W,B153&amp;C153&amp;D153&amp;E153,Projektudgifter!$S:$S,F153)</f>
        <v>0</v>
      </c>
      <c r="V153">
        <f>SUMIFS(Projektudgifter!$AJ:$AJ,Projektudgifter!$W:$W,B153&amp;C153&amp;D153&amp;E153,Projektudgifter!$T:$T,F153)</f>
        <v>0</v>
      </c>
      <c r="W153">
        <f>SUMIFS(Projektudgifter!$AK:$AK,Projektudgifter!$W:$W,B153&amp;C153&amp;D153&amp;E153,Projektudgifter!$S:$S,F153)</f>
        <v>0</v>
      </c>
      <c r="X153">
        <f>SUMIFS(Projektudgifter!$AL:$AL,Projektudgifter!$W:$W,B153&amp;C153&amp;D153&amp;E153,Projektudgifter!$T:$T,F153)</f>
        <v>0</v>
      </c>
    </row>
    <row r="154" spans="2:24" ht="14.25" customHeight="1" x14ac:dyDescent="0.25">
      <c r="B154" t="s">
        <v>318</v>
      </c>
      <c r="C154" t="s">
        <v>85</v>
      </c>
      <c r="D154" t="s">
        <v>693</v>
      </c>
      <c r="E154">
        <v>2014</v>
      </c>
      <c r="N154">
        <f>SUMIFS(Projektudgifter!$Y:$Y,Projektudgifter!$W:$W,B154&amp;C154&amp;D154&amp;E154)</f>
        <v>0</v>
      </c>
      <c r="O154">
        <f>SUMIFS(Projektudgifter!$Z:$Z,Projektudgifter!$W:$W,B154&amp;C154&amp;D154&amp;E154)</f>
        <v>0</v>
      </c>
      <c r="P154">
        <f>SUMIFS(Projektudgifter!$AA:$AA,Projektudgifter!$W:$W,B154&amp;C154&amp;D154&amp;E154)</f>
        <v>0</v>
      </c>
      <c r="Q154">
        <f>SUMIFS(Projektudgifter!$AB:$AB,Projektudgifter!$W:$W,B154&amp;C154&amp;D154&amp;E154)</f>
        <v>0</v>
      </c>
      <c r="R154">
        <f>SUMIFS(Projektudgifter!$AC:$AC,Projektudgifter!$W:$W,B154&amp;C154&amp;D154&amp;E154)</f>
        <v>0</v>
      </c>
      <c r="S154">
        <f>SUMIFS(Projektudgifter!$AG:$AG,Projektudgifter!$W:$W,B154&amp;C154&amp;D154&amp;E154,Projektudgifter!$S:$S,"")</f>
        <v>0</v>
      </c>
      <c r="U154">
        <f>SUMIFS(Projektudgifter!$AI:$AI,Projektudgifter!$W:$W,B154&amp;C154&amp;D154&amp;E154,Projektudgifter!$S:$S,"")</f>
        <v>0</v>
      </c>
      <c r="W154">
        <f>SUMIFS(Projektudgifter!$AK:$AK,Projektudgifter!$W:$W,B154&amp;C154&amp;D154&amp;E154,Projektudgifter!$S:$S,"")</f>
        <v>0</v>
      </c>
    </row>
    <row r="155" spans="2:24" ht="14.25" customHeight="1" x14ac:dyDescent="0.25">
      <c r="B155" t="s">
        <v>318</v>
      </c>
      <c r="C155" t="s">
        <v>86</v>
      </c>
      <c r="D155" t="s">
        <v>693</v>
      </c>
      <c r="E155">
        <v>2013</v>
      </c>
      <c r="F155" t="s">
        <v>1361</v>
      </c>
      <c r="H155" t="s">
        <v>1194</v>
      </c>
      <c r="S155">
        <f>SUMIFS(Projektudgifter!$AG:$AG,Projektudgifter!$W:$W,B155&amp;C155&amp;D155&amp;E155,Projektudgifter!$S:$S,F155)</f>
        <v>0</v>
      </c>
      <c r="T155">
        <f>SUMIFS(Projektudgifter!$AH:$AH,Projektudgifter!$W:$W,B155&amp;C155&amp;D155&amp;E155,Projektudgifter!$T:$T,F155)</f>
        <v>0</v>
      </c>
      <c r="U155">
        <f>SUMIFS(Projektudgifter!$AI:$AI,Projektudgifter!$W:$W,B155&amp;C155&amp;D155&amp;E155,Projektudgifter!$S:$S,F155)</f>
        <v>0</v>
      </c>
      <c r="V155">
        <f>SUMIFS(Projektudgifter!$AJ:$AJ,Projektudgifter!$W:$W,B155&amp;C155&amp;D155&amp;E155,Projektudgifter!$T:$T,F155)</f>
        <v>0</v>
      </c>
      <c r="W155">
        <f>SUMIFS(Projektudgifter!$AK:$AK,Projektudgifter!$W:$W,B155&amp;C155&amp;D155&amp;E155,Projektudgifter!$S:$S,F155)</f>
        <v>0</v>
      </c>
      <c r="X155">
        <f>SUMIFS(Projektudgifter!$AL:$AL,Projektudgifter!$W:$W,B155&amp;C155&amp;D155&amp;E155,Projektudgifter!$T:$T,F155)</f>
        <v>0</v>
      </c>
    </row>
    <row r="156" spans="2:24" ht="14.25" customHeight="1" x14ac:dyDescent="0.25">
      <c r="B156" t="s">
        <v>318</v>
      </c>
      <c r="C156" t="s">
        <v>86</v>
      </c>
      <c r="D156" t="s">
        <v>693</v>
      </c>
      <c r="E156">
        <v>2013</v>
      </c>
      <c r="F156" t="s">
        <v>680</v>
      </c>
      <c r="H156" t="s">
        <v>1194</v>
      </c>
      <c r="S156">
        <f>SUMIFS(Projektudgifter!$AG:$AG,Projektudgifter!$W:$W,B156&amp;C156&amp;D156&amp;E156,Projektudgifter!$S:$S,F156)</f>
        <v>0</v>
      </c>
      <c r="T156">
        <f>SUMIFS(Projektudgifter!$AH:$AH,Projektudgifter!$W:$W,B156&amp;C156&amp;D156&amp;E156,Projektudgifter!$T:$T,F156)</f>
        <v>0</v>
      </c>
      <c r="U156">
        <f>SUMIFS(Projektudgifter!$AI:$AI,Projektudgifter!$W:$W,B156&amp;C156&amp;D156&amp;E156,Projektudgifter!$S:$S,F156)</f>
        <v>0</v>
      </c>
      <c r="V156">
        <f>SUMIFS(Projektudgifter!$AJ:$AJ,Projektudgifter!$W:$W,B156&amp;C156&amp;D156&amp;E156,Projektudgifter!$T:$T,F156)</f>
        <v>0</v>
      </c>
      <c r="W156">
        <f>SUMIFS(Projektudgifter!$AK:$AK,Projektudgifter!$W:$W,B156&amp;C156&amp;D156&amp;E156,Projektudgifter!$S:$S,F156)</f>
        <v>0</v>
      </c>
      <c r="X156">
        <f>SUMIFS(Projektudgifter!$AL:$AL,Projektudgifter!$W:$W,B156&amp;C156&amp;D156&amp;E156,Projektudgifter!$T:$T,F156)</f>
        <v>0</v>
      </c>
    </row>
    <row r="157" spans="2:24" ht="14.25" customHeight="1" x14ac:dyDescent="0.25">
      <c r="B157" t="s">
        <v>318</v>
      </c>
      <c r="C157" t="s">
        <v>86</v>
      </c>
      <c r="D157" t="s">
        <v>693</v>
      </c>
      <c r="E157">
        <v>2013</v>
      </c>
      <c r="N157">
        <f>SUMIFS(Projektudgifter!$Y:$Y,Projektudgifter!$W:$W,B157&amp;C157&amp;D157&amp;E157)</f>
        <v>0</v>
      </c>
      <c r="O157">
        <f>SUMIFS(Projektudgifter!$Z:$Z,Projektudgifter!$W:$W,B157&amp;C157&amp;D157&amp;E157)</f>
        <v>0</v>
      </c>
      <c r="P157">
        <f>SUMIFS(Projektudgifter!$AA:$AA,Projektudgifter!$W:$W,B157&amp;C157&amp;D157&amp;E157)</f>
        <v>0</v>
      </c>
      <c r="Q157">
        <f>SUMIFS(Projektudgifter!$AB:$AB,Projektudgifter!$W:$W,B157&amp;C157&amp;D157&amp;E157)</f>
        <v>0</v>
      </c>
      <c r="R157">
        <f>SUMIFS(Projektudgifter!$AC:$AC,Projektudgifter!$W:$W,B157&amp;C157&amp;D157&amp;E157)</f>
        <v>0</v>
      </c>
      <c r="S157">
        <f>SUMIFS(Projektudgifter!$AG:$AG,Projektudgifter!$W:$W,B157&amp;C157&amp;D157&amp;E157,Projektudgifter!$S:$S,"")</f>
        <v>0</v>
      </c>
      <c r="U157">
        <f>SUMIFS(Projektudgifter!$AI:$AI,Projektudgifter!$W:$W,B157&amp;C157&amp;D157&amp;E157,Projektudgifter!$S:$S,"")</f>
        <v>0</v>
      </c>
      <c r="W157">
        <f>SUMIFS(Projektudgifter!$AK:$AK,Projektudgifter!$W:$W,B157&amp;C157&amp;D157&amp;E157,Projektudgifter!$S:$S,"")</f>
        <v>0</v>
      </c>
    </row>
    <row r="158" spans="2:24" ht="14.25" customHeight="1" x14ac:dyDescent="0.25">
      <c r="B158" t="s">
        <v>318</v>
      </c>
      <c r="C158" t="s">
        <v>86</v>
      </c>
      <c r="D158" t="s">
        <v>693</v>
      </c>
      <c r="E158">
        <v>2014</v>
      </c>
      <c r="F158" t="s">
        <v>1361</v>
      </c>
      <c r="H158" t="s">
        <v>1194</v>
      </c>
      <c r="S158">
        <f>SUMIFS(Projektudgifter!$AG:$AG,Projektudgifter!$W:$W,B158&amp;C158&amp;D158&amp;E158,Projektudgifter!$S:$S,F158)</f>
        <v>0</v>
      </c>
      <c r="T158">
        <f>SUMIFS(Projektudgifter!$AH:$AH,Projektudgifter!$W:$W,B158&amp;C158&amp;D158&amp;E158,Projektudgifter!$T:$T,F158)</f>
        <v>0</v>
      </c>
      <c r="U158">
        <f>SUMIFS(Projektudgifter!$AI:$AI,Projektudgifter!$W:$W,B158&amp;C158&amp;D158&amp;E158,Projektudgifter!$S:$S,F158)</f>
        <v>0</v>
      </c>
      <c r="V158">
        <f>SUMIFS(Projektudgifter!$AJ:$AJ,Projektudgifter!$W:$W,B158&amp;C158&amp;D158&amp;E158,Projektudgifter!$T:$T,F158)</f>
        <v>0</v>
      </c>
      <c r="W158">
        <f>SUMIFS(Projektudgifter!$AK:$AK,Projektudgifter!$W:$W,B158&amp;C158&amp;D158&amp;E158,Projektudgifter!$S:$S,F158)</f>
        <v>0</v>
      </c>
      <c r="X158">
        <f>SUMIFS(Projektudgifter!$AL:$AL,Projektudgifter!$W:$W,B158&amp;C158&amp;D158&amp;E158,Projektudgifter!$T:$T,F158)</f>
        <v>0</v>
      </c>
    </row>
    <row r="159" spans="2:24" ht="14.25" customHeight="1" x14ac:dyDescent="0.25">
      <c r="B159" t="s">
        <v>318</v>
      </c>
      <c r="C159" t="s">
        <v>86</v>
      </c>
      <c r="D159" t="s">
        <v>693</v>
      </c>
      <c r="E159">
        <v>2014</v>
      </c>
      <c r="F159" t="s">
        <v>680</v>
      </c>
      <c r="H159" t="s">
        <v>1194</v>
      </c>
      <c r="S159">
        <f>SUMIFS(Projektudgifter!$AG:$AG,Projektudgifter!$W:$W,B159&amp;C159&amp;D159&amp;E159,Projektudgifter!$S:$S,F159)</f>
        <v>0</v>
      </c>
      <c r="T159">
        <f>SUMIFS(Projektudgifter!$AH:$AH,Projektudgifter!$W:$W,B159&amp;C159&amp;D159&amp;E159,Projektudgifter!$T:$T,F159)</f>
        <v>0</v>
      </c>
      <c r="U159">
        <f>SUMIFS(Projektudgifter!$AI:$AI,Projektudgifter!$W:$W,B159&amp;C159&amp;D159&amp;E159,Projektudgifter!$S:$S,F159)</f>
        <v>0</v>
      </c>
      <c r="V159">
        <f>SUMIFS(Projektudgifter!$AJ:$AJ,Projektudgifter!$W:$W,B159&amp;C159&amp;D159&amp;E159,Projektudgifter!$T:$T,F159)</f>
        <v>0</v>
      </c>
      <c r="W159">
        <f>SUMIFS(Projektudgifter!$AK:$AK,Projektudgifter!$W:$W,B159&amp;C159&amp;D159&amp;E159,Projektudgifter!$S:$S,F159)</f>
        <v>0</v>
      </c>
      <c r="X159">
        <f>SUMIFS(Projektudgifter!$AL:$AL,Projektudgifter!$W:$W,B159&amp;C159&amp;D159&amp;E159,Projektudgifter!$T:$T,F159)</f>
        <v>0</v>
      </c>
    </row>
    <row r="160" spans="2:24" ht="14.25" customHeight="1" x14ac:dyDescent="0.25">
      <c r="B160" t="s">
        <v>318</v>
      </c>
      <c r="C160" t="s">
        <v>86</v>
      </c>
      <c r="D160" t="s">
        <v>693</v>
      </c>
      <c r="E160">
        <v>2014</v>
      </c>
      <c r="N160">
        <f>SUMIFS(Projektudgifter!$Y:$Y,Projektudgifter!$W:$W,B160&amp;C160&amp;D160&amp;E160)</f>
        <v>0</v>
      </c>
      <c r="O160">
        <f>SUMIFS(Projektudgifter!$Z:$Z,Projektudgifter!$W:$W,B160&amp;C160&amp;D160&amp;E160)</f>
        <v>0</v>
      </c>
      <c r="P160">
        <f>SUMIFS(Projektudgifter!$AA:$AA,Projektudgifter!$W:$W,B160&amp;C160&amp;D160&amp;E160)</f>
        <v>0</v>
      </c>
      <c r="Q160">
        <f>SUMIFS(Projektudgifter!$AB:$AB,Projektudgifter!$W:$W,B160&amp;C160&amp;D160&amp;E160)</f>
        <v>0</v>
      </c>
      <c r="R160">
        <f>SUMIFS(Projektudgifter!$AC:$AC,Projektudgifter!$W:$W,B160&amp;C160&amp;D160&amp;E160)</f>
        <v>0</v>
      </c>
      <c r="S160">
        <f>SUMIFS(Projektudgifter!$AG:$AG,Projektudgifter!$W:$W,B160&amp;C160&amp;D160&amp;E160,Projektudgifter!$S:$S,"")</f>
        <v>0</v>
      </c>
      <c r="U160">
        <f>SUMIFS(Projektudgifter!$AI:$AI,Projektudgifter!$W:$W,B160&amp;C160&amp;D160&amp;E160,Projektudgifter!$S:$S,"")</f>
        <v>0</v>
      </c>
      <c r="W160">
        <f>SUMIFS(Projektudgifter!$AK:$AK,Projektudgifter!$W:$W,B160&amp;C160&amp;D160&amp;E160,Projektudgifter!$S:$S,"")</f>
        <v>0</v>
      </c>
    </row>
    <row r="161" spans="2:24" ht="14.25" customHeight="1" x14ac:dyDescent="0.25">
      <c r="B161" t="s">
        <v>318</v>
      </c>
      <c r="C161" t="s">
        <v>1486</v>
      </c>
      <c r="D161" t="s">
        <v>693</v>
      </c>
      <c r="E161">
        <v>2013</v>
      </c>
      <c r="F161" t="s">
        <v>1361</v>
      </c>
      <c r="H161" t="s">
        <v>1194</v>
      </c>
      <c r="S161">
        <f>SUMIFS(Projektudgifter!$AG:$AG,Projektudgifter!$W:$W,B161&amp;C161&amp;D161&amp;E161,Projektudgifter!$S:$S,F161)</f>
        <v>0</v>
      </c>
      <c r="T161">
        <f>SUMIFS(Projektudgifter!$AH:$AH,Projektudgifter!$W:$W,B161&amp;C161&amp;D161&amp;E161,Projektudgifter!$T:$T,F161)</f>
        <v>0</v>
      </c>
      <c r="U161">
        <f>SUMIFS(Projektudgifter!$AI:$AI,Projektudgifter!$W:$W,B161&amp;C161&amp;D161&amp;E161,Projektudgifter!$S:$S,F161)</f>
        <v>0</v>
      </c>
      <c r="V161">
        <f>SUMIFS(Projektudgifter!$AJ:$AJ,Projektudgifter!$W:$W,B161&amp;C161&amp;D161&amp;E161,Projektudgifter!$T:$T,F161)</f>
        <v>0</v>
      </c>
      <c r="W161">
        <f>SUMIFS(Projektudgifter!$AK:$AK,Projektudgifter!$W:$W,B161&amp;C161&amp;D161&amp;E161,Projektudgifter!$S:$S,F161)</f>
        <v>0</v>
      </c>
      <c r="X161">
        <f>SUMIFS(Projektudgifter!$AL:$AL,Projektudgifter!$W:$W,B161&amp;C161&amp;D161&amp;E161,Projektudgifter!$T:$T,F161)</f>
        <v>0</v>
      </c>
    </row>
    <row r="162" spans="2:24" ht="14.25" customHeight="1" x14ac:dyDescent="0.25">
      <c r="B162" t="s">
        <v>318</v>
      </c>
      <c r="C162" t="s">
        <v>1486</v>
      </c>
      <c r="D162" t="s">
        <v>693</v>
      </c>
      <c r="E162">
        <v>2013</v>
      </c>
      <c r="F162" t="s">
        <v>680</v>
      </c>
      <c r="H162" t="s">
        <v>1194</v>
      </c>
      <c r="S162">
        <f>SUMIFS(Projektudgifter!$AG:$AG,Projektudgifter!$W:$W,B162&amp;C162&amp;D162&amp;E162,Projektudgifter!$S:$S,F162)</f>
        <v>0</v>
      </c>
      <c r="T162">
        <f>SUMIFS(Projektudgifter!$AH:$AH,Projektudgifter!$W:$W,B162&amp;C162&amp;D162&amp;E162,Projektudgifter!$T:$T,F162)</f>
        <v>0</v>
      </c>
      <c r="U162">
        <f>SUMIFS(Projektudgifter!$AI:$AI,Projektudgifter!$W:$W,B162&amp;C162&amp;D162&amp;E162,Projektudgifter!$S:$S,F162)</f>
        <v>0</v>
      </c>
      <c r="V162">
        <f>SUMIFS(Projektudgifter!$AJ:$AJ,Projektudgifter!$W:$W,B162&amp;C162&amp;D162&amp;E162,Projektudgifter!$T:$T,F162)</f>
        <v>0</v>
      </c>
      <c r="W162">
        <f>SUMIFS(Projektudgifter!$AK:$AK,Projektudgifter!$W:$W,B162&amp;C162&amp;D162&amp;E162,Projektudgifter!$S:$S,F162)</f>
        <v>0</v>
      </c>
      <c r="X162">
        <f>SUMIFS(Projektudgifter!$AL:$AL,Projektudgifter!$W:$W,B162&amp;C162&amp;D162&amp;E162,Projektudgifter!$T:$T,F162)</f>
        <v>0</v>
      </c>
    </row>
    <row r="163" spans="2:24" ht="14.25" customHeight="1" x14ac:dyDescent="0.25">
      <c r="B163" t="s">
        <v>318</v>
      </c>
      <c r="C163" t="s">
        <v>1486</v>
      </c>
      <c r="D163" t="s">
        <v>693</v>
      </c>
      <c r="E163">
        <v>2013</v>
      </c>
      <c r="N163">
        <f>SUMIFS(Projektudgifter!$Y:$Y,Projektudgifter!$W:$W,B163&amp;C163&amp;D163&amp;E163)</f>
        <v>0</v>
      </c>
      <c r="O163">
        <f>SUMIFS(Projektudgifter!$Z:$Z,Projektudgifter!$W:$W,B163&amp;C163&amp;D163&amp;E163)</f>
        <v>0</v>
      </c>
      <c r="P163">
        <f>SUMIFS(Projektudgifter!$AA:$AA,Projektudgifter!$W:$W,B163&amp;C163&amp;D163&amp;E163)</f>
        <v>0</v>
      </c>
      <c r="Q163">
        <f>SUMIFS(Projektudgifter!$AB:$AB,Projektudgifter!$W:$W,B163&amp;C163&amp;D163&amp;E163)</f>
        <v>0</v>
      </c>
      <c r="R163">
        <f>SUMIFS(Projektudgifter!$AC:$AC,Projektudgifter!$W:$W,B163&amp;C163&amp;D163&amp;E163)</f>
        <v>0</v>
      </c>
      <c r="S163">
        <f>SUMIFS(Projektudgifter!$AG:$AG,Projektudgifter!$W:$W,B163&amp;C163&amp;D163&amp;E163,Projektudgifter!$S:$S,"")</f>
        <v>0</v>
      </c>
      <c r="U163">
        <f>SUMIFS(Projektudgifter!$AI:$AI,Projektudgifter!$W:$W,B163&amp;C163&amp;D163&amp;E163,Projektudgifter!$S:$S,"")</f>
        <v>0</v>
      </c>
      <c r="W163">
        <f>SUMIFS(Projektudgifter!$AK:$AK,Projektudgifter!$W:$W,B163&amp;C163&amp;D163&amp;E163,Projektudgifter!$S:$S,"")</f>
        <v>0</v>
      </c>
    </row>
    <row r="164" spans="2:24" ht="14.25" customHeight="1" x14ac:dyDescent="0.25">
      <c r="B164" t="s">
        <v>318</v>
      </c>
      <c r="C164" t="s">
        <v>1486</v>
      </c>
      <c r="D164" t="s">
        <v>693</v>
      </c>
      <c r="E164">
        <v>2014</v>
      </c>
      <c r="F164" t="s">
        <v>1361</v>
      </c>
      <c r="H164" t="s">
        <v>1194</v>
      </c>
      <c r="S164">
        <f>SUMIFS(Projektudgifter!$AG:$AG,Projektudgifter!$W:$W,B164&amp;C164&amp;D164&amp;E164,Projektudgifter!$S:$S,F164)</f>
        <v>0</v>
      </c>
      <c r="T164">
        <f>SUMIFS(Projektudgifter!$AH:$AH,Projektudgifter!$W:$W,B164&amp;C164&amp;D164&amp;E164,Projektudgifter!$T:$T,F164)</f>
        <v>0</v>
      </c>
      <c r="U164">
        <f>SUMIFS(Projektudgifter!$AI:$AI,Projektudgifter!$W:$W,B164&amp;C164&amp;D164&amp;E164,Projektudgifter!$S:$S,F164)</f>
        <v>0</v>
      </c>
      <c r="V164">
        <f>SUMIFS(Projektudgifter!$AJ:$AJ,Projektudgifter!$W:$W,B164&amp;C164&amp;D164&amp;E164,Projektudgifter!$T:$T,F164)</f>
        <v>0</v>
      </c>
      <c r="W164">
        <f>SUMIFS(Projektudgifter!$AK:$AK,Projektudgifter!$W:$W,B164&amp;C164&amp;D164&amp;E164,Projektudgifter!$S:$S,F164)</f>
        <v>0</v>
      </c>
      <c r="X164">
        <f>SUMIFS(Projektudgifter!$AL:$AL,Projektudgifter!$W:$W,B164&amp;C164&amp;D164&amp;E164,Projektudgifter!$T:$T,F164)</f>
        <v>0</v>
      </c>
    </row>
    <row r="165" spans="2:24" ht="14.25" customHeight="1" x14ac:dyDescent="0.25">
      <c r="B165" t="s">
        <v>318</v>
      </c>
      <c r="C165" t="s">
        <v>1486</v>
      </c>
      <c r="D165" t="s">
        <v>693</v>
      </c>
      <c r="E165">
        <v>2014</v>
      </c>
      <c r="F165" t="s">
        <v>680</v>
      </c>
      <c r="H165" t="s">
        <v>1194</v>
      </c>
      <c r="S165">
        <f>SUMIFS(Projektudgifter!$AG:$AG,Projektudgifter!$W:$W,B165&amp;C165&amp;D165&amp;E165,Projektudgifter!$S:$S,F165)</f>
        <v>0</v>
      </c>
      <c r="T165">
        <f>SUMIFS(Projektudgifter!$AH:$AH,Projektudgifter!$W:$W,B165&amp;C165&amp;D165&amp;E165,Projektudgifter!$T:$T,F165)</f>
        <v>0</v>
      </c>
      <c r="U165">
        <f>SUMIFS(Projektudgifter!$AI:$AI,Projektudgifter!$W:$W,B165&amp;C165&amp;D165&amp;E165,Projektudgifter!$S:$S,F165)</f>
        <v>0</v>
      </c>
      <c r="V165">
        <f>SUMIFS(Projektudgifter!$AJ:$AJ,Projektudgifter!$W:$W,B165&amp;C165&amp;D165&amp;E165,Projektudgifter!$T:$T,F165)</f>
        <v>0</v>
      </c>
      <c r="W165">
        <f>SUMIFS(Projektudgifter!$AK:$AK,Projektudgifter!$W:$W,B165&amp;C165&amp;D165&amp;E165,Projektudgifter!$S:$S,F165)</f>
        <v>0</v>
      </c>
      <c r="X165">
        <f>SUMIFS(Projektudgifter!$AL:$AL,Projektudgifter!$W:$W,B165&amp;C165&amp;D165&amp;E165,Projektudgifter!$T:$T,F165)</f>
        <v>0</v>
      </c>
    </row>
    <row r="166" spans="2:24" ht="14.25" customHeight="1" x14ac:dyDescent="0.25">
      <c r="B166" t="s">
        <v>318</v>
      </c>
      <c r="C166" t="s">
        <v>1486</v>
      </c>
      <c r="D166" t="s">
        <v>693</v>
      </c>
      <c r="E166">
        <v>2014</v>
      </c>
      <c r="N166">
        <f>SUMIFS(Projektudgifter!$Y:$Y,Projektudgifter!$W:$W,B166&amp;C166&amp;D166&amp;E166)</f>
        <v>0</v>
      </c>
      <c r="O166">
        <f>SUMIFS(Projektudgifter!$Z:$Z,Projektudgifter!$W:$W,B166&amp;C166&amp;D166&amp;E166)</f>
        <v>0</v>
      </c>
      <c r="P166">
        <f>SUMIFS(Projektudgifter!$AA:$AA,Projektudgifter!$W:$W,B166&amp;C166&amp;D166&amp;E166)</f>
        <v>0</v>
      </c>
      <c r="Q166">
        <f>SUMIFS(Projektudgifter!$AB:$AB,Projektudgifter!$W:$W,B166&amp;C166&amp;D166&amp;E166)</f>
        <v>0</v>
      </c>
      <c r="R166">
        <f>SUMIFS(Projektudgifter!$AC:$AC,Projektudgifter!$W:$W,B166&amp;C166&amp;D166&amp;E166)</f>
        <v>0</v>
      </c>
      <c r="S166">
        <f>SUMIFS(Projektudgifter!$AG:$AG,Projektudgifter!$W:$W,B166&amp;C166&amp;D166&amp;E166,Projektudgifter!$S:$S,"")</f>
        <v>0</v>
      </c>
      <c r="U166">
        <f>SUMIFS(Projektudgifter!$AI:$AI,Projektudgifter!$W:$W,B166&amp;C166&amp;D166&amp;E166,Projektudgifter!$S:$S,"")</f>
        <v>0</v>
      </c>
      <c r="W166">
        <f>SUMIFS(Projektudgifter!$AK:$AK,Projektudgifter!$W:$W,B166&amp;C166&amp;D166&amp;E166,Projektudgifter!$S:$S,"")</f>
        <v>0</v>
      </c>
    </row>
    <row r="167" spans="2:24" ht="14.25" customHeight="1" x14ac:dyDescent="0.25">
      <c r="B167" t="s">
        <v>1250</v>
      </c>
      <c r="C167" t="s">
        <v>1179</v>
      </c>
      <c r="D167" t="s">
        <v>693</v>
      </c>
      <c r="E167">
        <v>2013</v>
      </c>
      <c r="F167" t="s">
        <v>1361</v>
      </c>
      <c r="H167" t="s">
        <v>1194</v>
      </c>
      <c r="S167">
        <f>SUMIFS(Projektudgifter!$AG:$AG,Projektudgifter!$W:$W,B167&amp;C167&amp;D167&amp;E167,Projektudgifter!$S:$S,F167)</f>
        <v>0</v>
      </c>
      <c r="T167">
        <f>SUMIFS(Projektudgifter!$AH:$AH,Projektudgifter!$W:$W,B167&amp;C167&amp;D167&amp;E167,Projektudgifter!$T:$T,F167)</f>
        <v>0</v>
      </c>
      <c r="U167">
        <f>SUMIFS(Projektudgifter!$AI:$AI,Projektudgifter!$W:$W,B167&amp;C167&amp;D167&amp;E167,Projektudgifter!$S:$S,F167)</f>
        <v>0</v>
      </c>
      <c r="V167">
        <f>SUMIFS(Projektudgifter!$AJ:$AJ,Projektudgifter!$W:$W,B167&amp;C167&amp;D167&amp;E167,Projektudgifter!$T:$T,F167)</f>
        <v>0</v>
      </c>
      <c r="W167">
        <f>SUMIFS(Projektudgifter!$AK:$AK,Projektudgifter!$W:$W,B167&amp;C167&amp;D167&amp;E167,Projektudgifter!$S:$S,F167)</f>
        <v>0</v>
      </c>
      <c r="X167">
        <f>SUMIFS(Projektudgifter!$AL:$AL,Projektudgifter!$W:$W,B167&amp;C167&amp;D167&amp;E167,Projektudgifter!$T:$T,F167)</f>
        <v>0</v>
      </c>
    </row>
    <row r="168" spans="2:24" ht="14.25" customHeight="1" x14ac:dyDescent="0.25">
      <c r="B168" t="s">
        <v>1250</v>
      </c>
      <c r="C168" t="s">
        <v>1179</v>
      </c>
      <c r="D168" t="s">
        <v>693</v>
      </c>
      <c r="E168">
        <v>2013</v>
      </c>
      <c r="F168" t="s">
        <v>680</v>
      </c>
      <c r="H168" t="s">
        <v>1194</v>
      </c>
      <c r="S168">
        <f>SUMIFS(Projektudgifter!$AG:$AG,Projektudgifter!$W:$W,B168&amp;C168&amp;D168&amp;E168,Projektudgifter!$S:$S,F168)</f>
        <v>0</v>
      </c>
      <c r="T168">
        <f>SUMIFS(Projektudgifter!$AH:$AH,Projektudgifter!$W:$W,B168&amp;C168&amp;D168&amp;E168,Projektudgifter!$T:$T,F168)</f>
        <v>0</v>
      </c>
      <c r="U168">
        <f>SUMIFS(Projektudgifter!$AI:$AI,Projektudgifter!$W:$W,B168&amp;C168&amp;D168&amp;E168,Projektudgifter!$S:$S,F168)</f>
        <v>0</v>
      </c>
      <c r="V168">
        <f>SUMIFS(Projektudgifter!$AJ:$AJ,Projektudgifter!$W:$W,B168&amp;C168&amp;D168&amp;E168,Projektudgifter!$T:$T,F168)</f>
        <v>0</v>
      </c>
      <c r="W168">
        <f>SUMIFS(Projektudgifter!$AK:$AK,Projektudgifter!$W:$W,B168&amp;C168&amp;D168&amp;E168,Projektudgifter!$S:$S,F168)</f>
        <v>0</v>
      </c>
      <c r="X168">
        <f>SUMIFS(Projektudgifter!$AL:$AL,Projektudgifter!$W:$W,B168&amp;C168&amp;D168&amp;E168,Projektudgifter!$T:$T,F168)</f>
        <v>0</v>
      </c>
    </row>
    <row r="169" spans="2:24" ht="14.25" customHeight="1" x14ac:dyDescent="0.25">
      <c r="B169" t="s">
        <v>1250</v>
      </c>
      <c r="C169" t="s">
        <v>1179</v>
      </c>
      <c r="D169" t="s">
        <v>693</v>
      </c>
      <c r="E169">
        <v>2013</v>
      </c>
      <c r="N169">
        <f>SUMIFS(Projektudgifter!$Y:$Y,Projektudgifter!$W:$W,B169&amp;C169&amp;D169&amp;E169)</f>
        <v>0</v>
      </c>
      <c r="O169">
        <f>SUMIFS(Projektudgifter!$Z:$Z,Projektudgifter!$W:$W,B169&amp;C169&amp;D169&amp;E169)</f>
        <v>0</v>
      </c>
      <c r="P169">
        <f>SUMIFS(Projektudgifter!$AA:$AA,Projektudgifter!$W:$W,B169&amp;C169&amp;D169&amp;E169)</f>
        <v>0</v>
      </c>
      <c r="Q169">
        <f>SUMIFS(Projektudgifter!$AB:$AB,Projektudgifter!$W:$W,B169&amp;C169&amp;D169&amp;E169)</f>
        <v>0</v>
      </c>
      <c r="R169">
        <f>SUMIFS(Projektudgifter!$AC:$AC,Projektudgifter!$W:$W,B169&amp;C169&amp;D169&amp;E169)</f>
        <v>0</v>
      </c>
      <c r="S169">
        <f>SUMIFS(Projektudgifter!$AG:$AG,Projektudgifter!$W:$W,B169&amp;C169&amp;D169&amp;E169,Projektudgifter!$S:$S,"")</f>
        <v>0</v>
      </c>
      <c r="U169">
        <f>SUMIFS(Projektudgifter!$AI:$AI,Projektudgifter!$W:$W,B169&amp;C169&amp;D169&amp;E169,Projektudgifter!$S:$S,"")</f>
        <v>0</v>
      </c>
      <c r="W169">
        <f>SUMIFS(Projektudgifter!$AK:$AK,Projektudgifter!$W:$W,B169&amp;C169&amp;D169&amp;E169,Projektudgifter!$S:$S,"")</f>
        <v>0</v>
      </c>
    </row>
    <row r="170" spans="2:24" ht="14.25" customHeight="1" x14ac:dyDescent="0.25">
      <c r="B170" t="s">
        <v>1250</v>
      </c>
      <c r="C170" t="s">
        <v>1179</v>
      </c>
      <c r="D170" t="s">
        <v>693</v>
      </c>
      <c r="E170">
        <v>2014</v>
      </c>
      <c r="F170" t="s">
        <v>1361</v>
      </c>
      <c r="H170" t="s">
        <v>1194</v>
      </c>
      <c r="S170">
        <f>SUMIFS(Projektudgifter!$AG:$AG,Projektudgifter!$W:$W,B170&amp;C170&amp;D170&amp;E170,Projektudgifter!$S:$S,F170)</f>
        <v>0</v>
      </c>
      <c r="T170">
        <f>SUMIFS(Projektudgifter!$AH:$AH,Projektudgifter!$W:$W,B170&amp;C170&amp;D170&amp;E170,Projektudgifter!$T:$T,F170)</f>
        <v>0</v>
      </c>
      <c r="U170">
        <f>SUMIFS(Projektudgifter!$AI:$AI,Projektudgifter!$W:$W,B170&amp;C170&amp;D170&amp;E170,Projektudgifter!$S:$S,F170)</f>
        <v>0</v>
      </c>
      <c r="V170">
        <f>SUMIFS(Projektudgifter!$AJ:$AJ,Projektudgifter!$W:$W,B170&amp;C170&amp;D170&amp;E170,Projektudgifter!$T:$T,F170)</f>
        <v>0</v>
      </c>
      <c r="W170">
        <f>SUMIFS(Projektudgifter!$AK:$AK,Projektudgifter!$W:$W,B170&amp;C170&amp;D170&amp;E170,Projektudgifter!$S:$S,F170)</f>
        <v>0</v>
      </c>
      <c r="X170">
        <f>SUMIFS(Projektudgifter!$AL:$AL,Projektudgifter!$W:$W,B170&amp;C170&amp;D170&amp;E170,Projektudgifter!$T:$T,F170)</f>
        <v>0</v>
      </c>
    </row>
    <row r="171" spans="2:24" ht="14.25" customHeight="1" x14ac:dyDescent="0.25">
      <c r="B171" t="s">
        <v>1250</v>
      </c>
      <c r="C171" t="s">
        <v>1179</v>
      </c>
      <c r="D171" t="s">
        <v>693</v>
      </c>
      <c r="E171">
        <v>2014</v>
      </c>
      <c r="F171" t="s">
        <v>680</v>
      </c>
      <c r="H171" t="s">
        <v>1194</v>
      </c>
      <c r="S171">
        <f>SUMIFS(Projektudgifter!$AG:$AG,Projektudgifter!$W:$W,B171&amp;C171&amp;D171&amp;E171,Projektudgifter!$S:$S,F171)</f>
        <v>0</v>
      </c>
      <c r="T171">
        <f>SUMIFS(Projektudgifter!$AH:$AH,Projektudgifter!$W:$W,B171&amp;C171&amp;D171&amp;E171,Projektudgifter!$T:$T,F171)</f>
        <v>0</v>
      </c>
      <c r="U171">
        <f>SUMIFS(Projektudgifter!$AI:$AI,Projektudgifter!$W:$W,B171&amp;C171&amp;D171&amp;E171,Projektudgifter!$S:$S,F171)</f>
        <v>0</v>
      </c>
      <c r="V171">
        <f>SUMIFS(Projektudgifter!$AJ:$AJ,Projektudgifter!$W:$W,B171&amp;C171&amp;D171&amp;E171,Projektudgifter!$T:$T,F171)</f>
        <v>0</v>
      </c>
      <c r="W171">
        <f>SUMIFS(Projektudgifter!$AK:$AK,Projektudgifter!$W:$W,B171&amp;C171&amp;D171&amp;E171,Projektudgifter!$S:$S,F171)</f>
        <v>0</v>
      </c>
      <c r="X171">
        <f>SUMIFS(Projektudgifter!$AL:$AL,Projektudgifter!$W:$W,B171&amp;C171&amp;D171&amp;E171,Projektudgifter!$T:$T,F171)</f>
        <v>0</v>
      </c>
    </row>
    <row r="172" spans="2:24" ht="14.25" customHeight="1" x14ac:dyDescent="0.25">
      <c r="B172" t="s">
        <v>1250</v>
      </c>
      <c r="C172" t="s">
        <v>1179</v>
      </c>
      <c r="D172" t="s">
        <v>693</v>
      </c>
      <c r="E172">
        <v>2014</v>
      </c>
      <c r="N172">
        <f>SUMIFS(Projektudgifter!$Y:$Y,Projektudgifter!$W:$W,B172&amp;C172&amp;D172&amp;E172)</f>
        <v>0</v>
      </c>
      <c r="O172">
        <f>SUMIFS(Projektudgifter!$Z:$Z,Projektudgifter!$W:$W,B172&amp;C172&amp;D172&amp;E172)</f>
        <v>0</v>
      </c>
      <c r="P172">
        <f>SUMIFS(Projektudgifter!$AA:$AA,Projektudgifter!$W:$W,B172&amp;C172&amp;D172&amp;E172)</f>
        <v>0</v>
      </c>
      <c r="Q172">
        <f>SUMIFS(Projektudgifter!$AB:$AB,Projektudgifter!$W:$W,B172&amp;C172&amp;D172&amp;E172)</f>
        <v>0</v>
      </c>
      <c r="R172">
        <f>SUMIFS(Projektudgifter!$AC:$AC,Projektudgifter!$W:$W,B172&amp;C172&amp;D172&amp;E172)</f>
        <v>0</v>
      </c>
      <c r="S172">
        <f>SUMIFS(Projektudgifter!$AG:$AG,Projektudgifter!$W:$W,B172&amp;C172&amp;D172&amp;E172,Projektudgifter!$S:$S,"")</f>
        <v>0</v>
      </c>
      <c r="U172">
        <f>SUMIFS(Projektudgifter!$AI:$AI,Projektudgifter!$W:$W,B172&amp;C172&amp;D172&amp;E172,Projektudgifter!$S:$S,"")</f>
        <v>0</v>
      </c>
      <c r="W172">
        <f>SUMIFS(Projektudgifter!$AK:$AK,Projektudgifter!$W:$W,B172&amp;C172&amp;D172&amp;E172,Projektudgifter!$S:$S,"")</f>
        <v>0</v>
      </c>
    </row>
    <row r="173" spans="2:24" ht="14.25" customHeight="1" x14ac:dyDescent="0.25">
      <c r="B173" t="s">
        <v>1250</v>
      </c>
      <c r="C173" t="s">
        <v>1180</v>
      </c>
      <c r="D173" t="s">
        <v>693</v>
      </c>
      <c r="E173">
        <v>2013</v>
      </c>
      <c r="F173" t="s">
        <v>1361</v>
      </c>
      <c r="H173" t="s">
        <v>1194</v>
      </c>
      <c r="S173">
        <f>SUMIFS(Projektudgifter!$AG:$AG,Projektudgifter!$W:$W,B173&amp;C173&amp;D173&amp;E173,Projektudgifter!$S:$S,F173)</f>
        <v>0</v>
      </c>
      <c r="T173">
        <f>SUMIFS(Projektudgifter!$AH:$AH,Projektudgifter!$W:$W,B173&amp;C173&amp;D173&amp;E173,Projektudgifter!$T:$T,F173)</f>
        <v>0</v>
      </c>
      <c r="U173">
        <f>SUMIFS(Projektudgifter!$AI:$AI,Projektudgifter!$W:$W,B173&amp;C173&amp;D173&amp;E173,Projektudgifter!$S:$S,F173)</f>
        <v>0</v>
      </c>
      <c r="V173">
        <f>SUMIFS(Projektudgifter!$AJ:$AJ,Projektudgifter!$W:$W,B173&amp;C173&amp;D173&amp;E173,Projektudgifter!$T:$T,F173)</f>
        <v>0</v>
      </c>
      <c r="W173">
        <f>SUMIFS(Projektudgifter!$AK:$AK,Projektudgifter!$W:$W,B173&amp;C173&amp;D173&amp;E173,Projektudgifter!$S:$S,F173)</f>
        <v>0</v>
      </c>
      <c r="X173">
        <f>SUMIFS(Projektudgifter!$AL:$AL,Projektudgifter!$W:$W,B173&amp;C173&amp;D173&amp;E173,Projektudgifter!$T:$T,F173)</f>
        <v>0</v>
      </c>
    </row>
    <row r="174" spans="2:24" ht="14.25" customHeight="1" x14ac:dyDescent="0.25">
      <c r="B174" t="s">
        <v>1250</v>
      </c>
      <c r="C174" t="s">
        <v>1180</v>
      </c>
      <c r="D174" t="s">
        <v>693</v>
      </c>
      <c r="E174">
        <v>2013</v>
      </c>
      <c r="F174" t="s">
        <v>680</v>
      </c>
      <c r="H174" t="s">
        <v>1194</v>
      </c>
      <c r="S174">
        <f>SUMIFS(Projektudgifter!$AG:$AG,Projektudgifter!$W:$W,B174&amp;C174&amp;D174&amp;E174,Projektudgifter!$S:$S,F174)</f>
        <v>0</v>
      </c>
      <c r="T174">
        <f>SUMIFS(Projektudgifter!$AH:$AH,Projektudgifter!$W:$W,B174&amp;C174&amp;D174&amp;E174,Projektudgifter!$T:$T,F174)</f>
        <v>0</v>
      </c>
      <c r="U174">
        <f>SUMIFS(Projektudgifter!$AI:$AI,Projektudgifter!$W:$W,B174&amp;C174&amp;D174&amp;E174,Projektudgifter!$S:$S,F174)</f>
        <v>0</v>
      </c>
      <c r="V174">
        <f>SUMIFS(Projektudgifter!$AJ:$AJ,Projektudgifter!$W:$W,B174&amp;C174&amp;D174&amp;E174,Projektudgifter!$T:$T,F174)</f>
        <v>0</v>
      </c>
      <c r="W174">
        <f>SUMIFS(Projektudgifter!$AK:$AK,Projektudgifter!$W:$W,B174&amp;C174&amp;D174&amp;E174,Projektudgifter!$S:$S,F174)</f>
        <v>0</v>
      </c>
      <c r="X174">
        <f>SUMIFS(Projektudgifter!$AL:$AL,Projektudgifter!$W:$W,B174&amp;C174&amp;D174&amp;E174,Projektudgifter!$T:$T,F174)</f>
        <v>0</v>
      </c>
    </row>
    <row r="175" spans="2:24" ht="14.25" customHeight="1" x14ac:dyDescent="0.25">
      <c r="B175" t="s">
        <v>1250</v>
      </c>
      <c r="C175" t="s">
        <v>1180</v>
      </c>
      <c r="D175" t="s">
        <v>693</v>
      </c>
      <c r="E175">
        <v>2013</v>
      </c>
      <c r="N175">
        <f>SUMIFS(Projektudgifter!$Y:$Y,Projektudgifter!$W:$W,B175&amp;C175&amp;D175&amp;E175)</f>
        <v>0</v>
      </c>
      <c r="O175">
        <f>SUMIFS(Projektudgifter!$Z:$Z,Projektudgifter!$W:$W,B175&amp;C175&amp;D175&amp;E175)</f>
        <v>0</v>
      </c>
      <c r="P175">
        <f>SUMIFS(Projektudgifter!$AA:$AA,Projektudgifter!$W:$W,B175&amp;C175&amp;D175&amp;E175)</f>
        <v>0</v>
      </c>
      <c r="Q175">
        <f>SUMIFS(Projektudgifter!$AB:$AB,Projektudgifter!$W:$W,B175&amp;C175&amp;D175&amp;E175)</f>
        <v>0</v>
      </c>
      <c r="R175">
        <f>SUMIFS(Projektudgifter!$AC:$AC,Projektudgifter!$W:$W,B175&amp;C175&amp;D175&amp;E175)</f>
        <v>0</v>
      </c>
      <c r="S175">
        <f>SUMIFS(Projektudgifter!$AG:$AG,Projektudgifter!$W:$W,B175&amp;C175&amp;D175&amp;E175,Projektudgifter!$S:$S,"")</f>
        <v>0</v>
      </c>
      <c r="U175">
        <f>SUMIFS(Projektudgifter!$AI:$AI,Projektudgifter!$W:$W,B175&amp;C175&amp;D175&amp;E175,Projektudgifter!$S:$S,"")</f>
        <v>0</v>
      </c>
      <c r="W175">
        <f>SUMIFS(Projektudgifter!$AK:$AK,Projektudgifter!$W:$W,B175&amp;C175&amp;D175&amp;E175,Projektudgifter!$S:$S,"")</f>
        <v>0</v>
      </c>
    </row>
    <row r="176" spans="2:24" ht="14.25" customHeight="1" x14ac:dyDescent="0.25">
      <c r="B176" t="s">
        <v>1250</v>
      </c>
      <c r="C176" t="s">
        <v>1180</v>
      </c>
      <c r="D176" t="s">
        <v>693</v>
      </c>
      <c r="E176">
        <v>2014</v>
      </c>
      <c r="F176" t="s">
        <v>1361</v>
      </c>
      <c r="H176" t="s">
        <v>1194</v>
      </c>
      <c r="S176">
        <f>SUMIFS(Projektudgifter!$AG:$AG,Projektudgifter!$W:$W,B176&amp;C176&amp;D176&amp;E176,Projektudgifter!$S:$S,F176)</f>
        <v>0</v>
      </c>
      <c r="T176">
        <f>SUMIFS(Projektudgifter!$AH:$AH,Projektudgifter!$W:$W,B176&amp;C176&amp;D176&amp;E176,Projektudgifter!$T:$T,F176)</f>
        <v>0</v>
      </c>
      <c r="U176">
        <f>SUMIFS(Projektudgifter!$AI:$AI,Projektudgifter!$W:$W,B176&amp;C176&amp;D176&amp;E176,Projektudgifter!$S:$S,F176)</f>
        <v>0</v>
      </c>
      <c r="V176">
        <f>SUMIFS(Projektudgifter!$AJ:$AJ,Projektudgifter!$W:$W,B176&amp;C176&amp;D176&amp;E176,Projektudgifter!$T:$T,F176)</f>
        <v>0</v>
      </c>
      <c r="W176">
        <f>SUMIFS(Projektudgifter!$AK:$AK,Projektudgifter!$W:$W,B176&amp;C176&amp;D176&amp;E176,Projektudgifter!$S:$S,F176)</f>
        <v>0</v>
      </c>
      <c r="X176">
        <f>SUMIFS(Projektudgifter!$AL:$AL,Projektudgifter!$W:$W,B176&amp;C176&amp;D176&amp;E176,Projektudgifter!$T:$T,F176)</f>
        <v>0</v>
      </c>
    </row>
    <row r="177" spans="2:24" ht="14.25" customHeight="1" x14ac:dyDescent="0.25">
      <c r="B177" t="s">
        <v>1250</v>
      </c>
      <c r="C177" t="s">
        <v>1180</v>
      </c>
      <c r="D177" t="s">
        <v>693</v>
      </c>
      <c r="E177">
        <v>2014</v>
      </c>
      <c r="F177" t="s">
        <v>680</v>
      </c>
      <c r="H177" t="s">
        <v>1194</v>
      </c>
      <c r="S177">
        <f>SUMIFS(Projektudgifter!$AG:$AG,Projektudgifter!$W:$W,B177&amp;C177&amp;D177&amp;E177,Projektudgifter!$S:$S,F177)</f>
        <v>0</v>
      </c>
      <c r="T177">
        <f>SUMIFS(Projektudgifter!$AH:$AH,Projektudgifter!$W:$W,B177&amp;C177&amp;D177&amp;E177,Projektudgifter!$T:$T,F177)</f>
        <v>0</v>
      </c>
      <c r="U177">
        <f>SUMIFS(Projektudgifter!$AI:$AI,Projektudgifter!$W:$W,B177&amp;C177&amp;D177&amp;E177,Projektudgifter!$S:$S,F177)</f>
        <v>0</v>
      </c>
      <c r="V177">
        <f>SUMIFS(Projektudgifter!$AJ:$AJ,Projektudgifter!$W:$W,B177&amp;C177&amp;D177&amp;E177,Projektudgifter!$T:$T,F177)</f>
        <v>0</v>
      </c>
      <c r="W177">
        <f>SUMIFS(Projektudgifter!$AK:$AK,Projektudgifter!$W:$W,B177&amp;C177&amp;D177&amp;E177,Projektudgifter!$S:$S,F177)</f>
        <v>0</v>
      </c>
      <c r="X177">
        <f>SUMIFS(Projektudgifter!$AL:$AL,Projektudgifter!$W:$W,B177&amp;C177&amp;D177&amp;E177,Projektudgifter!$T:$T,F177)</f>
        <v>0</v>
      </c>
    </row>
    <row r="178" spans="2:24" ht="14.25" customHeight="1" x14ac:dyDescent="0.25">
      <c r="B178" t="s">
        <v>1250</v>
      </c>
      <c r="C178" t="s">
        <v>1180</v>
      </c>
      <c r="D178" t="s">
        <v>693</v>
      </c>
      <c r="E178">
        <v>2014</v>
      </c>
      <c r="N178">
        <f>SUMIFS(Projektudgifter!$Y:$Y,Projektudgifter!$W:$W,B178&amp;C178&amp;D178&amp;E178)</f>
        <v>0</v>
      </c>
      <c r="O178">
        <f>SUMIFS(Projektudgifter!$Z:$Z,Projektudgifter!$W:$W,B178&amp;C178&amp;D178&amp;E178)</f>
        <v>0</v>
      </c>
      <c r="P178">
        <f>SUMIFS(Projektudgifter!$AA:$AA,Projektudgifter!$W:$W,B178&amp;C178&amp;D178&amp;E178)</f>
        <v>0</v>
      </c>
      <c r="Q178">
        <f>SUMIFS(Projektudgifter!$AB:$AB,Projektudgifter!$W:$W,B178&amp;C178&amp;D178&amp;E178)</f>
        <v>0</v>
      </c>
      <c r="R178">
        <f>SUMIFS(Projektudgifter!$AC:$AC,Projektudgifter!$W:$W,B178&amp;C178&amp;D178&amp;E178)</f>
        <v>0</v>
      </c>
      <c r="S178">
        <f>SUMIFS(Projektudgifter!$AG:$AG,Projektudgifter!$W:$W,B178&amp;C178&amp;D178&amp;E178,Projektudgifter!$S:$S,"")</f>
        <v>0</v>
      </c>
      <c r="U178">
        <f>SUMIFS(Projektudgifter!$AI:$AI,Projektudgifter!$W:$W,B178&amp;C178&amp;D178&amp;E178,Projektudgifter!$S:$S,"")</f>
        <v>0</v>
      </c>
      <c r="W178">
        <f>SUMIFS(Projektudgifter!$AK:$AK,Projektudgifter!$W:$W,B178&amp;C178&amp;D178&amp;E178,Projektudgifter!$S:$S,"")</f>
        <v>0</v>
      </c>
    </row>
    <row r="179" spans="2:24" ht="14.25" customHeight="1" x14ac:dyDescent="0.25">
      <c r="B179" t="s">
        <v>1250</v>
      </c>
      <c r="C179" t="s">
        <v>1181</v>
      </c>
      <c r="D179" t="s">
        <v>693</v>
      </c>
      <c r="E179">
        <v>2013</v>
      </c>
      <c r="F179" t="s">
        <v>1361</v>
      </c>
      <c r="H179" t="s">
        <v>1194</v>
      </c>
      <c r="S179">
        <f>SUMIFS(Projektudgifter!$AG:$AG,Projektudgifter!$W:$W,B179&amp;C179&amp;D179&amp;E179,Projektudgifter!$S:$S,F179)</f>
        <v>0</v>
      </c>
      <c r="T179">
        <f>SUMIFS(Projektudgifter!$AH:$AH,Projektudgifter!$W:$W,B179&amp;C179&amp;D179&amp;E179,Projektudgifter!$T:$T,F179)</f>
        <v>0</v>
      </c>
      <c r="U179">
        <f>SUMIFS(Projektudgifter!$AI:$AI,Projektudgifter!$W:$W,B179&amp;C179&amp;D179&amp;E179,Projektudgifter!$S:$S,F179)</f>
        <v>0</v>
      </c>
      <c r="V179">
        <f>SUMIFS(Projektudgifter!$AJ:$AJ,Projektudgifter!$W:$W,B179&amp;C179&amp;D179&amp;E179,Projektudgifter!$T:$T,F179)</f>
        <v>0</v>
      </c>
      <c r="W179">
        <f>SUMIFS(Projektudgifter!$AK:$AK,Projektudgifter!$W:$W,B179&amp;C179&amp;D179&amp;E179,Projektudgifter!$S:$S,F179)</f>
        <v>0</v>
      </c>
      <c r="X179">
        <f>SUMIFS(Projektudgifter!$AL:$AL,Projektudgifter!$W:$W,B179&amp;C179&amp;D179&amp;E179,Projektudgifter!$T:$T,F179)</f>
        <v>0</v>
      </c>
    </row>
    <row r="180" spans="2:24" ht="14.25" customHeight="1" x14ac:dyDescent="0.25">
      <c r="B180" t="s">
        <v>1250</v>
      </c>
      <c r="C180" t="s">
        <v>1181</v>
      </c>
      <c r="D180" t="s">
        <v>693</v>
      </c>
      <c r="E180">
        <v>2013</v>
      </c>
      <c r="F180" t="s">
        <v>680</v>
      </c>
      <c r="H180" t="s">
        <v>1194</v>
      </c>
      <c r="S180">
        <f>SUMIFS(Projektudgifter!$AG:$AG,Projektudgifter!$W:$W,B180&amp;C180&amp;D180&amp;E180,Projektudgifter!$S:$S,F180)</f>
        <v>0</v>
      </c>
      <c r="T180">
        <f>SUMIFS(Projektudgifter!$AH:$AH,Projektudgifter!$W:$W,B180&amp;C180&amp;D180&amp;E180,Projektudgifter!$T:$T,F180)</f>
        <v>0</v>
      </c>
      <c r="U180">
        <f>SUMIFS(Projektudgifter!$AI:$AI,Projektudgifter!$W:$W,B180&amp;C180&amp;D180&amp;E180,Projektudgifter!$S:$S,F180)</f>
        <v>0</v>
      </c>
      <c r="V180">
        <f>SUMIFS(Projektudgifter!$AJ:$AJ,Projektudgifter!$W:$W,B180&amp;C180&amp;D180&amp;E180,Projektudgifter!$T:$T,F180)</f>
        <v>0</v>
      </c>
      <c r="W180">
        <f>SUMIFS(Projektudgifter!$AK:$AK,Projektudgifter!$W:$W,B180&amp;C180&amp;D180&amp;E180,Projektudgifter!$S:$S,F180)</f>
        <v>0</v>
      </c>
      <c r="X180">
        <f>SUMIFS(Projektudgifter!$AL:$AL,Projektudgifter!$W:$W,B180&amp;C180&amp;D180&amp;E180,Projektudgifter!$T:$T,F180)</f>
        <v>0</v>
      </c>
    </row>
    <row r="181" spans="2:24" ht="14.25" customHeight="1" x14ac:dyDescent="0.25">
      <c r="B181" t="s">
        <v>1250</v>
      </c>
      <c r="C181" t="s">
        <v>1181</v>
      </c>
      <c r="D181" t="s">
        <v>693</v>
      </c>
      <c r="E181">
        <v>2013</v>
      </c>
      <c r="N181">
        <f>SUMIFS(Projektudgifter!$Y:$Y,Projektudgifter!$W:$W,B181&amp;C181&amp;D181&amp;E181)</f>
        <v>0</v>
      </c>
      <c r="O181">
        <f>SUMIFS(Projektudgifter!$Z:$Z,Projektudgifter!$W:$W,B181&amp;C181&amp;D181&amp;E181)</f>
        <v>0</v>
      </c>
      <c r="P181">
        <f>SUMIFS(Projektudgifter!$AA:$AA,Projektudgifter!$W:$W,B181&amp;C181&amp;D181&amp;E181)</f>
        <v>0</v>
      </c>
      <c r="Q181">
        <f>SUMIFS(Projektudgifter!$AB:$AB,Projektudgifter!$W:$W,B181&amp;C181&amp;D181&amp;E181)</f>
        <v>0</v>
      </c>
      <c r="R181">
        <f>SUMIFS(Projektudgifter!$AC:$AC,Projektudgifter!$W:$W,B181&amp;C181&amp;D181&amp;E181)</f>
        <v>0</v>
      </c>
      <c r="S181">
        <f>SUMIFS(Projektudgifter!$AG:$AG,Projektudgifter!$W:$W,B181&amp;C181&amp;D181&amp;E181,Projektudgifter!$S:$S,"")</f>
        <v>0</v>
      </c>
      <c r="U181">
        <f>SUMIFS(Projektudgifter!$AI:$AI,Projektudgifter!$W:$W,B181&amp;C181&amp;D181&amp;E181,Projektudgifter!$S:$S,"")</f>
        <v>0</v>
      </c>
      <c r="W181">
        <f>SUMIFS(Projektudgifter!$AK:$AK,Projektudgifter!$W:$W,B181&amp;C181&amp;D181&amp;E181,Projektudgifter!$S:$S,"")</f>
        <v>0</v>
      </c>
    </row>
    <row r="182" spans="2:24" ht="14.25" customHeight="1" x14ac:dyDescent="0.25">
      <c r="B182" t="s">
        <v>1250</v>
      </c>
      <c r="C182" t="s">
        <v>1181</v>
      </c>
      <c r="D182" t="s">
        <v>693</v>
      </c>
      <c r="E182">
        <v>2014</v>
      </c>
      <c r="F182" t="s">
        <v>1361</v>
      </c>
      <c r="H182" t="s">
        <v>1194</v>
      </c>
      <c r="S182">
        <f>SUMIFS(Projektudgifter!$AG:$AG,Projektudgifter!$W:$W,B182&amp;C182&amp;D182&amp;E182,Projektudgifter!$S:$S,F182)</f>
        <v>0</v>
      </c>
      <c r="T182">
        <f>SUMIFS(Projektudgifter!$AH:$AH,Projektudgifter!$W:$W,B182&amp;C182&amp;D182&amp;E182,Projektudgifter!$T:$T,F182)</f>
        <v>0</v>
      </c>
      <c r="U182">
        <f>SUMIFS(Projektudgifter!$AI:$AI,Projektudgifter!$W:$W,B182&amp;C182&amp;D182&amp;E182,Projektudgifter!$S:$S,F182)</f>
        <v>0</v>
      </c>
      <c r="V182">
        <f>SUMIFS(Projektudgifter!$AJ:$AJ,Projektudgifter!$W:$W,B182&amp;C182&amp;D182&amp;E182,Projektudgifter!$T:$T,F182)</f>
        <v>0</v>
      </c>
      <c r="W182">
        <f>SUMIFS(Projektudgifter!$AK:$AK,Projektudgifter!$W:$W,B182&amp;C182&amp;D182&amp;E182,Projektudgifter!$S:$S,F182)</f>
        <v>0</v>
      </c>
      <c r="X182">
        <f>SUMIFS(Projektudgifter!$AL:$AL,Projektudgifter!$W:$W,B182&amp;C182&amp;D182&amp;E182,Projektudgifter!$T:$T,F182)</f>
        <v>0</v>
      </c>
    </row>
    <row r="183" spans="2:24" ht="14.25" customHeight="1" x14ac:dyDescent="0.25">
      <c r="B183" t="s">
        <v>1250</v>
      </c>
      <c r="C183" t="s">
        <v>1181</v>
      </c>
      <c r="D183" t="s">
        <v>693</v>
      </c>
      <c r="E183">
        <v>2014</v>
      </c>
      <c r="F183" t="s">
        <v>680</v>
      </c>
      <c r="H183" t="s">
        <v>1194</v>
      </c>
      <c r="S183">
        <f>SUMIFS(Projektudgifter!$AG:$AG,Projektudgifter!$W:$W,B183&amp;C183&amp;D183&amp;E183,Projektudgifter!$S:$S,F183)</f>
        <v>0</v>
      </c>
      <c r="T183">
        <f>SUMIFS(Projektudgifter!$AH:$AH,Projektudgifter!$W:$W,B183&amp;C183&amp;D183&amp;E183,Projektudgifter!$T:$T,F183)</f>
        <v>0</v>
      </c>
      <c r="U183">
        <f>SUMIFS(Projektudgifter!$AI:$AI,Projektudgifter!$W:$W,B183&amp;C183&amp;D183&amp;E183,Projektudgifter!$S:$S,F183)</f>
        <v>0</v>
      </c>
      <c r="V183">
        <f>SUMIFS(Projektudgifter!$AJ:$AJ,Projektudgifter!$W:$W,B183&amp;C183&amp;D183&amp;E183,Projektudgifter!$T:$T,F183)</f>
        <v>0</v>
      </c>
      <c r="W183">
        <f>SUMIFS(Projektudgifter!$AK:$AK,Projektudgifter!$W:$W,B183&amp;C183&amp;D183&amp;E183,Projektudgifter!$S:$S,F183)</f>
        <v>0</v>
      </c>
      <c r="X183">
        <f>SUMIFS(Projektudgifter!$AL:$AL,Projektudgifter!$W:$W,B183&amp;C183&amp;D183&amp;E183,Projektudgifter!$T:$T,F183)</f>
        <v>0</v>
      </c>
    </row>
    <row r="184" spans="2:24" ht="14.25" customHeight="1" x14ac:dyDescent="0.25">
      <c r="B184" t="s">
        <v>1250</v>
      </c>
      <c r="C184" t="s">
        <v>1181</v>
      </c>
      <c r="D184" t="s">
        <v>693</v>
      </c>
      <c r="E184">
        <v>2014</v>
      </c>
      <c r="N184">
        <f>SUMIFS(Projektudgifter!$Y:$Y,Projektudgifter!$W:$W,B184&amp;C184&amp;D184&amp;E184)</f>
        <v>0</v>
      </c>
      <c r="O184">
        <f>SUMIFS(Projektudgifter!$Z:$Z,Projektudgifter!$W:$W,B184&amp;C184&amp;D184&amp;E184)</f>
        <v>0</v>
      </c>
      <c r="P184">
        <f>SUMIFS(Projektudgifter!$AA:$AA,Projektudgifter!$W:$W,B184&amp;C184&amp;D184&amp;E184)</f>
        <v>0</v>
      </c>
      <c r="Q184">
        <f>SUMIFS(Projektudgifter!$AB:$AB,Projektudgifter!$W:$W,B184&amp;C184&amp;D184&amp;E184)</f>
        <v>0</v>
      </c>
      <c r="R184">
        <f>SUMIFS(Projektudgifter!$AC:$AC,Projektudgifter!$W:$W,B184&amp;C184&amp;D184&amp;E184)</f>
        <v>0</v>
      </c>
      <c r="S184">
        <f>SUMIFS(Projektudgifter!$AG:$AG,Projektudgifter!$W:$W,B184&amp;C184&amp;D184&amp;E184,Projektudgifter!$S:$S,"")</f>
        <v>0</v>
      </c>
      <c r="U184">
        <f>SUMIFS(Projektudgifter!$AI:$AI,Projektudgifter!$W:$W,B184&amp;C184&amp;D184&amp;E184,Projektudgifter!$S:$S,"")</f>
        <v>0</v>
      </c>
      <c r="W184">
        <f>SUMIFS(Projektudgifter!$AK:$AK,Projektudgifter!$W:$W,B184&amp;C184&amp;D184&amp;E184,Projektudgifter!$S:$S,"")</f>
        <v>0</v>
      </c>
    </row>
    <row r="185" spans="2:24" ht="14.25" customHeight="1" x14ac:dyDescent="0.25">
      <c r="B185" t="s">
        <v>1250</v>
      </c>
      <c r="C185" t="s">
        <v>1182</v>
      </c>
      <c r="D185" t="s">
        <v>693</v>
      </c>
      <c r="E185">
        <v>2013</v>
      </c>
      <c r="F185" t="s">
        <v>1361</v>
      </c>
      <c r="H185" t="s">
        <v>1194</v>
      </c>
      <c r="S185">
        <f>SUMIFS(Projektudgifter!$AG:$AG,Projektudgifter!$W:$W,B185&amp;C185&amp;D185&amp;E185,Projektudgifter!$S:$S,F185)</f>
        <v>0</v>
      </c>
      <c r="T185">
        <f>SUMIFS(Projektudgifter!$AH:$AH,Projektudgifter!$W:$W,B185&amp;C185&amp;D185&amp;E185,Projektudgifter!$T:$T,F185)</f>
        <v>0</v>
      </c>
      <c r="U185">
        <f>SUMIFS(Projektudgifter!$AI:$AI,Projektudgifter!$W:$W,B185&amp;C185&amp;D185&amp;E185,Projektudgifter!$S:$S,F185)</f>
        <v>0</v>
      </c>
      <c r="V185">
        <f>SUMIFS(Projektudgifter!$AJ:$AJ,Projektudgifter!$W:$W,B185&amp;C185&amp;D185&amp;E185,Projektudgifter!$T:$T,F185)</f>
        <v>0</v>
      </c>
      <c r="W185">
        <f>SUMIFS(Projektudgifter!$AK:$AK,Projektudgifter!$W:$W,B185&amp;C185&amp;D185&amp;E185,Projektudgifter!$S:$S,F185)</f>
        <v>0</v>
      </c>
      <c r="X185">
        <f>SUMIFS(Projektudgifter!$AL:$AL,Projektudgifter!$W:$W,B185&amp;C185&amp;D185&amp;E185,Projektudgifter!$T:$T,F185)</f>
        <v>0</v>
      </c>
    </row>
    <row r="186" spans="2:24" ht="14.25" customHeight="1" x14ac:dyDescent="0.25">
      <c r="B186" t="s">
        <v>1250</v>
      </c>
      <c r="C186" t="s">
        <v>1182</v>
      </c>
      <c r="D186" t="s">
        <v>693</v>
      </c>
      <c r="E186">
        <v>2013</v>
      </c>
      <c r="F186" t="s">
        <v>680</v>
      </c>
      <c r="H186" t="s">
        <v>1194</v>
      </c>
      <c r="S186">
        <f>SUMIFS(Projektudgifter!$AG:$AG,Projektudgifter!$W:$W,B186&amp;C186&amp;D186&amp;E186,Projektudgifter!$S:$S,F186)</f>
        <v>0</v>
      </c>
      <c r="T186">
        <f>SUMIFS(Projektudgifter!$AH:$AH,Projektudgifter!$W:$W,B186&amp;C186&amp;D186&amp;E186,Projektudgifter!$T:$T,F186)</f>
        <v>0</v>
      </c>
      <c r="U186">
        <f>SUMIFS(Projektudgifter!$AI:$AI,Projektudgifter!$W:$W,B186&amp;C186&amp;D186&amp;E186,Projektudgifter!$S:$S,F186)</f>
        <v>0</v>
      </c>
      <c r="V186">
        <f>SUMIFS(Projektudgifter!$AJ:$AJ,Projektudgifter!$W:$W,B186&amp;C186&amp;D186&amp;E186,Projektudgifter!$T:$T,F186)</f>
        <v>0</v>
      </c>
      <c r="W186">
        <f>SUMIFS(Projektudgifter!$AK:$AK,Projektudgifter!$W:$W,B186&amp;C186&amp;D186&amp;E186,Projektudgifter!$S:$S,F186)</f>
        <v>0</v>
      </c>
      <c r="X186">
        <f>SUMIFS(Projektudgifter!$AL:$AL,Projektudgifter!$W:$W,B186&amp;C186&amp;D186&amp;E186,Projektudgifter!$T:$T,F186)</f>
        <v>0</v>
      </c>
    </row>
    <row r="187" spans="2:24" ht="14.25" customHeight="1" x14ac:dyDescent="0.25">
      <c r="B187" t="s">
        <v>1250</v>
      </c>
      <c r="C187" t="s">
        <v>1182</v>
      </c>
      <c r="D187" t="s">
        <v>693</v>
      </c>
      <c r="E187">
        <v>2013</v>
      </c>
      <c r="N187">
        <f>SUMIFS(Projektudgifter!$Y:$Y,Projektudgifter!$W:$W,B187&amp;C187&amp;D187&amp;E187)</f>
        <v>0</v>
      </c>
      <c r="O187">
        <f>SUMIFS(Projektudgifter!$Z:$Z,Projektudgifter!$W:$W,B187&amp;C187&amp;D187&amp;E187)</f>
        <v>0</v>
      </c>
      <c r="P187">
        <f>SUMIFS(Projektudgifter!$AA:$AA,Projektudgifter!$W:$W,B187&amp;C187&amp;D187&amp;E187)</f>
        <v>0</v>
      </c>
      <c r="Q187">
        <f>SUMIFS(Projektudgifter!$AB:$AB,Projektudgifter!$W:$W,B187&amp;C187&amp;D187&amp;E187)</f>
        <v>0</v>
      </c>
      <c r="R187">
        <f>SUMIFS(Projektudgifter!$AC:$AC,Projektudgifter!$W:$W,B187&amp;C187&amp;D187&amp;E187)</f>
        <v>0</v>
      </c>
      <c r="S187">
        <f>SUMIFS(Projektudgifter!$AG:$AG,Projektudgifter!$W:$W,B187&amp;C187&amp;D187&amp;E187,Projektudgifter!$S:$S,"")</f>
        <v>0</v>
      </c>
      <c r="U187">
        <f>SUMIFS(Projektudgifter!$AI:$AI,Projektudgifter!$W:$W,B187&amp;C187&amp;D187&amp;E187,Projektudgifter!$S:$S,"")</f>
        <v>0</v>
      </c>
      <c r="W187">
        <f>SUMIFS(Projektudgifter!$AK:$AK,Projektudgifter!$W:$W,B187&amp;C187&amp;D187&amp;E187,Projektudgifter!$S:$S,"")</f>
        <v>0</v>
      </c>
    </row>
    <row r="188" spans="2:24" ht="14.25" customHeight="1" x14ac:dyDescent="0.25">
      <c r="B188" t="s">
        <v>1250</v>
      </c>
      <c r="C188" t="s">
        <v>1182</v>
      </c>
      <c r="D188" t="s">
        <v>693</v>
      </c>
      <c r="E188">
        <v>2014</v>
      </c>
      <c r="F188" t="s">
        <v>1361</v>
      </c>
      <c r="H188" t="s">
        <v>1194</v>
      </c>
      <c r="S188">
        <f>SUMIFS(Projektudgifter!$AG:$AG,Projektudgifter!$W:$W,B188&amp;C188&amp;D188&amp;E188,Projektudgifter!$S:$S,F188)</f>
        <v>0</v>
      </c>
      <c r="T188">
        <f>SUMIFS(Projektudgifter!$AH:$AH,Projektudgifter!$W:$W,B188&amp;C188&amp;D188&amp;E188,Projektudgifter!$T:$T,F188)</f>
        <v>0</v>
      </c>
      <c r="U188">
        <f>SUMIFS(Projektudgifter!$AI:$AI,Projektudgifter!$W:$W,B188&amp;C188&amp;D188&amp;E188,Projektudgifter!$S:$S,F188)</f>
        <v>0</v>
      </c>
      <c r="V188">
        <f>SUMIFS(Projektudgifter!$AJ:$AJ,Projektudgifter!$W:$W,B188&amp;C188&amp;D188&amp;E188,Projektudgifter!$T:$T,F188)</f>
        <v>0</v>
      </c>
      <c r="W188">
        <f>SUMIFS(Projektudgifter!$AK:$AK,Projektudgifter!$W:$W,B188&amp;C188&amp;D188&amp;E188,Projektudgifter!$S:$S,F188)</f>
        <v>0</v>
      </c>
      <c r="X188">
        <f>SUMIFS(Projektudgifter!$AL:$AL,Projektudgifter!$W:$W,B188&amp;C188&amp;D188&amp;E188,Projektudgifter!$T:$T,F188)</f>
        <v>0</v>
      </c>
    </row>
    <row r="189" spans="2:24" ht="14.25" customHeight="1" x14ac:dyDescent="0.25">
      <c r="B189" t="s">
        <v>1250</v>
      </c>
      <c r="C189" t="s">
        <v>1182</v>
      </c>
      <c r="D189" t="s">
        <v>693</v>
      </c>
      <c r="E189">
        <v>2014</v>
      </c>
      <c r="F189" t="s">
        <v>680</v>
      </c>
      <c r="H189" t="s">
        <v>1194</v>
      </c>
      <c r="S189">
        <f>SUMIFS(Projektudgifter!$AG:$AG,Projektudgifter!$W:$W,B189&amp;C189&amp;D189&amp;E189,Projektudgifter!$S:$S,F189)</f>
        <v>0</v>
      </c>
      <c r="T189">
        <f>SUMIFS(Projektudgifter!$AH:$AH,Projektudgifter!$W:$W,B189&amp;C189&amp;D189&amp;E189,Projektudgifter!$T:$T,F189)</f>
        <v>0</v>
      </c>
      <c r="U189">
        <f>SUMIFS(Projektudgifter!$AI:$AI,Projektudgifter!$W:$W,B189&amp;C189&amp;D189&amp;E189,Projektudgifter!$S:$S,F189)</f>
        <v>0</v>
      </c>
      <c r="V189">
        <f>SUMIFS(Projektudgifter!$AJ:$AJ,Projektudgifter!$W:$W,B189&amp;C189&amp;D189&amp;E189,Projektudgifter!$T:$T,F189)</f>
        <v>0</v>
      </c>
      <c r="W189">
        <f>SUMIFS(Projektudgifter!$AK:$AK,Projektudgifter!$W:$W,B189&amp;C189&amp;D189&amp;E189,Projektudgifter!$S:$S,F189)</f>
        <v>0</v>
      </c>
      <c r="X189">
        <f>SUMIFS(Projektudgifter!$AL:$AL,Projektudgifter!$W:$W,B189&amp;C189&amp;D189&amp;E189,Projektudgifter!$T:$T,F189)</f>
        <v>0</v>
      </c>
    </row>
    <row r="190" spans="2:24" ht="14.25" customHeight="1" x14ac:dyDescent="0.25">
      <c r="B190" t="s">
        <v>1250</v>
      </c>
      <c r="C190" t="s">
        <v>1182</v>
      </c>
      <c r="D190" t="s">
        <v>693</v>
      </c>
      <c r="E190">
        <v>2014</v>
      </c>
      <c r="N190">
        <f>SUMIFS(Projektudgifter!$Y:$Y,Projektudgifter!$W:$W,B190&amp;C190&amp;D190&amp;E190)</f>
        <v>0</v>
      </c>
      <c r="O190">
        <f>SUMIFS(Projektudgifter!$Z:$Z,Projektudgifter!$W:$W,B190&amp;C190&amp;D190&amp;E190)</f>
        <v>0</v>
      </c>
      <c r="P190">
        <f>SUMIFS(Projektudgifter!$AA:$AA,Projektudgifter!$W:$W,B190&amp;C190&amp;D190&amp;E190)</f>
        <v>0</v>
      </c>
      <c r="Q190">
        <f>SUMIFS(Projektudgifter!$AB:$AB,Projektudgifter!$W:$W,B190&amp;C190&amp;D190&amp;E190)</f>
        <v>0</v>
      </c>
      <c r="R190">
        <f>SUMIFS(Projektudgifter!$AC:$AC,Projektudgifter!$W:$W,B190&amp;C190&amp;D190&amp;E190)</f>
        <v>0</v>
      </c>
      <c r="S190">
        <f>SUMIFS(Projektudgifter!$AG:$AG,Projektudgifter!$W:$W,B190&amp;C190&amp;D190&amp;E190,Projektudgifter!$S:$S,"")</f>
        <v>0</v>
      </c>
      <c r="U190">
        <f>SUMIFS(Projektudgifter!$AI:$AI,Projektudgifter!$W:$W,B190&amp;C190&amp;D190&amp;E190,Projektudgifter!$S:$S,"")</f>
        <v>0</v>
      </c>
      <c r="W190">
        <f>SUMIFS(Projektudgifter!$AK:$AK,Projektudgifter!$W:$W,B190&amp;C190&amp;D190&amp;E190,Projektudgifter!$S:$S,"")</f>
        <v>0</v>
      </c>
    </row>
    <row r="191" spans="2:24" ht="14.25" customHeight="1" x14ac:dyDescent="0.25">
      <c r="B191" t="s">
        <v>1250</v>
      </c>
      <c r="C191" t="s">
        <v>1183</v>
      </c>
      <c r="D191" t="s">
        <v>693</v>
      </c>
      <c r="E191">
        <v>2013</v>
      </c>
      <c r="F191" t="s">
        <v>1361</v>
      </c>
      <c r="H191" t="s">
        <v>1194</v>
      </c>
      <c r="S191">
        <f>SUMIFS(Projektudgifter!$AG:$AG,Projektudgifter!$W:$W,B191&amp;C191&amp;D191&amp;E191,Projektudgifter!$S:$S,F191)</f>
        <v>0</v>
      </c>
      <c r="T191">
        <f>SUMIFS(Projektudgifter!$AH:$AH,Projektudgifter!$W:$W,B191&amp;C191&amp;D191&amp;E191,Projektudgifter!$T:$T,F191)</f>
        <v>0</v>
      </c>
      <c r="U191">
        <f>SUMIFS(Projektudgifter!$AI:$AI,Projektudgifter!$W:$W,B191&amp;C191&amp;D191&amp;E191,Projektudgifter!$S:$S,F191)</f>
        <v>0</v>
      </c>
      <c r="V191">
        <f>SUMIFS(Projektudgifter!$AJ:$AJ,Projektudgifter!$W:$W,B191&amp;C191&amp;D191&amp;E191,Projektudgifter!$T:$T,F191)</f>
        <v>0</v>
      </c>
      <c r="W191">
        <f>SUMIFS(Projektudgifter!$AK:$AK,Projektudgifter!$W:$W,B191&amp;C191&amp;D191&amp;E191,Projektudgifter!$S:$S,F191)</f>
        <v>0</v>
      </c>
      <c r="X191">
        <f>SUMIFS(Projektudgifter!$AL:$AL,Projektudgifter!$W:$W,B191&amp;C191&amp;D191&amp;E191,Projektudgifter!$T:$T,F191)</f>
        <v>0</v>
      </c>
    </row>
    <row r="192" spans="2:24" ht="14.25" customHeight="1" x14ac:dyDescent="0.25">
      <c r="B192" t="s">
        <v>1250</v>
      </c>
      <c r="C192" t="s">
        <v>1183</v>
      </c>
      <c r="D192" t="s">
        <v>693</v>
      </c>
      <c r="E192">
        <v>2013</v>
      </c>
      <c r="F192" t="s">
        <v>680</v>
      </c>
      <c r="H192" t="s">
        <v>1194</v>
      </c>
      <c r="S192">
        <f>SUMIFS(Projektudgifter!$AG:$AG,Projektudgifter!$W:$W,B192&amp;C192&amp;D192&amp;E192,Projektudgifter!$S:$S,F192)</f>
        <v>0</v>
      </c>
      <c r="T192">
        <f>SUMIFS(Projektudgifter!$AH:$AH,Projektudgifter!$W:$W,B192&amp;C192&amp;D192&amp;E192,Projektudgifter!$T:$T,F192)</f>
        <v>0</v>
      </c>
      <c r="U192">
        <f>SUMIFS(Projektudgifter!$AI:$AI,Projektudgifter!$W:$W,B192&amp;C192&amp;D192&amp;E192,Projektudgifter!$S:$S,F192)</f>
        <v>0</v>
      </c>
      <c r="V192">
        <f>SUMIFS(Projektudgifter!$AJ:$AJ,Projektudgifter!$W:$W,B192&amp;C192&amp;D192&amp;E192,Projektudgifter!$T:$T,F192)</f>
        <v>0</v>
      </c>
      <c r="W192">
        <f>SUMIFS(Projektudgifter!$AK:$AK,Projektudgifter!$W:$W,B192&amp;C192&amp;D192&amp;E192,Projektudgifter!$S:$S,F192)</f>
        <v>0</v>
      </c>
      <c r="X192">
        <f>SUMIFS(Projektudgifter!$AL:$AL,Projektudgifter!$W:$W,B192&amp;C192&amp;D192&amp;E192,Projektudgifter!$T:$T,F192)</f>
        <v>0</v>
      </c>
    </row>
    <row r="193" spans="2:24" ht="14.25" customHeight="1" x14ac:dyDescent="0.25">
      <c r="B193" t="s">
        <v>1250</v>
      </c>
      <c r="C193" t="s">
        <v>1183</v>
      </c>
      <c r="D193" t="s">
        <v>693</v>
      </c>
      <c r="E193">
        <v>2013</v>
      </c>
      <c r="N193">
        <f>SUMIFS(Projektudgifter!$Y:$Y,Projektudgifter!$W:$W,B193&amp;C193&amp;D193&amp;E193)</f>
        <v>0</v>
      </c>
      <c r="O193">
        <f>SUMIFS(Projektudgifter!$Z:$Z,Projektudgifter!$W:$W,B193&amp;C193&amp;D193&amp;E193)</f>
        <v>0</v>
      </c>
      <c r="P193">
        <f>SUMIFS(Projektudgifter!$AA:$AA,Projektudgifter!$W:$W,B193&amp;C193&amp;D193&amp;E193)</f>
        <v>0</v>
      </c>
      <c r="Q193">
        <f>SUMIFS(Projektudgifter!$AB:$AB,Projektudgifter!$W:$W,B193&amp;C193&amp;D193&amp;E193)</f>
        <v>0</v>
      </c>
      <c r="R193">
        <f>SUMIFS(Projektudgifter!$AC:$AC,Projektudgifter!$W:$W,B193&amp;C193&amp;D193&amp;E193)</f>
        <v>0</v>
      </c>
      <c r="S193">
        <f>SUMIFS(Projektudgifter!$AG:$AG,Projektudgifter!$W:$W,B193&amp;C193&amp;D193&amp;E193,Projektudgifter!$S:$S,"")</f>
        <v>0</v>
      </c>
      <c r="U193">
        <f>SUMIFS(Projektudgifter!$AI:$AI,Projektudgifter!$W:$W,B193&amp;C193&amp;D193&amp;E193,Projektudgifter!$S:$S,"")</f>
        <v>0</v>
      </c>
      <c r="W193">
        <f>SUMIFS(Projektudgifter!$AK:$AK,Projektudgifter!$W:$W,B193&amp;C193&amp;D193&amp;E193,Projektudgifter!$S:$S,"")</f>
        <v>0</v>
      </c>
    </row>
    <row r="194" spans="2:24" ht="14.25" customHeight="1" x14ac:dyDescent="0.25">
      <c r="B194" t="s">
        <v>1250</v>
      </c>
      <c r="C194" t="s">
        <v>1183</v>
      </c>
      <c r="D194" t="s">
        <v>693</v>
      </c>
      <c r="E194">
        <v>2014</v>
      </c>
      <c r="F194" t="s">
        <v>1361</v>
      </c>
      <c r="H194" t="s">
        <v>1194</v>
      </c>
      <c r="S194">
        <f>SUMIFS(Projektudgifter!$AG:$AG,Projektudgifter!$W:$W,B194&amp;C194&amp;D194&amp;E194,Projektudgifter!$S:$S,F194)</f>
        <v>0</v>
      </c>
      <c r="T194">
        <f>SUMIFS(Projektudgifter!$AH:$AH,Projektudgifter!$W:$W,B194&amp;C194&amp;D194&amp;E194,Projektudgifter!$T:$T,F194)</f>
        <v>0</v>
      </c>
      <c r="U194">
        <f>SUMIFS(Projektudgifter!$AI:$AI,Projektudgifter!$W:$W,B194&amp;C194&amp;D194&amp;E194,Projektudgifter!$S:$S,F194)</f>
        <v>0</v>
      </c>
      <c r="V194">
        <f>SUMIFS(Projektudgifter!$AJ:$AJ,Projektudgifter!$W:$W,B194&amp;C194&amp;D194&amp;E194,Projektudgifter!$T:$T,F194)</f>
        <v>0</v>
      </c>
      <c r="W194">
        <f>SUMIFS(Projektudgifter!$AK:$AK,Projektudgifter!$W:$W,B194&amp;C194&amp;D194&amp;E194,Projektudgifter!$S:$S,F194)</f>
        <v>0</v>
      </c>
      <c r="X194">
        <f>SUMIFS(Projektudgifter!$AL:$AL,Projektudgifter!$W:$W,B194&amp;C194&amp;D194&amp;E194,Projektudgifter!$T:$T,F194)</f>
        <v>0</v>
      </c>
    </row>
    <row r="195" spans="2:24" ht="14.25" customHeight="1" x14ac:dyDescent="0.25">
      <c r="B195" t="s">
        <v>1250</v>
      </c>
      <c r="C195" t="s">
        <v>1183</v>
      </c>
      <c r="D195" t="s">
        <v>693</v>
      </c>
      <c r="E195">
        <v>2014</v>
      </c>
      <c r="F195" t="s">
        <v>680</v>
      </c>
      <c r="H195" t="s">
        <v>1194</v>
      </c>
      <c r="S195">
        <f>SUMIFS(Projektudgifter!$AG:$AG,Projektudgifter!$W:$W,B195&amp;C195&amp;D195&amp;E195,Projektudgifter!$S:$S,F195)</f>
        <v>0</v>
      </c>
      <c r="T195">
        <f>SUMIFS(Projektudgifter!$AH:$AH,Projektudgifter!$W:$W,B195&amp;C195&amp;D195&amp;E195,Projektudgifter!$T:$T,F195)</f>
        <v>0</v>
      </c>
      <c r="U195">
        <f>SUMIFS(Projektudgifter!$AI:$AI,Projektudgifter!$W:$W,B195&amp;C195&amp;D195&amp;E195,Projektudgifter!$S:$S,F195)</f>
        <v>0</v>
      </c>
      <c r="V195">
        <f>SUMIFS(Projektudgifter!$AJ:$AJ,Projektudgifter!$W:$W,B195&amp;C195&amp;D195&amp;E195,Projektudgifter!$T:$T,F195)</f>
        <v>0</v>
      </c>
      <c r="W195">
        <f>SUMIFS(Projektudgifter!$AK:$AK,Projektudgifter!$W:$W,B195&amp;C195&amp;D195&amp;E195,Projektudgifter!$S:$S,F195)</f>
        <v>0</v>
      </c>
      <c r="X195">
        <f>SUMIFS(Projektudgifter!$AL:$AL,Projektudgifter!$W:$W,B195&amp;C195&amp;D195&amp;E195,Projektudgifter!$T:$T,F195)</f>
        <v>0</v>
      </c>
    </row>
    <row r="196" spans="2:24" ht="14.25" customHeight="1" x14ac:dyDescent="0.25">
      <c r="B196" t="s">
        <v>1250</v>
      </c>
      <c r="C196" t="s">
        <v>1183</v>
      </c>
      <c r="D196" t="s">
        <v>693</v>
      </c>
      <c r="E196">
        <v>2014</v>
      </c>
      <c r="N196">
        <f>SUMIFS(Projektudgifter!$Y:$Y,Projektudgifter!$W:$W,B196&amp;C196&amp;D196&amp;E196)</f>
        <v>0</v>
      </c>
      <c r="O196">
        <f>SUMIFS(Projektudgifter!$Z:$Z,Projektudgifter!$W:$W,B196&amp;C196&amp;D196&amp;E196)</f>
        <v>0</v>
      </c>
      <c r="P196">
        <f>SUMIFS(Projektudgifter!$AA:$AA,Projektudgifter!$W:$W,B196&amp;C196&amp;D196&amp;E196)</f>
        <v>0</v>
      </c>
      <c r="Q196">
        <f>SUMIFS(Projektudgifter!$AB:$AB,Projektudgifter!$W:$W,B196&amp;C196&amp;D196&amp;E196)</f>
        <v>0</v>
      </c>
      <c r="R196">
        <f>SUMIFS(Projektudgifter!$AC:$AC,Projektudgifter!$W:$W,B196&amp;C196&amp;D196&amp;E196)</f>
        <v>0</v>
      </c>
      <c r="S196">
        <f>SUMIFS(Projektudgifter!$AG:$AG,Projektudgifter!$W:$W,B196&amp;C196&amp;D196&amp;E196,Projektudgifter!$S:$S,"")</f>
        <v>0</v>
      </c>
      <c r="U196">
        <f>SUMIFS(Projektudgifter!$AI:$AI,Projektudgifter!$W:$W,B196&amp;C196&amp;D196&amp;E196,Projektudgifter!$S:$S,"")</f>
        <v>0</v>
      </c>
      <c r="W196">
        <f>SUMIFS(Projektudgifter!$AK:$AK,Projektudgifter!$W:$W,B196&amp;C196&amp;D196&amp;E196,Projektudgifter!$S:$S,"")</f>
        <v>0</v>
      </c>
    </row>
    <row r="197" spans="2:24" ht="14.25" customHeight="1" x14ac:dyDescent="0.25">
      <c r="B197" t="s">
        <v>1250</v>
      </c>
      <c r="C197" t="s">
        <v>84</v>
      </c>
      <c r="D197" t="s">
        <v>693</v>
      </c>
      <c r="E197">
        <v>2013</v>
      </c>
      <c r="F197" t="s">
        <v>1361</v>
      </c>
      <c r="H197" t="s">
        <v>1194</v>
      </c>
      <c r="S197">
        <f>SUMIFS(Projektudgifter!$AG:$AG,Projektudgifter!$W:$W,B197&amp;C197&amp;D197&amp;E197,Projektudgifter!$S:$S,F197)</f>
        <v>0</v>
      </c>
      <c r="T197">
        <f>SUMIFS(Projektudgifter!$AH:$AH,Projektudgifter!$W:$W,B197&amp;C197&amp;D197&amp;E197,Projektudgifter!$T:$T,F197)</f>
        <v>0</v>
      </c>
      <c r="U197">
        <f>SUMIFS(Projektudgifter!$AI:$AI,Projektudgifter!$W:$W,B197&amp;C197&amp;D197&amp;E197,Projektudgifter!$S:$S,F197)</f>
        <v>0</v>
      </c>
      <c r="V197">
        <f>SUMIFS(Projektudgifter!$AJ:$AJ,Projektudgifter!$W:$W,B197&amp;C197&amp;D197&amp;E197,Projektudgifter!$T:$T,F197)</f>
        <v>0</v>
      </c>
      <c r="W197">
        <f>SUMIFS(Projektudgifter!$AK:$AK,Projektudgifter!$W:$W,B197&amp;C197&amp;D197&amp;E197,Projektudgifter!$S:$S,F197)</f>
        <v>0</v>
      </c>
      <c r="X197">
        <f>SUMIFS(Projektudgifter!$AL:$AL,Projektudgifter!$W:$W,B197&amp;C197&amp;D197&amp;E197,Projektudgifter!$T:$T,F197)</f>
        <v>0</v>
      </c>
    </row>
    <row r="198" spans="2:24" ht="14.25" customHeight="1" x14ac:dyDescent="0.25">
      <c r="B198" t="s">
        <v>1250</v>
      </c>
      <c r="C198" t="s">
        <v>84</v>
      </c>
      <c r="D198" t="s">
        <v>693</v>
      </c>
      <c r="E198">
        <v>2013</v>
      </c>
      <c r="F198" t="s">
        <v>680</v>
      </c>
      <c r="H198" t="s">
        <v>1194</v>
      </c>
      <c r="S198">
        <f>SUMIFS(Projektudgifter!$AG:$AG,Projektudgifter!$W:$W,B198&amp;C198&amp;D198&amp;E198,Projektudgifter!$S:$S,F198)</f>
        <v>0</v>
      </c>
      <c r="T198">
        <f>SUMIFS(Projektudgifter!$AH:$AH,Projektudgifter!$W:$W,B198&amp;C198&amp;D198&amp;E198,Projektudgifter!$T:$T,F198)</f>
        <v>0</v>
      </c>
      <c r="U198">
        <f>SUMIFS(Projektudgifter!$AI:$AI,Projektudgifter!$W:$W,B198&amp;C198&amp;D198&amp;E198,Projektudgifter!$S:$S,F198)</f>
        <v>0</v>
      </c>
      <c r="V198">
        <f>SUMIFS(Projektudgifter!$AJ:$AJ,Projektudgifter!$W:$W,B198&amp;C198&amp;D198&amp;E198,Projektudgifter!$T:$T,F198)</f>
        <v>0</v>
      </c>
      <c r="W198">
        <f>SUMIFS(Projektudgifter!$AK:$AK,Projektudgifter!$W:$W,B198&amp;C198&amp;D198&amp;E198,Projektudgifter!$S:$S,F198)</f>
        <v>0</v>
      </c>
      <c r="X198">
        <f>SUMIFS(Projektudgifter!$AL:$AL,Projektudgifter!$W:$W,B198&amp;C198&amp;D198&amp;E198,Projektudgifter!$T:$T,F198)</f>
        <v>0</v>
      </c>
    </row>
    <row r="199" spans="2:24" ht="14.25" customHeight="1" x14ac:dyDescent="0.25">
      <c r="B199" t="s">
        <v>1250</v>
      </c>
      <c r="C199" t="s">
        <v>84</v>
      </c>
      <c r="D199" t="s">
        <v>693</v>
      </c>
      <c r="E199">
        <v>2013</v>
      </c>
      <c r="N199">
        <f>SUMIFS(Projektudgifter!$Y:$Y,Projektudgifter!$W:$W,B199&amp;C199&amp;D199&amp;E199)</f>
        <v>0</v>
      </c>
      <c r="O199">
        <f>SUMIFS(Projektudgifter!$Z:$Z,Projektudgifter!$W:$W,B199&amp;C199&amp;D199&amp;E199)</f>
        <v>0</v>
      </c>
      <c r="P199">
        <f>SUMIFS(Projektudgifter!$AA:$AA,Projektudgifter!$W:$W,B199&amp;C199&amp;D199&amp;E199)</f>
        <v>0</v>
      </c>
      <c r="Q199">
        <f>SUMIFS(Projektudgifter!$AB:$AB,Projektudgifter!$W:$W,B199&amp;C199&amp;D199&amp;E199)</f>
        <v>0</v>
      </c>
      <c r="R199">
        <f>SUMIFS(Projektudgifter!$AC:$AC,Projektudgifter!$W:$W,B199&amp;C199&amp;D199&amp;E199)</f>
        <v>0</v>
      </c>
      <c r="S199">
        <f>SUMIFS(Projektudgifter!$AG:$AG,Projektudgifter!$W:$W,B199&amp;C199&amp;D199&amp;E199,Projektudgifter!$S:$S,"")</f>
        <v>0</v>
      </c>
      <c r="U199">
        <f>SUMIFS(Projektudgifter!$AI:$AI,Projektudgifter!$W:$W,B199&amp;C199&amp;D199&amp;E199,Projektudgifter!$S:$S,"")</f>
        <v>0</v>
      </c>
      <c r="W199">
        <f>SUMIFS(Projektudgifter!$AK:$AK,Projektudgifter!$W:$W,B199&amp;C199&amp;D199&amp;E199,Projektudgifter!$S:$S,"")</f>
        <v>0</v>
      </c>
    </row>
    <row r="200" spans="2:24" ht="14.25" customHeight="1" x14ac:dyDescent="0.25">
      <c r="B200" t="s">
        <v>1250</v>
      </c>
      <c r="C200" t="s">
        <v>84</v>
      </c>
      <c r="D200" t="s">
        <v>693</v>
      </c>
      <c r="E200">
        <v>2014</v>
      </c>
      <c r="F200" t="s">
        <v>1361</v>
      </c>
      <c r="H200" t="s">
        <v>1194</v>
      </c>
      <c r="S200">
        <f>SUMIFS(Projektudgifter!$AG:$AG,Projektudgifter!$W:$W,B200&amp;C200&amp;D200&amp;E200,Projektudgifter!$S:$S,F200)</f>
        <v>0</v>
      </c>
      <c r="T200">
        <f>SUMIFS(Projektudgifter!$AH:$AH,Projektudgifter!$W:$W,B200&amp;C200&amp;D200&amp;E200,Projektudgifter!$T:$T,F200)</f>
        <v>0</v>
      </c>
      <c r="U200">
        <f>SUMIFS(Projektudgifter!$AI:$AI,Projektudgifter!$W:$W,B200&amp;C200&amp;D200&amp;E200,Projektudgifter!$S:$S,F200)</f>
        <v>0</v>
      </c>
      <c r="V200">
        <f>SUMIFS(Projektudgifter!$AJ:$AJ,Projektudgifter!$W:$W,B200&amp;C200&amp;D200&amp;E200,Projektudgifter!$T:$T,F200)</f>
        <v>0</v>
      </c>
      <c r="W200">
        <f>SUMIFS(Projektudgifter!$AK:$AK,Projektudgifter!$W:$W,B200&amp;C200&amp;D200&amp;E200,Projektudgifter!$S:$S,F200)</f>
        <v>0</v>
      </c>
      <c r="X200">
        <f>SUMIFS(Projektudgifter!$AL:$AL,Projektudgifter!$W:$W,B200&amp;C200&amp;D200&amp;E200,Projektudgifter!$T:$T,F200)</f>
        <v>0</v>
      </c>
    </row>
    <row r="201" spans="2:24" ht="14.25" customHeight="1" x14ac:dyDescent="0.25">
      <c r="B201" t="s">
        <v>1250</v>
      </c>
      <c r="C201" t="s">
        <v>84</v>
      </c>
      <c r="D201" t="s">
        <v>693</v>
      </c>
      <c r="E201">
        <v>2014</v>
      </c>
      <c r="F201" t="s">
        <v>680</v>
      </c>
      <c r="H201" t="s">
        <v>1194</v>
      </c>
      <c r="S201">
        <f>SUMIFS(Projektudgifter!$AG:$AG,Projektudgifter!$W:$W,B201&amp;C201&amp;D201&amp;E201,Projektudgifter!$S:$S,F201)</f>
        <v>0</v>
      </c>
      <c r="T201">
        <f>SUMIFS(Projektudgifter!$AH:$AH,Projektudgifter!$W:$W,B201&amp;C201&amp;D201&amp;E201,Projektudgifter!$T:$T,F201)</f>
        <v>0</v>
      </c>
      <c r="U201">
        <f>SUMIFS(Projektudgifter!$AI:$AI,Projektudgifter!$W:$W,B201&amp;C201&amp;D201&amp;E201,Projektudgifter!$S:$S,F201)</f>
        <v>0</v>
      </c>
      <c r="V201">
        <f>SUMIFS(Projektudgifter!$AJ:$AJ,Projektudgifter!$W:$W,B201&amp;C201&amp;D201&amp;E201,Projektudgifter!$T:$T,F201)</f>
        <v>0</v>
      </c>
      <c r="W201">
        <f>SUMIFS(Projektudgifter!$AK:$AK,Projektudgifter!$W:$W,B201&amp;C201&amp;D201&amp;E201,Projektudgifter!$S:$S,F201)</f>
        <v>0</v>
      </c>
      <c r="X201">
        <f>SUMIFS(Projektudgifter!$AL:$AL,Projektudgifter!$W:$W,B201&amp;C201&amp;D201&amp;E201,Projektudgifter!$T:$T,F201)</f>
        <v>0</v>
      </c>
    </row>
    <row r="202" spans="2:24" ht="14.25" customHeight="1" x14ac:dyDescent="0.25">
      <c r="B202" t="s">
        <v>1250</v>
      </c>
      <c r="C202" t="s">
        <v>84</v>
      </c>
      <c r="D202" t="s">
        <v>693</v>
      </c>
      <c r="E202">
        <v>2014</v>
      </c>
      <c r="N202">
        <f>SUMIFS(Projektudgifter!$Y:$Y,Projektudgifter!$W:$W,B202&amp;C202&amp;D202&amp;E202)</f>
        <v>0</v>
      </c>
      <c r="O202">
        <f>SUMIFS(Projektudgifter!$Z:$Z,Projektudgifter!$W:$W,B202&amp;C202&amp;D202&amp;E202)</f>
        <v>0</v>
      </c>
      <c r="P202">
        <f>SUMIFS(Projektudgifter!$AA:$AA,Projektudgifter!$W:$W,B202&amp;C202&amp;D202&amp;E202)</f>
        <v>0</v>
      </c>
      <c r="Q202">
        <f>SUMIFS(Projektudgifter!$AB:$AB,Projektudgifter!$W:$W,B202&amp;C202&amp;D202&amp;E202)</f>
        <v>0</v>
      </c>
      <c r="R202">
        <f>SUMIFS(Projektudgifter!$AC:$AC,Projektudgifter!$W:$W,B202&amp;C202&amp;D202&amp;E202)</f>
        <v>0</v>
      </c>
      <c r="S202">
        <f>SUMIFS(Projektudgifter!$AG:$AG,Projektudgifter!$W:$W,B202&amp;C202&amp;D202&amp;E202,Projektudgifter!$S:$S,"")</f>
        <v>0</v>
      </c>
      <c r="U202">
        <f>SUMIFS(Projektudgifter!$AI:$AI,Projektudgifter!$W:$W,B202&amp;C202&amp;D202&amp;E202,Projektudgifter!$S:$S,"")</f>
        <v>0</v>
      </c>
      <c r="W202">
        <f>SUMIFS(Projektudgifter!$AK:$AK,Projektudgifter!$W:$W,B202&amp;C202&amp;D202&amp;E202,Projektudgifter!$S:$S,"")</f>
        <v>0</v>
      </c>
    </row>
    <row r="203" spans="2:24" ht="14.25" customHeight="1" x14ac:dyDescent="0.25">
      <c r="B203" t="s">
        <v>1250</v>
      </c>
      <c r="C203" t="s">
        <v>85</v>
      </c>
      <c r="D203" t="s">
        <v>693</v>
      </c>
      <c r="E203">
        <v>2013</v>
      </c>
      <c r="F203" t="s">
        <v>1361</v>
      </c>
      <c r="H203" t="s">
        <v>1194</v>
      </c>
      <c r="S203">
        <f>SUMIFS(Projektudgifter!$AG:$AG,Projektudgifter!$W:$W,B203&amp;C203&amp;D203&amp;E203,Projektudgifter!$S:$S,F203)</f>
        <v>0</v>
      </c>
      <c r="T203">
        <f>SUMIFS(Projektudgifter!$AH:$AH,Projektudgifter!$W:$W,B203&amp;C203&amp;D203&amp;E203,Projektudgifter!$T:$T,F203)</f>
        <v>0</v>
      </c>
      <c r="U203">
        <f>SUMIFS(Projektudgifter!$AI:$AI,Projektudgifter!$W:$W,B203&amp;C203&amp;D203&amp;E203,Projektudgifter!$S:$S,F203)</f>
        <v>0</v>
      </c>
      <c r="V203">
        <f>SUMIFS(Projektudgifter!$AJ:$AJ,Projektudgifter!$W:$W,B203&amp;C203&amp;D203&amp;E203,Projektudgifter!$T:$T,F203)</f>
        <v>0</v>
      </c>
      <c r="W203">
        <f>SUMIFS(Projektudgifter!$AK:$AK,Projektudgifter!$W:$W,B203&amp;C203&amp;D203&amp;E203,Projektudgifter!$S:$S,F203)</f>
        <v>0</v>
      </c>
      <c r="X203">
        <f>SUMIFS(Projektudgifter!$AL:$AL,Projektudgifter!$W:$W,B203&amp;C203&amp;D203&amp;E203,Projektudgifter!$T:$T,F203)</f>
        <v>0</v>
      </c>
    </row>
    <row r="204" spans="2:24" ht="14.25" customHeight="1" x14ac:dyDescent="0.25">
      <c r="B204" t="s">
        <v>1250</v>
      </c>
      <c r="C204" t="s">
        <v>85</v>
      </c>
      <c r="D204" t="s">
        <v>693</v>
      </c>
      <c r="E204">
        <v>2013</v>
      </c>
      <c r="F204" t="s">
        <v>680</v>
      </c>
      <c r="H204" t="s">
        <v>1194</v>
      </c>
      <c r="S204">
        <f>SUMIFS(Projektudgifter!$AG:$AG,Projektudgifter!$W:$W,B204&amp;C204&amp;D204&amp;E204,Projektudgifter!$S:$S,F204)</f>
        <v>0</v>
      </c>
      <c r="T204">
        <f>SUMIFS(Projektudgifter!$AH:$AH,Projektudgifter!$W:$W,B204&amp;C204&amp;D204&amp;E204,Projektudgifter!$T:$T,F204)</f>
        <v>0</v>
      </c>
      <c r="U204">
        <f>SUMIFS(Projektudgifter!$AI:$AI,Projektudgifter!$W:$W,B204&amp;C204&amp;D204&amp;E204,Projektudgifter!$S:$S,F204)</f>
        <v>0</v>
      </c>
      <c r="V204">
        <f>SUMIFS(Projektudgifter!$AJ:$AJ,Projektudgifter!$W:$W,B204&amp;C204&amp;D204&amp;E204,Projektudgifter!$T:$T,F204)</f>
        <v>0</v>
      </c>
      <c r="W204">
        <f>SUMIFS(Projektudgifter!$AK:$AK,Projektudgifter!$W:$W,B204&amp;C204&amp;D204&amp;E204,Projektudgifter!$S:$S,F204)</f>
        <v>0</v>
      </c>
      <c r="X204">
        <f>SUMIFS(Projektudgifter!$AL:$AL,Projektudgifter!$W:$W,B204&amp;C204&amp;D204&amp;E204,Projektudgifter!$T:$T,F204)</f>
        <v>0</v>
      </c>
    </row>
    <row r="205" spans="2:24" ht="14.25" customHeight="1" x14ac:dyDescent="0.25">
      <c r="B205" t="s">
        <v>1250</v>
      </c>
      <c r="C205" t="s">
        <v>85</v>
      </c>
      <c r="D205" t="s">
        <v>693</v>
      </c>
      <c r="E205">
        <v>2013</v>
      </c>
      <c r="N205">
        <f>SUMIFS(Projektudgifter!$Y:$Y,Projektudgifter!$W:$W,B205&amp;C205&amp;D205&amp;E205)</f>
        <v>0</v>
      </c>
      <c r="O205">
        <f>SUMIFS(Projektudgifter!$Z:$Z,Projektudgifter!$W:$W,B205&amp;C205&amp;D205&amp;E205)</f>
        <v>0</v>
      </c>
      <c r="P205">
        <f>SUMIFS(Projektudgifter!$AA:$AA,Projektudgifter!$W:$W,B205&amp;C205&amp;D205&amp;E205)</f>
        <v>0</v>
      </c>
      <c r="Q205">
        <f>SUMIFS(Projektudgifter!$AB:$AB,Projektudgifter!$W:$W,B205&amp;C205&amp;D205&amp;E205)</f>
        <v>0</v>
      </c>
      <c r="R205">
        <f>SUMIFS(Projektudgifter!$AC:$AC,Projektudgifter!$W:$W,B205&amp;C205&amp;D205&amp;E205)</f>
        <v>0</v>
      </c>
      <c r="S205">
        <f>SUMIFS(Projektudgifter!$AG:$AG,Projektudgifter!$W:$W,B205&amp;C205&amp;D205&amp;E205,Projektudgifter!$S:$S,"")</f>
        <v>0</v>
      </c>
      <c r="U205">
        <f>SUMIFS(Projektudgifter!$AI:$AI,Projektudgifter!$W:$W,B205&amp;C205&amp;D205&amp;E205,Projektudgifter!$S:$S,"")</f>
        <v>0</v>
      </c>
      <c r="W205">
        <f>SUMIFS(Projektudgifter!$AK:$AK,Projektudgifter!$W:$W,B205&amp;C205&amp;D205&amp;E205,Projektudgifter!$S:$S,"")</f>
        <v>0</v>
      </c>
    </row>
    <row r="206" spans="2:24" ht="14.25" customHeight="1" x14ac:dyDescent="0.25">
      <c r="B206" t="s">
        <v>1250</v>
      </c>
      <c r="C206" t="s">
        <v>85</v>
      </c>
      <c r="D206" t="s">
        <v>693</v>
      </c>
      <c r="E206">
        <v>2014</v>
      </c>
      <c r="F206" t="s">
        <v>1361</v>
      </c>
      <c r="H206" t="s">
        <v>1194</v>
      </c>
      <c r="S206">
        <f>SUMIFS(Projektudgifter!$AG:$AG,Projektudgifter!$W:$W,B206&amp;C206&amp;D206&amp;E206,Projektudgifter!$S:$S,F206)</f>
        <v>0</v>
      </c>
      <c r="T206">
        <f>SUMIFS(Projektudgifter!$AH:$AH,Projektudgifter!$W:$W,B206&amp;C206&amp;D206&amp;E206,Projektudgifter!$T:$T,F206)</f>
        <v>0</v>
      </c>
      <c r="U206">
        <f>SUMIFS(Projektudgifter!$AI:$AI,Projektudgifter!$W:$W,B206&amp;C206&amp;D206&amp;E206,Projektudgifter!$S:$S,F206)</f>
        <v>0</v>
      </c>
      <c r="V206">
        <f>SUMIFS(Projektudgifter!$AJ:$AJ,Projektudgifter!$W:$W,B206&amp;C206&amp;D206&amp;E206,Projektudgifter!$T:$T,F206)</f>
        <v>0</v>
      </c>
      <c r="W206">
        <f>SUMIFS(Projektudgifter!$AK:$AK,Projektudgifter!$W:$W,B206&amp;C206&amp;D206&amp;E206,Projektudgifter!$S:$S,F206)</f>
        <v>0</v>
      </c>
      <c r="X206">
        <f>SUMIFS(Projektudgifter!$AL:$AL,Projektudgifter!$W:$W,B206&amp;C206&amp;D206&amp;E206,Projektudgifter!$T:$T,F206)</f>
        <v>0</v>
      </c>
    </row>
    <row r="207" spans="2:24" ht="14.25" customHeight="1" x14ac:dyDescent="0.25">
      <c r="B207" t="s">
        <v>1250</v>
      </c>
      <c r="C207" t="s">
        <v>85</v>
      </c>
      <c r="D207" t="s">
        <v>693</v>
      </c>
      <c r="E207">
        <v>2014</v>
      </c>
      <c r="F207" t="s">
        <v>680</v>
      </c>
      <c r="H207" t="s">
        <v>1194</v>
      </c>
      <c r="S207">
        <f>SUMIFS(Projektudgifter!$AG:$AG,Projektudgifter!$W:$W,B207&amp;C207&amp;D207&amp;E207,Projektudgifter!$S:$S,F207)</f>
        <v>0</v>
      </c>
      <c r="T207">
        <f>SUMIFS(Projektudgifter!$AH:$AH,Projektudgifter!$W:$W,B207&amp;C207&amp;D207&amp;E207,Projektudgifter!$T:$T,F207)</f>
        <v>0</v>
      </c>
      <c r="U207">
        <f>SUMIFS(Projektudgifter!$AI:$AI,Projektudgifter!$W:$W,B207&amp;C207&amp;D207&amp;E207,Projektudgifter!$S:$S,F207)</f>
        <v>0</v>
      </c>
      <c r="V207">
        <f>SUMIFS(Projektudgifter!$AJ:$AJ,Projektudgifter!$W:$W,B207&amp;C207&amp;D207&amp;E207,Projektudgifter!$T:$T,F207)</f>
        <v>0</v>
      </c>
      <c r="W207">
        <f>SUMIFS(Projektudgifter!$AK:$AK,Projektudgifter!$W:$W,B207&amp;C207&amp;D207&amp;E207,Projektudgifter!$S:$S,F207)</f>
        <v>0</v>
      </c>
      <c r="X207">
        <f>SUMIFS(Projektudgifter!$AL:$AL,Projektudgifter!$W:$W,B207&amp;C207&amp;D207&amp;E207,Projektudgifter!$T:$T,F207)</f>
        <v>0</v>
      </c>
    </row>
    <row r="208" spans="2:24" ht="14.25" customHeight="1" x14ac:dyDescent="0.25">
      <c r="B208" t="s">
        <v>1250</v>
      </c>
      <c r="C208" t="s">
        <v>85</v>
      </c>
      <c r="D208" t="s">
        <v>693</v>
      </c>
      <c r="E208">
        <v>2014</v>
      </c>
      <c r="N208">
        <f>SUMIFS(Projektudgifter!$Y:$Y,Projektudgifter!$W:$W,B208&amp;C208&amp;D208&amp;E208)</f>
        <v>0</v>
      </c>
      <c r="O208">
        <f>SUMIFS(Projektudgifter!$Z:$Z,Projektudgifter!$W:$W,B208&amp;C208&amp;D208&amp;E208)</f>
        <v>0</v>
      </c>
      <c r="P208">
        <f>SUMIFS(Projektudgifter!$AA:$AA,Projektudgifter!$W:$W,B208&amp;C208&amp;D208&amp;E208)</f>
        <v>0</v>
      </c>
      <c r="Q208">
        <f>SUMIFS(Projektudgifter!$AB:$AB,Projektudgifter!$W:$W,B208&amp;C208&amp;D208&amp;E208)</f>
        <v>0</v>
      </c>
      <c r="R208">
        <f>SUMIFS(Projektudgifter!$AC:$AC,Projektudgifter!$W:$W,B208&amp;C208&amp;D208&amp;E208)</f>
        <v>0</v>
      </c>
      <c r="S208">
        <f>SUMIFS(Projektudgifter!$AG:$AG,Projektudgifter!$W:$W,B208&amp;C208&amp;D208&amp;E208,Projektudgifter!$S:$S,"")</f>
        <v>0</v>
      </c>
      <c r="U208">
        <f>SUMIFS(Projektudgifter!$AI:$AI,Projektudgifter!$W:$W,B208&amp;C208&amp;D208&amp;E208,Projektudgifter!$S:$S,"")</f>
        <v>0</v>
      </c>
      <c r="W208">
        <f>SUMIFS(Projektudgifter!$AK:$AK,Projektudgifter!$W:$W,B208&amp;C208&amp;D208&amp;E208,Projektudgifter!$S:$S,"")</f>
        <v>0</v>
      </c>
    </row>
    <row r="209" spans="2:24" ht="14.25" customHeight="1" x14ac:dyDescent="0.25">
      <c r="B209" t="s">
        <v>1250</v>
      </c>
      <c r="C209" t="s">
        <v>86</v>
      </c>
      <c r="D209" t="s">
        <v>693</v>
      </c>
      <c r="E209">
        <v>2013</v>
      </c>
      <c r="F209" t="s">
        <v>1361</v>
      </c>
      <c r="H209" t="s">
        <v>1194</v>
      </c>
      <c r="S209">
        <f>SUMIFS(Projektudgifter!$AG:$AG,Projektudgifter!$W:$W,B209&amp;C209&amp;D209&amp;E209,Projektudgifter!$S:$S,F209)</f>
        <v>0</v>
      </c>
      <c r="T209">
        <f>SUMIFS(Projektudgifter!$AH:$AH,Projektudgifter!$W:$W,B209&amp;C209&amp;D209&amp;E209,Projektudgifter!$T:$T,F209)</f>
        <v>0</v>
      </c>
      <c r="U209">
        <f>SUMIFS(Projektudgifter!$AI:$AI,Projektudgifter!$W:$W,B209&amp;C209&amp;D209&amp;E209,Projektudgifter!$S:$S,F209)</f>
        <v>0</v>
      </c>
      <c r="V209">
        <f>SUMIFS(Projektudgifter!$AJ:$AJ,Projektudgifter!$W:$W,B209&amp;C209&amp;D209&amp;E209,Projektudgifter!$T:$T,F209)</f>
        <v>0</v>
      </c>
      <c r="W209">
        <f>SUMIFS(Projektudgifter!$AK:$AK,Projektudgifter!$W:$W,B209&amp;C209&amp;D209&amp;E209,Projektudgifter!$S:$S,F209)</f>
        <v>0</v>
      </c>
      <c r="X209">
        <f>SUMIFS(Projektudgifter!$AL:$AL,Projektudgifter!$W:$W,B209&amp;C209&amp;D209&amp;E209,Projektudgifter!$T:$T,F209)</f>
        <v>0</v>
      </c>
    </row>
    <row r="210" spans="2:24" ht="14.25" customHeight="1" x14ac:dyDescent="0.25">
      <c r="B210" t="s">
        <v>1250</v>
      </c>
      <c r="C210" t="s">
        <v>86</v>
      </c>
      <c r="D210" t="s">
        <v>693</v>
      </c>
      <c r="E210">
        <v>2013</v>
      </c>
      <c r="F210" t="s">
        <v>680</v>
      </c>
      <c r="H210" t="s">
        <v>1194</v>
      </c>
      <c r="S210">
        <f>SUMIFS(Projektudgifter!$AG:$AG,Projektudgifter!$W:$W,B210&amp;C210&amp;D210&amp;E210,Projektudgifter!$S:$S,F210)</f>
        <v>0</v>
      </c>
      <c r="T210">
        <f>SUMIFS(Projektudgifter!$AH:$AH,Projektudgifter!$W:$W,B210&amp;C210&amp;D210&amp;E210,Projektudgifter!$T:$T,F210)</f>
        <v>0</v>
      </c>
      <c r="U210">
        <f>SUMIFS(Projektudgifter!$AI:$AI,Projektudgifter!$W:$W,B210&amp;C210&amp;D210&amp;E210,Projektudgifter!$S:$S,F210)</f>
        <v>0</v>
      </c>
      <c r="V210">
        <f>SUMIFS(Projektudgifter!$AJ:$AJ,Projektudgifter!$W:$W,B210&amp;C210&amp;D210&amp;E210,Projektudgifter!$T:$T,F210)</f>
        <v>0</v>
      </c>
      <c r="W210">
        <f>SUMIFS(Projektudgifter!$AK:$AK,Projektudgifter!$W:$W,B210&amp;C210&amp;D210&amp;E210,Projektudgifter!$S:$S,F210)</f>
        <v>0</v>
      </c>
      <c r="X210">
        <f>SUMIFS(Projektudgifter!$AL:$AL,Projektudgifter!$W:$W,B210&amp;C210&amp;D210&amp;E210,Projektudgifter!$T:$T,F210)</f>
        <v>0</v>
      </c>
    </row>
    <row r="211" spans="2:24" ht="14.25" customHeight="1" x14ac:dyDescent="0.25">
      <c r="B211" t="s">
        <v>1250</v>
      </c>
      <c r="C211" t="s">
        <v>86</v>
      </c>
      <c r="D211" t="s">
        <v>693</v>
      </c>
      <c r="E211">
        <v>2013</v>
      </c>
      <c r="N211">
        <f>SUMIFS(Projektudgifter!$Y:$Y,Projektudgifter!$W:$W,B211&amp;C211&amp;D211&amp;E211)</f>
        <v>0</v>
      </c>
      <c r="O211">
        <f>SUMIFS(Projektudgifter!$Z:$Z,Projektudgifter!$W:$W,B211&amp;C211&amp;D211&amp;E211)</f>
        <v>0</v>
      </c>
      <c r="P211">
        <f>SUMIFS(Projektudgifter!$AA:$AA,Projektudgifter!$W:$W,B211&amp;C211&amp;D211&amp;E211)</f>
        <v>0</v>
      </c>
      <c r="Q211">
        <f>SUMIFS(Projektudgifter!$AB:$AB,Projektudgifter!$W:$W,B211&amp;C211&amp;D211&amp;E211)</f>
        <v>0</v>
      </c>
      <c r="R211">
        <f>SUMIFS(Projektudgifter!$AC:$AC,Projektudgifter!$W:$W,B211&amp;C211&amp;D211&amp;E211)</f>
        <v>0</v>
      </c>
      <c r="S211">
        <f>SUMIFS(Projektudgifter!$AG:$AG,Projektudgifter!$W:$W,B211&amp;C211&amp;D211&amp;E211,Projektudgifter!$S:$S,"")</f>
        <v>0</v>
      </c>
      <c r="U211">
        <f>SUMIFS(Projektudgifter!$AI:$AI,Projektudgifter!$W:$W,B211&amp;C211&amp;D211&amp;E211,Projektudgifter!$S:$S,"")</f>
        <v>0</v>
      </c>
      <c r="W211">
        <f>SUMIFS(Projektudgifter!$AK:$AK,Projektudgifter!$W:$W,B211&amp;C211&amp;D211&amp;E211,Projektudgifter!$S:$S,"")</f>
        <v>0</v>
      </c>
    </row>
    <row r="212" spans="2:24" ht="14.25" customHeight="1" x14ac:dyDescent="0.25">
      <c r="B212" t="s">
        <v>1250</v>
      </c>
      <c r="C212" t="s">
        <v>86</v>
      </c>
      <c r="D212" t="s">
        <v>693</v>
      </c>
      <c r="E212">
        <v>2014</v>
      </c>
      <c r="F212" t="s">
        <v>1361</v>
      </c>
      <c r="H212" t="s">
        <v>1194</v>
      </c>
      <c r="S212">
        <f>SUMIFS(Projektudgifter!$AG:$AG,Projektudgifter!$W:$W,B212&amp;C212&amp;D212&amp;E212,Projektudgifter!$S:$S,F212)</f>
        <v>0</v>
      </c>
      <c r="T212">
        <f>SUMIFS(Projektudgifter!$AH:$AH,Projektudgifter!$W:$W,B212&amp;C212&amp;D212&amp;E212,Projektudgifter!$T:$T,F212)</f>
        <v>0</v>
      </c>
      <c r="U212">
        <f>SUMIFS(Projektudgifter!$AI:$AI,Projektudgifter!$W:$W,B212&amp;C212&amp;D212&amp;E212,Projektudgifter!$S:$S,F212)</f>
        <v>0</v>
      </c>
      <c r="V212">
        <f>SUMIFS(Projektudgifter!$AJ:$AJ,Projektudgifter!$W:$W,B212&amp;C212&amp;D212&amp;E212,Projektudgifter!$T:$T,F212)</f>
        <v>0</v>
      </c>
      <c r="W212">
        <f>SUMIFS(Projektudgifter!$AK:$AK,Projektudgifter!$W:$W,B212&amp;C212&amp;D212&amp;E212,Projektudgifter!$S:$S,F212)</f>
        <v>0</v>
      </c>
      <c r="X212">
        <f>SUMIFS(Projektudgifter!$AL:$AL,Projektudgifter!$W:$W,B212&amp;C212&amp;D212&amp;E212,Projektudgifter!$T:$T,F212)</f>
        <v>0</v>
      </c>
    </row>
    <row r="213" spans="2:24" ht="14.25" customHeight="1" x14ac:dyDescent="0.25">
      <c r="B213" t="s">
        <v>1250</v>
      </c>
      <c r="C213" t="s">
        <v>86</v>
      </c>
      <c r="D213" t="s">
        <v>693</v>
      </c>
      <c r="E213">
        <v>2014</v>
      </c>
      <c r="F213" t="s">
        <v>680</v>
      </c>
      <c r="H213" t="s">
        <v>1194</v>
      </c>
      <c r="S213">
        <f>SUMIFS(Projektudgifter!$AG:$AG,Projektudgifter!$W:$W,B213&amp;C213&amp;D213&amp;E213,Projektudgifter!$S:$S,F213)</f>
        <v>0</v>
      </c>
      <c r="T213">
        <f>SUMIFS(Projektudgifter!$AH:$AH,Projektudgifter!$W:$W,B213&amp;C213&amp;D213&amp;E213,Projektudgifter!$T:$T,F213)</f>
        <v>0</v>
      </c>
      <c r="U213">
        <f>SUMIFS(Projektudgifter!$AI:$AI,Projektudgifter!$W:$W,B213&amp;C213&amp;D213&amp;E213,Projektudgifter!$S:$S,F213)</f>
        <v>0</v>
      </c>
      <c r="V213">
        <f>SUMIFS(Projektudgifter!$AJ:$AJ,Projektudgifter!$W:$W,B213&amp;C213&amp;D213&amp;E213,Projektudgifter!$T:$T,F213)</f>
        <v>0</v>
      </c>
      <c r="W213">
        <f>SUMIFS(Projektudgifter!$AK:$AK,Projektudgifter!$W:$W,B213&amp;C213&amp;D213&amp;E213,Projektudgifter!$S:$S,F213)</f>
        <v>0</v>
      </c>
      <c r="X213">
        <f>SUMIFS(Projektudgifter!$AL:$AL,Projektudgifter!$W:$W,B213&amp;C213&amp;D213&amp;E213,Projektudgifter!$T:$T,F213)</f>
        <v>0</v>
      </c>
    </row>
    <row r="214" spans="2:24" ht="14.25" customHeight="1" x14ac:dyDescent="0.25">
      <c r="B214" t="s">
        <v>1250</v>
      </c>
      <c r="C214" t="s">
        <v>86</v>
      </c>
      <c r="D214" t="s">
        <v>693</v>
      </c>
      <c r="E214">
        <v>2014</v>
      </c>
      <c r="N214">
        <f>SUMIFS(Projektudgifter!$Y:$Y,Projektudgifter!$W:$W,B214&amp;C214&amp;D214&amp;E214)</f>
        <v>0</v>
      </c>
      <c r="O214">
        <f>SUMIFS(Projektudgifter!$Z:$Z,Projektudgifter!$W:$W,B214&amp;C214&amp;D214&amp;E214)</f>
        <v>0</v>
      </c>
      <c r="P214">
        <f>SUMIFS(Projektudgifter!$AA:$AA,Projektudgifter!$W:$W,B214&amp;C214&amp;D214&amp;E214)</f>
        <v>0</v>
      </c>
      <c r="Q214">
        <f>SUMIFS(Projektudgifter!$AB:$AB,Projektudgifter!$W:$W,B214&amp;C214&amp;D214&amp;E214)</f>
        <v>0</v>
      </c>
      <c r="R214">
        <f>SUMIFS(Projektudgifter!$AC:$AC,Projektudgifter!$W:$W,B214&amp;C214&amp;D214&amp;E214)</f>
        <v>0</v>
      </c>
      <c r="S214">
        <f>SUMIFS(Projektudgifter!$AG:$AG,Projektudgifter!$W:$W,B214&amp;C214&amp;D214&amp;E214,Projektudgifter!$S:$S,"")</f>
        <v>0</v>
      </c>
      <c r="U214">
        <f>SUMIFS(Projektudgifter!$AI:$AI,Projektudgifter!$W:$W,B214&amp;C214&amp;D214&amp;E214,Projektudgifter!$S:$S,"")</f>
        <v>0</v>
      </c>
      <c r="W214">
        <f>SUMIFS(Projektudgifter!$AK:$AK,Projektudgifter!$W:$W,B214&amp;C214&amp;D214&amp;E214,Projektudgifter!$S:$S,"")</f>
        <v>0</v>
      </c>
    </row>
    <row r="215" spans="2:24" ht="14.25" customHeight="1" x14ac:dyDescent="0.25">
      <c r="B215" t="s">
        <v>1250</v>
      </c>
      <c r="C215" t="s">
        <v>1486</v>
      </c>
      <c r="D215" t="s">
        <v>693</v>
      </c>
      <c r="E215">
        <v>2013</v>
      </c>
      <c r="F215" t="s">
        <v>1361</v>
      </c>
      <c r="H215" t="s">
        <v>1194</v>
      </c>
      <c r="S215">
        <f>SUMIFS(Projektudgifter!$AG:$AG,Projektudgifter!$W:$W,B215&amp;C215&amp;D215&amp;E215,Projektudgifter!$S:$S,F215)</f>
        <v>0</v>
      </c>
      <c r="T215">
        <f>SUMIFS(Projektudgifter!$AH:$AH,Projektudgifter!$W:$W,B215&amp;C215&amp;D215&amp;E215,Projektudgifter!$T:$T,F215)</f>
        <v>0</v>
      </c>
      <c r="U215">
        <f>SUMIFS(Projektudgifter!$AI:$AI,Projektudgifter!$W:$W,B215&amp;C215&amp;D215&amp;E215,Projektudgifter!$S:$S,F215)</f>
        <v>0</v>
      </c>
      <c r="V215">
        <f>SUMIFS(Projektudgifter!$AJ:$AJ,Projektudgifter!$W:$W,B215&amp;C215&amp;D215&amp;E215,Projektudgifter!$T:$T,F215)</f>
        <v>0</v>
      </c>
      <c r="W215">
        <f>SUMIFS(Projektudgifter!$AK:$AK,Projektudgifter!$W:$W,B215&amp;C215&amp;D215&amp;E215,Projektudgifter!$S:$S,F215)</f>
        <v>0</v>
      </c>
      <c r="X215">
        <f>SUMIFS(Projektudgifter!$AL:$AL,Projektudgifter!$W:$W,B215&amp;C215&amp;D215&amp;E215,Projektudgifter!$T:$T,F215)</f>
        <v>0</v>
      </c>
    </row>
    <row r="216" spans="2:24" ht="14.25" customHeight="1" x14ac:dyDescent="0.25">
      <c r="B216" t="s">
        <v>1250</v>
      </c>
      <c r="C216" t="s">
        <v>1486</v>
      </c>
      <c r="D216" t="s">
        <v>693</v>
      </c>
      <c r="E216">
        <v>2013</v>
      </c>
      <c r="F216" t="s">
        <v>680</v>
      </c>
      <c r="H216" t="s">
        <v>1194</v>
      </c>
      <c r="S216">
        <f>SUMIFS(Projektudgifter!$AG:$AG,Projektudgifter!$W:$W,B216&amp;C216&amp;D216&amp;E216,Projektudgifter!$S:$S,F216)</f>
        <v>0</v>
      </c>
      <c r="T216">
        <f>SUMIFS(Projektudgifter!$AH:$AH,Projektudgifter!$W:$W,B216&amp;C216&amp;D216&amp;E216,Projektudgifter!$T:$T,F216)</f>
        <v>0</v>
      </c>
      <c r="U216">
        <f>SUMIFS(Projektudgifter!$AI:$AI,Projektudgifter!$W:$W,B216&amp;C216&amp;D216&amp;E216,Projektudgifter!$S:$S,F216)</f>
        <v>0</v>
      </c>
      <c r="V216">
        <f>SUMIFS(Projektudgifter!$AJ:$AJ,Projektudgifter!$W:$W,B216&amp;C216&amp;D216&amp;E216,Projektudgifter!$T:$T,F216)</f>
        <v>0</v>
      </c>
      <c r="W216">
        <f>SUMIFS(Projektudgifter!$AK:$AK,Projektudgifter!$W:$W,B216&amp;C216&amp;D216&amp;E216,Projektudgifter!$S:$S,F216)</f>
        <v>0</v>
      </c>
      <c r="X216">
        <f>SUMIFS(Projektudgifter!$AL:$AL,Projektudgifter!$W:$W,B216&amp;C216&amp;D216&amp;E216,Projektudgifter!$T:$T,F216)</f>
        <v>0</v>
      </c>
    </row>
    <row r="217" spans="2:24" ht="14.25" customHeight="1" x14ac:dyDescent="0.25">
      <c r="B217" t="s">
        <v>1250</v>
      </c>
      <c r="C217" t="s">
        <v>1486</v>
      </c>
      <c r="D217" t="s">
        <v>693</v>
      </c>
      <c r="E217">
        <v>2013</v>
      </c>
      <c r="N217">
        <f>SUMIFS(Projektudgifter!$Y:$Y,Projektudgifter!$W:$W,B217&amp;C217&amp;D217&amp;E217)</f>
        <v>0</v>
      </c>
      <c r="O217">
        <f>SUMIFS(Projektudgifter!$Z:$Z,Projektudgifter!$W:$W,B217&amp;C217&amp;D217&amp;E217)</f>
        <v>0</v>
      </c>
      <c r="P217">
        <f>SUMIFS(Projektudgifter!$AA:$AA,Projektudgifter!$W:$W,B217&amp;C217&amp;D217&amp;E217)</f>
        <v>0</v>
      </c>
      <c r="Q217">
        <f>SUMIFS(Projektudgifter!$AB:$AB,Projektudgifter!$W:$W,B217&amp;C217&amp;D217&amp;E217)</f>
        <v>0</v>
      </c>
      <c r="R217">
        <f>SUMIFS(Projektudgifter!$AC:$AC,Projektudgifter!$W:$W,B217&amp;C217&amp;D217&amp;E217)</f>
        <v>0</v>
      </c>
      <c r="S217">
        <f>SUMIFS(Projektudgifter!$AG:$AG,Projektudgifter!$W:$W,B217&amp;C217&amp;D217&amp;E217,Projektudgifter!$S:$S,"")</f>
        <v>0</v>
      </c>
      <c r="U217">
        <f>SUMIFS(Projektudgifter!$AI:$AI,Projektudgifter!$W:$W,B217&amp;C217&amp;D217&amp;E217,Projektudgifter!$S:$S,"")</f>
        <v>0</v>
      </c>
      <c r="W217">
        <f>SUMIFS(Projektudgifter!$AK:$AK,Projektudgifter!$W:$W,B217&amp;C217&amp;D217&amp;E217,Projektudgifter!$S:$S,"")</f>
        <v>0</v>
      </c>
    </row>
    <row r="218" spans="2:24" ht="14.25" customHeight="1" x14ac:dyDescent="0.25">
      <c r="B218" t="s">
        <v>1250</v>
      </c>
      <c r="C218" t="s">
        <v>1486</v>
      </c>
      <c r="D218" t="s">
        <v>693</v>
      </c>
      <c r="E218">
        <v>2014</v>
      </c>
      <c r="F218" t="s">
        <v>1361</v>
      </c>
      <c r="H218" t="s">
        <v>1194</v>
      </c>
      <c r="S218">
        <f>SUMIFS(Projektudgifter!$AG:$AG,Projektudgifter!$W:$W,B218&amp;C218&amp;D218&amp;E218,Projektudgifter!$S:$S,F218)</f>
        <v>0</v>
      </c>
      <c r="T218">
        <f>SUMIFS(Projektudgifter!$AH:$AH,Projektudgifter!$W:$W,B218&amp;C218&amp;D218&amp;E218,Projektudgifter!$T:$T,F218)</f>
        <v>0</v>
      </c>
      <c r="U218">
        <f>SUMIFS(Projektudgifter!$AI:$AI,Projektudgifter!$W:$W,B218&amp;C218&amp;D218&amp;E218,Projektudgifter!$S:$S,F218)</f>
        <v>0</v>
      </c>
      <c r="V218">
        <f>SUMIFS(Projektudgifter!$AJ:$AJ,Projektudgifter!$W:$W,B218&amp;C218&amp;D218&amp;E218,Projektudgifter!$T:$T,F218)</f>
        <v>0</v>
      </c>
      <c r="W218">
        <f>SUMIFS(Projektudgifter!$AK:$AK,Projektudgifter!$W:$W,B218&amp;C218&amp;D218&amp;E218,Projektudgifter!$S:$S,F218)</f>
        <v>0</v>
      </c>
      <c r="X218">
        <f>SUMIFS(Projektudgifter!$AL:$AL,Projektudgifter!$W:$W,B218&amp;C218&amp;D218&amp;E218,Projektudgifter!$T:$T,F218)</f>
        <v>0</v>
      </c>
    </row>
    <row r="219" spans="2:24" ht="14.25" customHeight="1" x14ac:dyDescent="0.25">
      <c r="B219" t="s">
        <v>1250</v>
      </c>
      <c r="C219" t="s">
        <v>1486</v>
      </c>
      <c r="D219" t="s">
        <v>693</v>
      </c>
      <c r="E219">
        <v>2014</v>
      </c>
      <c r="F219" t="s">
        <v>680</v>
      </c>
      <c r="H219" t="s">
        <v>1194</v>
      </c>
      <c r="S219">
        <f>SUMIFS(Projektudgifter!$AG:$AG,Projektudgifter!$W:$W,B219&amp;C219&amp;D219&amp;E219,Projektudgifter!$S:$S,F219)</f>
        <v>0</v>
      </c>
      <c r="T219">
        <f>SUMIFS(Projektudgifter!$AH:$AH,Projektudgifter!$W:$W,B219&amp;C219&amp;D219&amp;E219,Projektudgifter!$T:$T,F219)</f>
        <v>0</v>
      </c>
      <c r="U219">
        <f>SUMIFS(Projektudgifter!$AI:$AI,Projektudgifter!$W:$W,B219&amp;C219&amp;D219&amp;E219,Projektudgifter!$S:$S,F219)</f>
        <v>0</v>
      </c>
      <c r="V219">
        <f>SUMIFS(Projektudgifter!$AJ:$AJ,Projektudgifter!$W:$W,B219&amp;C219&amp;D219&amp;E219,Projektudgifter!$T:$T,F219)</f>
        <v>0</v>
      </c>
      <c r="W219">
        <f>SUMIFS(Projektudgifter!$AK:$AK,Projektudgifter!$W:$W,B219&amp;C219&amp;D219&amp;E219,Projektudgifter!$S:$S,F219)</f>
        <v>0</v>
      </c>
      <c r="X219">
        <f>SUMIFS(Projektudgifter!$AL:$AL,Projektudgifter!$W:$W,B219&amp;C219&amp;D219&amp;E219,Projektudgifter!$T:$T,F219)</f>
        <v>0</v>
      </c>
    </row>
    <row r="220" spans="2:24" ht="14.25" customHeight="1" x14ac:dyDescent="0.25">
      <c r="B220" t="s">
        <v>1250</v>
      </c>
      <c r="C220" t="s">
        <v>1486</v>
      </c>
      <c r="D220" t="s">
        <v>693</v>
      </c>
      <c r="E220">
        <v>2014</v>
      </c>
      <c r="N220">
        <f>SUMIFS(Projektudgifter!$Y:$Y,Projektudgifter!$W:$W,B220&amp;C220&amp;D220&amp;E220)</f>
        <v>0</v>
      </c>
      <c r="O220">
        <f>SUMIFS(Projektudgifter!$Z:$Z,Projektudgifter!$W:$W,B220&amp;C220&amp;D220&amp;E220)</f>
        <v>0</v>
      </c>
      <c r="P220">
        <f>SUMIFS(Projektudgifter!$AA:$AA,Projektudgifter!$W:$W,B220&amp;C220&amp;D220&amp;E220)</f>
        <v>0</v>
      </c>
      <c r="Q220">
        <f>SUMIFS(Projektudgifter!$AB:$AB,Projektudgifter!$W:$W,B220&amp;C220&amp;D220&amp;E220)</f>
        <v>0</v>
      </c>
      <c r="R220">
        <f>SUMIFS(Projektudgifter!$AC:$AC,Projektudgifter!$W:$W,B220&amp;C220&amp;D220&amp;E220)</f>
        <v>0</v>
      </c>
      <c r="S220">
        <f>SUMIFS(Projektudgifter!$AG:$AG,Projektudgifter!$W:$W,B220&amp;C220&amp;D220&amp;E220,Projektudgifter!$S:$S,"")</f>
        <v>0</v>
      </c>
      <c r="U220">
        <f>SUMIFS(Projektudgifter!$AI:$AI,Projektudgifter!$W:$W,B220&amp;C220&amp;D220&amp;E220,Projektudgifter!$S:$S,"")</f>
        <v>0</v>
      </c>
      <c r="W220">
        <f>SUMIFS(Projektudgifter!$AK:$AK,Projektudgifter!$W:$W,B220&amp;C220&amp;D220&amp;E220,Projektudgifter!$S:$S,"")</f>
        <v>0</v>
      </c>
    </row>
    <row r="221" spans="2:24" ht="14.25" customHeight="1" x14ac:dyDescent="0.25">
      <c r="B221" t="s">
        <v>319</v>
      </c>
      <c r="C221" t="s">
        <v>1179</v>
      </c>
      <c r="D221" t="s">
        <v>693</v>
      </c>
      <c r="E221">
        <v>2013</v>
      </c>
      <c r="F221" t="s">
        <v>1361</v>
      </c>
      <c r="H221" t="s">
        <v>1194</v>
      </c>
      <c r="S221">
        <f>SUMIFS(Projektudgifter!$AG:$AG,Projektudgifter!$W:$W,B221&amp;C221&amp;D221&amp;E221,Projektudgifter!$S:$S,F221)</f>
        <v>0</v>
      </c>
      <c r="T221">
        <f>SUMIFS(Projektudgifter!$AH:$AH,Projektudgifter!$W:$W,B221&amp;C221&amp;D221&amp;E221,Projektudgifter!$T:$T,F221)</f>
        <v>0</v>
      </c>
      <c r="U221">
        <f>SUMIFS(Projektudgifter!$AI:$AI,Projektudgifter!$W:$W,B221&amp;C221&amp;D221&amp;E221,Projektudgifter!$S:$S,F221)</f>
        <v>0</v>
      </c>
      <c r="V221">
        <f>SUMIFS(Projektudgifter!$AJ:$AJ,Projektudgifter!$W:$W,B221&amp;C221&amp;D221&amp;E221,Projektudgifter!$T:$T,F221)</f>
        <v>0</v>
      </c>
      <c r="W221">
        <f>SUMIFS(Projektudgifter!$AK:$AK,Projektudgifter!$W:$W,B221&amp;C221&amp;D221&amp;E221,Projektudgifter!$S:$S,F221)</f>
        <v>0</v>
      </c>
      <c r="X221">
        <f>SUMIFS(Projektudgifter!$AL:$AL,Projektudgifter!$W:$W,B221&amp;C221&amp;D221&amp;E221,Projektudgifter!$T:$T,F221)</f>
        <v>0</v>
      </c>
    </row>
    <row r="222" spans="2:24" ht="14.25" customHeight="1" x14ac:dyDescent="0.25">
      <c r="B222" t="s">
        <v>319</v>
      </c>
      <c r="C222" t="s">
        <v>1179</v>
      </c>
      <c r="D222" t="s">
        <v>693</v>
      </c>
      <c r="E222">
        <v>2013</v>
      </c>
      <c r="F222" t="s">
        <v>680</v>
      </c>
      <c r="H222" t="s">
        <v>1194</v>
      </c>
      <c r="S222">
        <f>SUMIFS(Projektudgifter!$AG:$AG,Projektudgifter!$W:$W,B222&amp;C222&amp;D222&amp;E222,Projektudgifter!$S:$S,F222)</f>
        <v>0</v>
      </c>
      <c r="T222">
        <f>SUMIFS(Projektudgifter!$AH:$AH,Projektudgifter!$W:$W,B222&amp;C222&amp;D222&amp;E222,Projektudgifter!$T:$T,F222)</f>
        <v>0</v>
      </c>
      <c r="U222">
        <f>SUMIFS(Projektudgifter!$AI:$AI,Projektudgifter!$W:$W,B222&amp;C222&amp;D222&amp;E222,Projektudgifter!$S:$S,F222)</f>
        <v>0</v>
      </c>
      <c r="V222">
        <f>SUMIFS(Projektudgifter!$AJ:$AJ,Projektudgifter!$W:$W,B222&amp;C222&amp;D222&amp;E222,Projektudgifter!$T:$T,F222)</f>
        <v>0</v>
      </c>
      <c r="W222">
        <f>SUMIFS(Projektudgifter!$AK:$AK,Projektudgifter!$W:$W,B222&amp;C222&amp;D222&amp;E222,Projektudgifter!$S:$S,F222)</f>
        <v>0</v>
      </c>
      <c r="X222">
        <f>SUMIFS(Projektudgifter!$AL:$AL,Projektudgifter!$W:$W,B222&amp;C222&amp;D222&amp;E222,Projektudgifter!$T:$T,F222)</f>
        <v>0</v>
      </c>
    </row>
    <row r="223" spans="2:24" ht="14.25" customHeight="1" x14ac:dyDescent="0.25">
      <c r="B223" t="s">
        <v>319</v>
      </c>
      <c r="C223" t="s">
        <v>1179</v>
      </c>
      <c r="D223" t="s">
        <v>693</v>
      </c>
      <c r="E223">
        <v>2013</v>
      </c>
      <c r="N223">
        <f>SUMIFS(Projektudgifter!$Y:$Y,Projektudgifter!$W:$W,B223&amp;C223&amp;D223&amp;E223)</f>
        <v>0</v>
      </c>
      <c r="O223">
        <f>SUMIFS(Projektudgifter!$Z:$Z,Projektudgifter!$W:$W,B223&amp;C223&amp;D223&amp;E223)</f>
        <v>0</v>
      </c>
      <c r="P223">
        <f>SUMIFS(Projektudgifter!$AA:$AA,Projektudgifter!$W:$W,B223&amp;C223&amp;D223&amp;E223)</f>
        <v>0</v>
      </c>
      <c r="Q223">
        <f>SUMIFS(Projektudgifter!$AB:$AB,Projektudgifter!$W:$W,B223&amp;C223&amp;D223&amp;E223)</f>
        <v>0</v>
      </c>
      <c r="R223">
        <f>SUMIFS(Projektudgifter!$AC:$AC,Projektudgifter!$W:$W,B223&amp;C223&amp;D223&amp;E223)</f>
        <v>0</v>
      </c>
      <c r="S223">
        <f>SUMIFS(Projektudgifter!$AG:$AG,Projektudgifter!$W:$W,B223&amp;C223&amp;D223&amp;E223,Projektudgifter!$S:$S,"")</f>
        <v>0</v>
      </c>
      <c r="U223">
        <f>SUMIFS(Projektudgifter!$AI:$AI,Projektudgifter!$W:$W,B223&amp;C223&amp;D223&amp;E223,Projektudgifter!$S:$S,"")</f>
        <v>0</v>
      </c>
      <c r="W223">
        <f>SUMIFS(Projektudgifter!$AK:$AK,Projektudgifter!$W:$W,B223&amp;C223&amp;D223&amp;E223,Projektudgifter!$S:$S,"")</f>
        <v>0</v>
      </c>
    </row>
    <row r="224" spans="2:24" ht="14.25" customHeight="1" x14ac:dyDescent="0.25">
      <c r="B224" t="s">
        <v>319</v>
      </c>
      <c r="C224" t="s">
        <v>1179</v>
      </c>
      <c r="D224" t="s">
        <v>693</v>
      </c>
      <c r="E224">
        <v>2014</v>
      </c>
      <c r="F224" t="s">
        <v>1361</v>
      </c>
      <c r="H224" t="s">
        <v>1194</v>
      </c>
      <c r="S224">
        <f>SUMIFS(Projektudgifter!$AG:$AG,Projektudgifter!$W:$W,B224&amp;C224&amp;D224&amp;E224,Projektudgifter!$S:$S,F224)</f>
        <v>0</v>
      </c>
      <c r="T224">
        <f>SUMIFS(Projektudgifter!$AH:$AH,Projektudgifter!$W:$W,B224&amp;C224&amp;D224&amp;E224,Projektudgifter!$T:$T,F224)</f>
        <v>0</v>
      </c>
      <c r="U224">
        <f>SUMIFS(Projektudgifter!$AI:$AI,Projektudgifter!$W:$W,B224&amp;C224&amp;D224&amp;E224,Projektudgifter!$S:$S,F224)</f>
        <v>0</v>
      </c>
      <c r="V224">
        <f>SUMIFS(Projektudgifter!$AJ:$AJ,Projektudgifter!$W:$W,B224&amp;C224&amp;D224&amp;E224,Projektudgifter!$T:$T,F224)</f>
        <v>0</v>
      </c>
      <c r="W224">
        <f>SUMIFS(Projektudgifter!$AK:$AK,Projektudgifter!$W:$W,B224&amp;C224&amp;D224&amp;E224,Projektudgifter!$S:$S,F224)</f>
        <v>0</v>
      </c>
      <c r="X224">
        <f>SUMIFS(Projektudgifter!$AL:$AL,Projektudgifter!$W:$W,B224&amp;C224&amp;D224&amp;E224,Projektudgifter!$T:$T,F224)</f>
        <v>0</v>
      </c>
    </row>
    <row r="225" spans="2:24" ht="14.25" customHeight="1" x14ac:dyDescent="0.25">
      <c r="B225" t="s">
        <v>319</v>
      </c>
      <c r="C225" t="s">
        <v>1179</v>
      </c>
      <c r="D225" t="s">
        <v>693</v>
      </c>
      <c r="E225">
        <v>2014</v>
      </c>
      <c r="F225" t="s">
        <v>680</v>
      </c>
      <c r="H225" t="s">
        <v>1194</v>
      </c>
      <c r="S225">
        <f>SUMIFS(Projektudgifter!$AG:$AG,Projektudgifter!$W:$W,B225&amp;C225&amp;D225&amp;E225,Projektudgifter!$S:$S,F225)</f>
        <v>0</v>
      </c>
      <c r="T225">
        <f>SUMIFS(Projektudgifter!$AH:$AH,Projektudgifter!$W:$W,B225&amp;C225&amp;D225&amp;E225,Projektudgifter!$T:$T,F225)</f>
        <v>0</v>
      </c>
      <c r="U225">
        <f>SUMIFS(Projektudgifter!$AI:$AI,Projektudgifter!$W:$W,B225&amp;C225&amp;D225&amp;E225,Projektudgifter!$S:$S,F225)</f>
        <v>0</v>
      </c>
      <c r="V225">
        <f>SUMIFS(Projektudgifter!$AJ:$AJ,Projektudgifter!$W:$W,B225&amp;C225&amp;D225&amp;E225,Projektudgifter!$T:$T,F225)</f>
        <v>0</v>
      </c>
      <c r="W225">
        <f>SUMIFS(Projektudgifter!$AK:$AK,Projektudgifter!$W:$W,B225&amp;C225&amp;D225&amp;E225,Projektudgifter!$S:$S,F225)</f>
        <v>0</v>
      </c>
      <c r="X225">
        <f>SUMIFS(Projektudgifter!$AL:$AL,Projektudgifter!$W:$W,B225&amp;C225&amp;D225&amp;E225,Projektudgifter!$T:$T,F225)</f>
        <v>0</v>
      </c>
    </row>
    <row r="226" spans="2:24" ht="14.25" customHeight="1" x14ac:dyDescent="0.25">
      <c r="B226" t="s">
        <v>319</v>
      </c>
      <c r="C226" t="s">
        <v>1179</v>
      </c>
      <c r="D226" t="s">
        <v>693</v>
      </c>
      <c r="E226">
        <v>2014</v>
      </c>
      <c r="N226">
        <f>SUMIFS(Projektudgifter!$Y:$Y,Projektudgifter!$W:$W,B226&amp;C226&amp;D226&amp;E226)</f>
        <v>0</v>
      </c>
      <c r="O226">
        <f>SUMIFS(Projektudgifter!$Z:$Z,Projektudgifter!$W:$W,B226&amp;C226&amp;D226&amp;E226)</f>
        <v>0</v>
      </c>
      <c r="P226">
        <f>SUMIFS(Projektudgifter!$AA:$AA,Projektudgifter!$W:$W,B226&amp;C226&amp;D226&amp;E226)</f>
        <v>0</v>
      </c>
      <c r="Q226">
        <f>SUMIFS(Projektudgifter!$AB:$AB,Projektudgifter!$W:$W,B226&amp;C226&amp;D226&amp;E226)</f>
        <v>0</v>
      </c>
      <c r="R226">
        <f>SUMIFS(Projektudgifter!$AC:$AC,Projektudgifter!$W:$W,B226&amp;C226&amp;D226&amp;E226)</f>
        <v>0</v>
      </c>
      <c r="S226">
        <f>SUMIFS(Projektudgifter!$AG:$AG,Projektudgifter!$W:$W,B226&amp;C226&amp;D226&amp;E226,Projektudgifter!$S:$S,"")</f>
        <v>0</v>
      </c>
      <c r="U226">
        <f>SUMIFS(Projektudgifter!$AI:$AI,Projektudgifter!$W:$W,B226&amp;C226&amp;D226&amp;E226,Projektudgifter!$S:$S,"")</f>
        <v>0</v>
      </c>
      <c r="W226">
        <f>SUMIFS(Projektudgifter!$AK:$AK,Projektudgifter!$W:$W,B226&amp;C226&amp;D226&amp;E226,Projektudgifter!$S:$S,"")</f>
        <v>0</v>
      </c>
    </row>
    <row r="227" spans="2:24" ht="14.25" customHeight="1" x14ac:dyDescent="0.25">
      <c r="B227" t="s">
        <v>319</v>
      </c>
      <c r="C227" t="s">
        <v>1180</v>
      </c>
      <c r="D227" t="s">
        <v>693</v>
      </c>
      <c r="E227">
        <v>2013</v>
      </c>
      <c r="F227" t="s">
        <v>1361</v>
      </c>
      <c r="H227" t="s">
        <v>1194</v>
      </c>
      <c r="S227">
        <f>SUMIFS(Projektudgifter!$AG:$AG,Projektudgifter!$W:$W,B227&amp;C227&amp;D227&amp;E227,Projektudgifter!$S:$S,F227)</f>
        <v>0</v>
      </c>
      <c r="T227">
        <f>SUMIFS(Projektudgifter!$AH:$AH,Projektudgifter!$W:$W,B227&amp;C227&amp;D227&amp;E227,Projektudgifter!$T:$T,F227)</f>
        <v>0</v>
      </c>
      <c r="U227">
        <f>SUMIFS(Projektudgifter!$AI:$AI,Projektudgifter!$W:$W,B227&amp;C227&amp;D227&amp;E227,Projektudgifter!$S:$S,F227)</f>
        <v>0</v>
      </c>
      <c r="V227">
        <f>SUMIFS(Projektudgifter!$AJ:$AJ,Projektudgifter!$W:$W,B227&amp;C227&amp;D227&amp;E227,Projektudgifter!$T:$T,F227)</f>
        <v>0</v>
      </c>
      <c r="W227">
        <f>SUMIFS(Projektudgifter!$AK:$AK,Projektudgifter!$W:$W,B227&amp;C227&amp;D227&amp;E227,Projektudgifter!$S:$S,F227)</f>
        <v>0</v>
      </c>
      <c r="X227">
        <f>SUMIFS(Projektudgifter!$AL:$AL,Projektudgifter!$W:$W,B227&amp;C227&amp;D227&amp;E227,Projektudgifter!$T:$T,F227)</f>
        <v>0</v>
      </c>
    </row>
    <row r="228" spans="2:24" ht="14.25" customHeight="1" x14ac:dyDescent="0.25">
      <c r="B228" t="s">
        <v>319</v>
      </c>
      <c r="C228" t="s">
        <v>1180</v>
      </c>
      <c r="D228" t="s">
        <v>693</v>
      </c>
      <c r="E228">
        <v>2013</v>
      </c>
      <c r="F228" t="s">
        <v>680</v>
      </c>
      <c r="H228" t="s">
        <v>1194</v>
      </c>
      <c r="S228">
        <f>SUMIFS(Projektudgifter!$AG:$AG,Projektudgifter!$W:$W,B228&amp;C228&amp;D228&amp;E228,Projektudgifter!$S:$S,F228)</f>
        <v>0</v>
      </c>
      <c r="T228">
        <f>SUMIFS(Projektudgifter!$AH:$AH,Projektudgifter!$W:$W,B228&amp;C228&amp;D228&amp;E228,Projektudgifter!$T:$T,F228)</f>
        <v>0</v>
      </c>
      <c r="U228">
        <f>SUMIFS(Projektudgifter!$AI:$AI,Projektudgifter!$W:$W,B228&amp;C228&amp;D228&amp;E228,Projektudgifter!$S:$S,F228)</f>
        <v>0</v>
      </c>
      <c r="V228">
        <f>SUMIFS(Projektudgifter!$AJ:$AJ,Projektudgifter!$W:$W,B228&amp;C228&amp;D228&amp;E228,Projektudgifter!$T:$T,F228)</f>
        <v>0</v>
      </c>
      <c r="W228">
        <f>SUMIFS(Projektudgifter!$AK:$AK,Projektudgifter!$W:$W,B228&amp;C228&amp;D228&amp;E228,Projektudgifter!$S:$S,F228)</f>
        <v>0</v>
      </c>
      <c r="X228">
        <f>SUMIFS(Projektudgifter!$AL:$AL,Projektudgifter!$W:$W,B228&amp;C228&amp;D228&amp;E228,Projektudgifter!$T:$T,F228)</f>
        <v>0</v>
      </c>
    </row>
    <row r="229" spans="2:24" ht="14.25" customHeight="1" x14ac:dyDescent="0.25">
      <c r="B229" t="s">
        <v>319</v>
      </c>
      <c r="C229" t="s">
        <v>1180</v>
      </c>
      <c r="D229" t="s">
        <v>693</v>
      </c>
      <c r="E229">
        <v>2013</v>
      </c>
      <c r="N229">
        <f>SUMIFS(Projektudgifter!$Y:$Y,Projektudgifter!$W:$W,B229&amp;C229&amp;D229&amp;E229)</f>
        <v>0</v>
      </c>
      <c r="O229">
        <f>SUMIFS(Projektudgifter!$Z:$Z,Projektudgifter!$W:$W,B229&amp;C229&amp;D229&amp;E229)</f>
        <v>0</v>
      </c>
      <c r="P229">
        <f>SUMIFS(Projektudgifter!$AA:$AA,Projektudgifter!$W:$W,B229&amp;C229&amp;D229&amp;E229)</f>
        <v>0</v>
      </c>
      <c r="Q229">
        <f>SUMIFS(Projektudgifter!$AB:$AB,Projektudgifter!$W:$W,B229&amp;C229&amp;D229&amp;E229)</f>
        <v>0</v>
      </c>
      <c r="R229">
        <f>SUMIFS(Projektudgifter!$AC:$AC,Projektudgifter!$W:$W,B229&amp;C229&amp;D229&amp;E229)</f>
        <v>0</v>
      </c>
      <c r="S229">
        <f>SUMIFS(Projektudgifter!$AG:$AG,Projektudgifter!$W:$W,B229&amp;C229&amp;D229&amp;E229,Projektudgifter!$S:$S,"")</f>
        <v>0</v>
      </c>
      <c r="U229">
        <f>SUMIFS(Projektudgifter!$AI:$AI,Projektudgifter!$W:$W,B229&amp;C229&amp;D229&amp;E229,Projektudgifter!$S:$S,"")</f>
        <v>0</v>
      </c>
      <c r="W229">
        <f>SUMIFS(Projektudgifter!$AK:$AK,Projektudgifter!$W:$W,B229&amp;C229&amp;D229&amp;E229,Projektudgifter!$S:$S,"")</f>
        <v>0</v>
      </c>
    </row>
    <row r="230" spans="2:24" ht="14.25" customHeight="1" x14ac:dyDescent="0.25">
      <c r="B230" t="s">
        <v>319</v>
      </c>
      <c r="C230" t="s">
        <v>1180</v>
      </c>
      <c r="D230" t="s">
        <v>693</v>
      </c>
      <c r="E230">
        <v>2014</v>
      </c>
      <c r="F230" t="s">
        <v>1361</v>
      </c>
      <c r="H230" t="s">
        <v>1194</v>
      </c>
      <c r="S230">
        <f>SUMIFS(Projektudgifter!$AG:$AG,Projektudgifter!$W:$W,B230&amp;C230&amp;D230&amp;E230,Projektudgifter!$S:$S,F230)</f>
        <v>0</v>
      </c>
      <c r="T230">
        <f>SUMIFS(Projektudgifter!$AH:$AH,Projektudgifter!$W:$W,B230&amp;C230&amp;D230&amp;E230,Projektudgifter!$T:$T,F230)</f>
        <v>0</v>
      </c>
      <c r="U230">
        <f>SUMIFS(Projektudgifter!$AI:$AI,Projektudgifter!$W:$W,B230&amp;C230&amp;D230&amp;E230,Projektudgifter!$S:$S,F230)</f>
        <v>0</v>
      </c>
      <c r="V230">
        <f>SUMIFS(Projektudgifter!$AJ:$AJ,Projektudgifter!$W:$W,B230&amp;C230&amp;D230&amp;E230,Projektudgifter!$T:$T,F230)</f>
        <v>0</v>
      </c>
      <c r="W230">
        <f>SUMIFS(Projektudgifter!$AK:$AK,Projektudgifter!$W:$W,B230&amp;C230&amp;D230&amp;E230,Projektudgifter!$S:$S,F230)</f>
        <v>0</v>
      </c>
      <c r="X230">
        <f>SUMIFS(Projektudgifter!$AL:$AL,Projektudgifter!$W:$W,B230&amp;C230&amp;D230&amp;E230,Projektudgifter!$T:$T,F230)</f>
        <v>0</v>
      </c>
    </row>
    <row r="231" spans="2:24" ht="14.25" customHeight="1" x14ac:dyDescent="0.25">
      <c r="B231" t="s">
        <v>319</v>
      </c>
      <c r="C231" t="s">
        <v>1180</v>
      </c>
      <c r="D231" t="s">
        <v>693</v>
      </c>
      <c r="E231">
        <v>2014</v>
      </c>
      <c r="F231" t="s">
        <v>680</v>
      </c>
      <c r="H231" t="s">
        <v>1194</v>
      </c>
      <c r="S231">
        <f>SUMIFS(Projektudgifter!$AG:$AG,Projektudgifter!$W:$W,B231&amp;C231&amp;D231&amp;E231,Projektudgifter!$S:$S,F231)</f>
        <v>0</v>
      </c>
      <c r="T231">
        <f>SUMIFS(Projektudgifter!$AH:$AH,Projektudgifter!$W:$W,B231&amp;C231&amp;D231&amp;E231,Projektudgifter!$T:$T,F231)</f>
        <v>0</v>
      </c>
      <c r="U231">
        <f>SUMIFS(Projektudgifter!$AI:$AI,Projektudgifter!$W:$W,B231&amp;C231&amp;D231&amp;E231,Projektudgifter!$S:$S,F231)</f>
        <v>0</v>
      </c>
      <c r="V231">
        <f>SUMIFS(Projektudgifter!$AJ:$AJ,Projektudgifter!$W:$W,B231&amp;C231&amp;D231&amp;E231,Projektudgifter!$T:$T,F231)</f>
        <v>0</v>
      </c>
      <c r="W231">
        <f>SUMIFS(Projektudgifter!$AK:$AK,Projektudgifter!$W:$W,B231&amp;C231&amp;D231&amp;E231,Projektudgifter!$S:$S,F231)</f>
        <v>0</v>
      </c>
      <c r="X231">
        <f>SUMIFS(Projektudgifter!$AL:$AL,Projektudgifter!$W:$W,B231&amp;C231&amp;D231&amp;E231,Projektudgifter!$T:$T,F231)</f>
        <v>0</v>
      </c>
    </row>
    <row r="232" spans="2:24" ht="14.25" customHeight="1" x14ac:dyDescent="0.25">
      <c r="B232" t="s">
        <v>319</v>
      </c>
      <c r="C232" t="s">
        <v>1180</v>
      </c>
      <c r="D232" t="s">
        <v>693</v>
      </c>
      <c r="E232">
        <v>2014</v>
      </c>
      <c r="N232">
        <f>SUMIFS(Projektudgifter!$Y:$Y,Projektudgifter!$W:$W,B232&amp;C232&amp;D232&amp;E232)</f>
        <v>0</v>
      </c>
      <c r="O232">
        <f>SUMIFS(Projektudgifter!$Z:$Z,Projektudgifter!$W:$W,B232&amp;C232&amp;D232&amp;E232)</f>
        <v>0</v>
      </c>
      <c r="P232">
        <f>SUMIFS(Projektudgifter!$AA:$AA,Projektudgifter!$W:$W,B232&amp;C232&amp;D232&amp;E232)</f>
        <v>0</v>
      </c>
      <c r="Q232">
        <f>SUMIFS(Projektudgifter!$AB:$AB,Projektudgifter!$W:$W,B232&amp;C232&amp;D232&amp;E232)</f>
        <v>0</v>
      </c>
      <c r="R232">
        <f>SUMIFS(Projektudgifter!$AC:$AC,Projektudgifter!$W:$W,B232&amp;C232&amp;D232&amp;E232)</f>
        <v>0</v>
      </c>
      <c r="S232">
        <f>SUMIFS(Projektudgifter!$AG:$AG,Projektudgifter!$W:$W,B232&amp;C232&amp;D232&amp;E232,Projektudgifter!$S:$S,"")</f>
        <v>0</v>
      </c>
      <c r="U232">
        <f>SUMIFS(Projektudgifter!$AI:$AI,Projektudgifter!$W:$W,B232&amp;C232&amp;D232&amp;E232,Projektudgifter!$S:$S,"")</f>
        <v>0</v>
      </c>
      <c r="W232">
        <f>SUMIFS(Projektudgifter!$AK:$AK,Projektudgifter!$W:$W,B232&amp;C232&amp;D232&amp;E232,Projektudgifter!$S:$S,"")</f>
        <v>0</v>
      </c>
    </row>
    <row r="233" spans="2:24" ht="14.25" customHeight="1" x14ac:dyDescent="0.25">
      <c r="B233" t="s">
        <v>319</v>
      </c>
      <c r="C233" t="s">
        <v>1181</v>
      </c>
      <c r="D233" t="s">
        <v>693</v>
      </c>
      <c r="E233">
        <v>2013</v>
      </c>
      <c r="F233" t="s">
        <v>1361</v>
      </c>
      <c r="H233" t="s">
        <v>1194</v>
      </c>
      <c r="S233">
        <f>SUMIFS(Projektudgifter!$AG:$AG,Projektudgifter!$W:$W,B233&amp;C233&amp;D233&amp;E233,Projektudgifter!$S:$S,F233)</f>
        <v>0</v>
      </c>
      <c r="T233">
        <f>SUMIFS(Projektudgifter!$AH:$AH,Projektudgifter!$W:$W,B233&amp;C233&amp;D233&amp;E233,Projektudgifter!$T:$T,F233)</f>
        <v>0</v>
      </c>
      <c r="U233">
        <f>SUMIFS(Projektudgifter!$AI:$AI,Projektudgifter!$W:$W,B233&amp;C233&amp;D233&amp;E233,Projektudgifter!$S:$S,F233)</f>
        <v>0</v>
      </c>
      <c r="V233">
        <f>SUMIFS(Projektudgifter!$AJ:$AJ,Projektudgifter!$W:$W,B233&amp;C233&amp;D233&amp;E233,Projektudgifter!$T:$T,F233)</f>
        <v>0</v>
      </c>
      <c r="W233">
        <f>SUMIFS(Projektudgifter!$AK:$AK,Projektudgifter!$W:$W,B233&amp;C233&amp;D233&amp;E233,Projektudgifter!$S:$S,F233)</f>
        <v>0</v>
      </c>
      <c r="X233">
        <f>SUMIFS(Projektudgifter!$AL:$AL,Projektudgifter!$W:$W,B233&amp;C233&amp;D233&amp;E233,Projektudgifter!$T:$T,F233)</f>
        <v>0</v>
      </c>
    </row>
    <row r="234" spans="2:24" ht="14.25" customHeight="1" x14ac:dyDescent="0.25">
      <c r="B234" t="s">
        <v>319</v>
      </c>
      <c r="C234" t="s">
        <v>1181</v>
      </c>
      <c r="D234" t="s">
        <v>693</v>
      </c>
      <c r="E234">
        <v>2013</v>
      </c>
      <c r="F234" t="s">
        <v>680</v>
      </c>
      <c r="H234" t="s">
        <v>1194</v>
      </c>
      <c r="S234">
        <f>SUMIFS(Projektudgifter!$AG:$AG,Projektudgifter!$W:$W,B234&amp;C234&amp;D234&amp;E234,Projektudgifter!$S:$S,F234)</f>
        <v>0</v>
      </c>
      <c r="T234">
        <f>SUMIFS(Projektudgifter!$AH:$AH,Projektudgifter!$W:$W,B234&amp;C234&amp;D234&amp;E234,Projektudgifter!$T:$T,F234)</f>
        <v>0</v>
      </c>
      <c r="U234">
        <f>SUMIFS(Projektudgifter!$AI:$AI,Projektudgifter!$W:$W,B234&amp;C234&amp;D234&amp;E234,Projektudgifter!$S:$S,F234)</f>
        <v>0</v>
      </c>
      <c r="V234">
        <f>SUMIFS(Projektudgifter!$AJ:$AJ,Projektudgifter!$W:$W,B234&amp;C234&amp;D234&amp;E234,Projektudgifter!$T:$T,F234)</f>
        <v>0</v>
      </c>
      <c r="W234">
        <f>SUMIFS(Projektudgifter!$AK:$AK,Projektudgifter!$W:$W,B234&amp;C234&amp;D234&amp;E234,Projektudgifter!$S:$S,F234)</f>
        <v>0</v>
      </c>
      <c r="X234">
        <f>SUMIFS(Projektudgifter!$AL:$AL,Projektudgifter!$W:$W,B234&amp;C234&amp;D234&amp;E234,Projektudgifter!$T:$T,F234)</f>
        <v>0</v>
      </c>
    </row>
    <row r="235" spans="2:24" ht="14.25" customHeight="1" x14ac:dyDescent="0.25">
      <c r="B235" t="s">
        <v>319</v>
      </c>
      <c r="C235" t="s">
        <v>1181</v>
      </c>
      <c r="D235" t="s">
        <v>693</v>
      </c>
      <c r="E235">
        <v>2013</v>
      </c>
      <c r="N235">
        <f>SUMIFS(Projektudgifter!$Y:$Y,Projektudgifter!$W:$W,B235&amp;C235&amp;D235&amp;E235)</f>
        <v>0</v>
      </c>
      <c r="O235">
        <f>SUMIFS(Projektudgifter!$Z:$Z,Projektudgifter!$W:$W,B235&amp;C235&amp;D235&amp;E235)</f>
        <v>0</v>
      </c>
      <c r="P235">
        <f>SUMIFS(Projektudgifter!$AA:$AA,Projektudgifter!$W:$W,B235&amp;C235&amp;D235&amp;E235)</f>
        <v>0</v>
      </c>
      <c r="Q235">
        <f>SUMIFS(Projektudgifter!$AB:$AB,Projektudgifter!$W:$W,B235&amp;C235&amp;D235&amp;E235)</f>
        <v>0</v>
      </c>
      <c r="R235">
        <f>SUMIFS(Projektudgifter!$AC:$AC,Projektudgifter!$W:$W,B235&amp;C235&amp;D235&amp;E235)</f>
        <v>0</v>
      </c>
      <c r="S235">
        <f>SUMIFS(Projektudgifter!$AG:$AG,Projektudgifter!$W:$W,B235&amp;C235&amp;D235&amp;E235,Projektudgifter!$S:$S,"")</f>
        <v>0</v>
      </c>
      <c r="U235">
        <f>SUMIFS(Projektudgifter!$AI:$AI,Projektudgifter!$W:$W,B235&amp;C235&amp;D235&amp;E235,Projektudgifter!$S:$S,"")</f>
        <v>0</v>
      </c>
      <c r="W235">
        <f>SUMIFS(Projektudgifter!$AK:$AK,Projektudgifter!$W:$W,B235&amp;C235&amp;D235&amp;E235,Projektudgifter!$S:$S,"")</f>
        <v>0</v>
      </c>
    </row>
    <row r="236" spans="2:24" ht="14.25" customHeight="1" x14ac:dyDescent="0.25">
      <c r="B236" t="s">
        <v>319</v>
      </c>
      <c r="C236" t="s">
        <v>1181</v>
      </c>
      <c r="D236" t="s">
        <v>693</v>
      </c>
      <c r="E236">
        <v>2014</v>
      </c>
      <c r="F236" t="s">
        <v>1361</v>
      </c>
      <c r="H236" t="s">
        <v>1194</v>
      </c>
      <c r="S236">
        <f>SUMIFS(Projektudgifter!$AG:$AG,Projektudgifter!$W:$W,B236&amp;C236&amp;D236&amp;E236,Projektudgifter!$S:$S,F236)</f>
        <v>0</v>
      </c>
      <c r="T236">
        <f>SUMIFS(Projektudgifter!$AH:$AH,Projektudgifter!$W:$W,B236&amp;C236&amp;D236&amp;E236,Projektudgifter!$T:$T,F236)</f>
        <v>0</v>
      </c>
      <c r="U236">
        <f>SUMIFS(Projektudgifter!$AI:$AI,Projektudgifter!$W:$W,B236&amp;C236&amp;D236&amp;E236,Projektudgifter!$S:$S,F236)</f>
        <v>0</v>
      </c>
      <c r="V236">
        <f>SUMIFS(Projektudgifter!$AJ:$AJ,Projektudgifter!$W:$W,B236&amp;C236&amp;D236&amp;E236,Projektudgifter!$T:$T,F236)</f>
        <v>0</v>
      </c>
      <c r="W236">
        <f>SUMIFS(Projektudgifter!$AK:$AK,Projektudgifter!$W:$W,B236&amp;C236&amp;D236&amp;E236,Projektudgifter!$S:$S,F236)</f>
        <v>0</v>
      </c>
      <c r="X236">
        <f>SUMIFS(Projektudgifter!$AL:$AL,Projektudgifter!$W:$W,B236&amp;C236&amp;D236&amp;E236,Projektudgifter!$T:$T,F236)</f>
        <v>0</v>
      </c>
    </row>
    <row r="237" spans="2:24" ht="14.25" customHeight="1" x14ac:dyDescent="0.25">
      <c r="B237" t="s">
        <v>319</v>
      </c>
      <c r="C237" t="s">
        <v>1181</v>
      </c>
      <c r="D237" t="s">
        <v>693</v>
      </c>
      <c r="E237">
        <v>2014</v>
      </c>
      <c r="F237" t="s">
        <v>680</v>
      </c>
      <c r="H237" t="s">
        <v>1194</v>
      </c>
      <c r="S237">
        <f>SUMIFS(Projektudgifter!$AG:$AG,Projektudgifter!$W:$W,B237&amp;C237&amp;D237&amp;E237,Projektudgifter!$S:$S,F237)</f>
        <v>0</v>
      </c>
      <c r="T237">
        <f>SUMIFS(Projektudgifter!$AH:$AH,Projektudgifter!$W:$W,B237&amp;C237&amp;D237&amp;E237,Projektudgifter!$T:$T,F237)</f>
        <v>0</v>
      </c>
      <c r="U237">
        <f>SUMIFS(Projektudgifter!$AI:$AI,Projektudgifter!$W:$W,B237&amp;C237&amp;D237&amp;E237,Projektudgifter!$S:$S,F237)</f>
        <v>0</v>
      </c>
      <c r="V237">
        <f>SUMIFS(Projektudgifter!$AJ:$AJ,Projektudgifter!$W:$W,B237&amp;C237&amp;D237&amp;E237,Projektudgifter!$T:$T,F237)</f>
        <v>0</v>
      </c>
      <c r="W237">
        <f>SUMIFS(Projektudgifter!$AK:$AK,Projektudgifter!$W:$W,B237&amp;C237&amp;D237&amp;E237,Projektudgifter!$S:$S,F237)</f>
        <v>0</v>
      </c>
      <c r="X237">
        <f>SUMIFS(Projektudgifter!$AL:$AL,Projektudgifter!$W:$W,B237&amp;C237&amp;D237&amp;E237,Projektudgifter!$T:$T,F237)</f>
        <v>0</v>
      </c>
    </row>
    <row r="238" spans="2:24" ht="14.25" customHeight="1" x14ac:dyDescent="0.25">
      <c r="B238" t="s">
        <v>319</v>
      </c>
      <c r="C238" t="s">
        <v>1181</v>
      </c>
      <c r="D238" t="s">
        <v>693</v>
      </c>
      <c r="E238">
        <v>2014</v>
      </c>
      <c r="N238">
        <f>SUMIFS(Projektudgifter!$Y:$Y,Projektudgifter!$W:$W,B238&amp;C238&amp;D238&amp;E238)</f>
        <v>0</v>
      </c>
      <c r="O238">
        <f>SUMIFS(Projektudgifter!$Z:$Z,Projektudgifter!$W:$W,B238&amp;C238&amp;D238&amp;E238)</f>
        <v>0</v>
      </c>
      <c r="P238">
        <f>SUMIFS(Projektudgifter!$AA:$AA,Projektudgifter!$W:$W,B238&amp;C238&amp;D238&amp;E238)</f>
        <v>0</v>
      </c>
      <c r="Q238">
        <f>SUMIFS(Projektudgifter!$AB:$AB,Projektudgifter!$W:$W,B238&amp;C238&amp;D238&amp;E238)</f>
        <v>0</v>
      </c>
      <c r="R238">
        <f>SUMIFS(Projektudgifter!$AC:$AC,Projektudgifter!$W:$W,B238&amp;C238&amp;D238&amp;E238)</f>
        <v>0</v>
      </c>
      <c r="S238">
        <f>SUMIFS(Projektudgifter!$AG:$AG,Projektudgifter!$W:$W,B238&amp;C238&amp;D238&amp;E238,Projektudgifter!$S:$S,"")</f>
        <v>0</v>
      </c>
      <c r="U238">
        <f>SUMIFS(Projektudgifter!$AI:$AI,Projektudgifter!$W:$W,B238&amp;C238&amp;D238&amp;E238,Projektudgifter!$S:$S,"")</f>
        <v>0</v>
      </c>
      <c r="W238">
        <f>SUMIFS(Projektudgifter!$AK:$AK,Projektudgifter!$W:$W,B238&amp;C238&amp;D238&amp;E238,Projektudgifter!$S:$S,"")</f>
        <v>0</v>
      </c>
    </row>
    <row r="239" spans="2:24" ht="14.25" customHeight="1" x14ac:dyDescent="0.25">
      <c r="B239" t="s">
        <v>319</v>
      </c>
      <c r="C239" t="s">
        <v>1182</v>
      </c>
      <c r="D239" t="s">
        <v>693</v>
      </c>
      <c r="E239">
        <v>2013</v>
      </c>
      <c r="F239" t="s">
        <v>1361</v>
      </c>
      <c r="H239" t="s">
        <v>1194</v>
      </c>
      <c r="S239">
        <f>SUMIFS(Projektudgifter!$AG:$AG,Projektudgifter!$W:$W,B239&amp;C239&amp;D239&amp;E239,Projektudgifter!$S:$S,F239)</f>
        <v>0</v>
      </c>
      <c r="T239">
        <f>SUMIFS(Projektudgifter!$AH:$AH,Projektudgifter!$W:$W,B239&amp;C239&amp;D239&amp;E239,Projektudgifter!$T:$T,F239)</f>
        <v>0</v>
      </c>
      <c r="U239">
        <f>SUMIFS(Projektudgifter!$AI:$AI,Projektudgifter!$W:$W,B239&amp;C239&amp;D239&amp;E239,Projektudgifter!$S:$S,F239)</f>
        <v>0</v>
      </c>
      <c r="V239">
        <f>SUMIFS(Projektudgifter!$AJ:$AJ,Projektudgifter!$W:$W,B239&amp;C239&amp;D239&amp;E239,Projektudgifter!$T:$T,F239)</f>
        <v>0</v>
      </c>
      <c r="W239">
        <f>SUMIFS(Projektudgifter!$AK:$AK,Projektudgifter!$W:$W,B239&amp;C239&amp;D239&amp;E239,Projektudgifter!$S:$S,F239)</f>
        <v>0</v>
      </c>
      <c r="X239">
        <f>SUMIFS(Projektudgifter!$AL:$AL,Projektudgifter!$W:$W,B239&amp;C239&amp;D239&amp;E239,Projektudgifter!$T:$T,F239)</f>
        <v>0</v>
      </c>
    </row>
    <row r="240" spans="2:24" ht="14.25" customHeight="1" x14ac:dyDescent="0.25">
      <c r="B240" t="s">
        <v>319</v>
      </c>
      <c r="C240" t="s">
        <v>1182</v>
      </c>
      <c r="D240" t="s">
        <v>693</v>
      </c>
      <c r="E240">
        <v>2013</v>
      </c>
      <c r="F240" t="s">
        <v>680</v>
      </c>
      <c r="H240" t="s">
        <v>1194</v>
      </c>
      <c r="S240">
        <f>SUMIFS(Projektudgifter!$AG:$AG,Projektudgifter!$W:$W,B240&amp;C240&amp;D240&amp;E240,Projektudgifter!$S:$S,F240)</f>
        <v>0</v>
      </c>
      <c r="T240">
        <f>SUMIFS(Projektudgifter!$AH:$AH,Projektudgifter!$W:$W,B240&amp;C240&amp;D240&amp;E240,Projektudgifter!$T:$T,F240)</f>
        <v>0</v>
      </c>
      <c r="U240">
        <f>SUMIFS(Projektudgifter!$AI:$AI,Projektudgifter!$W:$W,B240&amp;C240&amp;D240&amp;E240,Projektudgifter!$S:$S,F240)</f>
        <v>0</v>
      </c>
      <c r="V240">
        <f>SUMIFS(Projektudgifter!$AJ:$AJ,Projektudgifter!$W:$W,B240&amp;C240&amp;D240&amp;E240,Projektudgifter!$T:$T,F240)</f>
        <v>0</v>
      </c>
      <c r="W240">
        <f>SUMIFS(Projektudgifter!$AK:$AK,Projektudgifter!$W:$W,B240&amp;C240&amp;D240&amp;E240,Projektudgifter!$S:$S,F240)</f>
        <v>0</v>
      </c>
      <c r="X240">
        <f>SUMIFS(Projektudgifter!$AL:$AL,Projektudgifter!$W:$W,B240&amp;C240&amp;D240&amp;E240,Projektudgifter!$T:$T,F240)</f>
        <v>0</v>
      </c>
    </row>
    <row r="241" spans="2:24" ht="14.25" customHeight="1" x14ac:dyDescent="0.25">
      <c r="B241" t="s">
        <v>319</v>
      </c>
      <c r="C241" t="s">
        <v>1182</v>
      </c>
      <c r="D241" t="s">
        <v>693</v>
      </c>
      <c r="E241">
        <v>2013</v>
      </c>
      <c r="N241">
        <f>SUMIFS(Projektudgifter!$Y:$Y,Projektudgifter!$W:$W,B241&amp;C241&amp;D241&amp;E241)</f>
        <v>0</v>
      </c>
      <c r="O241">
        <f>SUMIFS(Projektudgifter!$Z:$Z,Projektudgifter!$W:$W,B241&amp;C241&amp;D241&amp;E241)</f>
        <v>0</v>
      </c>
      <c r="P241">
        <f>SUMIFS(Projektudgifter!$AA:$AA,Projektudgifter!$W:$W,B241&amp;C241&amp;D241&amp;E241)</f>
        <v>0</v>
      </c>
      <c r="Q241">
        <f>SUMIFS(Projektudgifter!$AB:$AB,Projektudgifter!$W:$W,B241&amp;C241&amp;D241&amp;E241)</f>
        <v>0</v>
      </c>
      <c r="R241">
        <f>SUMIFS(Projektudgifter!$AC:$AC,Projektudgifter!$W:$W,B241&amp;C241&amp;D241&amp;E241)</f>
        <v>0</v>
      </c>
      <c r="S241">
        <f>SUMIFS(Projektudgifter!$AG:$AG,Projektudgifter!$W:$W,B241&amp;C241&amp;D241&amp;E241,Projektudgifter!$S:$S,"")</f>
        <v>0</v>
      </c>
      <c r="U241">
        <f>SUMIFS(Projektudgifter!$AI:$AI,Projektudgifter!$W:$W,B241&amp;C241&amp;D241&amp;E241,Projektudgifter!$S:$S,"")</f>
        <v>0</v>
      </c>
      <c r="W241">
        <f>SUMIFS(Projektudgifter!$AK:$AK,Projektudgifter!$W:$W,B241&amp;C241&amp;D241&amp;E241,Projektudgifter!$S:$S,"")</f>
        <v>0</v>
      </c>
    </row>
    <row r="242" spans="2:24" ht="14.25" customHeight="1" x14ac:dyDescent="0.25">
      <c r="B242" t="s">
        <v>319</v>
      </c>
      <c r="C242" t="s">
        <v>1182</v>
      </c>
      <c r="D242" t="s">
        <v>693</v>
      </c>
      <c r="E242">
        <v>2014</v>
      </c>
      <c r="F242" t="s">
        <v>1361</v>
      </c>
      <c r="H242" t="s">
        <v>1194</v>
      </c>
      <c r="S242">
        <f>SUMIFS(Projektudgifter!$AG:$AG,Projektudgifter!$W:$W,B242&amp;C242&amp;D242&amp;E242,Projektudgifter!$S:$S,F242)</f>
        <v>0</v>
      </c>
      <c r="T242">
        <f>SUMIFS(Projektudgifter!$AH:$AH,Projektudgifter!$W:$W,B242&amp;C242&amp;D242&amp;E242,Projektudgifter!$T:$T,F242)</f>
        <v>0</v>
      </c>
      <c r="U242">
        <f>SUMIFS(Projektudgifter!$AI:$AI,Projektudgifter!$W:$W,B242&amp;C242&amp;D242&amp;E242,Projektudgifter!$S:$S,F242)</f>
        <v>0</v>
      </c>
      <c r="V242">
        <f>SUMIFS(Projektudgifter!$AJ:$AJ,Projektudgifter!$W:$W,B242&amp;C242&amp;D242&amp;E242,Projektudgifter!$T:$T,F242)</f>
        <v>0</v>
      </c>
      <c r="W242">
        <f>SUMIFS(Projektudgifter!$AK:$AK,Projektudgifter!$W:$W,B242&amp;C242&amp;D242&amp;E242,Projektudgifter!$S:$S,F242)</f>
        <v>0</v>
      </c>
      <c r="X242">
        <f>SUMIFS(Projektudgifter!$AL:$AL,Projektudgifter!$W:$W,B242&amp;C242&amp;D242&amp;E242,Projektudgifter!$T:$T,F242)</f>
        <v>0</v>
      </c>
    </row>
    <row r="243" spans="2:24" ht="14.25" customHeight="1" x14ac:dyDescent="0.25">
      <c r="B243" t="s">
        <v>319</v>
      </c>
      <c r="C243" t="s">
        <v>1182</v>
      </c>
      <c r="D243" t="s">
        <v>693</v>
      </c>
      <c r="E243">
        <v>2014</v>
      </c>
      <c r="F243" t="s">
        <v>680</v>
      </c>
      <c r="H243" t="s">
        <v>1194</v>
      </c>
      <c r="S243">
        <f>SUMIFS(Projektudgifter!$AG:$AG,Projektudgifter!$W:$W,B243&amp;C243&amp;D243&amp;E243,Projektudgifter!$S:$S,F243)</f>
        <v>0</v>
      </c>
      <c r="T243">
        <f>SUMIFS(Projektudgifter!$AH:$AH,Projektudgifter!$W:$W,B243&amp;C243&amp;D243&amp;E243,Projektudgifter!$T:$T,F243)</f>
        <v>0</v>
      </c>
      <c r="U243">
        <f>SUMIFS(Projektudgifter!$AI:$AI,Projektudgifter!$W:$W,B243&amp;C243&amp;D243&amp;E243,Projektudgifter!$S:$S,F243)</f>
        <v>0</v>
      </c>
      <c r="V243">
        <f>SUMIFS(Projektudgifter!$AJ:$AJ,Projektudgifter!$W:$W,B243&amp;C243&amp;D243&amp;E243,Projektudgifter!$T:$T,F243)</f>
        <v>0</v>
      </c>
      <c r="W243">
        <f>SUMIFS(Projektudgifter!$AK:$AK,Projektudgifter!$W:$W,B243&amp;C243&amp;D243&amp;E243,Projektudgifter!$S:$S,F243)</f>
        <v>0</v>
      </c>
      <c r="X243">
        <f>SUMIFS(Projektudgifter!$AL:$AL,Projektudgifter!$W:$W,B243&amp;C243&amp;D243&amp;E243,Projektudgifter!$T:$T,F243)</f>
        <v>0</v>
      </c>
    </row>
    <row r="244" spans="2:24" ht="14.25" customHeight="1" x14ac:dyDescent="0.25">
      <c r="B244" t="s">
        <v>319</v>
      </c>
      <c r="C244" t="s">
        <v>1182</v>
      </c>
      <c r="D244" t="s">
        <v>693</v>
      </c>
      <c r="E244">
        <v>2014</v>
      </c>
      <c r="N244">
        <f>SUMIFS(Projektudgifter!$Y:$Y,Projektudgifter!$W:$W,B244&amp;C244&amp;D244&amp;E244)</f>
        <v>0</v>
      </c>
      <c r="O244">
        <f>SUMIFS(Projektudgifter!$Z:$Z,Projektudgifter!$W:$W,B244&amp;C244&amp;D244&amp;E244)</f>
        <v>0</v>
      </c>
      <c r="P244">
        <f>SUMIFS(Projektudgifter!$AA:$AA,Projektudgifter!$W:$W,B244&amp;C244&amp;D244&amp;E244)</f>
        <v>0</v>
      </c>
      <c r="Q244">
        <f>SUMIFS(Projektudgifter!$AB:$AB,Projektudgifter!$W:$W,B244&amp;C244&amp;D244&amp;E244)</f>
        <v>0</v>
      </c>
      <c r="R244">
        <f>SUMIFS(Projektudgifter!$AC:$AC,Projektudgifter!$W:$W,B244&amp;C244&amp;D244&amp;E244)</f>
        <v>0</v>
      </c>
      <c r="S244">
        <f>SUMIFS(Projektudgifter!$AG:$AG,Projektudgifter!$W:$W,B244&amp;C244&amp;D244&amp;E244,Projektudgifter!$S:$S,"")</f>
        <v>0</v>
      </c>
      <c r="U244">
        <f>SUMIFS(Projektudgifter!$AI:$AI,Projektudgifter!$W:$W,B244&amp;C244&amp;D244&amp;E244,Projektudgifter!$S:$S,"")</f>
        <v>0</v>
      </c>
      <c r="W244">
        <f>SUMIFS(Projektudgifter!$AK:$AK,Projektudgifter!$W:$W,B244&amp;C244&amp;D244&amp;E244,Projektudgifter!$S:$S,"")</f>
        <v>0</v>
      </c>
    </row>
    <row r="245" spans="2:24" ht="14.25" customHeight="1" x14ac:dyDescent="0.25">
      <c r="B245" t="s">
        <v>319</v>
      </c>
      <c r="C245" t="s">
        <v>1183</v>
      </c>
      <c r="D245" t="s">
        <v>693</v>
      </c>
      <c r="E245">
        <v>2013</v>
      </c>
      <c r="F245" t="s">
        <v>1361</v>
      </c>
      <c r="H245" t="s">
        <v>1194</v>
      </c>
      <c r="S245">
        <f>SUMIFS(Projektudgifter!$AG:$AG,Projektudgifter!$W:$W,B245&amp;C245&amp;D245&amp;E245,Projektudgifter!$S:$S,F245)</f>
        <v>0</v>
      </c>
      <c r="T245">
        <f>SUMIFS(Projektudgifter!$AH:$AH,Projektudgifter!$W:$W,B245&amp;C245&amp;D245&amp;E245,Projektudgifter!$T:$T,F245)</f>
        <v>0</v>
      </c>
      <c r="U245">
        <f>SUMIFS(Projektudgifter!$AI:$AI,Projektudgifter!$W:$W,B245&amp;C245&amp;D245&amp;E245,Projektudgifter!$S:$S,F245)</f>
        <v>0</v>
      </c>
      <c r="V245">
        <f>SUMIFS(Projektudgifter!$AJ:$AJ,Projektudgifter!$W:$W,B245&amp;C245&amp;D245&amp;E245,Projektudgifter!$T:$T,F245)</f>
        <v>0</v>
      </c>
      <c r="W245">
        <f>SUMIFS(Projektudgifter!$AK:$AK,Projektudgifter!$W:$W,B245&amp;C245&amp;D245&amp;E245,Projektudgifter!$S:$S,F245)</f>
        <v>0</v>
      </c>
      <c r="X245">
        <f>SUMIFS(Projektudgifter!$AL:$AL,Projektudgifter!$W:$W,B245&amp;C245&amp;D245&amp;E245,Projektudgifter!$T:$T,F245)</f>
        <v>0</v>
      </c>
    </row>
    <row r="246" spans="2:24" ht="14.25" customHeight="1" x14ac:dyDescent="0.25">
      <c r="B246" t="s">
        <v>319</v>
      </c>
      <c r="C246" t="s">
        <v>1183</v>
      </c>
      <c r="D246" t="s">
        <v>693</v>
      </c>
      <c r="E246">
        <v>2013</v>
      </c>
      <c r="F246" t="s">
        <v>680</v>
      </c>
      <c r="H246" t="s">
        <v>1194</v>
      </c>
      <c r="S246">
        <f>SUMIFS(Projektudgifter!$AG:$AG,Projektudgifter!$W:$W,B246&amp;C246&amp;D246&amp;E246,Projektudgifter!$S:$S,F246)</f>
        <v>0</v>
      </c>
      <c r="T246">
        <f>SUMIFS(Projektudgifter!$AH:$AH,Projektudgifter!$W:$W,B246&amp;C246&amp;D246&amp;E246,Projektudgifter!$T:$T,F246)</f>
        <v>0</v>
      </c>
      <c r="U246">
        <f>SUMIFS(Projektudgifter!$AI:$AI,Projektudgifter!$W:$W,B246&amp;C246&amp;D246&amp;E246,Projektudgifter!$S:$S,F246)</f>
        <v>0</v>
      </c>
      <c r="V246">
        <f>SUMIFS(Projektudgifter!$AJ:$AJ,Projektudgifter!$W:$W,B246&amp;C246&amp;D246&amp;E246,Projektudgifter!$T:$T,F246)</f>
        <v>0</v>
      </c>
      <c r="W246">
        <f>SUMIFS(Projektudgifter!$AK:$AK,Projektudgifter!$W:$W,B246&amp;C246&amp;D246&amp;E246,Projektudgifter!$S:$S,F246)</f>
        <v>0</v>
      </c>
      <c r="X246">
        <f>SUMIFS(Projektudgifter!$AL:$AL,Projektudgifter!$W:$W,B246&amp;C246&amp;D246&amp;E246,Projektudgifter!$T:$T,F246)</f>
        <v>0</v>
      </c>
    </row>
    <row r="247" spans="2:24" ht="14.25" customHeight="1" x14ac:dyDescent="0.25">
      <c r="B247" t="s">
        <v>319</v>
      </c>
      <c r="C247" t="s">
        <v>1183</v>
      </c>
      <c r="D247" t="s">
        <v>693</v>
      </c>
      <c r="E247">
        <v>2013</v>
      </c>
      <c r="N247">
        <f>SUMIFS(Projektudgifter!$Y:$Y,Projektudgifter!$W:$W,B247&amp;C247&amp;D247&amp;E247)</f>
        <v>0</v>
      </c>
      <c r="O247">
        <f>SUMIFS(Projektudgifter!$Z:$Z,Projektudgifter!$W:$W,B247&amp;C247&amp;D247&amp;E247)</f>
        <v>0</v>
      </c>
      <c r="P247">
        <f>SUMIFS(Projektudgifter!$AA:$AA,Projektudgifter!$W:$W,B247&amp;C247&amp;D247&amp;E247)</f>
        <v>0</v>
      </c>
      <c r="Q247">
        <f>SUMIFS(Projektudgifter!$AB:$AB,Projektudgifter!$W:$W,B247&amp;C247&amp;D247&amp;E247)</f>
        <v>0</v>
      </c>
      <c r="R247">
        <f>SUMIFS(Projektudgifter!$AC:$AC,Projektudgifter!$W:$W,B247&amp;C247&amp;D247&amp;E247)</f>
        <v>0</v>
      </c>
      <c r="S247">
        <f>SUMIFS(Projektudgifter!$AG:$AG,Projektudgifter!$W:$W,B247&amp;C247&amp;D247&amp;E247,Projektudgifter!$S:$S,"")</f>
        <v>0</v>
      </c>
      <c r="U247">
        <f>SUMIFS(Projektudgifter!$AI:$AI,Projektudgifter!$W:$W,B247&amp;C247&amp;D247&amp;E247,Projektudgifter!$S:$S,"")</f>
        <v>0</v>
      </c>
      <c r="W247">
        <f>SUMIFS(Projektudgifter!$AK:$AK,Projektudgifter!$W:$W,B247&amp;C247&amp;D247&amp;E247,Projektudgifter!$S:$S,"")</f>
        <v>0</v>
      </c>
    </row>
    <row r="248" spans="2:24" ht="14.25" customHeight="1" x14ac:dyDescent="0.25">
      <c r="B248" t="s">
        <v>319</v>
      </c>
      <c r="C248" t="s">
        <v>1183</v>
      </c>
      <c r="D248" t="s">
        <v>693</v>
      </c>
      <c r="E248">
        <v>2014</v>
      </c>
      <c r="F248" t="s">
        <v>1361</v>
      </c>
      <c r="H248" t="s">
        <v>1194</v>
      </c>
      <c r="S248">
        <f>SUMIFS(Projektudgifter!$AG:$AG,Projektudgifter!$W:$W,B248&amp;C248&amp;D248&amp;E248,Projektudgifter!$S:$S,F248)</f>
        <v>0</v>
      </c>
      <c r="T248">
        <f>SUMIFS(Projektudgifter!$AH:$AH,Projektudgifter!$W:$W,B248&amp;C248&amp;D248&amp;E248,Projektudgifter!$T:$T,F248)</f>
        <v>0</v>
      </c>
      <c r="U248">
        <f>SUMIFS(Projektudgifter!$AI:$AI,Projektudgifter!$W:$W,B248&amp;C248&amp;D248&amp;E248,Projektudgifter!$S:$S,F248)</f>
        <v>0</v>
      </c>
      <c r="V248">
        <f>SUMIFS(Projektudgifter!$AJ:$AJ,Projektudgifter!$W:$W,B248&amp;C248&amp;D248&amp;E248,Projektudgifter!$T:$T,F248)</f>
        <v>0</v>
      </c>
      <c r="W248">
        <f>SUMIFS(Projektudgifter!$AK:$AK,Projektudgifter!$W:$W,B248&amp;C248&amp;D248&amp;E248,Projektudgifter!$S:$S,F248)</f>
        <v>0</v>
      </c>
      <c r="X248">
        <f>SUMIFS(Projektudgifter!$AL:$AL,Projektudgifter!$W:$W,B248&amp;C248&amp;D248&amp;E248,Projektudgifter!$T:$T,F248)</f>
        <v>0</v>
      </c>
    </row>
    <row r="249" spans="2:24" ht="14.25" customHeight="1" x14ac:dyDescent="0.25">
      <c r="B249" t="s">
        <v>319</v>
      </c>
      <c r="C249" t="s">
        <v>1183</v>
      </c>
      <c r="D249" t="s">
        <v>693</v>
      </c>
      <c r="E249">
        <v>2014</v>
      </c>
      <c r="F249" t="s">
        <v>680</v>
      </c>
      <c r="H249" t="s">
        <v>1194</v>
      </c>
      <c r="S249">
        <f>SUMIFS(Projektudgifter!$AG:$AG,Projektudgifter!$W:$W,B249&amp;C249&amp;D249&amp;E249,Projektudgifter!$S:$S,F249)</f>
        <v>0</v>
      </c>
      <c r="T249">
        <f>SUMIFS(Projektudgifter!$AH:$AH,Projektudgifter!$W:$W,B249&amp;C249&amp;D249&amp;E249,Projektudgifter!$T:$T,F249)</f>
        <v>0</v>
      </c>
      <c r="U249">
        <f>SUMIFS(Projektudgifter!$AI:$AI,Projektudgifter!$W:$W,B249&amp;C249&amp;D249&amp;E249,Projektudgifter!$S:$S,F249)</f>
        <v>0</v>
      </c>
      <c r="V249">
        <f>SUMIFS(Projektudgifter!$AJ:$AJ,Projektudgifter!$W:$W,B249&amp;C249&amp;D249&amp;E249,Projektudgifter!$T:$T,F249)</f>
        <v>0</v>
      </c>
      <c r="W249">
        <f>SUMIFS(Projektudgifter!$AK:$AK,Projektudgifter!$W:$W,B249&amp;C249&amp;D249&amp;E249,Projektudgifter!$S:$S,F249)</f>
        <v>0</v>
      </c>
      <c r="X249">
        <f>SUMIFS(Projektudgifter!$AL:$AL,Projektudgifter!$W:$W,B249&amp;C249&amp;D249&amp;E249,Projektudgifter!$T:$T,F249)</f>
        <v>0</v>
      </c>
    </row>
    <row r="250" spans="2:24" ht="14.25" customHeight="1" x14ac:dyDescent="0.25">
      <c r="B250" t="s">
        <v>319</v>
      </c>
      <c r="C250" t="s">
        <v>1183</v>
      </c>
      <c r="D250" t="s">
        <v>693</v>
      </c>
      <c r="E250">
        <v>2014</v>
      </c>
      <c r="N250">
        <f>SUMIFS(Projektudgifter!$Y:$Y,Projektudgifter!$W:$W,B250&amp;C250&amp;D250&amp;E250)</f>
        <v>0</v>
      </c>
      <c r="O250">
        <f>SUMIFS(Projektudgifter!$Z:$Z,Projektudgifter!$W:$W,B250&amp;C250&amp;D250&amp;E250)</f>
        <v>0</v>
      </c>
      <c r="P250">
        <f>SUMIFS(Projektudgifter!$AA:$AA,Projektudgifter!$W:$W,B250&amp;C250&amp;D250&amp;E250)</f>
        <v>0</v>
      </c>
      <c r="Q250">
        <f>SUMIFS(Projektudgifter!$AB:$AB,Projektudgifter!$W:$W,B250&amp;C250&amp;D250&amp;E250)</f>
        <v>0</v>
      </c>
      <c r="R250">
        <f>SUMIFS(Projektudgifter!$AC:$AC,Projektudgifter!$W:$W,B250&amp;C250&amp;D250&amp;E250)</f>
        <v>0</v>
      </c>
      <c r="S250">
        <f>SUMIFS(Projektudgifter!$AG:$AG,Projektudgifter!$W:$W,B250&amp;C250&amp;D250&amp;E250,Projektudgifter!$S:$S,"")</f>
        <v>0</v>
      </c>
      <c r="U250">
        <f>SUMIFS(Projektudgifter!$AI:$AI,Projektudgifter!$W:$W,B250&amp;C250&amp;D250&amp;E250,Projektudgifter!$S:$S,"")</f>
        <v>0</v>
      </c>
      <c r="W250">
        <f>SUMIFS(Projektudgifter!$AK:$AK,Projektudgifter!$W:$W,B250&amp;C250&amp;D250&amp;E250,Projektudgifter!$S:$S,"")</f>
        <v>0</v>
      </c>
    </row>
    <row r="251" spans="2:24" ht="14.25" customHeight="1" x14ac:dyDescent="0.25">
      <c r="B251" t="s">
        <v>319</v>
      </c>
      <c r="C251" t="s">
        <v>84</v>
      </c>
      <c r="D251" t="s">
        <v>693</v>
      </c>
      <c r="E251">
        <v>2013</v>
      </c>
      <c r="F251" t="s">
        <v>1361</v>
      </c>
      <c r="H251" t="s">
        <v>1194</v>
      </c>
      <c r="S251">
        <f>SUMIFS(Projektudgifter!$AG:$AG,Projektudgifter!$W:$W,B251&amp;C251&amp;D251&amp;E251,Projektudgifter!$S:$S,F251)</f>
        <v>0</v>
      </c>
      <c r="T251">
        <f>SUMIFS(Projektudgifter!$AH:$AH,Projektudgifter!$W:$W,B251&amp;C251&amp;D251&amp;E251,Projektudgifter!$T:$T,F251)</f>
        <v>0</v>
      </c>
      <c r="U251">
        <f>SUMIFS(Projektudgifter!$AI:$AI,Projektudgifter!$W:$W,B251&amp;C251&amp;D251&amp;E251,Projektudgifter!$S:$S,F251)</f>
        <v>0</v>
      </c>
      <c r="V251">
        <f>SUMIFS(Projektudgifter!$AJ:$AJ,Projektudgifter!$W:$W,B251&amp;C251&amp;D251&amp;E251,Projektudgifter!$T:$T,F251)</f>
        <v>0</v>
      </c>
      <c r="W251">
        <f>SUMIFS(Projektudgifter!$AK:$AK,Projektudgifter!$W:$W,B251&amp;C251&amp;D251&amp;E251,Projektudgifter!$S:$S,F251)</f>
        <v>0</v>
      </c>
      <c r="X251">
        <f>SUMIFS(Projektudgifter!$AL:$AL,Projektudgifter!$W:$W,B251&amp;C251&amp;D251&amp;E251,Projektudgifter!$T:$T,F251)</f>
        <v>0</v>
      </c>
    </row>
    <row r="252" spans="2:24" ht="14.25" customHeight="1" x14ac:dyDescent="0.25">
      <c r="B252" t="s">
        <v>319</v>
      </c>
      <c r="C252" t="s">
        <v>84</v>
      </c>
      <c r="D252" t="s">
        <v>693</v>
      </c>
      <c r="E252">
        <v>2013</v>
      </c>
      <c r="F252" t="s">
        <v>680</v>
      </c>
      <c r="H252" t="s">
        <v>1194</v>
      </c>
      <c r="S252">
        <f>SUMIFS(Projektudgifter!$AG:$AG,Projektudgifter!$W:$W,B252&amp;C252&amp;D252&amp;E252,Projektudgifter!$S:$S,F252)</f>
        <v>0</v>
      </c>
      <c r="T252">
        <f>SUMIFS(Projektudgifter!$AH:$AH,Projektudgifter!$W:$W,B252&amp;C252&amp;D252&amp;E252,Projektudgifter!$T:$T,F252)</f>
        <v>0</v>
      </c>
      <c r="U252">
        <f>SUMIFS(Projektudgifter!$AI:$AI,Projektudgifter!$W:$W,B252&amp;C252&amp;D252&amp;E252,Projektudgifter!$S:$S,F252)</f>
        <v>0</v>
      </c>
      <c r="V252">
        <f>SUMIFS(Projektudgifter!$AJ:$AJ,Projektudgifter!$W:$W,B252&amp;C252&amp;D252&amp;E252,Projektudgifter!$T:$T,F252)</f>
        <v>0</v>
      </c>
      <c r="W252">
        <f>SUMIFS(Projektudgifter!$AK:$AK,Projektudgifter!$W:$W,B252&amp;C252&amp;D252&amp;E252,Projektudgifter!$S:$S,F252)</f>
        <v>0</v>
      </c>
      <c r="X252">
        <f>SUMIFS(Projektudgifter!$AL:$AL,Projektudgifter!$W:$W,B252&amp;C252&amp;D252&amp;E252,Projektudgifter!$T:$T,F252)</f>
        <v>0</v>
      </c>
    </row>
    <row r="253" spans="2:24" ht="14.25" customHeight="1" x14ac:dyDescent="0.25">
      <c r="B253" t="s">
        <v>319</v>
      </c>
      <c r="C253" t="s">
        <v>84</v>
      </c>
      <c r="D253" t="s">
        <v>693</v>
      </c>
      <c r="E253">
        <v>2013</v>
      </c>
      <c r="N253">
        <f>SUMIFS(Projektudgifter!$Y:$Y,Projektudgifter!$W:$W,B253&amp;C253&amp;D253&amp;E253)</f>
        <v>0</v>
      </c>
      <c r="O253">
        <f>SUMIFS(Projektudgifter!$Z:$Z,Projektudgifter!$W:$W,B253&amp;C253&amp;D253&amp;E253)</f>
        <v>0</v>
      </c>
      <c r="P253">
        <f>SUMIFS(Projektudgifter!$AA:$AA,Projektudgifter!$W:$W,B253&amp;C253&amp;D253&amp;E253)</f>
        <v>0</v>
      </c>
      <c r="Q253">
        <f>SUMIFS(Projektudgifter!$AB:$AB,Projektudgifter!$W:$W,B253&amp;C253&amp;D253&amp;E253)</f>
        <v>0</v>
      </c>
      <c r="R253">
        <f>SUMIFS(Projektudgifter!$AC:$AC,Projektudgifter!$W:$W,B253&amp;C253&amp;D253&amp;E253)</f>
        <v>0</v>
      </c>
      <c r="S253">
        <f>SUMIFS(Projektudgifter!$AG:$AG,Projektudgifter!$W:$W,B253&amp;C253&amp;D253&amp;E253,Projektudgifter!$S:$S,"")</f>
        <v>0</v>
      </c>
      <c r="U253">
        <f>SUMIFS(Projektudgifter!$AI:$AI,Projektudgifter!$W:$W,B253&amp;C253&amp;D253&amp;E253,Projektudgifter!$S:$S,"")</f>
        <v>0</v>
      </c>
      <c r="W253">
        <f>SUMIFS(Projektudgifter!$AK:$AK,Projektudgifter!$W:$W,B253&amp;C253&amp;D253&amp;E253,Projektudgifter!$S:$S,"")</f>
        <v>0</v>
      </c>
    </row>
    <row r="254" spans="2:24" ht="14.25" customHeight="1" x14ac:dyDescent="0.25">
      <c r="B254" t="s">
        <v>319</v>
      </c>
      <c r="C254" t="s">
        <v>84</v>
      </c>
      <c r="D254" t="s">
        <v>693</v>
      </c>
      <c r="E254">
        <v>2014</v>
      </c>
      <c r="F254" t="s">
        <v>1361</v>
      </c>
      <c r="H254" t="s">
        <v>1194</v>
      </c>
      <c r="S254">
        <f>SUMIFS(Projektudgifter!$AG:$AG,Projektudgifter!$W:$W,B254&amp;C254&amp;D254&amp;E254,Projektudgifter!$S:$S,F254)</f>
        <v>0</v>
      </c>
      <c r="T254">
        <f>SUMIFS(Projektudgifter!$AH:$AH,Projektudgifter!$W:$W,B254&amp;C254&amp;D254&amp;E254,Projektudgifter!$T:$T,F254)</f>
        <v>0</v>
      </c>
      <c r="U254">
        <f>SUMIFS(Projektudgifter!$AI:$AI,Projektudgifter!$W:$W,B254&amp;C254&amp;D254&amp;E254,Projektudgifter!$S:$S,F254)</f>
        <v>0</v>
      </c>
      <c r="V254">
        <f>SUMIFS(Projektudgifter!$AJ:$AJ,Projektudgifter!$W:$W,B254&amp;C254&amp;D254&amp;E254,Projektudgifter!$T:$T,F254)</f>
        <v>0</v>
      </c>
      <c r="W254">
        <f>SUMIFS(Projektudgifter!$AK:$AK,Projektudgifter!$W:$W,B254&amp;C254&amp;D254&amp;E254,Projektudgifter!$S:$S,F254)</f>
        <v>0</v>
      </c>
      <c r="X254">
        <f>SUMIFS(Projektudgifter!$AL:$AL,Projektudgifter!$W:$W,B254&amp;C254&amp;D254&amp;E254,Projektudgifter!$T:$T,F254)</f>
        <v>0</v>
      </c>
    </row>
    <row r="255" spans="2:24" ht="14.25" customHeight="1" x14ac:dyDescent="0.25">
      <c r="B255" t="s">
        <v>319</v>
      </c>
      <c r="C255" t="s">
        <v>84</v>
      </c>
      <c r="D255" t="s">
        <v>693</v>
      </c>
      <c r="E255">
        <v>2014</v>
      </c>
      <c r="F255" t="s">
        <v>680</v>
      </c>
      <c r="H255" t="s">
        <v>1194</v>
      </c>
      <c r="S255">
        <f>SUMIFS(Projektudgifter!$AG:$AG,Projektudgifter!$W:$W,B255&amp;C255&amp;D255&amp;E255,Projektudgifter!$S:$S,F255)</f>
        <v>0</v>
      </c>
      <c r="T255">
        <f>SUMIFS(Projektudgifter!$AH:$AH,Projektudgifter!$W:$W,B255&amp;C255&amp;D255&amp;E255,Projektudgifter!$T:$T,F255)</f>
        <v>0</v>
      </c>
      <c r="U255">
        <f>SUMIFS(Projektudgifter!$AI:$AI,Projektudgifter!$W:$W,B255&amp;C255&amp;D255&amp;E255,Projektudgifter!$S:$S,F255)</f>
        <v>0</v>
      </c>
      <c r="V255">
        <f>SUMIFS(Projektudgifter!$AJ:$AJ,Projektudgifter!$W:$W,B255&amp;C255&amp;D255&amp;E255,Projektudgifter!$T:$T,F255)</f>
        <v>0</v>
      </c>
      <c r="W255">
        <f>SUMIFS(Projektudgifter!$AK:$AK,Projektudgifter!$W:$W,B255&amp;C255&amp;D255&amp;E255,Projektudgifter!$S:$S,F255)</f>
        <v>0</v>
      </c>
      <c r="X255">
        <f>SUMIFS(Projektudgifter!$AL:$AL,Projektudgifter!$W:$W,B255&amp;C255&amp;D255&amp;E255,Projektudgifter!$T:$T,F255)</f>
        <v>0</v>
      </c>
    </row>
    <row r="256" spans="2:24" ht="14.25" customHeight="1" x14ac:dyDescent="0.25">
      <c r="B256" t="s">
        <v>319</v>
      </c>
      <c r="C256" t="s">
        <v>84</v>
      </c>
      <c r="D256" t="s">
        <v>693</v>
      </c>
      <c r="E256">
        <v>2014</v>
      </c>
      <c r="N256">
        <f>SUMIFS(Projektudgifter!$Y:$Y,Projektudgifter!$W:$W,B256&amp;C256&amp;D256&amp;E256)</f>
        <v>0</v>
      </c>
      <c r="O256">
        <f>SUMIFS(Projektudgifter!$Z:$Z,Projektudgifter!$W:$W,B256&amp;C256&amp;D256&amp;E256)</f>
        <v>0</v>
      </c>
      <c r="P256">
        <f>SUMIFS(Projektudgifter!$AA:$AA,Projektudgifter!$W:$W,B256&amp;C256&amp;D256&amp;E256)</f>
        <v>0</v>
      </c>
      <c r="Q256">
        <f>SUMIFS(Projektudgifter!$AB:$AB,Projektudgifter!$W:$W,B256&amp;C256&amp;D256&amp;E256)</f>
        <v>0</v>
      </c>
      <c r="R256">
        <f>SUMIFS(Projektudgifter!$AC:$AC,Projektudgifter!$W:$W,B256&amp;C256&amp;D256&amp;E256)</f>
        <v>0</v>
      </c>
      <c r="S256">
        <f>SUMIFS(Projektudgifter!$AG:$AG,Projektudgifter!$W:$W,B256&amp;C256&amp;D256&amp;E256,Projektudgifter!$S:$S,"")</f>
        <v>0</v>
      </c>
      <c r="U256">
        <f>SUMIFS(Projektudgifter!$AI:$AI,Projektudgifter!$W:$W,B256&amp;C256&amp;D256&amp;E256,Projektudgifter!$S:$S,"")</f>
        <v>0</v>
      </c>
      <c r="W256">
        <f>SUMIFS(Projektudgifter!$AK:$AK,Projektudgifter!$W:$W,B256&amp;C256&amp;D256&amp;E256,Projektudgifter!$S:$S,"")</f>
        <v>0</v>
      </c>
    </row>
    <row r="257" spans="2:24" ht="14.25" customHeight="1" x14ac:dyDescent="0.25">
      <c r="B257" t="s">
        <v>319</v>
      </c>
      <c r="C257" t="s">
        <v>85</v>
      </c>
      <c r="D257" t="s">
        <v>693</v>
      </c>
      <c r="E257">
        <v>2013</v>
      </c>
      <c r="F257" t="s">
        <v>1361</v>
      </c>
      <c r="H257" t="s">
        <v>1194</v>
      </c>
      <c r="S257">
        <f>SUMIFS(Projektudgifter!$AG:$AG,Projektudgifter!$W:$W,B257&amp;C257&amp;D257&amp;E257,Projektudgifter!$S:$S,F257)</f>
        <v>0</v>
      </c>
      <c r="T257">
        <f>SUMIFS(Projektudgifter!$AH:$AH,Projektudgifter!$W:$W,B257&amp;C257&amp;D257&amp;E257,Projektudgifter!$T:$T,F257)</f>
        <v>0</v>
      </c>
      <c r="U257">
        <f>SUMIFS(Projektudgifter!$AI:$AI,Projektudgifter!$W:$W,B257&amp;C257&amp;D257&amp;E257,Projektudgifter!$S:$S,F257)</f>
        <v>0</v>
      </c>
      <c r="V257">
        <f>SUMIFS(Projektudgifter!$AJ:$AJ,Projektudgifter!$W:$W,B257&amp;C257&amp;D257&amp;E257,Projektudgifter!$T:$T,F257)</f>
        <v>0</v>
      </c>
      <c r="W257">
        <f>SUMIFS(Projektudgifter!$AK:$AK,Projektudgifter!$W:$W,B257&amp;C257&amp;D257&amp;E257,Projektudgifter!$S:$S,F257)</f>
        <v>0</v>
      </c>
      <c r="X257">
        <f>SUMIFS(Projektudgifter!$AL:$AL,Projektudgifter!$W:$W,B257&amp;C257&amp;D257&amp;E257,Projektudgifter!$T:$T,F257)</f>
        <v>0</v>
      </c>
    </row>
    <row r="258" spans="2:24" ht="14.25" customHeight="1" x14ac:dyDescent="0.25">
      <c r="B258" t="s">
        <v>319</v>
      </c>
      <c r="C258" t="s">
        <v>85</v>
      </c>
      <c r="D258" t="s">
        <v>693</v>
      </c>
      <c r="E258">
        <v>2013</v>
      </c>
      <c r="F258" t="s">
        <v>680</v>
      </c>
      <c r="H258" t="s">
        <v>1194</v>
      </c>
      <c r="S258">
        <f>SUMIFS(Projektudgifter!$AG:$AG,Projektudgifter!$W:$W,B258&amp;C258&amp;D258&amp;E258,Projektudgifter!$S:$S,F258)</f>
        <v>0</v>
      </c>
      <c r="T258">
        <f>SUMIFS(Projektudgifter!$AH:$AH,Projektudgifter!$W:$W,B258&amp;C258&amp;D258&amp;E258,Projektudgifter!$T:$T,F258)</f>
        <v>0</v>
      </c>
      <c r="U258">
        <f>SUMIFS(Projektudgifter!$AI:$AI,Projektudgifter!$W:$W,B258&amp;C258&amp;D258&amp;E258,Projektudgifter!$S:$S,F258)</f>
        <v>0</v>
      </c>
      <c r="V258">
        <f>SUMIFS(Projektudgifter!$AJ:$AJ,Projektudgifter!$W:$W,B258&amp;C258&amp;D258&amp;E258,Projektudgifter!$T:$T,F258)</f>
        <v>0</v>
      </c>
      <c r="W258">
        <f>SUMIFS(Projektudgifter!$AK:$AK,Projektudgifter!$W:$W,B258&amp;C258&amp;D258&amp;E258,Projektudgifter!$S:$S,F258)</f>
        <v>0</v>
      </c>
      <c r="X258">
        <f>SUMIFS(Projektudgifter!$AL:$AL,Projektudgifter!$W:$W,B258&amp;C258&amp;D258&amp;E258,Projektudgifter!$T:$T,F258)</f>
        <v>0</v>
      </c>
    </row>
    <row r="259" spans="2:24" ht="14.25" customHeight="1" x14ac:dyDescent="0.25">
      <c r="B259" t="s">
        <v>319</v>
      </c>
      <c r="C259" t="s">
        <v>85</v>
      </c>
      <c r="D259" t="s">
        <v>693</v>
      </c>
      <c r="E259">
        <v>2013</v>
      </c>
      <c r="N259">
        <f>SUMIFS(Projektudgifter!$Y:$Y,Projektudgifter!$W:$W,B259&amp;C259&amp;D259&amp;E259)</f>
        <v>0</v>
      </c>
      <c r="O259">
        <f>SUMIFS(Projektudgifter!$Z:$Z,Projektudgifter!$W:$W,B259&amp;C259&amp;D259&amp;E259)</f>
        <v>0</v>
      </c>
      <c r="P259">
        <f>SUMIFS(Projektudgifter!$AA:$AA,Projektudgifter!$W:$W,B259&amp;C259&amp;D259&amp;E259)</f>
        <v>0</v>
      </c>
      <c r="Q259">
        <f>SUMIFS(Projektudgifter!$AB:$AB,Projektudgifter!$W:$W,B259&amp;C259&amp;D259&amp;E259)</f>
        <v>0</v>
      </c>
      <c r="R259">
        <f>SUMIFS(Projektudgifter!$AC:$AC,Projektudgifter!$W:$W,B259&amp;C259&amp;D259&amp;E259)</f>
        <v>0</v>
      </c>
      <c r="S259">
        <f>SUMIFS(Projektudgifter!$AG:$AG,Projektudgifter!$W:$W,B259&amp;C259&amp;D259&amp;E259,Projektudgifter!$S:$S,"")</f>
        <v>0</v>
      </c>
      <c r="U259">
        <f>SUMIFS(Projektudgifter!$AI:$AI,Projektudgifter!$W:$W,B259&amp;C259&amp;D259&amp;E259,Projektudgifter!$S:$S,"")</f>
        <v>0</v>
      </c>
      <c r="W259">
        <f>SUMIFS(Projektudgifter!$AK:$AK,Projektudgifter!$W:$W,B259&amp;C259&amp;D259&amp;E259,Projektudgifter!$S:$S,"")</f>
        <v>0</v>
      </c>
    </row>
    <row r="260" spans="2:24" ht="14.25" customHeight="1" x14ac:dyDescent="0.25">
      <c r="B260" t="s">
        <v>319</v>
      </c>
      <c r="C260" t="s">
        <v>85</v>
      </c>
      <c r="D260" t="s">
        <v>693</v>
      </c>
      <c r="E260">
        <v>2014</v>
      </c>
      <c r="F260" t="s">
        <v>1361</v>
      </c>
      <c r="H260" t="s">
        <v>1194</v>
      </c>
      <c r="S260">
        <f>SUMIFS(Projektudgifter!$AG:$AG,Projektudgifter!$W:$W,B260&amp;C260&amp;D260&amp;E260,Projektudgifter!$S:$S,F260)</f>
        <v>0</v>
      </c>
      <c r="T260">
        <f>SUMIFS(Projektudgifter!$AH:$AH,Projektudgifter!$W:$W,B260&amp;C260&amp;D260&amp;E260,Projektudgifter!$T:$T,F260)</f>
        <v>0</v>
      </c>
      <c r="U260">
        <f>SUMIFS(Projektudgifter!$AI:$AI,Projektudgifter!$W:$W,B260&amp;C260&amp;D260&amp;E260,Projektudgifter!$S:$S,F260)</f>
        <v>0</v>
      </c>
      <c r="V260">
        <f>SUMIFS(Projektudgifter!$AJ:$AJ,Projektudgifter!$W:$W,B260&amp;C260&amp;D260&amp;E260,Projektudgifter!$T:$T,F260)</f>
        <v>0</v>
      </c>
      <c r="W260">
        <f>SUMIFS(Projektudgifter!$AK:$AK,Projektudgifter!$W:$W,B260&amp;C260&amp;D260&amp;E260,Projektudgifter!$S:$S,F260)</f>
        <v>0</v>
      </c>
      <c r="X260">
        <f>SUMIFS(Projektudgifter!$AL:$AL,Projektudgifter!$W:$W,B260&amp;C260&amp;D260&amp;E260,Projektudgifter!$T:$T,F260)</f>
        <v>0</v>
      </c>
    </row>
    <row r="261" spans="2:24" ht="14.25" customHeight="1" x14ac:dyDescent="0.25">
      <c r="B261" t="s">
        <v>319</v>
      </c>
      <c r="C261" t="s">
        <v>85</v>
      </c>
      <c r="D261" t="s">
        <v>693</v>
      </c>
      <c r="E261">
        <v>2014</v>
      </c>
      <c r="F261" t="s">
        <v>680</v>
      </c>
      <c r="H261" t="s">
        <v>1194</v>
      </c>
      <c r="S261">
        <f>SUMIFS(Projektudgifter!$AG:$AG,Projektudgifter!$W:$W,B261&amp;C261&amp;D261&amp;E261,Projektudgifter!$S:$S,F261)</f>
        <v>0</v>
      </c>
      <c r="T261">
        <f>SUMIFS(Projektudgifter!$AH:$AH,Projektudgifter!$W:$W,B261&amp;C261&amp;D261&amp;E261,Projektudgifter!$T:$T,F261)</f>
        <v>0</v>
      </c>
      <c r="U261">
        <f>SUMIFS(Projektudgifter!$AI:$AI,Projektudgifter!$W:$W,B261&amp;C261&amp;D261&amp;E261,Projektudgifter!$S:$S,F261)</f>
        <v>0</v>
      </c>
      <c r="V261">
        <f>SUMIFS(Projektudgifter!$AJ:$AJ,Projektudgifter!$W:$W,B261&amp;C261&amp;D261&amp;E261,Projektudgifter!$T:$T,F261)</f>
        <v>0</v>
      </c>
      <c r="W261">
        <f>SUMIFS(Projektudgifter!$AK:$AK,Projektudgifter!$W:$W,B261&amp;C261&amp;D261&amp;E261,Projektudgifter!$S:$S,F261)</f>
        <v>0</v>
      </c>
      <c r="X261">
        <f>SUMIFS(Projektudgifter!$AL:$AL,Projektudgifter!$W:$W,B261&amp;C261&amp;D261&amp;E261,Projektudgifter!$T:$T,F261)</f>
        <v>0</v>
      </c>
    </row>
    <row r="262" spans="2:24" ht="14.25" customHeight="1" x14ac:dyDescent="0.25">
      <c r="B262" t="s">
        <v>319</v>
      </c>
      <c r="C262" t="s">
        <v>85</v>
      </c>
      <c r="D262" t="s">
        <v>693</v>
      </c>
      <c r="E262">
        <v>2014</v>
      </c>
      <c r="N262">
        <f>SUMIFS(Projektudgifter!$Y:$Y,Projektudgifter!$W:$W,B262&amp;C262&amp;D262&amp;E262)</f>
        <v>0</v>
      </c>
      <c r="O262">
        <f>SUMIFS(Projektudgifter!$Z:$Z,Projektudgifter!$W:$W,B262&amp;C262&amp;D262&amp;E262)</f>
        <v>0</v>
      </c>
      <c r="P262">
        <f>SUMIFS(Projektudgifter!$AA:$AA,Projektudgifter!$W:$W,B262&amp;C262&amp;D262&amp;E262)</f>
        <v>0</v>
      </c>
      <c r="Q262">
        <f>SUMIFS(Projektudgifter!$AB:$AB,Projektudgifter!$W:$W,B262&amp;C262&amp;D262&amp;E262)</f>
        <v>0</v>
      </c>
      <c r="R262">
        <f>SUMIFS(Projektudgifter!$AC:$AC,Projektudgifter!$W:$W,B262&amp;C262&amp;D262&amp;E262)</f>
        <v>0</v>
      </c>
      <c r="S262">
        <f>SUMIFS(Projektudgifter!$AG:$AG,Projektudgifter!$W:$W,B262&amp;C262&amp;D262&amp;E262,Projektudgifter!$S:$S,"")</f>
        <v>0</v>
      </c>
      <c r="U262">
        <f>SUMIFS(Projektudgifter!$AI:$AI,Projektudgifter!$W:$W,B262&amp;C262&amp;D262&amp;E262,Projektudgifter!$S:$S,"")</f>
        <v>0</v>
      </c>
      <c r="W262">
        <f>SUMIFS(Projektudgifter!$AK:$AK,Projektudgifter!$W:$W,B262&amp;C262&amp;D262&amp;E262,Projektudgifter!$S:$S,"")</f>
        <v>0</v>
      </c>
    </row>
    <row r="263" spans="2:24" ht="14.25" customHeight="1" x14ac:dyDescent="0.25">
      <c r="B263" t="s">
        <v>319</v>
      </c>
      <c r="C263" t="s">
        <v>86</v>
      </c>
      <c r="D263" t="s">
        <v>693</v>
      </c>
      <c r="E263">
        <v>2013</v>
      </c>
      <c r="F263" t="s">
        <v>1361</v>
      </c>
      <c r="H263" t="s">
        <v>1194</v>
      </c>
      <c r="S263">
        <f>SUMIFS(Projektudgifter!$AG:$AG,Projektudgifter!$W:$W,B263&amp;C263&amp;D263&amp;E263,Projektudgifter!$S:$S,F263)</f>
        <v>0</v>
      </c>
      <c r="T263">
        <f>SUMIFS(Projektudgifter!$AH:$AH,Projektudgifter!$W:$W,B263&amp;C263&amp;D263&amp;E263,Projektudgifter!$T:$T,F263)</f>
        <v>0</v>
      </c>
      <c r="U263">
        <f>SUMIFS(Projektudgifter!$AI:$AI,Projektudgifter!$W:$W,B263&amp;C263&amp;D263&amp;E263,Projektudgifter!$S:$S,F263)</f>
        <v>0</v>
      </c>
      <c r="V263">
        <f>SUMIFS(Projektudgifter!$AJ:$AJ,Projektudgifter!$W:$W,B263&amp;C263&amp;D263&amp;E263,Projektudgifter!$T:$T,F263)</f>
        <v>0</v>
      </c>
      <c r="W263">
        <f>SUMIFS(Projektudgifter!$AK:$AK,Projektudgifter!$W:$W,B263&amp;C263&amp;D263&amp;E263,Projektudgifter!$S:$S,F263)</f>
        <v>0</v>
      </c>
      <c r="X263">
        <f>SUMIFS(Projektudgifter!$AL:$AL,Projektudgifter!$W:$W,B263&amp;C263&amp;D263&amp;E263,Projektudgifter!$T:$T,F263)</f>
        <v>0</v>
      </c>
    </row>
    <row r="264" spans="2:24" ht="14.25" customHeight="1" x14ac:dyDescent="0.25">
      <c r="B264" t="s">
        <v>319</v>
      </c>
      <c r="C264" t="s">
        <v>86</v>
      </c>
      <c r="D264" t="s">
        <v>693</v>
      </c>
      <c r="E264">
        <v>2013</v>
      </c>
      <c r="F264" t="s">
        <v>680</v>
      </c>
      <c r="H264" t="s">
        <v>1194</v>
      </c>
      <c r="S264">
        <f>SUMIFS(Projektudgifter!$AG:$AG,Projektudgifter!$W:$W,B264&amp;C264&amp;D264&amp;E264,Projektudgifter!$S:$S,F264)</f>
        <v>0</v>
      </c>
      <c r="T264">
        <f>SUMIFS(Projektudgifter!$AH:$AH,Projektudgifter!$W:$W,B264&amp;C264&amp;D264&amp;E264,Projektudgifter!$T:$T,F264)</f>
        <v>0</v>
      </c>
      <c r="U264">
        <f>SUMIFS(Projektudgifter!$AI:$AI,Projektudgifter!$W:$W,B264&amp;C264&amp;D264&amp;E264,Projektudgifter!$S:$S,F264)</f>
        <v>0</v>
      </c>
      <c r="V264">
        <f>SUMIFS(Projektudgifter!$AJ:$AJ,Projektudgifter!$W:$W,B264&amp;C264&amp;D264&amp;E264,Projektudgifter!$T:$T,F264)</f>
        <v>0</v>
      </c>
      <c r="W264">
        <f>SUMIFS(Projektudgifter!$AK:$AK,Projektudgifter!$W:$W,B264&amp;C264&amp;D264&amp;E264,Projektudgifter!$S:$S,F264)</f>
        <v>0</v>
      </c>
      <c r="X264">
        <f>SUMIFS(Projektudgifter!$AL:$AL,Projektudgifter!$W:$W,B264&amp;C264&amp;D264&amp;E264,Projektudgifter!$T:$T,F264)</f>
        <v>0</v>
      </c>
    </row>
    <row r="265" spans="2:24" ht="14.25" customHeight="1" x14ac:dyDescent="0.25">
      <c r="B265" t="s">
        <v>319</v>
      </c>
      <c r="C265" t="s">
        <v>86</v>
      </c>
      <c r="D265" t="s">
        <v>693</v>
      </c>
      <c r="E265">
        <v>2013</v>
      </c>
      <c r="N265">
        <f>SUMIFS(Projektudgifter!$Y:$Y,Projektudgifter!$W:$W,B265&amp;C265&amp;D265&amp;E265)</f>
        <v>0</v>
      </c>
      <c r="O265">
        <f>SUMIFS(Projektudgifter!$Z:$Z,Projektudgifter!$W:$W,B265&amp;C265&amp;D265&amp;E265)</f>
        <v>0</v>
      </c>
      <c r="P265">
        <f>SUMIFS(Projektudgifter!$AA:$AA,Projektudgifter!$W:$W,B265&amp;C265&amp;D265&amp;E265)</f>
        <v>0</v>
      </c>
      <c r="Q265">
        <f>SUMIFS(Projektudgifter!$AB:$AB,Projektudgifter!$W:$W,B265&amp;C265&amp;D265&amp;E265)</f>
        <v>0</v>
      </c>
      <c r="R265">
        <f>SUMIFS(Projektudgifter!$AC:$AC,Projektudgifter!$W:$W,B265&amp;C265&amp;D265&amp;E265)</f>
        <v>0</v>
      </c>
      <c r="S265">
        <f>SUMIFS(Projektudgifter!$AG:$AG,Projektudgifter!$W:$W,B265&amp;C265&amp;D265&amp;E265,Projektudgifter!$S:$S,"")</f>
        <v>0</v>
      </c>
      <c r="U265">
        <f>SUMIFS(Projektudgifter!$AI:$AI,Projektudgifter!$W:$W,B265&amp;C265&amp;D265&amp;E265,Projektudgifter!$S:$S,"")</f>
        <v>0</v>
      </c>
      <c r="W265">
        <f>SUMIFS(Projektudgifter!$AK:$AK,Projektudgifter!$W:$W,B265&amp;C265&amp;D265&amp;E265,Projektudgifter!$S:$S,"")</f>
        <v>0</v>
      </c>
    </row>
    <row r="266" spans="2:24" ht="14.25" customHeight="1" x14ac:dyDescent="0.25">
      <c r="B266" t="s">
        <v>319</v>
      </c>
      <c r="C266" t="s">
        <v>86</v>
      </c>
      <c r="D266" t="s">
        <v>693</v>
      </c>
      <c r="E266">
        <v>2014</v>
      </c>
      <c r="F266" t="s">
        <v>1361</v>
      </c>
      <c r="H266" t="s">
        <v>1194</v>
      </c>
      <c r="S266">
        <f>SUMIFS(Projektudgifter!$AG:$AG,Projektudgifter!$W:$W,B266&amp;C266&amp;D266&amp;E266,Projektudgifter!$S:$S,F266)</f>
        <v>0</v>
      </c>
      <c r="T266">
        <f>SUMIFS(Projektudgifter!$AH:$AH,Projektudgifter!$W:$W,B266&amp;C266&amp;D266&amp;E266,Projektudgifter!$T:$T,F266)</f>
        <v>0</v>
      </c>
      <c r="U266">
        <f>SUMIFS(Projektudgifter!$AI:$AI,Projektudgifter!$W:$W,B266&amp;C266&amp;D266&amp;E266,Projektudgifter!$S:$S,F266)</f>
        <v>0</v>
      </c>
      <c r="V266">
        <f>SUMIFS(Projektudgifter!$AJ:$AJ,Projektudgifter!$W:$W,B266&amp;C266&amp;D266&amp;E266,Projektudgifter!$T:$T,F266)</f>
        <v>0</v>
      </c>
      <c r="W266">
        <f>SUMIFS(Projektudgifter!$AK:$AK,Projektudgifter!$W:$W,B266&amp;C266&amp;D266&amp;E266,Projektudgifter!$S:$S,F266)</f>
        <v>0</v>
      </c>
      <c r="X266">
        <f>SUMIFS(Projektudgifter!$AL:$AL,Projektudgifter!$W:$W,B266&amp;C266&amp;D266&amp;E266,Projektudgifter!$T:$T,F266)</f>
        <v>0</v>
      </c>
    </row>
    <row r="267" spans="2:24" ht="14.25" customHeight="1" x14ac:dyDescent="0.25">
      <c r="B267" t="s">
        <v>319</v>
      </c>
      <c r="C267" t="s">
        <v>86</v>
      </c>
      <c r="D267" t="s">
        <v>693</v>
      </c>
      <c r="E267">
        <v>2014</v>
      </c>
      <c r="F267" t="s">
        <v>680</v>
      </c>
      <c r="H267" t="s">
        <v>1194</v>
      </c>
      <c r="S267">
        <f>SUMIFS(Projektudgifter!$AG:$AG,Projektudgifter!$W:$W,B267&amp;C267&amp;D267&amp;E267,Projektudgifter!$S:$S,F267)</f>
        <v>0</v>
      </c>
      <c r="T267">
        <f>SUMIFS(Projektudgifter!$AH:$AH,Projektudgifter!$W:$W,B267&amp;C267&amp;D267&amp;E267,Projektudgifter!$T:$T,F267)</f>
        <v>0</v>
      </c>
      <c r="U267">
        <f>SUMIFS(Projektudgifter!$AI:$AI,Projektudgifter!$W:$W,B267&amp;C267&amp;D267&amp;E267,Projektudgifter!$S:$S,F267)</f>
        <v>0</v>
      </c>
      <c r="V267">
        <f>SUMIFS(Projektudgifter!$AJ:$AJ,Projektudgifter!$W:$W,B267&amp;C267&amp;D267&amp;E267,Projektudgifter!$T:$T,F267)</f>
        <v>0</v>
      </c>
      <c r="W267">
        <f>SUMIFS(Projektudgifter!$AK:$AK,Projektudgifter!$W:$W,B267&amp;C267&amp;D267&amp;E267,Projektudgifter!$S:$S,F267)</f>
        <v>0</v>
      </c>
      <c r="X267">
        <f>SUMIFS(Projektudgifter!$AL:$AL,Projektudgifter!$W:$W,B267&amp;C267&amp;D267&amp;E267,Projektudgifter!$T:$T,F267)</f>
        <v>0</v>
      </c>
    </row>
    <row r="268" spans="2:24" ht="14.25" customHeight="1" x14ac:dyDescent="0.25">
      <c r="B268" t="s">
        <v>319</v>
      </c>
      <c r="C268" t="s">
        <v>86</v>
      </c>
      <c r="D268" t="s">
        <v>693</v>
      </c>
      <c r="E268">
        <v>2014</v>
      </c>
      <c r="N268">
        <f>SUMIFS(Projektudgifter!$Y:$Y,Projektudgifter!$W:$W,B268&amp;C268&amp;D268&amp;E268)</f>
        <v>0</v>
      </c>
      <c r="O268">
        <f>SUMIFS(Projektudgifter!$Z:$Z,Projektudgifter!$W:$W,B268&amp;C268&amp;D268&amp;E268)</f>
        <v>0</v>
      </c>
      <c r="P268">
        <f>SUMIFS(Projektudgifter!$AA:$AA,Projektudgifter!$W:$W,B268&amp;C268&amp;D268&amp;E268)</f>
        <v>0</v>
      </c>
      <c r="Q268">
        <f>SUMIFS(Projektudgifter!$AB:$AB,Projektudgifter!$W:$W,B268&amp;C268&amp;D268&amp;E268)</f>
        <v>0</v>
      </c>
      <c r="R268">
        <f>SUMIFS(Projektudgifter!$AC:$AC,Projektudgifter!$W:$W,B268&amp;C268&amp;D268&amp;E268)</f>
        <v>0</v>
      </c>
      <c r="S268">
        <f>SUMIFS(Projektudgifter!$AG:$AG,Projektudgifter!$W:$W,B268&amp;C268&amp;D268&amp;E268,Projektudgifter!$S:$S,"")</f>
        <v>0</v>
      </c>
      <c r="U268">
        <f>SUMIFS(Projektudgifter!$AI:$AI,Projektudgifter!$W:$W,B268&amp;C268&amp;D268&amp;E268,Projektudgifter!$S:$S,"")</f>
        <v>0</v>
      </c>
      <c r="W268">
        <f>SUMIFS(Projektudgifter!$AK:$AK,Projektudgifter!$W:$W,B268&amp;C268&amp;D268&amp;E268,Projektudgifter!$S:$S,"")</f>
        <v>0</v>
      </c>
    </row>
    <row r="269" spans="2:24" ht="14.25" customHeight="1" x14ac:dyDescent="0.25">
      <c r="B269" t="s">
        <v>319</v>
      </c>
      <c r="C269" t="s">
        <v>1486</v>
      </c>
      <c r="D269" t="s">
        <v>693</v>
      </c>
      <c r="E269">
        <v>2013</v>
      </c>
      <c r="F269" t="s">
        <v>1361</v>
      </c>
      <c r="H269" t="s">
        <v>1194</v>
      </c>
      <c r="S269">
        <f>SUMIFS(Projektudgifter!$AG:$AG,Projektudgifter!$W:$W,B269&amp;C269&amp;D269&amp;E269,Projektudgifter!$S:$S,F269)</f>
        <v>0</v>
      </c>
      <c r="T269">
        <f>SUMIFS(Projektudgifter!$AH:$AH,Projektudgifter!$W:$W,B269&amp;C269&amp;D269&amp;E269,Projektudgifter!$T:$T,F269)</f>
        <v>0</v>
      </c>
      <c r="U269">
        <f>SUMIFS(Projektudgifter!$AI:$AI,Projektudgifter!$W:$W,B269&amp;C269&amp;D269&amp;E269,Projektudgifter!$S:$S,F269)</f>
        <v>0</v>
      </c>
      <c r="V269">
        <f>SUMIFS(Projektudgifter!$AJ:$AJ,Projektudgifter!$W:$W,B269&amp;C269&amp;D269&amp;E269,Projektudgifter!$T:$T,F269)</f>
        <v>0</v>
      </c>
      <c r="W269">
        <f>SUMIFS(Projektudgifter!$AK:$AK,Projektudgifter!$W:$W,B269&amp;C269&amp;D269&amp;E269,Projektudgifter!$S:$S,F269)</f>
        <v>0</v>
      </c>
      <c r="X269">
        <f>SUMIFS(Projektudgifter!$AL:$AL,Projektudgifter!$W:$W,B269&amp;C269&amp;D269&amp;E269,Projektudgifter!$T:$T,F269)</f>
        <v>0</v>
      </c>
    </row>
    <row r="270" spans="2:24" ht="14.25" customHeight="1" x14ac:dyDescent="0.25">
      <c r="B270" t="s">
        <v>319</v>
      </c>
      <c r="C270" t="s">
        <v>1486</v>
      </c>
      <c r="D270" t="s">
        <v>693</v>
      </c>
      <c r="E270">
        <v>2013</v>
      </c>
      <c r="F270" t="s">
        <v>680</v>
      </c>
      <c r="H270" t="s">
        <v>1194</v>
      </c>
      <c r="S270">
        <f>SUMIFS(Projektudgifter!$AG:$AG,Projektudgifter!$W:$W,B270&amp;C270&amp;D270&amp;E270,Projektudgifter!$S:$S,F270)</f>
        <v>0</v>
      </c>
      <c r="T270">
        <f>SUMIFS(Projektudgifter!$AH:$AH,Projektudgifter!$W:$W,B270&amp;C270&amp;D270&amp;E270,Projektudgifter!$T:$T,F270)</f>
        <v>0</v>
      </c>
      <c r="U270">
        <f>SUMIFS(Projektudgifter!$AI:$AI,Projektudgifter!$W:$W,B270&amp;C270&amp;D270&amp;E270,Projektudgifter!$S:$S,F270)</f>
        <v>0</v>
      </c>
      <c r="V270">
        <f>SUMIFS(Projektudgifter!$AJ:$AJ,Projektudgifter!$W:$W,B270&amp;C270&amp;D270&amp;E270,Projektudgifter!$T:$T,F270)</f>
        <v>0</v>
      </c>
      <c r="W270">
        <f>SUMIFS(Projektudgifter!$AK:$AK,Projektudgifter!$W:$W,B270&amp;C270&amp;D270&amp;E270,Projektudgifter!$S:$S,F270)</f>
        <v>0</v>
      </c>
      <c r="X270">
        <f>SUMIFS(Projektudgifter!$AL:$AL,Projektudgifter!$W:$W,B270&amp;C270&amp;D270&amp;E270,Projektudgifter!$T:$T,F270)</f>
        <v>0</v>
      </c>
    </row>
    <row r="271" spans="2:24" ht="14.25" customHeight="1" x14ac:dyDescent="0.25">
      <c r="B271" t="s">
        <v>319</v>
      </c>
      <c r="C271" t="s">
        <v>1486</v>
      </c>
      <c r="D271" t="s">
        <v>693</v>
      </c>
      <c r="E271">
        <v>2013</v>
      </c>
      <c r="N271">
        <f>SUMIFS(Projektudgifter!$Y:$Y,Projektudgifter!$W:$W,B271&amp;C271&amp;D271&amp;E271)</f>
        <v>0</v>
      </c>
      <c r="O271">
        <f>SUMIFS(Projektudgifter!$Z:$Z,Projektudgifter!$W:$W,B271&amp;C271&amp;D271&amp;E271)</f>
        <v>0</v>
      </c>
      <c r="P271">
        <f>SUMIFS(Projektudgifter!$AA:$AA,Projektudgifter!$W:$W,B271&amp;C271&amp;D271&amp;E271)</f>
        <v>0</v>
      </c>
      <c r="Q271">
        <f>SUMIFS(Projektudgifter!$AB:$AB,Projektudgifter!$W:$W,B271&amp;C271&amp;D271&amp;E271)</f>
        <v>0</v>
      </c>
      <c r="R271">
        <f>SUMIFS(Projektudgifter!$AC:$AC,Projektudgifter!$W:$W,B271&amp;C271&amp;D271&amp;E271)</f>
        <v>0</v>
      </c>
      <c r="S271">
        <f>SUMIFS(Projektudgifter!$AG:$AG,Projektudgifter!$W:$W,B271&amp;C271&amp;D271&amp;E271,Projektudgifter!$S:$S,"")</f>
        <v>0</v>
      </c>
      <c r="U271">
        <f>SUMIFS(Projektudgifter!$AI:$AI,Projektudgifter!$W:$W,B271&amp;C271&amp;D271&amp;E271,Projektudgifter!$S:$S,"")</f>
        <v>0</v>
      </c>
      <c r="W271">
        <f>SUMIFS(Projektudgifter!$AK:$AK,Projektudgifter!$W:$W,B271&amp;C271&amp;D271&amp;E271,Projektudgifter!$S:$S,"")</f>
        <v>0</v>
      </c>
    </row>
    <row r="272" spans="2:24" ht="14.25" customHeight="1" x14ac:dyDescent="0.25">
      <c r="B272" t="s">
        <v>319</v>
      </c>
      <c r="C272" t="s">
        <v>1486</v>
      </c>
      <c r="D272" t="s">
        <v>693</v>
      </c>
      <c r="E272">
        <v>2014</v>
      </c>
      <c r="F272" t="s">
        <v>1361</v>
      </c>
      <c r="H272" t="s">
        <v>1194</v>
      </c>
      <c r="S272">
        <f>SUMIFS(Projektudgifter!$AG:$AG,Projektudgifter!$W:$W,B272&amp;C272&amp;D272&amp;E272,Projektudgifter!$S:$S,F272)</f>
        <v>0</v>
      </c>
      <c r="T272">
        <f>SUMIFS(Projektudgifter!$AH:$AH,Projektudgifter!$W:$W,B272&amp;C272&amp;D272&amp;E272,Projektudgifter!$T:$T,F272)</f>
        <v>0</v>
      </c>
      <c r="U272">
        <f>SUMIFS(Projektudgifter!$AI:$AI,Projektudgifter!$W:$W,B272&amp;C272&amp;D272&amp;E272,Projektudgifter!$S:$S,F272)</f>
        <v>0</v>
      </c>
      <c r="V272">
        <f>SUMIFS(Projektudgifter!$AJ:$AJ,Projektudgifter!$W:$W,B272&amp;C272&amp;D272&amp;E272,Projektudgifter!$T:$T,F272)</f>
        <v>0</v>
      </c>
      <c r="W272">
        <f>SUMIFS(Projektudgifter!$AK:$AK,Projektudgifter!$W:$W,B272&amp;C272&amp;D272&amp;E272,Projektudgifter!$S:$S,F272)</f>
        <v>0</v>
      </c>
      <c r="X272">
        <f>SUMIFS(Projektudgifter!$AL:$AL,Projektudgifter!$W:$W,B272&amp;C272&amp;D272&amp;E272,Projektudgifter!$T:$T,F272)</f>
        <v>0</v>
      </c>
    </row>
    <row r="273" spans="2:24" ht="14.25" customHeight="1" x14ac:dyDescent="0.25">
      <c r="B273" t="s">
        <v>319</v>
      </c>
      <c r="C273" t="s">
        <v>1486</v>
      </c>
      <c r="D273" t="s">
        <v>693</v>
      </c>
      <c r="E273">
        <v>2014</v>
      </c>
      <c r="F273" t="s">
        <v>680</v>
      </c>
      <c r="H273" t="s">
        <v>1194</v>
      </c>
      <c r="S273">
        <f>SUMIFS(Projektudgifter!$AG:$AG,Projektudgifter!$W:$W,B273&amp;C273&amp;D273&amp;E273,Projektudgifter!$S:$S,F273)</f>
        <v>0</v>
      </c>
      <c r="T273">
        <f>SUMIFS(Projektudgifter!$AH:$AH,Projektudgifter!$W:$W,B273&amp;C273&amp;D273&amp;E273,Projektudgifter!$T:$T,F273)</f>
        <v>0</v>
      </c>
      <c r="U273">
        <f>SUMIFS(Projektudgifter!$AI:$AI,Projektudgifter!$W:$W,B273&amp;C273&amp;D273&amp;E273,Projektudgifter!$S:$S,F273)</f>
        <v>0</v>
      </c>
      <c r="V273">
        <f>SUMIFS(Projektudgifter!$AJ:$AJ,Projektudgifter!$W:$W,B273&amp;C273&amp;D273&amp;E273,Projektudgifter!$T:$T,F273)</f>
        <v>0</v>
      </c>
      <c r="W273">
        <f>SUMIFS(Projektudgifter!$AK:$AK,Projektudgifter!$W:$W,B273&amp;C273&amp;D273&amp;E273,Projektudgifter!$S:$S,F273)</f>
        <v>0</v>
      </c>
      <c r="X273">
        <f>SUMIFS(Projektudgifter!$AL:$AL,Projektudgifter!$W:$W,B273&amp;C273&amp;D273&amp;E273,Projektudgifter!$T:$T,F273)</f>
        <v>0</v>
      </c>
    </row>
    <row r="274" spans="2:24" ht="14.25" customHeight="1" x14ac:dyDescent="0.25">
      <c r="B274" t="s">
        <v>319</v>
      </c>
      <c r="C274" t="s">
        <v>1486</v>
      </c>
      <c r="D274" t="s">
        <v>693</v>
      </c>
      <c r="E274">
        <v>2014</v>
      </c>
      <c r="N274">
        <f>SUMIFS(Projektudgifter!$Y:$Y,Projektudgifter!$W:$W,B274&amp;C274&amp;D274&amp;E274)</f>
        <v>0</v>
      </c>
      <c r="O274">
        <f>SUMIFS(Projektudgifter!$Z:$Z,Projektudgifter!$W:$W,B274&amp;C274&amp;D274&amp;E274)</f>
        <v>0</v>
      </c>
      <c r="P274">
        <f>SUMIFS(Projektudgifter!$AA:$AA,Projektudgifter!$W:$W,B274&amp;C274&amp;D274&amp;E274)</f>
        <v>0</v>
      </c>
      <c r="Q274">
        <f>SUMIFS(Projektudgifter!$AB:$AB,Projektudgifter!$W:$W,B274&amp;C274&amp;D274&amp;E274)</f>
        <v>0</v>
      </c>
      <c r="R274">
        <f>SUMIFS(Projektudgifter!$AC:$AC,Projektudgifter!$W:$W,B274&amp;C274&amp;D274&amp;E274)</f>
        <v>0</v>
      </c>
      <c r="S274">
        <f>SUMIFS(Projektudgifter!$AG:$AG,Projektudgifter!$W:$W,B274&amp;C274&amp;D274&amp;E274,Projektudgifter!$S:$S,"")</f>
        <v>0</v>
      </c>
      <c r="U274">
        <f>SUMIFS(Projektudgifter!$AI:$AI,Projektudgifter!$W:$W,B274&amp;C274&amp;D274&amp;E274,Projektudgifter!$S:$S,"")</f>
        <v>0</v>
      </c>
      <c r="W274">
        <f>SUMIFS(Projektudgifter!$AK:$AK,Projektudgifter!$W:$W,B274&amp;C274&amp;D274&amp;E274,Projektudgifter!$S:$S,"")</f>
        <v>0</v>
      </c>
    </row>
  </sheetData>
  <sheetProtection algorithmName="SHA-512" hashValue="jkKOFMu0vLuhHmO79D8VGj5HObzD347dBF8OGvKFWu2t70oUmijLCcp7DWYJbbYzAScSR84Yrit3tuUv1T0LzA==" saltValue="D47oVAAZ8cs07G89mjlLmQ==" spinCount="100000" sheet="1" objects="1" scenarios="1"/>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tabColor rgb="FF5379B7"/>
  </sheetPr>
  <dimension ref="B2:Y112"/>
  <sheetViews>
    <sheetView showGridLines="0" topLeftCell="G1" zoomScale="80" zoomScaleNormal="80" workbookViewId="0">
      <selection activeCell="B4" sqref="B4:Y4"/>
    </sheetView>
  </sheetViews>
  <sheetFormatPr defaultColWidth="10.140625" defaultRowHeight="14.25" customHeight="1" x14ac:dyDescent="0.25"/>
  <cols>
    <col min="1" max="1" width="9.140625" customWidth="1"/>
    <col min="2" max="2" width="17" customWidth="1"/>
    <col min="3" max="3" width="43.5703125" customWidth="1"/>
    <col min="4" max="4" width="16.42578125" customWidth="1"/>
    <col min="5" max="5" width="9.28515625" customWidth="1"/>
    <col min="6" max="6" width="21.5703125" customWidth="1"/>
    <col min="7" max="7" width="18.7109375" customWidth="1"/>
    <col min="8" max="8" width="37.7109375" customWidth="1"/>
    <col min="9" max="17" width="16.42578125" customWidth="1"/>
    <col min="18" max="18" width="16.28515625" customWidth="1"/>
    <col min="19" max="19" width="15.7109375" customWidth="1"/>
    <col min="20" max="28" width="11.85546875" customWidth="1"/>
    <col min="29" max="200" width="9.140625" customWidth="1"/>
  </cols>
  <sheetData>
    <row r="2" spans="2:25" ht="48.95" customHeight="1" x14ac:dyDescent="0.25"/>
    <row r="4" spans="2:25" ht="39.950000000000003" customHeight="1" thickBot="1" x14ac:dyDescent="0.3">
      <c r="B4" s="22" t="s">
        <v>1312</v>
      </c>
      <c r="C4" s="19" t="s">
        <v>624</v>
      </c>
      <c r="D4" s="19" t="s">
        <v>625</v>
      </c>
      <c r="E4" s="19" t="s">
        <v>311</v>
      </c>
      <c r="F4" s="19" t="s">
        <v>1335</v>
      </c>
      <c r="G4" s="19" t="s">
        <v>1339</v>
      </c>
      <c r="H4" s="19" t="s">
        <v>1431</v>
      </c>
      <c r="I4" s="93"/>
      <c r="J4" s="93"/>
      <c r="K4" s="93"/>
      <c r="L4" s="93"/>
      <c r="M4" s="93"/>
      <c r="N4" s="21" t="s">
        <v>300</v>
      </c>
      <c r="O4" s="21" t="s">
        <v>301</v>
      </c>
      <c r="P4" s="21" t="s">
        <v>302</v>
      </c>
      <c r="Q4" s="21" t="s">
        <v>1336</v>
      </c>
      <c r="R4" s="21" t="s">
        <v>1337</v>
      </c>
      <c r="S4" s="21" t="s">
        <v>313</v>
      </c>
      <c r="T4" s="21" t="s">
        <v>314</v>
      </c>
      <c r="U4" s="21" t="s">
        <v>315</v>
      </c>
      <c r="V4" s="21" t="s">
        <v>316</v>
      </c>
      <c r="W4" s="20" t="s">
        <v>1340</v>
      </c>
      <c r="X4" s="20" t="s">
        <v>1440</v>
      </c>
      <c r="Y4" s="93"/>
    </row>
    <row r="5" spans="2:25" ht="14.25" customHeight="1" x14ac:dyDescent="0.25">
      <c r="B5" t="s">
        <v>348</v>
      </c>
      <c r="C5" t="s">
        <v>1179</v>
      </c>
      <c r="D5" t="s">
        <v>693</v>
      </c>
      <c r="E5">
        <v>2013</v>
      </c>
      <c r="F5" t="s">
        <v>1361</v>
      </c>
      <c r="H5" t="s">
        <v>1194</v>
      </c>
      <c r="S5">
        <f ca="1">SUMIFS(Programudgifter!$AG:$AG,Programudgifter!$W:$W,B5&amp;C5&amp;D5&amp;E5,Programudgifter!$S:$S,F5)</f>
        <v>0</v>
      </c>
      <c r="T5">
        <f ca="1">SUMIFS(Programudgifter!$AH:$AH,Programudgifter!$W:$W,B5&amp;C5&amp;D5&amp;E5,Programudgifter!$T:$T,F5)</f>
        <v>0</v>
      </c>
      <c r="U5">
        <f ca="1">SUMIFS(Programudgifter!$AI:$AI,Programudgifter!$W:$W,B5&amp;C5&amp;D5&amp;E5,Programudgifter!$S:$S,F5)</f>
        <v>0</v>
      </c>
      <c r="V5">
        <f ca="1">SUMIFS(Programudgifter!$AJ:$AJ,Programudgifter!$W:$W,B5&amp;C5&amp;D5&amp;E5,Programudgifter!$T:$T,F5)</f>
        <v>0</v>
      </c>
      <c r="W5">
        <f ca="1">SUMIFS(Programudgifter!$AK:$AK,Programudgifter!$W:$W,B5&amp;C5&amp;D5&amp;E5,Programudgifter!$S:$S,F5)</f>
        <v>0</v>
      </c>
      <c r="X5">
        <f ca="1">SUMIFS(Programudgifter!$AL:$AL,Programudgifter!$W:$W,B5&amp;C5&amp;D5&amp;E5,Programudgifter!$T:$T,F5)</f>
        <v>0</v>
      </c>
    </row>
    <row r="6" spans="2:25" ht="14.25" customHeight="1" x14ac:dyDescent="0.25">
      <c r="B6" t="s">
        <v>348</v>
      </c>
      <c r="C6" t="s">
        <v>1179</v>
      </c>
      <c r="D6" t="s">
        <v>693</v>
      </c>
      <c r="E6">
        <v>2013</v>
      </c>
      <c r="F6" t="s">
        <v>680</v>
      </c>
      <c r="H6" t="s">
        <v>1194</v>
      </c>
      <c r="S6">
        <f ca="1">SUMIFS(Programudgifter!$AG:$AG,Programudgifter!$W:$W,B6&amp;C6&amp;D6&amp;E6,Programudgifter!$S:$S,F6)</f>
        <v>0</v>
      </c>
      <c r="T6">
        <f ca="1">SUMIFS(Programudgifter!$AH:$AH,Programudgifter!$W:$W,B6&amp;C6&amp;D6&amp;E6,Programudgifter!$T:$T,F6)</f>
        <v>0</v>
      </c>
      <c r="U6">
        <f ca="1">SUMIFS(Programudgifter!$AI:$AI,Programudgifter!$W:$W,B6&amp;C6&amp;D6&amp;E6,Programudgifter!$S:$S,F6)</f>
        <v>0</v>
      </c>
      <c r="V6">
        <f ca="1">SUMIFS(Programudgifter!$AJ:$AJ,Programudgifter!$W:$W,B6&amp;C6&amp;D6&amp;E6,Programudgifter!$T:$T,F6)</f>
        <v>0</v>
      </c>
      <c r="W6">
        <f ca="1">SUMIFS(Programudgifter!$AK:$AK,Programudgifter!$W:$W,B6&amp;C6&amp;D6&amp;E6,Programudgifter!$S:$S,F6)</f>
        <v>0</v>
      </c>
      <c r="X6">
        <f ca="1">SUMIFS(Programudgifter!$AL:$AL,Programudgifter!$W:$W,B6&amp;C6&amp;D6&amp;E6,Programudgifter!$T:$T,F6)</f>
        <v>0</v>
      </c>
    </row>
    <row r="7" spans="2:25" ht="14.25" customHeight="1" x14ac:dyDescent="0.25">
      <c r="B7" t="s">
        <v>348</v>
      </c>
      <c r="C7" t="s">
        <v>1179</v>
      </c>
      <c r="D7" t="s">
        <v>693</v>
      </c>
      <c r="E7">
        <v>2013</v>
      </c>
      <c r="N7">
        <f ca="1">SUMIFS(Programudgifter!$Y:$Y,Programudgifter!$W:$W,B7&amp;C7&amp;D7&amp;E7)</f>
        <v>0</v>
      </c>
      <c r="O7">
        <f ca="1">SUMIFS(Programudgifter!$Z:$Z,Programudgifter!$W:$W,B7&amp;C7&amp;D7&amp;E7)</f>
        <v>0</v>
      </c>
      <c r="P7">
        <f ca="1">SUMIFS(Programudgifter!$AA:$AA,Programudgifter!$W:$W,B7&amp;C7&amp;D7&amp;E7)</f>
        <v>0</v>
      </c>
      <c r="Q7">
        <f ca="1">SUMIFS(Programudgifter!$AB:$AB,Programudgifter!$W:$W,B7&amp;C7&amp;D7&amp;E7)</f>
        <v>0</v>
      </c>
      <c r="R7">
        <f ca="1">SUMIFS(Programudgifter!$AC:$AC,Programudgifter!$W:$W,B7&amp;C7&amp;D7&amp;E7)</f>
        <v>0</v>
      </c>
      <c r="S7">
        <f ca="1">SUMIFS(Programudgifter!$AG:$AG,Programudgifter!$W:$W,B7&amp;C7&amp;D7&amp;E7,Programudgifter!$S:$S,"")</f>
        <v>0</v>
      </c>
      <c r="U7">
        <f ca="1">SUMIFS(Programudgifter!$AI:$AI,Programudgifter!$W:$W,B7&amp;C7&amp;D7&amp;E7,Programudgifter!$S:$S,"")</f>
        <v>0</v>
      </c>
      <c r="W7">
        <f ca="1">SUMIFS(Programudgifter!$AK:$AK,Programudgifter!$W:$W,B7&amp;C7&amp;D7&amp;E7,Programudgifter!$S:$S,"")</f>
        <v>0</v>
      </c>
    </row>
    <row r="8" spans="2:25" ht="14.25" customHeight="1" x14ac:dyDescent="0.25">
      <c r="B8" t="s">
        <v>348</v>
      </c>
      <c r="C8" t="s">
        <v>1179</v>
      </c>
      <c r="D8" t="s">
        <v>693</v>
      </c>
      <c r="E8">
        <v>2014</v>
      </c>
      <c r="F8" t="s">
        <v>1361</v>
      </c>
      <c r="H8" t="s">
        <v>1194</v>
      </c>
      <c r="S8">
        <f ca="1">SUMIFS(Programudgifter!$AG:$AG,Programudgifter!$W:$W,B8&amp;C8&amp;D8&amp;E8,Programudgifter!$S:$S,F8)</f>
        <v>0</v>
      </c>
      <c r="T8">
        <f ca="1">SUMIFS(Programudgifter!$AH:$AH,Programudgifter!$W:$W,B8&amp;C8&amp;D8&amp;E8,Programudgifter!$T:$T,F8)</f>
        <v>0</v>
      </c>
      <c r="U8">
        <f ca="1">SUMIFS(Programudgifter!$AI:$AI,Programudgifter!$W:$W,B8&amp;C8&amp;D8&amp;E8,Programudgifter!$S:$S,F8)</f>
        <v>0</v>
      </c>
      <c r="V8">
        <f ca="1">SUMIFS(Programudgifter!$AJ:$AJ,Programudgifter!$W:$W,B8&amp;C8&amp;D8&amp;E8,Programudgifter!$T:$T,F8)</f>
        <v>0</v>
      </c>
      <c r="W8">
        <f ca="1">SUMIFS(Programudgifter!$AK:$AK,Programudgifter!$W:$W,B8&amp;C8&amp;D8&amp;E8,Programudgifter!$S:$S,F8)</f>
        <v>0</v>
      </c>
      <c r="X8">
        <f ca="1">SUMIFS(Programudgifter!$AL:$AL,Programudgifter!$W:$W,B8&amp;C8&amp;D8&amp;E8,Programudgifter!$T:$T,F8)</f>
        <v>0</v>
      </c>
    </row>
    <row r="9" spans="2:25" ht="14.25" customHeight="1" x14ac:dyDescent="0.25">
      <c r="B9" t="s">
        <v>348</v>
      </c>
      <c r="C9" t="s">
        <v>1179</v>
      </c>
      <c r="D9" t="s">
        <v>693</v>
      </c>
      <c r="E9">
        <v>2014</v>
      </c>
      <c r="F9" t="s">
        <v>680</v>
      </c>
      <c r="H9" t="s">
        <v>1194</v>
      </c>
      <c r="S9">
        <f ca="1">SUMIFS(Programudgifter!$AG:$AG,Programudgifter!$W:$W,B9&amp;C9&amp;D9&amp;E9,Programudgifter!$S:$S,F9)</f>
        <v>0</v>
      </c>
      <c r="T9">
        <f ca="1">SUMIFS(Programudgifter!$AH:$AH,Programudgifter!$W:$W,B9&amp;C9&amp;D9&amp;E9,Programudgifter!$T:$T,F9)</f>
        <v>0</v>
      </c>
      <c r="U9">
        <f ca="1">SUMIFS(Programudgifter!$AI:$AI,Programudgifter!$W:$W,B9&amp;C9&amp;D9&amp;E9,Programudgifter!$S:$S,F9)</f>
        <v>0</v>
      </c>
      <c r="V9">
        <f ca="1">SUMIFS(Programudgifter!$AJ:$AJ,Programudgifter!$W:$W,B9&amp;C9&amp;D9&amp;E9,Programudgifter!$T:$T,F9)</f>
        <v>0</v>
      </c>
      <c r="W9">
        <f ca="1">SUMIFS(Programudgifter!$AK:$AK,Programudgifter!$W:$W,B9&amp;C9&amp;D9&amp;E9,Programudgifter!$S:$S,F9)</f>
        <v>0</v>
      </c>
      <c r="X9">
        <f ca="1">SUMIFS(Programudgifter!$AL:$AL,Programudgifter!$W:$W,B9&amp;C9&amp;D9&amp;E9,Programudgifter!$T:$T,F9)</f>
        <v>0</v>
      </c>
    </row>
    <row r="10" spans="2:25" ht="14.25" customHeight="1" x14ac:dyDescent="0.25">
      <c r="B10" t="s">
        <v>348</v>
      </c>
      <c r="C10" t="s">
        <v>1179</v>
      </c>
      <c r="D10" t="s">
        <v>693</v>
      </c>
      <c r="E10">
        <v>2014</v>
      </c>
      <c r="N10">
        <f ca="1">SUMIFS(Programudgifter!$Y:$Y,Programudgifter!$W:$W,B10&amp;C10&amp;D10&amp;E10)</f>
        <v>0</v>
      </c>
      <c r="O10">
        <f ca="1">SUMIFS(Programudgifter!$Z:$Z,Programudgifter!$W:$W,B10&amp;C10&amp;D10&amp;E10)</f>
        <v>0</v>
      </c>
      <c r="P10">
        <f ca="1">SUMIFS(Programudgifter!$AA:$AA,Programudgifter!$W:$W,B10&amp;C10&amp;D10&amp;E10)</f>
        <v>0</v>
      </c>
      <c r="Q10">
        <f ca="1">SUMIFS(Programudgifter!$AB:$AB,Programudgifter!$W:$W,B10&amp;C10&amp;D10&amp;E10)</f>
        <v>0</v>
      </c>
      <c r="R10">
        <f ca="1">SUMIFS(Programudgifter!$AC:$AC,Programudgifter!$W:$W,B10&amp;C10&amp;D10&amp;E10)</f>
        <v>0</v>
      </c>
      <c r="S10">
        <f ca="1">SUMIFS(Programudgifter!$AG:$AG,Programudgifter!$W:$W,B10&amp;C10&amp;D10&amp;E10,Programudgifter!$S:$S,"")</f>
        <v>0</v>
      </c>
      <c r="U10">
        <f ca="1">SUMIFS(Programudgifter!$AI:$AI,Programudgifter!$W:$W,B10&amp;C10&amp;D10&amp;E10,Programudgifter!$S:$S,"")</f>
        <v>0</v>
      </c>
      <c r="W10">
        <f ca="1">SUMIFS(Programudgifter!$AK:$AK,Programudgifter!$W:$W,B10&amp;C10&amp;D10&amp;E10,Programudgifter!$S:$S,"")</f>
        <v>0</v>
      </c>
    </row>
    <row r="11" spans="2:25" ht="14.25" customHeight="1" x14ac:dyDescent="0.25">
      <c r="B11" t="s">
        <v>348</v>
      </c>
      <c r="C11" t="s">
        <v>1180</v>
      </c>
      <c r="D11" t="s">
        <v>693</v>
      </c>
      <c r="E11">
        <v>2013</v>
      </c>
      <c r="F11" t="s">
        <v>1361</v>
      </c>
      <c r="H11" t="s">
        <v>1194</v>
      </c>
      <c r="S11">
        <f ca="1">SUMIFS(Programudgifter!$AG:$AG,Programudgifter!$W:$W,B11&amp;C11&amp;D11&amp;E11,Programudgifter!$S:$S,F11)</f>
        <v>0</v>
      </c>
      <c r="T11">
        <f ca="1">SUMIFS(Programudgifter!$AH:$AH,Programudgifter!$W:$W,B11&amp;C11&amp;D11&amp;E11,Programudgifter!$T:$T,F11)</f>
        <v>0</v>
      </c>
      <c r="U11">
        <f ca="1">SUMIFS(Programudgifter!$AI:$AI,Programudgifter!$W:$W,B11&amp;C11&amp;D11&amp;E11,Programudgifter!$S:$S,F11)</f>
        <v>0</v>
      </c>
      <c r="V11">
        <f ca="1">SUMIFS(Programudgifter!$AJ:$AJ,Programudgifter!$W:$W,B11&amp;C11&amp;D11&amp;E11,Programudgifter!$T:$T,F11)</f>
        <v>0</v>
      </c>
      <c r="W11">
        <f ca="1">SUMIFS(Programudgifter!$AK:$AK,Programudgifter!$W:$W,B11&amp;C11&amp;D11&amp;E11,Programudgifter!$S:$S,F11)</f>
        <v>0</v>
      </c>
      <c r="X11">
        <f ca="1">SUMIFS(Programudgifter!$AL:$AL,Programudgifter!$W:$W,B11&amp;C11&amp;D11&amp;E11,Programudgifter!$T:$T,F11)</f>
        <v>0</v>
      </c>
    </row>
    <row r="12" spans="2:25" ht="14.25" customHeight="1" x14ac:dyDescent="0.25">
      <c r="B12" t="s">
        <v>348</v>
      </c>
      <c r="C12" t="s">
        <v>1180</v>
      </c>
      <c r="D12" t="s">
        <v>693</v>
      </c>
      <c r="E12">
        <v>2013</v>
      </c>
      <c r="F12" t="s">
        <v>680</v>
      </c>
      <c r="H12" t="s">
        <v>1194</v>
      </c>
      <c r="S12">
        <f ca="1">SUMIFS(Programudgifter!$AG:$AG,Programudgifter!$W:$W,B12&amp;C12&amp;D12&amp;E12,Programudgifter!$S:$S,F12)</f>
        <v>0</v>
      </c>
      <c r="T12">
        <f ca="1">SUMIFS(Programudgifter!$AH:$AH,Programudgifter!$W:$W,B12&amp;C12&amp;D12&amp;E12,Programudgifter!$T:$T,F12)</f>
        <v>0</v>
      </c>
      <c r="U12">
        <f ca="1">SUMIFS(Programudgifter!$AI:$AI,Programudgifter!$W:$W,B12&amp;C12&amp;D12&amp;E12,Programudgifter!$S:$S,F12)</f>
        <v>0</v>
      </c>
      <c r="V12">
        <f ca="1">SUMIFS(Programudgifter!$AJ:$AJ,Programudgifter!$W:$W,B12&amp;C12&amp;D12&amp;E12,Programudgifter!$T:$T,F12)</f>
        <v>0</v>
      </c>
      <c r="W12">
        <f ca="1">SUMIFS(Programudgifter!$AK:$AK,Programudgifter!$W:$W,B12&amp;C12&amp;D12&amp;E12,Programudgifter!$S:$S,F12)</f>
        <v>0</v>
      </c>
      <c r="X12">
        <f ca="1">SUMIFS(Programudgifter!$AL:$AL,Programudgifter!$W:$W,B12&amp;C12&amp;D12&amp;E12,Programudgifter!$T:$T,F12)</f>
        <v>0</v>
      </c>
    </row>
    <row r="13" spans="2:25" ht="14.25" customHeight="1" x14ac:dyDescent="0.25">
      <c r="B13" t="s">
        <v>348</v>
      </c>
      <c r="C13" t="s">
        <v>1180</v>
      </c>
      <c r="D13" t="s">
        <v>693</v>
      </c>
      <c r="E13">
        <v>2013</v>
      </c>
      <c r="N13">
        <f ca="1">SUMIFS(Programudgifter!$Y:$Y,Programudgifter!$W:$W,B13&amp;C13&amp;D13&amp;E13)</f>
        <v>0</v>
      </c>
      <c r="O13">
        <f ca="1">SUMIFS(Programudgifter!$Z:$Z,Programudgifter!$W:$W,B13&amp;C13&amp;D13&amp;E13)</f>
        <v>0</v>
      </c>
      <c r="P13">
        <f ca="1">SUMIFS(Programudgifter!$AA:$AA,Programudgifter!$W:$W,B13&amp;C13&amp;D13&amp;E13)</f>
        <v>0</v>
      </c>
      <c r="Q13">
        <f ca="1">SUMIFS(Programudgifter!$AB:$AB,Programudgifter!$W:$W,B13&amp;C13&amp;D13&amp;E13)</f>
        <v>0</v>
      </c>
      <c r="R13">
        <f ca="1">SUMIFS(Programudgifter!$AC:$AC,Programudgifter!$W:$W,B13&amp;C13&amp;D13&amp;E13)</f>
        <v>0</v>
      </c>
      <c r="S13">
        <f ca="1">SUMIFS(Programudgifter!$AG:$AG,Programudgifter!$W:$W,B13&amp;C13&amp;D13&amp;E13,Programudgifter!$S:$S,"")</f>
        <v>0</v>
      </c>
      <c r="U13">
        <f ca="1">SUMIFS(Programudgifter!$AI:$AI,Programudgifter!$W:$W,B13&amp;C13&amp;D13&amp;E13,Programudgifter!$S:$S,"")</f>
        <v>0</v>
      </c>
      <c r="W13">
        <f ca="1">SUMIFS(Programudgifter!$AK:$AK,Programudgifter!$W:$W,B13&amp;C13&amp;D13&amp;E13,Programudgifter!$S:$S,"")</f>
        <v>0</v>
      </c>
    </row>
    <row r="14" spans="2:25" ht="14.25" customHeight="1" x14ac:dyDescent="0.25">
      <c r="B14" t="s">
        <v>348</v>
      </c>
      <c r="C14" t="s">
        <v>1180</v>
      </c>
      <c r="D14" t="s">
        <v>693</v>
      </c>
      <c r="E14">
        <v>2014</v>
      </c>
      <c r="F14" t="s">
        <v>1361</v>
      </c>
      <c r="H14" t="s">
        <v>1194</v>
      </c>
      <c r="S14">
        <f ca="1">SUMIFS(Programudgifter!$AG:$AG,Programudgifter!$W:$W,B14&amp;C14&amp;D14&amp;E14,Programudgifter!$S:$S,F14)</f>
        <v>0</v>
      </c>
      <c r="T14">
        <f ca="1">SUMIFS(Programudgifter!$AH:$AH,Programudgifter!$W:$W,B14&amp;C14&amp;D14&amp;E14,Programudgifter!$T:$T,F14)</f>
        <v>0</v>
      </c>
      <c r="U14">
        <f ca="1">SUMIFS(Programudgifter!$AI:$AI,Programudgifter!$W:$W,B14&amp;C14&amp;D14&amp;E14,Programudgifter!$S:$S,F14)</f>
        <v>0</v>
      </c>
      <c r="V14">
        <f ca="1">SUMIFS(Programudgifter!$AJ:$AJ,Programudgifter!$W:$W,B14&amp;C14&amp;D14&amp;E14,Programudgifter!$T:$T,F14)</f>
        <v>0</v>
      </c>
      <c r="W14">
        <f ca="1">SUMIFS(Programudgifter!$AK:$AK,Programudgifter!$W:$W,B14&amp;C14&amp;D14&amp;E14,Programudgifter!$S:$S,F14)</f>
        <v>0</v>
      </c>
      <c r="X14">
        <f ca="1">SUMIFS(Programudgifter!$AL:$AL,Programudgifter!$W:$W,B14&amp;C14&amp;D14&amp;E14,Programudgifter!$T:$T,F14)</f>
        <v>0</v>
      </c>
    </row>
    <row r="15" spans="2:25" ht="14.25" customHeight="1" x14ac:dyDescent="0.25">
      <c r="B15" t="s">
        <v>348</v>
      </c>
      <c r="C15" t="s">
        <v>1180</v>
      </c>
      <c r="D15" t="s">
        <v>693</v>
      </c>
      <c r="E15">
        <v>2014</v>
      </c>
      <c r="F15" t="s">
        <v>680</v>
      </c>
      <c r="H15" t="s">
        <v>1194</v>
      </c>
      <c r="S15">
        <f ca="1">SUMIFS(Programudgifter!$AG:$AG,Programudgifter!$W:$W,B15&amp;C15&amp;D15&amp;E15,Programudgifter!$S:$S,F15)</f>
        <v>0</v>
      </c>
      <c r="T15">
        <f ca="1">SUMIFS(Programudgifter!$AH:$AH,Programudgifter!$W:$W,B15&amp;C15&amp;D15&amp;E15,Programudgifter!$T:$T,F15)</f>
        <v>0</v>
      </c>
      <c r="U15">
        <f ca="1">SUMIFS(Programudgifter!$AI:$AI,Programudgifter!$W:$W,B15&amp;C15&amp;D15&amp;E15,Programudgifter!$S:$S,F15)</f>
        <v>0</v>
      </c>
      <c r="V15">
        <f ca="1">SUMIFS(Programudgifter!$AJ:$AJ,Programudgifter!$W:$W,B15&amp;C15&amp;D15&amp;E15,Programudgifter!$T:$T,F15)</f>
        <v>0</v>
      </c>
      <c r="W15">
        <f ca="1">SUMIFS(Programudgifter!$AK:$AK,Programudgifter!$W:$W,B15&amp;C15&amp;D15&amp;E15,Programudgifter!$S:$S,F15)</f>
        <v>0</v>
      </c>
      <c r="X15">
        <f ca="1">SUMIFS(Programudgifter!$AL:$AL,Programudgifter!$W:$W,B15&amp;C15&amp;D15&amp;E15,Programudgifter!$T:$T,F15)</f>
        <v>0</v>
      </c>
    </row>
    <row r="16" spans="2:25" ht="14.25" customHeight="1" x14ac:dyDescent="0.25">
      <c r="B16" t="s">
        <v>348</v>
      </c>
      <c r="C16" t="s">
        <v>1180</v>
      </c>
      <c r="D16" t="s">
        <v>693</v>
      </c>
      <c r="E16">
        <v>2014</v>
      </c>
      <c r="N16">
        <f ca="1">SUMIFS(Programudgifter!$Y:$Y,Programudgifter!$W:$W,B16&amp;C16&amp;D16&amp;E16)</f>
        <v>0</v>
      </c>
      <c r="O16">
        <f ca="1">SUMIFS(Programudgifter!$Z:$Z,Programudgifter!$W:$W,B16&amp;C16&amp;D16&amp;E16)</f>
        <v>0</v>
      </c>
      <c r="P16">
        <f ca="1">SUMIFS(Programudgifter!$AA:$AA,Programudgifter!$W:$W,B16&amp;C16&amp;D16&amp;E16)</f>
        <v>0</v>
      </c>
      <c r="Q16">
        <f ca="1">SUMIFS(Programudgifter!$AB:$AB,Programudgifter!$W:$W,B16&amp;C16&amp;D16&amp;E16)</f>
        <v>0</v>
      </c>
      <c r="R16">
        <f ca="1">SUMIFS(Programudgifter!$AC:$AC,Programudgifter!$W:$W,B16&amp;C16&amp;D16&amp;E16)</f>
        <v>0</v>
      </c>
      <c r="S16">
        <f ca="1">SUMIFS(Programudgifter!$AG:$AG,Programudgifter!$W:$W,B16&amp;C16&amp;D16&amp;E16,Programudgifter!$S:$S,"")</f>
        <v>0</v>
      </c>
      <c r="U16">
        <f ca="1">SUMIFS(Programudgifter!$AI:$AI,Programudgifter!$W:$W,B16&amp;C16&amp;D16&amp;E16,Programudgifter!$S:$S,"")</f>
        <v>0</v>
      </c>
      <c r="W16">
        <f ca="1">SUMIFS(Programudgifter!$AK:$AK,Programudgifter!$W:$W,B16&amp;C16&amp;D16&amp;E16,Programudgifter!$S:$S,"")</f>
        <v>0</v>
      </c>
    </row>
    <row r="17" spans="2:24" ht="14.25" customHeight="1" x14ac:dyDescent="0.25">
      <c r="B17" t="s">
        <v>348</v>
      </c>
      <c r="C17" t="s">
        <v>1181</v>
      </c>
      <c r="D17" t="s">
        <v>693</v>
      </c>
      <c r="E17">
        <v>2013</v>
      </c>
      <c r="F17" t="s">
        <v>1361</v>
      </c>
      <c r="H17" t="s">
        <v>1194</v>
      </c>
      <c r="S17">
        <f ca="1">SUMIFS(Programudgifter!$AG:$AG,Programudgifter!$W:$W,B17&amp;C17&amp;D17&amp;E17,Programudgifter!$S:$S,F17)</f>
        <v>0</v>
      </c>
      <c r="T17">
        <f ca="1">SUMIFS(Programudgifter!$AH:$AH,Programudgifter!$W:$W,B17&amp;C17&amp;D17&amp;E17,Programudgifter!$T:$T,F17)</f>
        <v>0</v>
      </c>
      <c r="U17">
        <f ca="1">SUMIFS(Programudgifter!$AI:$AI,Programudgifter!$W:$W,B17&amp;C17&amp;D17&amp;E17,Programudgifter!$S:$S,F17)</f>
        <v>0</v>
      </c>
      <c r="V17">
        <f ca="1">SUMIFS(Programudgifter!$AJ:$AJ,Programudgifter!$W:$W,B17&amp;C17&amp;D17&amp;E17,Programudgifter!$T:$T,F17)</f>
        <v>0</v>
      </c>
      <c r="W17">
        <f ca="1">SUMIFS(Programudgifter!$AK:$AK,Programudgifter!$W:$W,B17&amp;C17&amp;D17&amp;E17,Programudgifter!$S:$S,F17)</f>
        <v>0</v>
      </c>
      <c r="X17">
        <f ca="1">SUMIFS(Programudgifter!$AL:$AL,Programudgifter!$W:$W,B17&amp;C17&amp;D17&amp;E17,Programudgifter!$T:$T,F17)</f>
        <v>0</v>
      </c>
    </row>
    <row r="18" spans="2:24" ht="14.25" customHeight="1" x14ac:dyDescent="0.25">
      <c r="B18" t="s">
        <v>348</v>
      </c>
      <c r="C18" t="s">
        <v>1181</v>
      </c>
      <c r="D18" t="s">
        <v>693</v>
      </c>
      <c r="E18">
        <v>2013</v>
      </c>
      <c r="F18" t="s">
        <v>680</v>
      </c>
      <c r="H18" t="s">
        <v>1194</v>
      </c>
      <c r="S18">
        <f ca="1">SUMIFS(Programudgifter!$AG:$AG,Programudgifter!$W:$W,B18&amp;C18&amp;D18&amp;E18,Programudgifter!$S:$S,F18)</f>
        <v>0</v>
      </c>
      <c r="T18">
        <f ca="1">SUMIFS(Programudgifter!$AH:$AH,Programudgifter!$W:$W,B18&amp;C18&amp;D18&amp;E18,Programudgifter!$T:$T,F18)</f>
        <v>0</v>
      </c>
      <c r="U18">
        <f ca="1">SUMIFS(Programudgifter!$AI:$AI,Programudgifter!$W:$W,B18&amp;C18&amp;D18&amp;E18,Programudgifter!$S:$S,F18)</f>
        <v>0</v>
      </c>
      <c r="V18">
        <f ca="1">SUMIFS(Programudgifter!$AJ:$AJ,Programudgifter!$W:$W,B18&amp;C18&amp;D18&amp;E18,Programudgifter!$T:$T,F18)</f>
        <v>0</v>
      </c>
      <c r="W18">
        <f ca="1">SUMIFS(Programudgifter!$AK:$AK,Programudgifter!$W:$W,B18&amp;C18&amp;D18&amp;E18,Programudgifter!$S:$S,F18)</f>
        <v>0</v>
      </c>
      <c r="X18">
        <f ca="1">SUMIFS(Programudgifter!$AL:$AL,Programudgifter!$W:$W,B18&amp;C18&amp;D18&amp;E18,Programudgifter!$T:$T,F18)</f>
        <v>0</v>
      </c>
    </row>
    <row r="19" spans="2:24" ht="14.25" customHeight="1" x14ac:dyDescent="0.25">
      <c r="B19" t="s">
        <v>348</v>
      </c>
      <c r="C19" t="s">
        <v>1181</v>
      </c>
      <c r="D19" t="s">
        <v>693</v>
      </c>
      <c r="E19">
        <v>2013</v>
      </c>
      <c r="N19">
        <f ca="1">SUMIFS(Programudgifter!$Y:$Y,Programudgifter!$W:$W,B19&amp;C19&amp;D19&amp;E19)</f>
        <v>0</v>
      </c>
      <c r="O19">
        <f ca="1">SUMIFS(Programudgifter!$Z:$Z,Programudgifter!$W:$W,B19&amp;C19&amp;D19&amp;E19)</f>
        <v>0</v>
      </c>
      <c r="P19">
        <f ca="1">SUMIFS(Programudgifter!$AA:$AA,Programudgifter!$W:$W,B19&amp;C19&amp;D19&amp;E19)</f>
        <v>0</v>
      </c>
      <c r="Q19">
        <f ca="1">SUMIFS(Programudgifter!$AB:$AB,Programudgifter!$W:$W,B19&amp;C19&amp;D19&amp;E19)</f>
        <v>0</v>
      </c>
      <c r="R19">
        <f ca="1">SUMIFS(Programudgifter!$AC:$AC,Programudgifter!$W:$W,B19&amp;C19&amp;D19&amp;E19)</f>
        <v>0</v>
      </c>
      <c r="S19">
        <f ca="1">SUMIFS(Programudgifter!$AG:$AG,Programudgifter!$W:$W,B19&amp;C19&amp;D19&amp;E19,Programudgifter!$S:$S,"")</f>
        <v>0</v>
      </c>
      <c r="U19">
        <f ca="1">SUMIFS(Programudgifter!$AI:$AI,Programudgifter!$W:$W,B19&amp;C19&amp;D19&amp;E19,Programudgifter!$S:$S,"")</f>
        <v>0</v>
      </c>
      <c r="W19">
        <f ca="1">SUMIFS(Programudgifter!$AK:$AK,Programudgifter!$W:$W,B19&amp;C19&amp;D19&amp;E19,Programudgifter!$S:$S,"")</f>
        <v>0</v>
      </c>
    </row>
    <row r="20" spans="2:24" ht="14.25" customHeight="1" x14ac:dyDescent="0.25">
      <c r="B20" t="s">
        <v>348</v>
      </c>
      <c r="C20" t="s">
        <v>1181</v>
      </c>
      <c r="D20" t="s">
        <v>693</v>
      </c>
      <c r="E20">
        <v>2014</v>
      </c>
      <c r="F20" t="s">
        <v>1361</v>
      </c>
      <c r="H20" t="s">
        <v>1194</v>
      </c>
      <c r="S20">
        <f ca="1">SUMIFS(Programudgifter!$AG:$AG,Programudgifter!$W:$W,B20&amp;C20&amp;D20&amp;E20,Programudgifter!$S:$S,F20)</f>
        <v>0</v>
      </c>
      <c r="T20">
        <f ca="1">SUMIFS(Programudgifter!$AH:$AH,Programudgifter!$W:$W,B20&amp;C20&amp;D20&amp;E20,Programudgifter!$T:$T,F20)</f>
        <v>0</v>
      </c>
      <c r="U20">
        <f ca="1">SUMIFS(Programudgifter!$AI:$AI,Programudgifter!$W:$W,B20&amp;C20&amp;D20&amp;E20,Programudgifter!$S:$S,F20)</f>
        <v>0</v>
      </c>
      <c r="V20">
        <f ca="1">SUMIFS(Programudgifter!$AJ:$AJ,Programudgifter!$W:$W,B20&amp;C20&amp;D20&amp;E20,Programudgifter!$T:$T,F20)</f>
        <v>0</v>
      </c>
      <c r="W20">
        <f ca="1">SUMIFS(Programudgifter!$AK:$AK,Programudgifter!$W:$W,B20&amp;C20&amp;D20&amp;E20,Programudgifter!$S:$S,F20)</f>
        <v>0</v>
      </c>
      <c r="X20">
        <f ca="1">SUMIFS(Programudgifter!$AL:$AL,Programudgifter!$W:$W,B20&amp;C20&amp;D20&amp;E20,Programudgifter!$T:$T,F20)</f>
        <v>0</v>
      </c>
    </row>
    <row r="21" spans="2:24" ht="14.25" customHeight="1" x14ac:dyDescent="0.25">
      <c r="B21" t="s">
        <v>348</v>
      </c>
      <c r="C21" t="s">
        <v>1181</v>
      </c>
      <c r="D21" t="s">
        <v>693</v>
      </c>
      <c r="E21">
        <v>2014</v>
      </c>
      <c r="F21" t="s">
        <v>680</v>
      </c>
      <c r="H21" t="s">
        <v>1194</v>
      </c>
      <c r="S21">
        <f ca="1">SUMIFS(Programudgifter!$AG:$AG,Programudgifter!$W:$W,B21&amp;C21&amp;D21&amp;E21,Programudgifter!$S:$S,F21)</f>
        <v>0</v>
      </c>
      <c r="T21">
        <f ca="1">SUMIFS(Programudgifter!$AH:$AH,Programudgifter!$W:$W,B21&amp;C21&amp;D21&amp;E21,Programudgifter!$T:$T,F21)</f>
        <v>0</v>
      </c>
      <c r="U21">
        <f ca="1">SUMIFS(Programudgifter!$AI:$AI,Programudgifter!$W:$W,B21&amp;C21&amp;D21&amp;E21,Programudgifter!$S:$S,F21)</f>
        <v>0</v>
      </c>
      <c r="V21">
        <f ca="1">SUMIFS(Programudgifter!$AJ:$AJ,Programudgifter!$W:$W,B21&amp;C21&amp;D21&amp;E21,Programudgifter!$T:$T,F21)</f>
        <v>0</v>
      </c>
      <c r="W21">
        <f ca="1">SUMIFS(Programudgifter!$AK:$AK,Programudgifter!$W:$W,B21&amp;C21&amp;D21&amp;E21,Programudgifter!$S:$S,F21)</f>
        <v>0</v>
      </c>
      <c r="X21">
        <f ca="1">SUMIFS(Programudgifter!$AL:$AL,Programudgifter!$W:$W,B21&amp;C21&amp;D21&amp;E21,Programudgifter!$T:$T,F21)</f>
        <v>0</v>
      </c>
    </row>
    <row r="22" spans="2:24" ht="14.25" customHeight="1" x14ac:dyDescent="0.25">
      <c r="B22" t="s">
        <v>348</v>
      </c>
      <c r="C22" t="s">
        <v>1181</v>
      </c>
      <c r="D22" t="s">
        <v>693</v>
      </c>
      <c r="E22">
        <v>2014</v>
      </c>
      <c r="N22">
        <f ca="1">SUMIFS(Programudgifter!$Y:$Y,Programudgifter!$W:$W,B22&amp;C22&amp;D22&amp;E22)</f>
        <v>0</v>
      </c>
      <c r="O22">
        <f ca="1">SUMIFS(Programudgifter!$Z:$Z,Programudgifter!$W:$W,B22&amp;C22&amp;D22&amp;E22)</f>
        <v>0</v>
      </c>
      <c r="P22">
        <f ca="1">SUMIFS(Programudgifter!$AA:$AA,Programudgifter!$W:$W,B22&amp;C22&amp;D22&amp;E22)</f>
        <v>0</v>
      </c>
      <c r="Q22">
        <f ca="1">SUMIFS(Programudgifter!$AB:$AB,Programudgifter!$W:$W,B22&amp;C22&amp;D22&amp;E22)</f>
        <v>0</v>
      </c>
      <c r="R22">
        <f ca="1">SUMIFS(Programudgifter!$AC:$AC,Programudgifter!$W:$W,B22&amp;C22&amp;D22&amp;E22)</f>
        <v>0</v>
      </c>
      <c r="S22">
        <f ca="1">SUMIFS(Programudgifter!$AG:$AG,Programudgifter!$W:$W,B22&amp;C22&amp;D22&amp;E22,Programudgifter!$S:$S,"")</f>
        <v>0</v>
      </c>
      <c r="U22">
        <f ca="1">SUMIFS(Programudgifter!$AI:$AI,Programudgifter!$W:$W,B22&amp;C22&amp;D22&amp;E22,Programudgifter!$S:$S,"")</f>
        <v>0</v>
      </c>
      <c r="W22">
        <f ca="1">SUMIFS(Programudgifter!$AK:$AK,Programudgifter!$W:$W,B22&amp;C22&amp;D22&amp;E22,Programudgifter!$S:$S,"")</f>
        <v>0</v>
      </c>
    </row>
    <row r="23" spans="2:24" ht="14.25" customHeight="1" x14ac:dyDescent="0.25">
      <c r="B23" t="s">
        <v>348</v>
      </c>
      <c r="C23" t="s">
        <v>1182</v>
      </c>
      <c r="D23" t="s">
        <v>693</v>
      </c>
      <c r="E23">
        <v>2013</v>
      </c>
      <c r="F23" t="s">
        <v>1361</v>
      </c>
      <c r="H23" t="s">
        <v>1194</v>
      </c>
      <c r="S23">
        <f ca="1">SUMIFS(Programudgifter!$AG:$AG,Programudgifter!$W:$W,B23&amp;C23&amp;D23&amp;E23,Programudgifter!$S:$S,F23)</f>
        <v>0</v>
      </c>
      <c r="T23">
        <f ca="1">SUMIFS(Programudgifter!$AH:$AH,Programudgifter!$W:$W,B23&amp;C23&amp;D23&amp;E23,Programudgifter!$T:$T,F23)</f>
        <v>0</v>
      </c>
      <c r="U23">
        <f ca="1">SUMIFS(Programudgifter!$AI:$AI,Programudgifter!$W:$W,B23&amp;C23&amp;D23&amp;E23,Programudgifter!$S:$S,F23)</f>
        <v>0</v>
      </c>
      <c r="V23">
        <f ca="1">SUMIFS(Programudgifter!$AJ:$AJ,Programudgifter!$W:$W,B23&amp;C23&amp;D23&amp;E23,Programudgifter!$T:$T,F23)</f>
        <v>0</v>
      </c>
      <c r="W23">
        <f ca="1">SUMIFS(Programudgifter!$AK:$AK,Programudgifter!$W:$W,B23&amp;C23&amp;D23&amp;E23,Programudgifter!$S:$S,F23)</f>
        <v>0</v>
      </c>
      <c r="X23">
        <f ca="1">SUMIFS(Programudgifter!$AL:$AL,Programudgifter!$W:$W,B23&amp;C23&amp;D23&amp;E23,Programudgifter!$T:$T,F23)</f>
        <v>0</v>
      </c>
    </row>
    <row r="24" spans="2:24" ht="14.25" customHeight="1" x14ac:dyDescent="0.25">
      <c r="B24" t="s">
        <v>348</v>
      </c>
      <c r="C24" t="s">
        <v>1182</v>
      </c>
      <c r="D24" t="s">
        <v>693</v>
      </c>
      <c r="E24">
        <v>2013</v>
      </c>
      <c r="F24" t="s">
        <v>680</v>
      </c>
      <c r="H24" t="s">
        <v>1194</v>
      </c>
      <c r="S24">
        <f ca="1">SUMIFS(Programudgifter!$AG:$AG,Programudgifter!$W:$W,B24&amp;C24&amp;D24&amp;E24,Programudgifter!$S:$S,F24)</f>
        <v>0</v>
      </c>
      <c r="T24">
        <f ca="1">SUMIFS(Programudgifter!$AH:$AH,Programudgifter!$W:$W,B24&amp;C24&amp;D24&amp;E24,Programudgifter!$T:$T,F24)</f>
        <v>0</v>
      </c>
      <c r="U24">
        <f ca="1">SUMIFS(Programudgifter!$AI:$AI,Programudgifter!$W:$W,B24&amp;C24&amp;D24&amp;E24,Programudgifter!$S:$S,F24)</f>
        <v>0</v>
      </c>
      <c r="V24">
        <f ca="1">SUMIFS(Programudgifter!$AJ:$AJ,Programudgifter!$W:$W,B24&amp;C24&amp;D24&amp;E24,Programudgifter!$T:$T,F24)</f>
        <v>0</v>
      </c>
      <c r="W24">
        <f ca="1">SUMIFS(Programudgifter!$AK:$AK,Programudgifter!$W:$W,B24&amp;C24&amp;D24&amp;E24,Programudgifter!$S:$S,F24)</f>
        <v>0</v>
      </c>
      <c r="X24">
        <f ca="1">SUMIFS(Programudgifter!$AL:$AL,Programudgifter!$W:$W,B24&amp;C24&amp;D24&amp;E24,Programudgifter!$T:$T,F24)</f>
        <v>0</v>
      </c>
    </row>
    <row r="25" spans="2:24" ht="14.25" customHeight="1" x14ac:dyDescent="0.25">
      <c r="B25" t="s">
        <v>348</v>
      </c>
      <c r="C25" t="s">
        <v>1182</v>
      </c>
      <c r="D25" t="s">
        <v>693</v>
      </c>
      <c r="E25">
        <v>2013</v>
      </c>
      <c r="N25">
        <f ca="1">SUMIFS(Programudgifter!$Y:$Y,Programudgifter!$W:$W,B25&amp;C25&amp;D25&amp;E25)</f>
        <v>0</v>
      </c>
      <c r="O25">
        <f ca="1">SUMIFS(Programudgifter!$Z:$Z,Programudgifter!$W:$W,B25&amp;C25&amp;D25&amp;E25)</f>
        <v>0</v>
      </c>
      <c r="P25">
        <f ca="1">SUMIFS(Programudgifter!$AA:$AA,Programudgifter!$W:$W,B25&amp;C25&amp;D25&amp;E25)</f>
        <v>0</v>
      </c>
      <c r="Q25">
        <f ca="1">SUMIFS(Programudgifter!$AB:$AB,Programudgifter!$W:$W,B25&amp;C25&amp;D25&amp;E25)</f>
        <v>0</v>
      </c>
      <c r="R25">
        <f ca="1">SUMIFS(Programudgifter!$AC:$AC,Programudgifter!$W:$W,B25&amp;C25&amp;D25&amp;E25)</f>
        <v>0</v>
      </c>
      <c r="S25">
        <f ca="1">SUMIFS(Programudgifter!$AG:$AG,Programudgifter!$W:$W,B25&amp;C25&amp;D25&amp;E25,Programudgifter!$S:$S,"")</f>
        <v>0</v>
      </c>
      <c r="U25">
        <f ca="1">SUMIFS(Programudgifter!$AI:$AI,Programudgifter!$W:$W,B25&amp;C25&amp;D25&amp;E25,Programudgifter!$S:$S,"")</f>
        <v>0</v>
      </c>
      <c r="W25">
        <f ca="1">SUMIFS(Programudgifter!$AK:$AK,Programudgifter!$W:$W,B25&amp;C25&amp;D25&amp;E25,Programudgifter!$S:$S,"")</f>
        <v>0</v>
      </c>
    </row>
    <row r="26" spans="2:24" ht="14.25" customHeight="1" x14ac:dyDescent="0.25">
      <c r="B26" t="s">
        <v>348</v>
      </c>
      <c r="C26" t="s">
        <v>1182</v>
      </c>
      <c r="D26" t="s">
        <v>693</v>
      </c>
      <c r="E26">
        <v>2014</v>
      </c>
      <c r="F26" t="s">
        <v>1361</v>
      </c>
      <c r="H26" t="s">
        <v>1194</v>
      </c>
      <c r="S26">
        <f ca="1">SUMIFS(Programudgifter!$AG:$AG,Programudgifter!$W:$W,B26&amp;C26&amp;D26&amp;E26,Programudgifter!$S:$S,F26)</f>
        <v>0</v>
      </c>
      <c r="T26">
        <f ca="1">SUMIFS(Programudgifter!$AH:$AH,Programudgifter!$W:$W,B26&amp;C26&amp;D26&amp;E26,Programudgifter!$T:$T,F26)</f>
        <v>0</v>
      </c>
      <c r="U26">
        <f ca="1">SUMIFS(Programudgifter!$AI:$AI,Programudgifter!$W:$W,B26&amp;C26&amp;D26&amp;E26,Programudgifter!$S:$S,F26)</f>
        <v>0</v>
      </c>
      <c r="V26">
        <f ca="1">SUMIFS(Programudgifter!$AJ:$AJ,Programudgifter!$W:$W,B26&amp;C26&amp;D26&amp;E26,Programudgifter!$T:$T,F26)</f>
        <v>0</v>
      </c>
      <c r="W26">
        <f ca="1">SUMIFS(Programudgifter!$AK:$AK,Programudgifter!$W:$W,B26&amp;C26&amp;D26&amp;E26,Programudgifter!$S:$S,F26)</f>
        <v>0</v>
      </c>
      <c r="X26">
        <f ca="1">SUMIFS(Programudgifter!$AL:$AL,Programudgifter!$W:$W,B26&amp;C26&amp;D26&amp;E26,Programudgifter!$T:$T,F26)</f>
        <v>0</v>
      </c>
    </row>
    <row r="27" spans="2:24" ht="14.25" customHeight="1" x14ac:dyDescent="0.25">
      <c r="B27" t="s">
        <v>348</v>
      </c>
      <c r="C27" t="s">
        <v>1182</v>
      </c>
      <c r="D27" t="s">
        <v>693</v>
      </c>
      <c r="E27">
        <v>2014</v>
      </c>
      <c r="F27" t="s">
        <v>680</v>
      </c>
      <c r="H27" t="s">
        <v>1194</v>
      </c>
      <c r="S27">
        <f ca="1">SUMIFS(Programudgifter!$AG:$AG,Programudgifter!$W:$W,B27&amp;C27&amp;D27&amp;E27,Programudgifter!$S:$S,F27)</f>
        <v>0</v>
      </c>
      <c r="T27">
        <f ca="1">SUMIFS(Programudgifter!$AH:$AH,Programudgifter!$W:$W,B27&amp;C27&amp;D27&amp;E27,Programudgifter!$T:$T,F27)</f>
        <v>0</v>
      </c>
      <c r="U27">
        <f ca="1">SUMIFS(Programudgifter!$AI:$AI,Programudgifter!$W:$W,B27&amp;C27&amp;D27&amp;E27,Programudgifter!$S:$S,F27)</f>
        <v>0</v>
      </c>
      <c r="V27">
        <f ca="1">SUMIFS(Programudgifter!$AJ:$AJ,Programudgifter!$W:$W,B27&amp;C27&amp;D27&amp;E27,Programudgifter!$T:$T,F27)</f>
        <v>0</v>
      </c>
      <c r="W27">
        <f ca="1">SUMIFS(Programudgifter!$AK:$AK,Programudgifter!$W:$W,B27&amp;C27&amp;D27&amp;E27,Programudgifter!$S:$S,F27)</f>
        <v>0</v>
      </c>
      <c r="X27">
        <f ca="1">SUMIFS(Programudgifter!$AL:$AL,Programudgifter!$W:$W,B27&amp;C27&amp;D27&amp;E27,Programudgifter!$T:$T,F27)</f>
        <v>0</v>
      </c>
    </row>
    <row r="28" spans="2:24" ht="14.25" customHeight="1" x14ac:dyDescent="0.25">
      <c r="B28" t="s">
        <v>348</v>
      </c>
      <c r="C28" t="s">
        <v>1182</v>
      </c>
      <c r="D28" t="s">
        <v>693</v>
      </c>
      <c r="E28">
        <v>2014</v>
      </c>
      <c r="N28">
        <f ca="1">SUMIFS(Programudgifter!$Y:$Y,Programudgifter!$W:$W,B28&amp;C28&amp;D28&amp;E28)</f>
        <v>0</v>
      </c>
      <c r="O28">
        <f ca="1">SUMIFS(Programudgifter!$Z:$Z,Programudgifter!$W:$W,B28&amp;C28&amp;D28&amp;E28)</f>
        <v>0</v>
      </c>
      <c r="P28">
        <f ca="1">SUMIFS(Programudgifter!$AA:$AA,Programudgifter!$W:$W,B28&amp;C28&amp;D28&amp;E28)</f>
        <v>0</v>
      </c>
      <c r="Q28">
        <f ca="1">SUMIFS(Programudgifter!$AB:$AB,Programudgifter!$W:$W,B28&amp;C28&amp;D28&amp;E28)</f>
        <v>0</v>
      </c>
      <c r="R28">
        <f ca="1">SUMIFS(Programudgifter!$AC:$AC,Programudgifter!$W:$W,B28&amp;C28&amp;D28&amp;E28)</f>
        <v>0</v>
      </c>
      <c r="S28">
        <f ca="1">SUMIFS(Programudgifter!$AG:$AG,Programudgifter!$W:$W,B28&amp;C28&amp;D28&amp;E28,Programudgifter!$S:$S,"")</f>
        <v>0</v>
      </c>
      <c r="U28">
        <f ca="1">SUMIFS(Programudgifter!$AI:$AI,Programudgifter!$W:$W,B28&amp;C28&amp;D28&amp;E28,Programudgifter!$S:$S,"")</f>
        <v>0</v>
      </c>
      <c r="W28">
        <f ca="1">SUMIFS(Programudgifter!$AK:$AK,Programudgifter!$W:$W,B28&amp;C28&amp;D28&amp;E28,Programudgifter!$S:$S,"")</f>
        <v>0</v>
      </c>
    </row>
    <row r="29" spans="2:24" ht="14.25" customHeight="1" x14ac:dyDescent="0.25">
      <c r="B29" t="s">
        <v>348</v>
      </c>
      <c r="C29" t="s">
        <v>1183</v>
      </c>
      <c r="D29" t="s">
        <v>693</v>
      </c>
      <c r="E29">
        <v>2013</v>
      </c>
      <c r="F29" t="s">
        <v>1361</v>
      </c>
      <c r="H29" t="s">
        <v>1194</v>
      </c>
      <c r="S29">
        <f ca="1">SUMIFS(Programudgifter!$AG:$AG,Programudgifter!$W:$W,B29&amp;C29&amp;D29&amp;E29,Programudgifter!$S:$S,F29)</f>
        <v>0</v>
      </c>
      <c r="T29">
        <f ca="1">SUMIFS(Programudgifter!$AH:$AH,Programudgifter!$W:$W,B29&amp;C29&amp;D29&amp;E29,Programudgifter!$T:$T,F29)</f>
        <v>0</v>
      </c>
      <c r="U29">
        <f ca="1">SUMIFS(Programudgifter!$AI:$AI,Programudgifter!$W:$W,B29&amp;C29&amp;D29&amp;E29,Programudgifter!$S:$S,F29)</f>
        <v>0</v>
      </c>
      <c r="V29">
        <f ca="1">SUMIFS(Programudgifter!$AJ:$AJ,Programudgifter!$W:$W,B29&amp;C29&amp;D29&amp;E29,Programudgifter!$T:$T,F29)</f>
        <v>0</v>
      </c>
      <c r="W29">
        <f ca="1">SUMIFS(Programudgifter!$AK:$AK,Programudgifter!$W:$W,B29&amp;C29&amp;D29&amp;E29,Programudgifter!$S:$S,F29)</f>
        <v>0</v>
      </c>
      <c r="X29">
        <f ca="1">SUMIFS(Programudgifter!$AL:$AL,Programudgifter!$W:$W,B29&amp;C29&amp;D29&amp;E29,Programudgifter!$T:$T,F29)</f>
        <v>0</v>
      </c>
    </row>
    <row r="30" spans="2:24" ht="14.25" customHeight="1" x14ac:dyDescent="0.25">
      <c r="B30" t="s">
        <v>348</v>
      </c>
      <c r="C30" t="s">
        <v>1183</v>
      </c>
      <c r="D30" t="s">
        <v>693</v>
      </c>
      <c r="E30">
        <v>2013</v>
      </c>
      <c r="F30" t="s">
        <v>680</v>
      </c>
      <c r="H30" t="s">
        <v>1194</v>
      </c>
      <c r="S30">
        <f ca="1">SUMIFS(Programudgifter!$AG:$AG,Programudgifter!$W:$W,B30&amp;C30&amp;D30&amp;E30,Programudgifter!$S:$S,F30)</f>
        <v>0</v>
      </c>
      <c r="T30">
        <f ca="1">SUMIFS(Programudgifter!$AH:$AH,Programudgifter!$W:$W,B30&amp;C30&amp;D30&amp;E30,Programudgifter!$T:$T,F30)</f>
        <v>0</v>
      </c>
      <c r="U30">
        <f ca="1">SUMIFS(Programudgifter!$AI:$AI,Programudgifter!$W:$W,B30&amp;C30&amp;D30&amp;E30,Programudgifter!$S:$S,F30)</f>
        <v>0</v>
      </c>
      <c r="V30">
        <f ca="1">SUMIFS(Programudgifter!$AJ:$AJ,Programudgifter!$W:$W,B30&amp;C30&amp;D30&amp;E30,Programudgifter!$T:$T,F30)</f>
        <v>0</v>
      </c>
      <c r="W30">
        <f ca="1">SUMIFS(Programudgifter!$AK:$AK,Programudgifter!$W:$W,B30&amp;C30&amp;D30&amp;E30,Programudgifter!$S:$S,F30)</f>
        <v>0</v>
      </c>
      <c r="X30">
        <f ca="1">SUMIFS(Programudgifter!$AL:$AL,Programudgifter!$W:$W,B30&amp;C30&amp;D30&amp;E30,Programudgifter!$T:$T,F30)</f>
        <v>0</v>
      </c>
    </row>
    <row r="31" spans="2:24" ht="14.25" customHeight="1" x14ac:dyDescent="0.25">
      <c r="B31" t="s">
        <v>348</v>
      </c>
      <c r="C31" t="s">
        <v>1183</v>
      </c>
      <c r="D31" t="s">
        <v>693</v>
      </c>
      <c r="E31">
        <v>2013</v>
      </c>
      <c r="N31">
        <f ca="1">SUMIFS(Programudgifter!$Y:$Y,Programudgifter!$W:$W,B31&amp;C31&amp;D31&amp;E31)</f>
        <v>0</v>
      </c>
      <c r="O31">
        <f ca="1">SUMIFS(Programudgifter!$Z:$Z,Programudgifter!$W:$W,B31&amp;C31&amp;D31&amp;E31)</f>
        <v>0</v>
      </c>
      <c r="P31">
        <f ca="1">SUMIFS(Programudgifter!$AA:$AA,Programudgifter!$W:$W,B31&amp;C31&amp;D31&amp;E31)</f>
        <v>0</v>
      </c>
      <c r="Q31">
        <f ca="1">SUMIFS(Programudgifter!$AB:$AB,Programudgifter!$W:$W,B31&amp;C31&amp;D31&amp;E31)</f>
        <v>0</v>
      </c>
      <c r="R31">
        <f ca="1">SUMIFS(Programudgifter!$AC:$AC,Programudgifter!$W:$W,B31&amp;C31&amp;D31&amp;E31)</f>
        <v>0</v>
      </c>
      <c r="S31">
        <f ca="1">SUMIFS(Programudgifter!$AG:$AG,Programudgifter!$W:$W,B31&amp;C31&amp;D31&amp;E31,Programudgifter!$S:$S,"")</f>
        <v>0</v>
      </c>
      <c r="U31">
        <f ca="1">SUMIFS(Programudgifter!$AI:$AI,Programudgifter!$W:$W,B31&amp;C31&amp;D31&amp;E31,Programudgifter!$S:$S,"")</f>
        <v>0</v>
      </c>
      <c r="W31">
        <f ca="1">SUMIFS(Programudgifter!$AK:$AK,Programudgifter!$W:$W,B31&amp;C31&amp;D31&amp;E31,Programudgifter!$S:$S,"")</f>
        <v>0</v>
      </c>
    </row>
    <row r="32" spans="2:24" ht="14.25" customHeight="1" x14ac:dyDescent="0.25">
      <c r="B32" t="s">
        <v>348</v>
      </c>
      <c r="C32" t="s">
        <v>1183</v>
      </c>
      <c r="D32" t="s">
        <v>693</v>
      </c>
      <c r="E32">
        <v>2014</v>
      </c>
      <c r="F32" t="s">
        <v>1361</v>
      </c>
      <c r="H32" t="s">
        <v>1194</v>
      </c>
      <c r="S32">
        <f ca="1">SUMIFS(Programudgifter!$AG:$AG,Programudgifter!$W:$W,B32&amp;C32&amp;D32&amp;E32,Programudgifter!$S:$S,F32)</f>
        <v>0</v>
      </c>
      <c r="T32">
        <f ca="1">SUMIFS(Programudgifter!$AH:$AH,Programudgifter!$W:$W,B32&amp;C32&amp;D32&amp;E32,Programudgifter!$T:$T,F32)</f>
        <v>0</v>
      </c>
      <c r="U32">
        <f ca="1">SUMIFS(Programudgifter!$AI:$AI,Programudgifter!$W:$W,B32&amp;C32&amp;D32&amp;E32,Programudgifter!$S:$S,F32)</f>
        <v>0</v>
      </c>
      <c r="V32">
        <f ca="1">SUMIFS(Programudgifter!$AJ:$AJ,Programudgifter!$W:$W,B32&amp;C32&amp;D32&amp;E32,Programudgifter!$T:$T,F32)</f>
        <v>0</v>
      </c>
      <c r="W32">
        <f ca="1">SUMIFS(Programudgifter!$AK:$AK,Programudgifter!$W:$W,B32&amp;C32&amp;D32&amp;E32,Programudgifter!$S:$S,F32)</f>
        <v>0</v>
      </c>
      <c r="X32">
        <f ca="1">SUMIFS(Programudgifter!$AL:$AL,Programudgifter!$W:$W,B32&amp;C32&amp;D32&amp;E32,Programudgifter!$T:$T,F32)</f>
        <v>0</v>
      </c>
    </row>
    <row r="33" spans="2:24" ht="14.25" customHeight="1" x14ac:dyDescent="0.25">
      <c r="B33" t="s">
        <v>348</v>
      </c>
      <c r="C33" t="s">
        <v>1183</v>
      </c>
      <c r="D33" t="s">
        <v>693</v>
      </c>
      <c r="E33">
        <v>2014</v>
      </c>
      <c r="F33" t="s">
        <v>680</v>
      </c>
      <c r="H33" t="s">
        <v>1194</v>
      </c>
      <c r="S33">
        <f ca="1">SUMIFS(Programudgifter!$AG:$AG,Programudgifter!$W:$W,B33&amp;C33&amp;D33&amp;E33,Programudgifter!$S:$S,F33)</f>
        <v>0</v>
      </c>
      <c r="T33">
        <f ca="1">SUMIFS(Programudgifter!$AH:$AH,Programudgifter!$W:$W,B33&amp;C33&amp;D33&amp;E33,Programudgifter!$T:$T,F33)</f>
        <v>0</v>
      </c>
      <c r="U33">
        <f ca="1">SUMIFS(Programudgifter!$AI:$AI,Programudgifter!$W:$W,B33&amp;C33&amp;D33&amp;E33,Programudgifter!$S:$S,F33)</f>
        <v>0</v>
      </c>
      <c r="V33">
        <f ca="1">SUMIFS(Programudgifter!$AJ:$AJ,Programudgifter!$W:$W,B33&amp;C33&amp;D33&amp;E33,Programudgifter!$T:$T,F33)</f>
        <v>0</v>
      </c>
      <c r="W33">
        <f ca="1">SUMIFS(Programudgifter!$AK:$AK,Programudgifter!$W:$W,B33&amp;C33&amp;D33&amp;E33,Programudgifter!$S:$S,F33)</f>
        <v>0</v>
      </c>
      <c r="X33">
        <f ca="1">SUMIFS(Programudgifter!$AL:$AL,Programudgifter!$W:$W,B33&amp;C33&amp;D33&amp;E33,Programudgifter!$T:$T,F33)</f>
        <v>0</v>
      </c>
    </row>
    <row r="34" spans="2:24" ht="14.25" customHeight="1" x14ac:dyDescent="0.25">
      <c r="B34" t="s">
        <v>348</v>
      </c>
      <c r="C34" t="s">
        <v>1183</v>
      </c>
      <c r="D34" t="s">
        <v>693</v>
      </c>
      <c r="E34">
        <v>2014</v>
      </c>
      <c r="N34">
        <f ca="1">SUMIFS(Programudgifter!$Y:$Y,Programudgifter!$W:$W,B34&amp;C34&amp;D34&amp;E34)</f>
        <v>0</v>
      </c>
      <c r="O34">
        <f ca="1">SUMIFS(Programudgifter!$Z:$Z,Programudgifter!$W:$W,B34&amp;C34&amp;D34&amp;E34)</f>
        <v>0</v>
      </c>
      <c r="P34">
        <f ca="1">SUMIFS(Programudgifter!$AA:$AA,Programudgifter!$W:$W,B34&amp;C34&amp;D34&amp;E34)</f>
        <v>0</v>
      </c>
      <c r="Q34">
        <f ca="1">SUMIFS(Programudgifter!$AB:$AB,Programudgifter!$W:$W,B34&amp;C34&amp;D34&amp;E34)</f>
        <v>0</v>
      </c>
      <c r="R34">
        <f ca="1">SUMIFS(Programudgifter!$AC:$AC,Programudgifter!$W:$W,B34&amp;C34&amp;D34&amp;E34)</f>
        <v>0</v>
      </c>
      <c r="S34">
        <f ca="1">SUMIFS(Programudgifter!$AG:$AG,Programudgifter!$W:$W,B34&amp;C34&amp;D34&amp;E34,Programudgifter!$S:$S,"")</f>
        <v>0</v>
      </c>
      <c r="U34">
        <f ca="1">SUMIFS(Programudgifter!$AI:$AI,Programudgifter!$W:$W,B34&amp;C34&amp;D34&amp;E34,Programudgifter!$S:$S,"")</f>
        <v>0</v>
      </c>
      <c r="W34">
        <f ca="1">SUMIFS(Programudgifter!$AK:$AK,Programudgifter!$W:$W,B34&amp;C34&amp;D34&amp;E34,Programudgifter!$S:$S,"")</f>
        <v>0</v>
      </c>
    </row>
    <row r="35" spans="2:24" ht="14.25" customHeight="1" x14ac:dyDescent="0.25">
      <c r="B35" t="s">
        <v>348</v>
      </c>
      <c r="C35" t="s">
        <v>84</v>
      </c>
      <c r="D35" t="s">
        <v>693</v>
      </c>
      <c r="E35">
        <v>2013</v>
      </c>
      <c r="F35" t="s">
        <v>1361</v>
      </c>
      <c r="H35" t="s">
        <v>1194</v>
      </c>
      <c r="S35">
        <f ca="1">SUMIFS(Programudgifter!$AG:$AG,Programudgifter!$W:$W,B35&amp;C35&amp;D35&amp;E35,Programudgifter!$S:$S,F35)</f>
        <v>0</v>
      </c>
      <c r="T35">
        <f ca="1">SUMIFS(Programudgifter!$AH:$AH,Programudgifter!$W:$W,B35&amp;C35&amp;D35&amp;E35,Programudgifter!$T:$T,F35)</f>
        <v>0</v>
      </c>
      <c r="U35">
        <f ca="1">SUMIFS(Programudgifter!$AI:$AI,Programudgifter!$W:$W,B35&amp;C35&amp;D35&amp;E35,Programudgifter!$S:$S,F35)</f>
        <v>0</v>
      </c>
      <c r="V35">
        <f ca="1">SUMIFS(Programudgifter!$AJ:$AJ,Programudgifter!$W:$W,B35&amp;C35&amp;D35&amp;E35,Programudgifter!$T:$T,F35)</f>
        <v>0</v>
      </c>
      <c r="W35">
        <f ca="1">SUMIFS(Programudgifter!$AK:$AK,Programudgifter!$W:$W,B35&amp;C35&amp;D35&amp;E35,Programudgifter!$S:$S,F35)</f>
        <v>0</v>
      </c>
      <c r="X35">
        <f ca="1">SUMIFS(Programudgifter!$AL:$AL,Programudgifter!$W:$W,B35&amp;C35&amp;D35&amp;E35,Programudgifter!$T:$T,F35)</f>
        <v>0</v>
      </c>
    </row>
    <row r="36" spans="2:24" ht="14.25" customHeight="1" x14ac:dyDescent="0.25">
      <c r="B36" t="s">
        <v>348</v>
      </c>
      <c r="C36" t="s">
        <v>84</v>
      </c>
      <c r="D36" t="s">
        <v>693</v>
      </c>
      <c r="E36">
        <v>2013</v>
      </c>
      <c r="F36" t="s">
        <v>680</v>
      </c>
      <c r="H36" t="s">
        <v>1194</v>
      </c>
      <c r="S36">
        <f ca="1">SUMIFS(Programudgifter!$AG:$AG,Programudgifter!$W:$W,B36&amp;C36&amp;D36&amp;E36,Programudgifter!$S:$S,F36)</f>
        <v>0</v>
      </c>
      <c r="T36">
        <f ca="1">SUMIFS(Programudgifter!$AH:$AH,Programudgifter!$W:$W,B36&amp;C36&amp;D36&amp;E36,Programudgifter!$T:$T,F36)</f>
        <v>0</v>
      </c>
      <c r="U36">
        <f ca="1">SUMIFS(Programudgifter!$AI:$AI,Programudgifter!$W:$W,B36&amp;C36&amp;D36&amp;E36,Programudgifter!$S:$S,F36)</f>
        <v>0</v>
      </c>
      <c r="V36">
        <f ca="1">SUMIFS(Programudgifter!$AJ:$AJ,Programudgifter!$W:$W,B36&amp;C36&amp;D36&amp;E36,Programudgifter!$T:$T,F36)</f>
        <v>0</v>
      </c>
      <c r="W36">
        <f ca="1">SUMIFS(Programudgifter!$AK:$AK,Programudgifter!$W:$W,B36&amp;C36&amp;D36&amp;E36,Programudgifter!$S:$S,F36)</f>
        <v>0</v>
      </c>
      <c r="X36">
        <f ca="1">SUMIFS(Programudgifter!$AL:$AL,Programudgifter!$W:$W,B36&amp;C36&amp;D36&amp;E36,Programudgifter!$T:$T,F36)</f>
        <v>0</v>
      </c>
    </row>
    <row r="37" spans="2:24" ht="14.25" customHeight="1" x14ac:dyDescent="0.25">
      <c r="B37" t="s">
        <v>348</v>
      </c>
      <c r="C37" t="s">
        <v>84</v>
      </c>
      <c r="D37" t="s">
        <v>693</v>
      </c>
      <c r="E37">
        <v>2013</v>
      </c>
      <c r="N37">
        <f ca="1">SUMIFS(Programudgifter!$Y:$Y,Programudgifter!$W:$W,B37&amp;C37&amp;D37&amp;E37)</f>
        <v>0</v>
      </c>
      <c r="O37">
        <f ca="1">SUMIFS(Programudgifter!$Z:$Z,Programudgifter!$W:$W,B37&amp;C37&amp;D37&amp;E37)</f>
        <v>0</v>
      </c>
      <c r="P37">
        <f ca="1">SUMIFS(Programudgifter!$AA:$AA,Programudgifter!$W:$W,B37&amp;C37&amp;D37&amp;E37)</f>
        <v>0</v>
      </c>
      <c r="Q37">
        <f ca="1">SUMIFS(Programudgifter!$AB:$AB,Programudgifter!$W:$W,B37&amp;C37&amp;D37&amp;E37)</f>
        <v>0</v>
      </c>
      <c r="R37">
        <f ca="1">SUMIFS(Programudgifter!$AC:$AC,Programudgifter!$W:$W,B37&amp;C37&amp;D37&amp;E37)</f>
        <v>0</v>
      </c>
      <c r="S37">
        <f ca="1">SUMIFS(Programudgifter!$AG:$AG,Programudgifter!$W:$W,B37&amp;C37&amp;D37&amp;E37,Programudgifter!$S:$S,"")</f>
        <v>0</v>
      </c>
      <c r="U37">
        <f ca="1">SUMIFS(Programudgifter!$AI:$AI,Programudgifter!$W:$W,B37&amp;C37&amp;D37&amp;E37,Programudgifter!$S:$S,"")</f>
        <v>0</v>
      </c>
      <c r="W37">
        <f ca="1">SUMIFS(Programudgifter!$AK:$AK,Programudgifter!$W:$W,B37&amp;C37&amp;D37&amp;E37,Programudgifter!$S:$S,"")</f>
        <v>0</v>
      </c>
    </row>
    <row r="38" spans="2:24" ht="14.25" customHeight="1" x14ac:dyDescent="0.25">
      <c r="B38" t="s">
        <v>348</v>
      </c>
      <c r="C38" t="s">
        <v>84</v>
      </c>
      <c r="D38" t="s">
        <v>693</v>
      </c>
      <c r="E38">
        <v>2014</v>
      </c>
      <c r="F38" t="s">
        <v>1361</v>
      </c>
      <c r="H38" t="s">
        <v>1194</v>
      </c>
      <c r="S38">
        <f ca="1">SUMIFS(Programudgifter!$AG:$AG,Programudgifter!$W:$W,B38&amp;C38&amp;D38&amp;E38,Programudgifter!$S:$S,F38)</f>
        <v>0</v>
      </c>
      <c r="T38">
        <f ca="1">SUMIFS(Programudgifter!$AH:$AH,Programudgifter!$W:$W,B38&amp;C38&amp;D38&amp;E38,Programudgifter!$T:$T,F38)</f>
        <v>0</v>
      </c>
      <c r="U38">
        <f ca="1">SUMIFS(Programudgifter!$AI:$AI,Programudgifter!$W:$W,B38&amp;C38&amp;D38&amp;E38,Programudgifter!$S:$S,F38)</f>
        <v>0</v>
      </c>
      <c r="V38">
        <f ca="1">SUMIFS(Programudgifter!$AJ:$AJ,Programudgifter!$W:$W,B38&amp;C38&amp;D38&amp;E38,Programudgifter!$T:$T,F38)</f>
        <v>0</v>
      </c>
      <c r="W38">
        <f ca="1">SUMIFS(Programudgifter!$AK:$AK,Programudgifter!$W:$W,B38&amp;C38&amp;D38&amp;E38,Programudgifter!$S:$S,F38)</f>
        <v>0</v>
      </c>
      <c r="X38">
        <f ca="1">SUMIFS(Programudgifter!$AL:$AL,Programudgifter!$W:$W,B38&amp;C38&amp;D38&amp;E38,Programudgifter!$T:$T,F38)</f>
        <v>0</v>
      </c>
    </row>
    <row r="39" spans="2:24" ht="14.25" customHeight="1" x14ac:dyDescent="0.25">
      <c r="B39" t="s">
        <v>348</v>
      </c>
      <c r="C39" t="s">
        <v>84</v>
      </c>
      <c r="D39" t="s">
        <v>693</v>
      </c>
      <c r="E39">
        <v>2014</v>
      </c>
      <c r="F39" t="s">
        <v>680</v>
      </c>
      <c r="H39" t="s">
        <v>1194</v>
      </c>
      <c r="S39">
        <f ca="1">SUMIFS(Programudgifter!$AG:$AG,Programudgifter!$W:$W,B39&amp;C39&amp;D39&amp;E39,Programudgifter!$S:$S,F39)</f>
        <v>0</v>
      </c>
      <c r="T39">
        <f ca="1">SUMIFS(Programudgifter!$AH:$AH,Programudgifter!$W:$W,B39&amp;C39&amp;D39&amp;E39,Programudgifter!$T:$T,F39)</f>
        <v>0</v>
      </c>
      <c r="U39">
        <f ca="1">SUMIFS(Programudgifter!$AI:$AI,Programudgifter!$W:$W,B39&amp;C39&amp;D39&amp;E39,Programudgifter!$S:$S,F39)</f>
        <v>0</v>
      </c>
      <c r="V39">
        <f ca="1">SUMIFS(Programudgifter!$AJ:$AJ,Programudgifter!$W:$W,B39&amp;C39&amp;D39&amp;E39,Programudgifter!$T:$T,F39)</f>
        <v>0</v>
      </c>
      <c r="W39">
        <f ca="1">SUMIFS(Programudgifter!$AK:$AK,Programudgifter!$W:$W,B39&amp;C39&amp;D39&amp;E39,Programudgifter!$S:$S,F39)</f>
        <v>0</v>
      </c>
      <c r="X39">
        <f ca="1">SUMIFS(Programudgifter!$AL:$AL,Programudgifter!$W:$W,B39&amp;C39&amp;D39&amp;E39,Programudgifter!$T:$T,F39)</f>
        <v>0</v>
      </c>
    </row>
    <row r="40" spans="2:24" ht="14.25" customHeight="1" x14ac:dyDescent="0.25">
      <c r="B40" t="s">
        <v>348</v>
      </c>
      <c r="C40" t="s">
        <v>84</v>
      </c>
      <c r="D40" t="s">
        <v>693</v>
      </c>
      <c r="E40">
        <v>2014</v>
      </c>
      <c r="N40">
        <f ca="1">SUMIFS(Programudgifter!$Y:$Y,Programudgifter!$W:$W,B40&amp;C40&amp;D40&amp;E40)</f>
        <v>0</v>
      </c>
      <c r="O40">
        <f ca="1">SUMIFS(Programudgifter!$Z:$Z,Programudgifter!$W:$W,B40&amp;C40&amp;D40&amp;E40)</f>
        <v>0</v>
      </c>
      <c r="P40">
        <f ca="1">SUMIFS(Programudgifter!$AA:$AA,Programudgifter!$W:$W,B40&amp;C40&amp;D40&amp;E40)</f>
        <v>0</v>
      </c>
      <c r="Q40">
        <f ca="1">SUMIFS(Programudgifter!$AB:$AB,Programudgifter!$W:$W,B40&amp;C40&amp;D40&amp;E40)</f>
        <v>0</v>
      </c>
      <c r="R40">
        <f ca="1">SUMIFS(Programudgifter!$AC:$AC,Programudgifter!$W:$W,B40&amp;C40&amp;D40&amp;E40)</f>
        <v>0</v>
      </c>
      <c r="S40">
        <f ca="1">SUMIFS(Programudgifter!$AG:$AG,Programudgifter!$W:$W,B40&amp;C40&amp;D40&amp;E40,Programudgifter!$S:$S,"")</f>
        <v>0</v>
      </c>
      <c r="U40">
        <f ca="1">SUMIFS(Programudgifter!$AI:$AI,Programudgifter!$W:$W,B40&amp;C40&amp;D40&amp;E40,Programudgifter!$S:$S,"")</f>
        <v>0</v>
      </c>
      <c r="W40">
        <f ca="1">SUMIFS(Programudgifter!$AK:$AK,Programudgifter!$W:$W,B40&amp;C40&amp;D40&amp;E40,Programudgifter!$S:$S,"")</f>
        <v>0</v>
      </c>
    </row>
    <row r="41" spans="2:24" ht="14.25" customHeight="1" x14ac:dyDescent="0.25">
      <c r="B41" t="s">
        <v>348</v>
      </c>
      <c r="C41" t="s">
        <v>85</v>
      </c>
      <c r="D41" t="s">
        <v>693</v>
      </c>
      <c r="E41">
        <v>2013</v>
      </c>
      <c r="F41" t="s">
        <v>1361</v>
      </c>
      <c r="H41" t="s">
        <v>1194</v>
      </c>
      <c r="S41">
        <f ca="1">SUMIFS(Programudgifter!$AG:$AG,Programudgifter!$W:$W,B41&amp;C41&amp;D41&amp;E41,Programudgifter!$S:$S,F41)</f>
        <v>0</v>
      </c>
      <c r="T41">
        <f ca="1">SUMIFS(Programudgifter!$AH:$AH,Programudgifter!$W:$W,B41&amp;C41&amp;D41&amp;E41,Programudgifter!$T:$T,F41)</f>
        <v>0</v>
      </c>
      <c r="U41">
        <f ca="1">SUMIFS(Programudgifter!$AI:$AI,Programudgifter!$W:$W,B41&amp;C41&amp;D41&amp;E41,Programudgifter!$S:$S,F41)</f>
        <v>0</v>
      </c>
      <c r="V41">
        <f ca="1">SUMIFS(Programudgifter!$AJ:$AJ,Programudgifter!$W:$W,B41&amp;C41&amp;D41&amp;E41,Programudgifter!$T:$T,F41)</f>
        <v>0</v>
      </c>
      <c r="W41">
        <f ca="1">SUMIFS(Programudgifter!$AK:$AK,Programudgifter!$W:$W,B41&amp;C41&amp;D41&amp;E41,Programudgifter!$S:$S,F41)</f>
        <v>0</v>
      </c>
      <c r="X41">
        <f ca="1">SUMIFS(Programudgifter!$AL:$AL,Programudgifter!$W:$W,B41&amp;C41&amp;D41&amp;E41,Programudgifter!$T:$T,F41)</f>
        <v>0</v>
      </c>
    </row>
    <row r="42" spans="2:24" ht="14.25" customHeight="1" x14ac:dyDescent="0.25">
      <c r="B42" t="s">
        <v>348</v>
      </c>
      <c r="C42" t="s">
        <v>85</v>
      </c>
      <c r="D42" t="s">
        <v>693</v>
      </c>
      <c r="E42">
        <v>2013</v>
      </c>
      <c r="F42" t="s">
        <v>680</v>
      </c>
      <c r="H42" t="s">
        <v>1194</v>
      </c>
      <c r="S42">
        <f ca="1">SUMIFS(Programudgifter!$AG:$AG,Programudgifter!$W:$W,B42&amp;C42&amp;D42&amp;E42,Programudgifter!$S:$S,F42)</f>
        <v>0</v>
      </c>
      <c r="T42">
        <f ca="1">SUMIFS(Programudgifter!$AH:$AH,Programudgifter!$W:$W,B42&amp;C42&amp;D42&amp;E42,Programudgifter!$T:$T,F42)</f>
        <v>0</v>
      </c>
      <c r="U42">
        <f ca="1">SUMIFS(Programudgifter!$AI:$AI,Programudgifter!$W:$W,B42&amp;C42&amp;D42&amp;E42,Programudgifter!$S:$S,F42)</f>
        <v>0</v>
      </c>
      <c r="V42">
        <f ca="1">SUMIFS(Programudgifter!$AJ:$AJ,Programudgifter!$W:$W,B42&amp;C42&amp;D42&amp;E42,Programudgifter!$T:$T,F42)</f>
        <v>0</v>
      </c>
      <c r="W42">
        <f ca="1">SUMIFS(Programudgifter!$AK:$AK,Programudgifter!$W:$W,B42&amp;C42&amp;D42&amp;E42,Programudgifter!$S:$S,F42)</f>
        <v>0</v>
      </c>
      <c r="X42">
        <f ca="1">SUMIFS(Programudgifter!$AL:$AL,Programudgifter!$W:$W,B42&amp;C42&amp;D42&amp;E42,Programudgifter!$T:$T,F42)</f>
        <v>0</v>
      </c>
    </row>
    <row r="43" spans="2:24" ht="14.25" customHeight="1" x14ac:dyDescent="0.25">
      <c r="B43" t="s">
        <v>348</v>
      </c>
      <c r="C43" t="s">
        <v>85</v>
      </c>
      <c r="D43" t="s">
        <v>693</v>
      </c>
      <c r="E43">
        <v>2013</v>
      </c>
      <c r="N43">
        <f ca="1">SUMIFS(Programudgifter!$Y:$Y,Programudgifter!$W:$W,B43&amp;C43&amp;D43&amp;E43)</f>
        <v>0</v>
      </c>
      <c r="O43">
        <f ca="1">SUMIFS(Programudgifter!$Z:$Z,Programudgifter!$W:$W,B43&amp;C43&amp;D43&amp;E43)</f>
        <v>0</v>
      </c>
      <c r="P43">
        <f ca="1">SUMIFS(Programudgifter!$AA:$AA,Programudgifter!$W:$W,B43&amp;C43&amp;D43&amp;E43)</f>
        <v>0</v>
      </c>
      <c r="Q43">
        <f ca="1">SUMIFS(Programudgifter!$AB:$AB,Programudgifter!$W:$W,B43&amp;C43&amp;D43&amp;E43)</f>
        <v>0</v>
      </c>
      <c r="R43">
        <f ca="1">SUMIFS(Programudgifter!$AC:$AC,Programudgifter!$W:$W,B43&amp;C43&amp;D43&amp;E43)</f>
        <v>0</v>
      </c>
      <c r="S43">
        <f ca="1">SUMIFS(Programudgifter!$AG:$AG,Programudgifter!$W:$W,B43&amp;C43&amp;D43&amp;E43,Programudgifter!$S:$S,"")</f>
        <v>0</v>
      </c>
      <c r="U43">
        <f ca="1">SUMIFS(Programudgifter!$AI:$AI,Programudgifter!$W:$W,B43&amp;C43&amp;D43&amp;E43,Programudgifter!$S:$S,"")</f>
        <v>0</v>
      </c>
      <c r="W43">
        <f ca="1">SUMIFS(Programudgifter!$AK:$AK,Programudgifter!$W:$W,B43&amp;C43&amp;D43&amp;E43,Programudgifter!$S:$S,"")</f>
        <v>0</v>
      </c>
    </row>
    <row r="44" spans="2:24" ht="14.25" customHeight="1" x14ac:dyDescent="0.25">
      <c r="B44" t="s">
        <v>348</v>
      </c>
      <c r="C44" t="s">
        <v>85</v>
      </c>
      <c r="D44" t="s">
        <v>693</v>
      </c>
      <c r="E44">
        <v>2014</v>
      </c>
      <c r="F44" t="s">
        <v>1361</v>
      </c>
      <c r="H44" t="s">
        <v>1194</v>
      </c>
      <c r="S44">
        <f ca="1">SUMIFS(Programudgifter!$AG:$AG,Programudgifter!$W:$W,B44&amp;C44&amp;D44&amp;E44,Programudgifter!$S:$S,F44)</f>
        <v>0</v>
      </c>
      <c r="T44">
        <f ca="1">SUMIFS(Programudgifter!$AH:$AH,Programudgifter!$W:$W,B44&amp;C44&amp;D44&amp;E44,Programudgifter!$T:$T,F44)</f>
        <v>0</v>
      </c>
      <c r="U44">
        <f ca="1">SUMIFS(Programudgifter!$AI:$AI,Programudgifter!$W:$W,B44&amp;C44&amp;D44&amp;E44,Programudgifter!$S:$S,F44)</f>
        <v>0</v>
      </c>
      <c r="V44">
        <f ca="1">SUMIFS(Programudgifter!$AJ:$AJ,Programudgifter!$W:$W,B44&amp;C44&amp;D44&amp;E44,Programudgifter!$T:$T,F44)</f>
        <v>0</v>
      </c>
      <c r="W44">
        <f ca="1">SUMIFS(Programudgifter!$AK:$AK,Programudgifter!$W:$W,B44&amp;C44&amp;D44&amp;E44,Programudgifter!$S:$S,F44)</f>
        <v>0</v>
      </c>
      <c r="X44">
        <f ca="1">SUMIFS(Programudgifter!$AL:$AL,Programudgifter!$W:$W,B44&amp;C44&amp;D44&amp;E44,Programudgifter!$T:$T,F44)</f>
        <v>0</v>
      </c>
    </row>
    <row r="45" spans="2:24" ht="14.25" customHeight="1" x14ac:dyDescent="0.25">
      <c r="B45" t="s">
        <v>348</v>
      </c>
      <c r="C45" t="s">
        <v>85</v>
      </c>
      <c r="D45" t="s">
        <v>693</v>
      </c>
      <c r="E45">
        <v>2014</v>
      </c>
      <c r="F45" t="s">
        <v>680</v>
      </c>
      <c r="H45" t="s">
        <v>1194</v>
      </c>
      <c r="S45">
        <f ca="1">SUMIFS(Programudgifter!$AG:$AG,Programudgifter!$W:$W,B45&amp;C45&amp;D45&amp;E45,Programudgifter!$S:$S,F45)</f>
        <v>0</v>
      </c>
      <c r="T45">
        <f ca="1">SUMIFS(Programudgifter!$AH:$AH,Programudgifter!$W:$W,B45&amp;C45&amp;D45&amp;E45,Programudgifter!$T:$T,F45)</f>
        <v>0</v>
      </c>
      <c r="U45">
        <f ca="1">SUMIFS(Programudgifter!$AI:$AI,Programudgifter!$W:$W,B45&amp;C45&amp;D45&amp;E45,Programudgifter!$S:$S,F45)</f>
        <v>0</v>
      </c>
      <c r="V45">
        <f ca="1">SUMIFS(Programudgifter!$AJ:$AJ,Programudgifter!$W:$W,B45&amp;C45&amp;D45&amp;E45,Programudgifter!$T:$T,F45)</f>
        <v>0</v>
      </c>
      <c r="W45">
        <f ca="1">SUMIFS(Programudgifter!$AK:$AK,Programudgifter!$W:$W,B45&amp;C45&amp;D45&amp;E45,Programudgifter!$S:$S,F45)</f>
        <v>0</v>
      </c>
      <c r="X45">
        <f ca="1">SUMIFS(Programudgifter!$AL:$AL,Programudgifter!$W:$W,B45&amp;C45&amp;D45&amp;E45,Programudgifter!$T:$T,F45)</f>
        <v>0</v>
      </c>
    </row>
    <row r="46" spans="2:24" ht="14.25" customHeight="1" x14ac:dyDescent="0.25">
      <c r="B46" t="s">
        <v>348</v>
      </c>
      <c r="C46" t="s">
        <v>85</v>
      </c>
      <c r="D46" t="s">
        <v>693</v>
      </c>
      <c r="E46">
        <v>2014</v>
      </c>
      <c r="N46">
        <f ca="1">SUMIFS(Programudgifter!$Y:$Y,Programudgifter!$W:$W,B46&amp;C46&amp;D46&amp;E46)</f>
        <v>0</v>
      </c>
      <c r="O46">
        <f ca="1">SUMIFS(Programudgifter!$Z:$Z,Programudgifter!$W:$W,B46&amp;C46&amp;D46&amp;E46)</f>
        <v>0</v>
      </c>
      <c r="P46">
        <f ca="1">SUMIFS(Programudgifter!$AA:$AA,Programudgifter!$W:$W,B46&amp;C46&amp;D46&amp;E46)</f>
        <v>0</v>
      </c>
      <c r="Q46">
        <f ca="1">SUMIFS(Programudgifter!$AB:$AB,Programudgifter!$W:$W,B46&amp;C46&amp;D46&amp;E46)</f>
        <v>0</v>
      </c>
      <c r="R46">
        <f ca="1">SUMIFS(Programudgifter!$AC:$AC,Programudgifter!$W:$W,B46&amp;C46&amp;D46&amp;E46)</f>
        <v>0</v>
      </c>
      <c r="S46">
        <f ca="1">SUMIFS(Programudgifter!$AG:$AG,Programudgifter!$W:$W,B46&amp;C46&amp;D46&amp;E46,Programudgifter!$S:$S,"")</f>
        <v>0</v>
      </c>
      <c r="U46">
        <f ca="1">SUMIFS(Programudgifter!$AI:$AI,Programudgifter!$W:$W,B46&amp;C46&amp;D46&amp;E46,Programudgifter!$S:$S,"")</f>
        <v>0</v>
      </c>
      <c r="W46">
        <f ca="1">SUMIFS(Programudgifter!$AK:$AK,Programudgifter!$W:$W,B46&amp;C46&amp;D46&amp;E46,Programudgifter!$S:$S,"")</f>
        <v>0</v>
      </c>
    </row>
    <row r="47" spans="2:24" ht="14.25" customHeight="1" x14ac:dyDescent="0.25">
      <c r="B47" t="s">
        <v>348</v>
      </c>
      <c r="C47" t="s">
        <v>86</v>
      </c>
      <c r="D47" t="s">
        <v>693</v>
      </c>
      <c r="E47">
        <v>2013</v>
      </c>
      <c r="F47" t="s">
        <v>1361</v>
      </c>
      <c r="H47" t="s">
        <v>1194</v>
      </c>
      <c r="S47">
        <f ca="1">SUMIFS(Programudgifter!$AG:$AG,Programudgifter!$W:$W,B47&amp;C47&amp;D47&amp;E47,Programudgifter!$S:$S,F47)</f>
        <v>0</v>
      </c>
      <c r="T47">
        <f ca="1">SUMIFS(Programudgifter!$AH:$AH,Programudgifter!$W:$W,B47&amp;C47&amp;D47&amp;E47,Programudgifter!$T:$T,F47)</f>
        <v>0</v>
      </c>
      <c r="U47">
        <f ca="1">SUMIFS(Programudgifter!$AI:$AI,Programudgifter!$W:$W,B47&amp;C47&amp;D47&amp;E47,Programudgifter!$S:$S,F47)</f>
        <v>0</v>
      </c>
      <c r="V47">
        <f ca="1">SUMIFS(Programudgifter!$AJ:$AJ,Programudgifter!$W:$W,B47&amp;C47&amp;D47&amp;E47,Programudgifter!$T:$T,F47)</f>
        <v>0</v>
      </c>
      <c r="W47">
        <f ca="1">SUMIFS(Programudgifter!$AK:$AK,Programudgifter!$W:$W,B47&amp;C47&amp;D47&amp;E47,Programudgifter!$S:$S,F47)</f>
        <v>0</v>
      </c>
      <c r="X47">
        <f ca="1">SUMIFS(Programudgifter!$AL:$AL,Programudgifter!$W:$W,B47&amp;C47&amp;D47&amp;E47,Programudgifter!$T:$T,F47)</f>
        <v>0</v>
      </c>
    </row>
    <row r="48" spans="2:24" ht="14.25" customHeight="1" x14ac:dyDescent="0.25">
      <c r="B48" t="s">
        <v>348</v>
      </c>
      <c r="C48" t="s">
        <v>86</v>
      </c>
      <c r="D48" t="s">
        <v>693</v>
      </c>
      <c r="E48">
        <v>2013</v>
      </c>
      <c r="F48" t="s">
        <v>680</v>
      </c>
      <c r="H48" t="s">
        <v>1194</v>
      </c>
      <c r="S48">
        <f ca="1">SUMIFS(Programudgifter!$AG:$AG,Programudgifter!$W:$W,B48&amp;C48&amp;D48&amp;E48,Programudgifter!$S:$S,F48)</f>
        <v>0</v>
      </c>
      <c r="T48">
        <f ca="1">SUMIFS(Programudgifter!$AH:$AH,Programudgifter!$W:$W,B48&amp;C48&amp;D48&amp;E48,Programudgifter!$T:$T,F48)</f>
        <v>0</v>
      </c>
      <c r="U48">
        <f ca="1">SUMIFS(Programudgifter!$AI:$AI,Programudgifter!$W:$W,B48&amp;C48&amp;D48&amp;E48,Programudgifter!$S:$S,F48)</f>
        <v>0</v>
      </c>
      <c r="V48">
        <f ca="1">SUMIFS(Programudgifter!$AJ:$AJ,Programudgifter!$W:$W,B48&amp;C48&amp;D48&amp;E48,Programudgifter!$T:$T,F48)</f>
        <v>0</v>
      </c>
      <c r="W48">
        <f ca="1">SUMIFS(Programudgifter!$AK:$AK,Programudgifter!$W:$W,B48&amp;C48&amp;D48&amp;E48,Programudgifter!$S:$S,F48)</f>
        <v>0</v>
      </c>
      <c r="X48">
        <f ca="1">SUMIFS(Programudgifter!$AL:$AL,Programudgifter!$W:$W,B48&amp;C48&amp;D48&amp;E48,Programudgifter!$T:$T,F48)</f>
        <v>0</v>
      </c>
    </row>
    <row r="49" spans="2:24" ht="14.25" customHeight="1" x14ac:dyDescent="0.25">
      <c r="B49" t="s">
        <v>348</v>
      </c>
      <c r="C49" t="s">
        <v>86</v>
      </c>
      <c r="D49" t="s">
        <v>693</v>
      </c>
      <c r="E49">
        <v>2013</v>
      </c>
      <c r="N49">
        <f ca="1">SUMIFS(Programudgifter!$Y:$Y,Programudgifter!$W:$W,B49&amp;C49&amp;D49&amp;E49)</f>
        <v>0</v>
      </c>
      <c r="O49">
        <f ca="1">SUMIFS(Programudgifter!$Z:$Z,Programudgifter!$W:$W,B49&amp;C49&amp;D49&amp;E49)</f>
        <v>0</v>
      </c>
      <c r="P49">
        <f ca="1">SUMIFS(Programudgifter!$AA:$AA,Programudgifter!$W:$W,B49&amp;C49&amp;D49&amp;E49)</f>
        <v>0</v>
      </c>
      <c r="Q49">
        <f ca="1">SUMIFS(Programudgifter!$AB:$AB,Programudgifter!$W:$W,B49&amp;C49&amp;D49&amp;E49)</f>
        <v>0</v>
      </c>
      <c r="R49">
        <f ca="1">SUMIFS(Programudgifter!$AC:$AC,Programudgifter!$W:$W,B49&amp;C49&amp;D49&amp;E49)</f>
        <v>0</v>
      </c>
      <c r="S49">
        <f ca="1">SUMIFS(Programudgifter!$AG:$AG,Programudgifter!$W:$W,B49&amp;C49&amp;D49&amp;E49,Programudgifter!$S:$S,"")</f>
        <v>0</v>
      </c>
      <c r="U49">
        <f ca="1">SUMIFS(Programudgifter!$AI:$AI,Programudgifter!$W:$W,B49&amp;C49&amp;D49&amp;E49,Programudgifter!$S:$S,"")</f>
        <v>0</v>
      </c>
      <c r="W49">
        <f ca="1">SUMIFS(Programudgifter!$AK:$AK,Programudgifter!$W:$W,B49&amp;C49&amp;D49&amp;E49,Programudgifter!$S:$S,"")</f>
        <v>0</v>
      </c>
    </row>
    <row r="50" spans="2:24" ht="14.25" customHeight="1" x14ac:dyDescent="0.25">
      <c r="B50" t="s">
        <v>348</v>
      </c>
      <c r="C50" t="s">
        <v>86</v>
      </c>
      <c r="D50" t="s">
        <v>693</v>
      </c>
      <c r="E50">
        <v>2014</v>
      </c>
      <c r="F50" t="s">
        <v>1361</v>
      </c>
      <c r="H50" t="s">
        <v>1194</v>
      </c>
      <c r="S50">
        <f ca="1">SUMIFS(Programudgifter!$AG:$AG,Programudgifter!$W:$W,B50&amp;C50&amp;D50&amp;E50,Programudgifter!$S:$S,F50)</f>
        <v>0</v>
      </c>
      <c r="T50">
        <f ca="1">SUMIFS(Programudgifter!$AH:$AH,Programudgifter!$W:$W,B50&amp;C50&amp;D50&amp;E50,Programudgifter!$T:$T,F50)</f>
        <v>0</v>
      </c>
      <c r="U50">
        <f ca="1">SUMIFS(Programudgifter!$AI:$AI,Programudgifter!$W:$W,B50&amp;C50&amp;D50&amp;E50,Programudgifter!$S:$S,F50)</f>
        <v>0</v>
      </c>
      <c r="V50">
        <f ca="1">SUMIFS(Programudgifter!$AJ:$AJ,Programudgifter!$W:$W,B50&amp;C50&amp;D50&amp;E50,Programudgifter!$T:$T,F50)</f>
        <v>0</v>
      </c>
      <c r="W50">
        <f ca="1">SUMIFS(Programudgifter!$AK:$AK,Programudgifter!$W:$W,B50&amp;C50&amp;D50&amp;E50,Programudgifter!$S:$S,F50)</f>
        <v>0</v>
      </c>
      <c r="X50">
        <f ca="1">SUMIFS(Programudgifter!$AL:$AL,Programudgifter!$W:$W,B50&amp;C50&amp;D50&amp;E50,Programudgifter!$T:$T,F50)</f>
        <v>0</v>
      </c>
    </row>
    <row r="51" spans="2:24" ht="14.25" customHeight="1" x14ac:dyDescent="0.25">
      <c r="B51" t="s">
        <v>348</v>
      </c>
      <c r="C51" t="s">
        <v>86</v>
      </c>
      <c r="D51" t="s">
        <v>693</v>
      </c>
      <c r="E51">
        <v>2014</v>
      </c>
      <c r="F51" t="s">
        <v>680</v>
      </c>
      <c r="H51" t="s">
        <v>1194</v>
      </c>
      <c r="S51">
        <f ca="1">SUMIFS(Programudgifter!$AG:$AG,Programudgifter!$W:$W,B51&amp;C51&amp;D51&amp;E51,Programudgifter!$S:$S,F51)</f>
        <v>0</v>
      </c>
      <c r="T51">
        <f ca="1">SUMIFS(Programudgifter!$AH:$AH,Programudgifter!$W:$W,B51&amp;C51&amp;D51&amp;E51,Programudgifter!$T:$T,F51)</f>
        <v>0</v>
      </c>
      <c r="U51">
        <f ca="1">SUMIFS(Programudgifter!$AI:$AI,Programudgifter!$W:$W,B51&amp;C51&amp;D51&amp;E51,Programudgifter!$S:$S,F51)</f>
        <v>0</v>
      </c>
      <c r="V51">
        <f ca="1">SUMIFS(Programudgifter!$AJ:$AJ,Programudgifter!$W:$W,B51&amp;C51&amp;D51&amp;E51,Programudgifter!$T:$T,F51)</f>
        <v>0</v>
      </c>
      <c r="W51">
        <f ca="1">SUMIFS(Programudgifter!$AK:$AK,Programudgifter!$W:$W,B51&amp;C51&amp;D51&amp;E51,Programudgifter!$S:$S,F51)</f>
        <v>0</v>
      </c>
      <c r="X51">
        <f ca="1">SUMIFS(Programudgifter!$AL:$AL,Programudgifter!$W:$W,B51&amp;C51&amp;D51&amp;E51,Programudgifter!$T:$T,F51)</f>
        <v>0</v>
      </c>
    </row>
    <row r="52" spans="2:24" ht="14.25" customHeight="1" x14ac:dyDescent="0.25">
      <c r="B52" t="s">
        <v>348</v>
      </c>
      <c r="C52" t="s">
        <v>86</v>
      </c>
      <c r="D52" t="s">
        <v>693</v>
      </c>
      <c r="E52">
        <v>2014</v>
      </c>
      <c r="N52">
        <f ca="1">SUMIFS(Programudgifter!$Y:$Y,Programudgifter!$W:$W,B52&amp;C52&amp;D52&amp;E52)</f>
        <v>0</v>
      </c>
      <c r="O52">
        <f ca="1">SUMIFS(Programudgifter!$Z:$Z,Programudgifter!$W:$W,B52&amp;C52&amp;D52&amp;E52)</f>
        <v>0</v>
      </c>
      <c r="P52">
        <f ca="1">SUMIFS(Programudgifter!$AA:$AA,Programudgifter!$W:$W,B52&amp;C52&amp;D52&amp;E52)</f>
        <v>0</v>
      </c>
      <c r="Q52">
        <f ca="1">SUMIFS(Programudgifter!$AB:$AB,Programudgifter!$W:$W,B52&amp;C52&amp;D52&amp;E52)</f>
        <v>0</v>
      </c>
      <c r="R52">
        <f ca="1">SUMIFS(Programudgifter!$AC:$AC,Programudgifter!$W:$W,B52&amp;C52&amp;D52&amp;E52)</f>
        <v>0</v>
      </c>
      <c r="S52">
        <f ca="1">SUMIFS(Programudgifter!$AG:$AG,Programudgifter!$W:$W,B52&amp;C52&amp;D52&amp;E52,Programudgifter!$S:$S,"")</f>
        <v>0</v>
      </c>
      <c r="U52">
        <f ca="1">SUMIFS(Programudgifter!$AI:$AI,Programudgifter!$W:$W,B52&amp;C52&amp;D52&amp;E52,Programudgifter!$S:$S,"")</f>
        <v>0</v>
      </c>
      <c r="W52">
        <f ca="1">SUMIFS(Programudgifter!$AK:$AK,Programudgifter!$W:$W,B52&amp;C52&amp;D52&amp;E52,Programudgifter!$S:$S,"")</f>
        <v>0</v>
      </c>
    </row>
    <row r="53" spans="2:24" ht="14.25" customHeight="1" x14ac:dyDescent="0.25">
      <c r="B53" t="s">
        <v>348</v>
      </c>
      <c r="C53" t="s">
        <v>1486</v>
      </c>
      <c r="D53" t="s">
        <v>693</v>
      </c>
      <c r="E53">
        <v>2013</v>
      </c>
      <c r="F53" t="s">
        <v>1361</v>
      </c>
      <c r="H53" t="s">
        <v>1194</v>
      </c>
      <c r="S53">
        <f ca="1">SUMIFS(Programudgifter!$AG:$AG,Programudgifter!$W:$W,B53&amp;C53&amp;D53&amp;E53,Programudgifter!$S:$S,F53)</f>
        <v>0</v>
      </c>
      <c r="T53">
        <f ca="1">SUMIFS(Programudgifter!$AH:$AH,Programudgifter!$W:$W,B53&amp;C53&amp;D53&amp;E53,Programudgifter!$T:$T,F53)</f>
        <v>0</v>
      </c>
      <c r="U53">
        <f ca="1">SUMIFS(Programudgifter!$AI:$AI,Programudgifter!$W:$W,B53&amp;C53&amp;D53&amp;E53,Programudgifter!$S:$S,F53)</f>
        <v>0</v>
      </c>
      <c r="V53">
        <f ca="1">SUMIFS(Programudgifter!$AJ:$AJ,Programudgifter!$W:$W,B53&amp;C53&amp;D53&amp;E53,Programudgifter!$T:$T,F53)</f>
        <v>0</v>
      </c>
      <c r="W53">
        <f ca="1">SUMIFS(Programudgifter!$AK:$AK,Programudgifter!$W:$W,B53&amp;C53&amp;D53&amp;E53,Programudgifter!$S:$S,F53)</f>
        <v>0</v>
      </c>
      <c r="X53">
        <f ca="1">SUMIFS(Programudgifter!$AL:$AL,Programudgifter!$W:$W,B53&amp;C53&amp;D53&amp;E53,Programudgifter!$T:$T,F53)</f>
        <v>0</v>
      </c>
    </row>
    <row r="54" spans="2:24" ht="14.25" customHeight="1" x14ac:dyDescent="0.25">
      <c r="B54" t="s">
        <v>348</v>
      </c>
      <c r="C54" t="s">
        <v>1486</v>
      </c>
      <c r="D54" t="s">
        <v>693</v>
      </c>
      <c r="E54">
        <v>2013</v>
      </c>
      <c r="F54" t="s">
        <v>680</v>
      </c>
      <c r="H54" t="s">
        <v>1194</v>
      </c>
      <c r="S54">
        <f ca="1">SUMIFS(Programudgifter!$AG:$AG,Programudgifter!$W:$W,B54&amp;C54&amp;D54&amp;E54,Programudgifter!$S:$S,F54)</f>
        <v>0</v>
      </c>
      <c r="T54">
        <f ca="1">SUMIFS(Programudgifter!$AH:$AH,Programudgifter!$W:$W,B54&amp;C54&amp;D54&amp;E54,Programudgifter!$T:$T,F54)</f>
        <v>0</v>
      </c>
      <c r="U54">
        <f ca="1">SUMIFS(Programudgifter!$AI:$AI,Programudgifter!$W:$W,B54&amp;C54&amp;D54&amp;E54,Programudgifter!$S:$S,F54)</f>
        <v>0</v>
      </c>
      <c r="V54">
        <f ca="1">SUMIFS(Programudgifter!$AJ:$AJ,Programudgifter!$W:$W,B54&amp;C54&amp;D54&amp;E54,Programudgifter!$T:$T,F54)</f>
        <v>0</v>
      </c>
      <c r="W54">
        <f ca="1">SUMIFS(Programudgifter!$AK:$AK,Programudgifter!$W:$W,B54&amp;C54&amp;D54&amp;E54,Programudgifter!$S:$S,F54)</f>
        <v>0</v>
      </c>
      <c r="X54">
        <f ca="1">SUMIFS(Programudgifter!$AL:$AL,Programudgifter!$W:$W,B54&amp;C54&amp;D54&amp;E54,Programudgifter!$T:$T,F54)</f>
        <v>0</v>
      </c>
    </row>
    <row r="55" spans="2:24" ht="14.25" customHeight="1" x14ac:dyDescent="0.25">
      <c r="B55" t="s">
        <v>348</v>
      </c>
      <c r="C55" t="s">
        <v>1486</v>
      </c>
      <c r="D55" t="s">
        <v>693</v>
      </c>
      <c r="E55">
        <v>2013</v>
      </c>
      <c r="N55">
        <f ca="1">SUMIFS(Programudgifter!$Y:$Y,Programudgifter!$W:$W,B55&amp;C55&amp;D55&amp;E55)</f>
        <v>0</v>
      </c>
      <c r="O55">
        <f ca="1">SUMIFS(Programudgifter!$Z:$Z,Programudgifter!$W:$W,B55&amp;C55&amp;D55&amp;E55)</f>
        <v>0</v>
      </c>
      <c r="P55">
        <f ca="1">SUMIFS(Programudgifter!$AA:$AA,Programudgifter!$W:$W,B55&amp;C55&amp;D55&amp;E55)</f>
        <v>0</v>
      </c>
      <c r="Q55">
        <f ca="1">SUMIFS(Programudgifter!$AB:$AB,Programudgifter!$W:$W,B55&amp;C55&amp;D55&amp;E55)</f>
        <v>0</v>
      </c>
      <c r="R55">
        <f ca="1">SUMIFS(Programudgifter!$AC:$AC,Programudgifter!$W:$W,B55&amp;C55&amp;D55&amp;E55)</f>
        <v>0</v>
      </c>
      <c r="S55">
        <f ca="1">SUMIFS(Programudgifter!$AG:$AG,Programudgifter!$W:$W,B55&amp;C55&amp;D55&amp;E55,Programudgifter!$S:$S,"")</f>
        <v>0</v>
      </c>
      <c r="U55">
        <f ca="1">SUMIFS(Programudgifter!$AI:$AI,Programudgifter!$W:$W,B55&amp;C55&amp;D55&amp;E55,Programudgifter!$S:$S,"")</f>
        <v>0</v>
      </c>
      <c r="W55">
        <f ca="1">SUMIFS(Programudgifter!$AK:$AK,Programudgifter!$W:$W,B55&amp;C55&amp;D55&amp;E55,Programudgifter!$S:$S,"")</f>
        <v>0</v>
      </c>
    </row>
    <row r="56" spans="2:24" ht="14.25" customHeight="1" x14ac:dyDescent="0.25">
      <c r="B56" t="s">
        <v>348</v>
      </c>
      <c r="C56" t="s">
        <v>1486</v>
      </c>
      <c r="D56" t="s">
        <v>693</v>
      </c>
      <c r="E56">
        <v>2014</v>
      </c>
      <c r="F56" t="s">
        <v>1361</v>
      </c>
      <c r="H56" t="s">
        <v>1194</v>
      </c>
      <c r="S56">
        <f ca="1">SUMIFS(Programudgifter!$AG:$AG,Programudgifter!$W:$W,B56&amp;C56&amp;D56&amp;E56,Programudgifter!$S:$S,F56)</f>
        <v>0</v>
      </c>
      <c r="T56">
        <f ca="1">SUMIFS(Programudgifter!$AH:$AH,Programudgifter!$W:$W,B56&amp;C56&amp;D56&amp;E56,Programudgifter!$T:$T,F56)</f>
        <v>0</v>
      </c>
      <c r="U56">
        <f ca="1">SUMIFS(Programudgifter!$AI:$AI,Programudgifter!$W:$W,B56&amp;C56&amp;D56&amp;E56,Programudgifter!$S:$S,F56)</f>
        <v>0</v>
      </c>
      <c r="V56">
        <f ca="1">SUMIFS(Programudgifter!$AJ:$AJ,Programudgifter!$W:$W,B56&amp;C56&amp;D56&amp;E56,Programudgifter!$T:$T,F56)</f>
        <v>0</v>
      </c>
      <c r="W56">
        <f ca="1">SUMIFS(Programudgifter!$AK:$AK,Programudgifter!$W:$W,B56&amp;C56&amp;D56&amp;E56,Programudgifter!$S:$S,F56)</f>
        <v>0</v>
      </c>
      <c r="X56">
        <f ca="1">SUMIFS(Programudgifter!$AL:$AL,Programudgifter!$W:$W,B56&amp;C56&amp;D56&amp;E56,Programudgifter!$T:$T,F56)</f>
        <v>0</v>
      </c>
    </row>
    <row r="57" spans="2:24" ht="14.25" customHeight="1" x14ac:dyDescent="0.25">
      <c r="B57" t="s">
        <v>348</v>
      </c>
      <c r="C57" t="s">
        <v>1486</v>
      </c>
      <c r="D57" t="s">
        <v>693</v>
      </c>
      <c r="E57">
        <v>2014</v>
      </c>
      <c r="F57" t="s">
        <v>680</v>
      </c>
      <c r="H57" t="s">
        <v>1194</v>
      </c>
      <c r="S57">
        <f ca="1">SUMIFS(Programudgifter!$AG:$AG,Programudgifter!$W:$W,B57&amp;C57&amp;D57&amp;E57,Programudgifter!$S:$S,F57)</f>
        <v>0</v>
      </c>
      <c r="T57">
        <f ca="1">SUMIFS(Programudgifter!$AH:$AH,Programudgifter!$W:$W,B57&amp;C57&amp;D57&amp;E57,Programudgifter!$T:$T,F57)</f>
        <v>0</v>
      </c>
      <c r="U57">
        <f ca="1">SUMIFS(Programudgifter!$AI:$AI,Programudgifter!$W:$W,B57&amp;C57&amp;D57&amp;E57,Programudgifter!$S:$S,F57)</f>
        <v>0</v>
      </c>
      <c r="V57">
        <f ca="1">SUMIFS(Programudgifter!$AJ:$AJ,Programudgifter!$W:$W,B57&amp;C57&amp;D57&amp;E57,Programudgifter!$T:$T,F57)</f>
        <v>0</v>
      </c>
      <c r="W57">
        <f ca="1">SUMIFS(Programudgifter!$AK:$AK,Programudgifter!$W:$W,B57&amp;C57&amp;D57&amp;E57,Programudgifter!$S:$S,F57)</f>
        <v>0</v>
      </c>
      <c r="X57">
        <f ca="1">SUMIFS(Programudgifter!$AL:$AL,Programudgifter!$W:$W,B57&amp;C57&amp;D57&amp;E57,Programudgifter!$T:$T,F57)</f>
        <v>0</v>
      </c>
    </row>
    <row r="58" spans="2:24" ht="14.25" customHeight="1" x14ac:dyDescent="0.25">
      <c r="B58" t="s">
        <v>348</v>
      </c>
      <c r="C58" t="s">
        <v>1486</v>
      </c>
      <c r="D58" t="s">
        <v>693</v>
      </c>
      <c r="E58">
        <v>2014</v>
      </c>
      <c r="N58">
        <f ca="1">SUMIFS(Programudgifter!$Y:$Y,Programudgifter!$W:$W,B58&amp;C58&amp;D58&amp;E58)</f>
        <v>0</v>
      </c>
      <c r="O58">
        <f ca="1">SUMIFS(Programudgifter!$Z:$Z,Programudgifter!$W:$W,B58&amp;C58&amp;D58&amp;E58)</f>
        <v>0</v>
      </c>
      <c r="P58">
        <f ca="1">SUMIFS(Programudgifter!$AA:$AA,Programudgifter!$W:$W,B58&amp;C58&amp;D58&amp;E58)</f>
        <v>0</v>
      </c>
      <c r="Q58">
        <f ca="1">SUMIFS(Programudgifter!$AB:$AB,Programudgifter!$W:$W,B58&amp;C58&amp;D58&amp;E58)</f>
        <v>0</v>
      </c>
      <c r="R58">
        <f ca="1">SUMIFS(Programudgifter!$AC:$AC,Programudgifter!$W:$W,B58&amp;C58&amp;D58&amp;E58)</f>
        <v>0</v>
      </c>
      <c r="S58">
        <f ca="1">SUMIFS(Programudgifter!$AG:$AG,Programudgifter!$W:$W,B58&amp;C58&amp;D58&amp;E58,Programudgifter!$S:$S,"")</f>
        <v>0</v>
      </c>
      <c r="U58">
        <f ca="1">SUMIFS(Programudgifter!$AI:$AI,Programudgifter!$W:$W,B58&amp;C58&amp;D58&amp;E58,Programudgifter!$S:$S,"")</f>
        <v>0</v>
      </c>
      <c r="W58">
        <f ca="1">SUMIFS(Programudgifter!$AK:$AK,Programudgifter!$W:$W,B58&amp;C58&amp;D58&amp;E58,Programudgifter!$S:$S,"")</f>
        <v>0</v>
      </c>
    </row>
    <row r="59" spans="2:24" ht="14.25" customHeight="1" x14ac:dyDescent="0.25">
      <c r="B59" t="s">
        <v>1265</v>
      </c>
      <c r="C59" t="s">
        <v>1179</v>
      </c>
      <c r="D59" t="s">
        <v>693</v>
      </c>
      <c r="E59">
        <v>2013</v>
      </c>
      <c r="F59" t="s">
        <v>1361</v>
      </c>
      <c r="H59" t="s">
        <v>1194</v>
      </c>
      <c r="S59">
        <f ca="1">SUMIFS(Programudgifter!$AG:$AG,Programudgifter!$W:$W,B59&amp;C59&amp;D59&amp;E59,Programudgifter!$S:$S,F59)</f>
        <v>0</v>
      </c>
      <c r="T59">
        <f ca="1">SUMIFS(Programudgifter!$AH:$AH,Programudgifter!$W:$W,B59&amp;C59&amp;D59&amp;E59,Programudgifter!$T:$T,F59)</f>
        <v>0</v>
      </c>
      <c r="U59">
        <f ca="1">SUMIFS(Programudgifter!$AI:$AI,Programudgifter!$W:$W,B59&amp;C59&amp;D59&amp;E59,Programudgifter!$S:$S,F59)</f>
        <v>0</v>
      </c>
      <c r="V59">
        <f ca="1">SUMIFS(Programudgifter!$AJ:$AJ,Programudgifter!$W:$W,B59&amp;C59&amp;D59&amp;E59,Programudgifter!$T:$T,F59)</f>
        <v>0</v>
      </c>
      <c r="W59">
        <f ca="1">SUMIFS(Programudgifter!$AK:$AK,Programudgifter!$W:$W,B59&amp;C59&amp;D59&amp;E59,Programudgifter!$S:$S,F59)</f>
        <v>0</v>
      </c>
      <c r="X59">
        <f ca="1">SUMIFS(Programudgifter!$AL:$AL,Programudgifter!$W:$W,B59&amp;C59&amp;D59&amp;E59,Programudgifter!$T:$T,F59)</f>
        <v>0</v>
      </c>
    </row>
    <row r="60" spans="2:24" ht="14.25" customHeight="1" x14ac:dyDescent="0.25">
      <c r="B60" t="s">
        <v>1265</v>
      </c>
      <c r="C60" t="s">
        <v>1179</v>
      </c>
      <c r="D60" t="s">
        <v>693</v>
      </c>
      <c r="E60">
        <v>2013</v>
      </c>
      <c r="F60" t="s">
        <v>680</v>
      </c>
      <c r="H60" t="s">
        <v>1194</v>
      </c>
      <c r="S60">
        <f ca="1">SUMIFS(Programudgifter!$AG:$AG,Programudgifter!$W:$W,B60&amp;C60&amp;D60&amp;E60,Programudgifter!$S:$S,F60)</f>
        <v>0</v>
      </c>
      <c r="T60">
        <f ca="1">SUMIFS(Programudgifter!$AH:$AH,Programudgifter!$W:$W,B60&amp;C60&amp;D60&amp;E60,Programudgifter!$T:$T,F60)</f>
        <v>0</v>
      </c>
      <c r="U60">
        <f ca="1">SUMIFS(Programudgifter!$AI:$AI,Programudgifter!$W:$W,B60&amp;C60&amp;D60&amp;E60,Programudgifter!$S:$S,F60)</f>
        <v>0</v>
      </c>
      <c r="V60">
        <f ca="1">SUMIFS(Programudgifter!$AJ:$AJ,Programudgifter!$W:$W,B60&amp;C60&amp;D60&amp;E60,Programudgifter!$T:$T,F60)</f>
        <v>0</v>
      </c>
      <c r="W60">
        <f ca="1">SUMIFS(Programudgifter!$AK:$AK,Programudgifter!$W:$W,B60&amp;C60&amp;D60&amp;E60,Programudgifter!$S:$S,F60)</f>
        <v>0</v>
      </c>
      <c r="X60">
        <f ca="1">SUMIFS(Programudgifter!$AL:$AL,Programudgifter!$W:$W,B60&amp;C60&amp;D60&amp;E60,Programudgifter!$T:$T,F60)</f>
        <v>0</v>
      </c>
    </row>
    <row r="61" spans="2:24" ht="14.25" customHeight="1" x14ac:dyDescent="0.25">
      <c r="B61" t="s">
        <v>1265</v>
      </c>
      <c r="C61" t="s">
        <v>1179</v>
      </c>
      <c r="D61" t="s">
        <v>693</v>
      </c>
      <c r="E61">
        <v>2013</v>
      </c>
      <c r="N61">
        <f ca="1">SUMIFS(Programudgifter!$Y:$Y,Programudgifter!$W:$W,B61&amp;C61&amp;D61&amp;E61)</f>
        <v>0</v>
      </c>
      <c r="O61">
        <f ca="1">SUMIFS(Programudgifter!$Z:$Z,Programudgifter!$W:$W,B61&amp;C61&amp;D61&amp;E61)</f>
        <v>0</v>
      </c>
      <c r="P61">
        <f ca="1">SUMIFS(Programudgifter!$AA:$AA,Programudgifter!$W:$W,B61&amp;C61&amp;D61&amp;E61)</f>
        <v>0</v>
      </c>
      <c r="Q61">
        <f ca="1">SUMIFS(Programudgifter!$AB:$AB,Programudgifter!$W:$W,B61&amp;C61&amp;D61&amp;E61)</f>
        <v>0</v>
      </c>
      <c r="R61">
        <f ca="1">SUMIFS(Programudgifter!$AC:$AC,Programudgifter!$W:$W,B61&amp;C61&amp;D61&amp;E61)</f>
        <v>0</v>
      </c>
      <c r="S61">
        <f ca="1">SUMIFS(Programudgifter!$AG:$AG,Programudgifter!$W:$W,B61&amp;C61&amp;D61&amp;E61,Programudgifter!$S:$S,"")</f>
        <v>0</v>
      </c>
      <c r="U61">
        <f ca="1">SUMIFS(Programudgifter!$AI:$AI,Programudgifter!$W:$W,B61&amp;C61&amp;D61&amp;E61,Programudgifter!$S:$S,"")</f>
        <v>0</v>
      </c>
      <c r="W61">
        <f ca="1">SUMIFS(Programudgifter!$AK:$AK,Programudgifter!$W:$W,B61&amp;C61&amp;D61&amp;E61,Programudgifter!$S:$S,"")</f>
        <v>0</v>
      </c>
    </row>
    <row r="62" spans="2:24" ht="14.25" customHeight="1" x14ac:dyDescent="0.25">
      <c r="B62" t="s">
        <v>1265</v>
      </c>
      <c r="C62" t="s">
        <v>1179</v>
      </c>
      <c r="D62" t="s">
        <v>693</v>
      </c>
      <c r="E62">
        <v>2014</v>
      </c>
      <c r="F62" t="s">
        <v>1361</v>
      </c>
      <c r="H62" t="s">
        <v>1194</v>
      </c>
      <c r="S62">
        <f ca="1">SUMIFS(Programudgifter!$AG:$AG,Programudgifter!$W:$W,B62&amp;C62&amp;D62&amp;E62,Programudgifter!$S:$S,F62)</f>
        <v>0</v>
      </c>
      <c r="T62">
        <f ca="1">SUMIFS(Programudgifter!$AH:$AH,Programudgifter!$W:$W,B62&amp;C62&amp;D62&amp;E62,Programudgifter!$T:$T,F62)</f>
        <v>0</v>
      </c>
      <c r="U62">
        <f ca="1">SUMIFS(Programudgifter!$AI:$AI,Programudgifter!$W:$W,B62&amp;C62&amp;D62&amp;E62,Programudgifter!$S:$S,F62)</f>
        <v>0</v>
      </c>
      <c r="V62">
        <f ca="1">SUMIFS(Programudgifter!$AJ:$AJ,Programudgifter!$W:$W,B62&amp;C62&amp;D62&amp;E62,Programudgifter!$T:$T,F62)</f>
        <v>0</v>
      </c>
      <c r="W62">
        <f ca="1">SUMIFS(Programudgifter!$AK:$AK,Programudgifter!$W:$W,B62&amp;C62&amp;D62&amp;E62,Programudgifter!$S:$S,F62)</f>
        <v>0</v>
      </c>
      <c r="X62">
        <f ca="1">SUMIFS(Programudgifter!$AL:$AL,Programudgifter!$W:$W,B62&amp;C62&amp;D62&amp;E62,Programudgifter!$T:$T,F62)</f>
        <v>0</v>
      </c>
    </row>
    <row r="63" spans="2:24" ht="14.25" customHeight="1" x14ac:dyDescent="0.25">
      <c r="B63" t="s">
        <v>1265</v>
      </c>
      <c r="C63" t="s">
        <v>1179</v>
      </c>
      <c r="D63" t="s">
        <v>693</v>
      </c>
      <c r="E63">
        <v>2014</v>
      </c>
      <c r="F63" t="s">
        <v>680</v>
      </c>
      <c r="H63" t="s">
        <v>1194</v>
      </c>
      <c r="S63">
        <f ca="1">SUMIFS(Programudgifter!$AG:$AG,Programudgifter!$W:$W,B63&amp;C63&amp;D63&amp;E63,Programudgifter!$S:$S,F63)</f>
        <v>0</v>
      </c>
      <c r="T63">
        <f ca="1">SUMIFS(Programudgifter!$AH:$AH,Programudgifter!$W:$W,B63&amp;C63&amp;D63&amp;E63,Programudgifter!$T:$T,F63)</f>
        <v>0</v>
      </c>
      <c r="U63">
        <f ca="1">SUMIFS(Programudgifter!$AI:$AI,Programudgifter!$W:$W,B63&amp;C63&amp;D63&amp;E63,Programudgifter!$S:$S,F63)</f>
        <v>0</v>
      </c>
      <c r="V63">
        <f ca="1">SUMIFS(Programudgifter!$AJ:$AJ,Programudgifter!$W:$W,B63&amp;C63&amp;D63&amp;E63,Programudgifter!$T:$T,F63)</f>
        <v>0</v>
      </c>
      <c r="W63">
        <f ca="1">SUMIFS(Programudgifter!$AK:$AK,Programudgifter!$W:$W,B63&amp;C63&amp;D63&amp;E63,Programudgifter!$S:$S,F63)</f>
        <v>0</v>
      </c>
      <c r="X63">
        <f ca="1">SUMIFS(Programudgifter!$AL:$AL,Programudgifter!$W:$W,B63&amp;C63&amp;D63&amp;E63,Programudgifter!$T:$T,F63)</f>
        <v>0</v>
      </c>
    </row>
    <row r="64" spans="2:24" ht="14.25" customHeight="1" x14ac:dyDescent="0.25">
      <c r="B64" t="s">
        <v>1265</v>
      </c>
      <c r="C64" t="s">
        <v>1179</v>
      </c>
      <c r="D64" t="s">
        <v>693</v>
      </c>
      <c r="E64">
        <v>2014</v>
      </c>
      <c r="N64">
        <f ca="1">SUMIFS(Programudgifter!$Y:$Y,Programudgifter!$W:$W,B64&amp;C64&amp;D64&amp;E64)</f>
        <v>0</v>
      </c>
      <c r="O64">
        <f ca="1">SUMIFS(Programudgifter!$Z:$Z,Programudgifter!$W:$W,B64&amp;C64&amp;D64&amp;E64)</f>
        <v>0</v>
      </c>
      <c r="P64">
        <f ca="1">SUMIFS(Programudgifter!$AA:$AA,Programudgifter!$W:$W,B64&amp;C64&amp;D64&amp;E64)</f>
        <v>0</v>
      </c>
      <c r="Q64">
        <f ca="1">SUMIFS(Programudgifter!$AB:$AB,Programudgifter!$W:$W,B64&amp;C64&amp;D64&amp;E64)</f>
        <v>0</v>
      </c>
      <c r="R64">
        <f ca="1">SUMIFS(Programudgifter!$AC:$AC,Programudgifter!$W:$W,B64&amp;C64&amp;D64&amp;E64)</f>
        <v>0</v>
      </c>
      <c r="S64">
        <f ca="1">SUMIFS(Programudgifter!$AG:$AG,Programudgifter!$W:$W,B64&amp;C64&amp;D64&amp;E64,Programudgifter!$S:$S,"")</f>
        <v>0</v>
      </c>
      <c r="U64">
        <f ca="1">SUMIFS(Programudgifter!$AI:$AI,Programudgifter!$W:$W,B64&amp;C64&amp;D64&amp;E64,Programudgifter!$S:$S,"")</f>
        <v>0</v>
      </c>
      <c r="W64">
        <f ca="1">SUMIFS(Programudgifter!$AK:$AK,Programudgifter!$W:$W,B64&amp;C64&amp;D64&amp;E64,Programudgifter!$S:$S,"")</f>
        <v>0</v>
      </c>
    </row>
    <row r="65" spans="2:24" ht="14.25" customHeight="1" x14ac:dyDescent="0.25">
      <c r="B65" t="s">
        <v>1265</v>
      </c>
      <c r="C65" t="s">
        <v>1180</v>
      </c>
      <c r="D65" t="s">
        <v>693</v>
      </c>
      <c r="E65">
        <v>2013</v>
      </c>
      <c r="F65" t="s">
        <v>1361</v>
      </c>
      <c r="H65" t="s">
        <v>1194</v>
      </c>
      <c r="S65">
        <f ca="1">SUMIFS(Programudgifter!$AG:$AG,Programudgifter!$W:$W,B65&amp;C65&amp;D65&amp;E65,Programudgifter!$S:$S,F65)</f>
        <v>0</v>
      </c>
      <c r="T65">
        <f ca="1">SUMIFS(Programudgifter!$AH:$AH,Programudgifter!$W:$W,B65&amp;C65&amp;D65&amp;E65,Programudgifter!$T:$T,F65)</f>
        <v>0</v>
      </c>
      <c r="U65">
        <f ca="1">SUMIFS(Programudgifter!$AI:$AI,Programudgifter!$W:$W,B65&amp;C65&amp;D65&amp;E65,Programudgifter!$S:$S,F65)</f>
        <v>0</v>
      </c>
      <c r="V65">
        <f ca="1">SUMIFS(Programudgifter!$AJ:$AJ,Programudgifter!$W:$W,B65&amp;C65&amp;D65&amp;E65,Programudgifter!$T:$T,F65)</f>
        <v>0</v>
      </c>
      <c r="W65">
        <f ca="1">SUMIFS(Programudgifter!$AK:$AK,Programudgifter!$W:$W,B65&amp;C65&amp;D65&amp;E65,Programudgifter!$S:$S,F65)</f>
        <v>0</v>
      </c>
      <c r="X65">
        <f ca="1">SUMIFS(Programudgifter!$AL:$AL,Programudgifter!$W:$W,B65&amp;C65&amp;D65&amp;E65,Programudgifter!$T:$T,F65)</f>
        <v>0</v>
      </c>
    </row>
    <row r="66" spans="2:24" ht="14.25" customHeight="1" x14ac:dyDescent="0.25">
      <c r="B66" t="s">
        <v>1265</v>
      </c>
      <c r="C66" t="s">
        <v>1180</v>
      </c>
      <c r="D66" t="s">
        <v>693</v>
      </c>
      <c r="E66">
        <v>2013</v>
      </c>
      <c r="F66" t="s">
        <v>680</v>
      </c>
      <c r="H66" t="s">
        <v>1194</v>
      </c>
      <c r="S66">
        <f ca="1">SUMIFS(Programudgifter!$AG:$AG,Programudgifter!$W:$W,B66&amp;C66&amp;D66&amp;E66,Programudgifter!$S:$S,F66)</f>
        <v>0</v>
      </c>
      <c r="T66">
        <f ca="1">SUMIFS(Programudgifter!$AH:$AH,Programudgifter!$W:$W,B66&amp;C66&amp;D66&amp;E66,Programudgifter!$T:$T,F66)</f>
        <v>0</v>
      </c>
      <c r="U66">
        <f ca="1">SUMIFS(Programudgifter!$AI:$AI,Programudgifter!$W:$W,B66&amp;C66&amp;D66&amp;E66,Programudgifter!$S:$S,F66)</f>
        <v>0</v>
      </c>
      <c r="V66">
        <f ca="1">SUMIFS(Programudgifter!$AJ:$AJ,Programudgifter!$W:$W,B66&amp;C66&amp;D66&amp;E66,Programudgifter!$T:$T,F66)</f>
        <v>0</v>
      </c>
      <c r="W66">
        <f ca="1">SUMIFS(Programudgifter!$AK:$AK,Programudgifter!$W:$W,B66&amp;C66&amp;D66&amp;E66,Programudgifter!$S:$S,F66)</f>
        <v>0</v>
      </c>
      <c r="X66">
        <f ca="1">SUMIFS(Programudgifter!$AL:$AL,Programudgifter!$W:$W,B66&amp;C66&amp;D66&amp;E66,Programudgifter!$T:$T,F66)</f>
        <v>0</v>
      </c>
    </row>
    <row r="67" spans="2:24" ht="14.25" customHeight="1" x14ac:dyDescent="0.25">
      <c r="B67" t="s">
        <v>1265</v>
      </c>
      <c r="C67" t="s">
        <v>1180</v>
      </c>
      <c r="D67" t="s">
        <v>693</v>
      </c>
      <c r="E67">
        <v>2013</v>
      </c>
      <c r="N67">
        <f ca="1">SUMIFS(Programudgifter!$Y:$Y,Programudgifter!$W:$W,B67&amp;C67&amp;D67&amp;E67)</f>
        <v>0</v>
      </c>
      <c r="O67">
        <f ca="1">SUMIFS(Programudgifter!$Z:$Z,Programudgifter!$W:$W,B67&amp;C67&amp;D67&amp;E67)</f>
        <v>0</v>
      </c>
      <c r="P67">
        <f ca="1">SUMIFS(Programudgifter!$AA:$AA,Programudgifter!$W:$W,B67&amp;C67&amp;D67&amp;E67)</f>
        <v>0</v>
      </c>
      <c r="Q67">
        <f ca="1">SUMIFS(Programudgifter!$AB:$AB,Programudgifter!$W:$W,B67&amp;C67&amp;D67&amp;E67)</f>
        <v>0</v>
      </c>
      <c r="R67">
        <f ca="1">SUMIFS(Programudgifter!$AC:$AC,Programudgifter!$W:$W,B67&amp;C67&amp;D67&amp;E67)</f>
        <v>0</v>
      </c>
      <c r="S67">
        <f ca="1">SUMIFS(Programudgifter!$AG:$AG,Programudgifter!$W:$W,B67&amp;C67&amp;D67&amp;E67,Programudgifter!$S:$S,"")</f>
        <v>0</v>
      </c>
      <c r="U67">
        <f ca="1">SUMIFS(Programudgifter!$AI:$AI,Programudgifter!$W:$W,B67&amp;C67&amp;D67&amp;E67,Programudgifter!$S:$S,"")</f>
        <v>0</v>
      </c>
      <c r="W67">
        <f ca="1">SUMIFS(Programudgifter!$AK:$AK,Programudgifter!$W:$W,B67&amp;C67&amp;D67&amp;E67,Programudgifter!$S:$S,"")</f>
        <v>0</v>
      </c>
    </row>
    <row r="68" spans="2:24" ht="14.25" customHeight="1" x14ac:dyDescent="0.25">
      <c r="B68" t="s">
        <v>1265</v>
      </c>
      <c r="C68" t="s">
        <v>1180</v>
      </c>
      <c r="D68" t="s">
        <v>693</v>
      </c>
      <c r="E68">
        <v>2014</v>
      </c>
      <c r="F68" t="s">
        <v>1361</v>
      </c>
      <c r="H68" t="s">
        <v>1194</v>
      </c>
      <c r="S68">
        <f ca="1">SUMIFS(Programudgifter!$AG:$AG,Programudgifter!$W:$W,B68&amp;C68&amp;D68&amp;E68,Programudgifter!$S:$S,F68)</f>
        <v>0</v>
      </c>
      <c r="T68">
        <f ca="1">SUMIFS(Programudgifter!$AH:$AH,Programudgifter!$W:$W,B68&amp;C68&amp;D68&amp;E68,Programudgifter!$T:$T,F68)</f>
        <v>0</v>
      </c>
      <c r="U68">
        <f ca="1">SUMIFS(Programudgifter!$AI:$AI,Programudgifter!$W:$W,B68&amp;C68&amp;D68&amp;E68,Programudgifter!$S:$S,F68)</f>
        <v>0</v>
      </c>
      <c r="V68">
        <f ca="1">SUMIFS(Programudgifter!$AJ:$AJ,Programudgifter!$W:$W,B68&amp;C68&amp;D68&amp;E68,Programudgifter!$T:$T,F68)</f>
        <v>0</v>
      </c>
      <c r="W68">
        <f ca="1">SUMIFS(Programudgifter!$AK:$AK,Programudgifter!$W:$W,B68&amp;C68&amp;D68&amp;E68,Programudgifter!$S:$S,F68)</f>
        <v>0</v>
      </c>
      <c r="X68">
        <f ca="1">SUMIFS(Programudgifter!$AL:$AL,Programudgifter!$W:$W,B68&amp;C68&amp;D68&amp;E68,Programudgifter!$T:$T,F68)</f>
        <v>0</v>
      </c>
    </row>
    <row r="69" spans="2:24" ht="14.25" customHeight="1" x14ac:dyDescent="0.25">
      <c r="B69" t="s">
        <v>1265</v>
      </c>
      <c r="C69" t="s">
        <v>1180</v>
      </c>
      <c r="D69" t="s">
        <v>693</v>
      </c>
      <c r="E69">
        <v>2014</v>
      </c>
      <c r="F69" t="s">
        <v>680</v>
      </c>
      <c r="H69" t="s">
        <v>1194</v>
      </c>
      <c r="S69">
        <f ca="1">SUMIFS(Programudgifter!$AG:$AG,Programudgifter!$W:$W,B69&amp;C69&amp;D69&amp;E69,Programudgifter!$S:$S,F69)</f>
        <v>0</v>
      </c>
      <c r="T69">
        <f ca="1">SUMIFS(Programudgifter!$AH:$AH,Programudgifter!$W:$W,B69&amp;C69&amp;D69&amp;E69,Programudgifter!$T:$T,F69)</f>
        <v>0</v>
      </c>
      <c r="U69">
        <f ca="1">SUMIFS(Programudgifter!$AI:$AI,Programudgifter!$W:$W,B69&amp;C69&amp;D69&amp;E69,Programudgifter!$S:$S,F69)</f>
        <v>0</v>
      </c>
      <c r="V69">
        <f ca="1">SUMIFS(Programudgifter!$AJ:$AJ,Programudgifter!$W:$W,B69&amp;C69&amp;D69&amp;E69,Programudgifter!$T:$T,F69)</f>
        <v>0</v>
      </c>
      <c r="W69">
        <f ca="1">SUMIFS(Programudgifter!$AK:$AK,Programudgifter!$W:$W,B69&amp;C69&amp;D69&amp;E69,Programudgifter!$S:$S,F69)</f>
        <v>0</v>
      </c>
      <c r="X69">
        <f ca="1">SUMIFS(Programudgifter!$AL:$AL,Programudgifter!$W:$W,B69&amp;C69&amp;D69&amp;E69,Programudgifter!$T:$T,F69)</f>
        <v>0</v>
      </c>
    </row>
    <row r="70" spans="2:24" ht="14.25" customHeight="1" x14ac:dyDescent="0.25">
      <c r="B70" t="s">
        <v>1265</v>
      </c>
      <c r="C70" t="s">
        <v>1180</v>
      </c>
      <c r="D70" t="s">
        <v>693</v>
      </c>
      <c r="E70">
        <v>2014</v>
      </c>
      <c r="N70">
        <f ca="1">SUMIFS(Programudgifter!$Y:$Y,Programudgifter!$W:$W,B70&amp;C70&amp;D70&amp;E70)</f>
        <v>0</v>
      </c>
      <c r="O70">
        <f ca="1">SUMIFS(Programudgifter!$Z:$Z,Programudgifter!$W:$W,B70&amp;C70&amp;D70&amp;E70)</f>
        <v>0</v>
      </c>
      <c r="P70">
        <f ca="1">SUMIFS(Programudgifter!$AA:$AA,Programudgifter!$W:$W,B70&amp;C70&amp;D70&amp;E70)</f>
        <v>0</v>
      </c>
      <c r="Q70">
        <f ca="1">SUMIFS(Programudgifter!$AB:$AB,Programudgifter!$W:$W,B70&amp;C70&amp;D70&amp;E70)</f>
        <v>0</v>
      </c>
      <c r="R70">
        <f ca="1">SUMIFS(Programudgifter!$AC:$AC,Programudgifter!$W:$W,B70&amp;C70&amp;D70&amp;E70)</f>
        <v>0</v>
      </c>
      <c r="S70">
        <f ca="1">SUMIFS(Programudgifter!$AG:$AG,Programudgifter!$W:$W,B70&amp;C70&amp;D70&amp;E70,Programudgifter!$S:$S,"")</f>
        <v>0</v>
      </c>
      <c r="U70">
        <f ca="1">SUMIFS(Programudgifter!$AI:$AI,Programudgifter!$W:$W,B70&amp;C70&amp;D70&amp;E70,Programudgifter!$S:$S,"")</f>
        <v>0</v>
      </c>
      <c r="W70">
        <f ca="1">SUMIFS(Programudgifter!$AK:$AK,Programudgifter!$W:$W,B70&amp;C70&amp;D70&amp;E70,Programudgifter!$S:$S,"")</f>
        <v>0</v>
      </c>
    </row>
    <row r="71" spans="2:24" ht="14.25" customHeight="1" x14ac:dyDescent="0.25">
      <c r="B71" t="s">
        <v>1265</v>
      </c>
      <c r="C71" t="s">
        <v>1181</v>
      </c>
      <c r="D71" t="s">
        <v>693</v>
      </c>
      <c r="E71">
        <v>2013</v>
      </c>
      <c r="F71" t="s">
        <v>1361</v>
      </c>
      <c r="H71" t="s">
        <v>1194</v>
      </c>
      <c r="S71">
        <f ca="1">SUMIFS(Programudgifter!$AG:$AG,Programudgifter!$W:$W,B71&amp;C71&amp;D71&amp;E71,Programudgifter!$S:$S,F71)</f>
        <v>0</v>
      </c>
      <c r="T71">
        <f ca="1">SUMIFS(Programudgifter!$AH:$AH,Programudgifter!$W:$W,B71&amp;C71&amp;D71&amp;E71,Programudgifter!$T:$T,F71)</f>
        <v>0</v>
      </c>
      <c r="U71">
        <f ca="1">SUMIFS(Programudgifter!$AI:$AI,Programudgifter!$W:$W,B71&amp;C71&amp;D71&amp;E71,Programudgifter!$S:$S,F71)</f>
        <v>0</v>
      </c>
      <c r="V71">
        <f ca="1">SUMIFS(Programudgifter!$AJ:$AJ,Programudgifter!$W:$W,B71&amp;C71&amp;D71&amp;E71,Programudgifter!$T:$T,F71)</f>
        <v>0</v>
      </c>
      <c r="W71">
        <f ca="1">SUMIFS(Programudgifter!$AK:$AK,Programudgifter!$W:$W,B71&amp;C71&amp;D71&amp;E71,Programudgifter!$S:$S,F71)</f>
        <v>0</v>
      </c>
      <c r="X71">
        <f ca="1">SUMIFS(Programudgifter!$AL:$AL,Programudgifter!$W:$W,B71&amp;C71&amp;D71&amp;E71,Programudgifter!$T:$T,F71)</f>
        <v>0</v>
      </c>
    </row>
    <row r="72" spans="2:24" ht="14.25" customHeight="1" x14ac:dyDescent="0.25">
      <c r="B72" t="s">
        <v>1265</v>
      </c>
      <c r="C72" t="s">
        <v>1181</v>
      </c>
      <c r="D72" t="s">
        <v>693</v>
      </c>
      <c r="E72">
        <v>2013</v>
      </c>
      <c r="F72" t="s">
        <v>680</v>
      </c>
      <c r="H72" t="s">
        <v>1194</v>
      </c>
      <c r="S72">
        <f ca="1">SUMIFS(Programudgifter!$AG:$AG,Programudgifter!$W:$W,B72&amp;C72&amp;D72&amp;E72,Programudgifter!$S:$S,F72)</f>
        <v>0</v>
      </c>
      <c r="T72">
        <f ca="1">SUMIFS(Programudgifter!$AH:$AH,Programudgifter!$W:$W,B72&amp;C72&amp;D72&amp;E72,Programudgifter!$T:$T,F72)</f>
        <v>0</v>
      </c>
      <c r="U72">
        <f ca="1">SUMIFS(Programudgifter!$AI:$AI,Programudgifter!$W:$W,B72&amp;C72&amp;D72&amp;E72,Programudgifter!$S:$S,F72)</f>
        <v>0</v>
      </c>
      <c r="V72">
        <f ca="1">SUMIFS(Programudgifter!$AJ:$AJ,Programudgifter!$W:$W,B72&amp;C72&amp;D72&amp;E72,Programudgifter!$T:$T,F72)</f>
        <v>0</v>
      </c>
      <c r="W72">
        <f ca="1">SUMIFS(Programudgifter!$AK:$AK,Programudgifter!$W:$W,B72&amp;C72&amp;D72&amp;E72,Programudgifter!$S:$S,F72)</f>
        <v>0</v>
      </c>
      <c r="X72">
        <f ca="1">SUMIFS(Programudgifter!$AL:$AL,Programudgifter!$W:$W,B72&amp;C72&amp;D72&amp;E72,Programudgifter!$T:$T,F72)</f>
        <v>0</v>
      </c>
    </row>
    <row r="73" spans="2:24" ht="14.25" customHeight="1" x14ac:dyDescent="0.25">
      <c r="B73" t="s">
        <v>1265</v>
      </c>
      <c r="C73" t="s">
        <v>1181</v>
      </c>
      <c r="D73" t="s">
        <v>693</v>
      </c>
      <c r="E73">
        <v>2013</v>
      </c>
      <c r="N73">
        <f ca="1">SUMIFS(Programudgifter!$Y:$Y,Programudgifter!$W:$W,B73&amp;C73&amp;D73&amp;E73)</f>
        <v>0</v>
      </c>
      <c r="O73">
        <f ca="1">SUMIFS(Programudgifter!$Z:$Z,Programudgifter!$W:$W,B73&amp;C73&amp;D73&amp;E73)</f>
        <v>0</v>
      </c>
      <c r="P73">
        <f ca="1">SUMIFS(Programudgifter!$AA:$AA,Programudgifter!$W:$W,B73&amp;C73&amp;D73&amp;E73)</f>
        <v>0</v>
      </c>
      <c r="Q73">
        <f ca="1">SUMIFS(Programudgifter!$AB:$AB,Programudgifter!$W:$W,B73&amp;C73&amp;D73&amp;E73)</f>
        <v>0</v>
      </c>
      <c r="R73">
        <f ca="1">SUMIFS(Programudgifter!$AC:$AC,Programudgifter!$W:$W,B73&amp;C73&amp;D73&amp;E73)</f>
        <v>0</v>
      </c>
      <c r="S73">
        <f ca="1">SUMIFS(Programudgifter!$AG:$AG,Programudgifter!$W:$W,B73&amp;C73&amp;D73&amp;E73,Programudgifter!$S:$S,"")</f>
        <v>0</v>
      </c>
      <c r="U73">
        <f ca="1">SUMIFS(Programudgifter!$AI:$AI,Programudgifter!$W:$W,B73&amp;C73&amp;D73&amp;E73,Programudgifter!$S:$S,"")</f>
        <v>0</v>
      </c>
      <c r="W73">
        <f ca="1">SUMIFS(Programudgifter!$AK:$AK,Programudgifter!$W:$W,B73&amp;C73&amp;D73&amp;E73,Programudgifter!$S:$S,"")</f>
        <v>0</v>
      </c>
    </row>
    <row r="74" spans="2:24" ht="14.25" customHeight="1" x14ac:dyDescent="0.25">
      <c r="B74" t="s">
        <v>1265</v>
      </c>
      <c r="C74" t="s">
        <v>1181</v>
      </c>
      <c r="D74" t="s">
        <v>693</v>
      </c>
      <c r="E74">
        <v>2014</v>
      </c>
      <c r="F74" t="s">
        <v>1361</v>
      </c>
      <c r="H74" t="s">
        <v>1194</v>
      </c>
      <c r="S74">
        <f ca="1">SUMIFS(Programudgifter!$AG:$AG,Programudgifter!$W:$W,B74&amp;C74&amp;D74&amp;E74,Programudgifter!$S:$S,F74)</f>
        <v>0</v>
      </c>
      <c r="T74">
        <f ca="1">SUMIFS(Programudgifter!$AH:$AH,Programudgifter!$W:$W,B74&amp;C74&amp;D74&amp;E74,Programudgifter!$T:$T,F74)</f>
        <v>0</v>
      </c>
      <c r="U74">
        <f ca="1">SUMIFS(Programudgifter!$AI:$AI,Programudgifter!$W:$W,B74&amp;C74&amp;D74&amp;E74,Programudgifter!$S:$S,F74)</f>
        <v>0</v>
      </c>
      <c r="V74">
        <f ca="1">SUMIFS(Programudgifter!$AJ:$AJ,Programudgifter!$W:$W,B74&amp;C74&amp;D74&amp;E74,Programudgifter!$T:$T,F74)</f>
        <v>0</v>
      </c>
      <c r="W74">
        <f ca="1">SUMIFS(Programudgifter!$AK:$AK,Programudgifter!$W:$W,B74&amp;C74&amp;D74&amp;E74,Programudgifter!$S:$S,F74)</f>
        <v>0</v>
      </c>
      <c r="X74">
        <f ca="1">SUMIFS(Programudgifter!$AL:$AL,Programudgifter!$W:$W,B74&amp;C74&amp;D74&amp;E74,Programudgifter!$T:$T,F74)</f>
        <v>0</v>
      </c>
    </row>
    <row r="75" spans="2:24" ht="14.25" customHeight="1" x14ac:dyDescent="0.25">
      <c r="B75" t="s">
        <v>1265</v>
      </c>
      <c r="C75" t="s">
        <v>1181</v>
      </c>
      <c r="D75" t="s">
        <v>693</v>
      </c>
      <c r="E75">
        <v>2014</v>
      </c>
      <c r="F75" t="s">
        <v>680</v>
      </c>
      <c r="H75" t="s">
        <v>1194</v>
      </c>
      <c r="S75">
        <f ca="1">SUMIFS(Programudgifter!$AG:$AG,Programudgifter!$W:$W,B75&amp;C75&amp;D75&amp;E75,Programudgifter!$S:$S,F75)</f>
        <v>0</v>
      </c>
      <c r="T75">
        <f ca="1">SUMIFS(Programudgifter!$AH:$AH,Programudgifter!$W:$W,B75&amp;C75&amp;D75&amp;E75,Programudgifter!$T:$T,F75)</f>
        <v>0</v>
      </c>
      <c r="U75">
        <f ca="1">SUMIFS(Programudgifter!$AI:$AI,Programudgifter!$W:$W,B75&amp;C75&amp;D75&amp;E75,Programudgifter!$S:$S,F75)</f>
        <v>0</v>
      </c>
      <c r="V75">
        <f ca="1">SUMIFS(Programudgifter!$AJ:$AJ,Programudgifter!$W:$W,B75&amp;C75&amp;D75&amp;E75,Programudgifter!$T:$T,F75)</f>
        <v>0</v>
      </c>
      <c r="W75">
        <f ca="1">SUMIFS(Programudgifter!$AK:$AK,Programudgifter!$W:$W,B75&amp;C75&amp;D75&amp;E75,Programudgifter!$S:$S,F75)</f>
        <v>0</v>
      </c>
      <c r="X75">
        <f ca="1">SUMIFS(Programudgifter!$AL:$AL,Programudgifter!$W:$W,B75&amp;C75&amp;D75&amp;E75,Programudgifter!$T:$T,F75)</f>
        <v>0</v>
      </c>
    </row>
    <row r="76" spans="2:24" ht="14.25" customHeight="1" x14ac:dyDescent="0.25">
      <c r="B76" t="s">
        <v>1265</v>
      </c>
      <c r="C76" t="s">
        <v>1181</v>
      </c>
      <c r="D76" t="s">
        <v>693</v>
      </c>
      <c r="E76">
        <v>2014</v>
      </c>
      <c r="N76">
        <f ca="1">SUMIFS(Programudgifter!$Y:$Y,Programudgifter!$W:$W,B76&amp;C76&amp;D76&amp;E76)</f>
        <v>0</v>
      </c>
      <c r="O76">
        <f ca="1">SUMIFS(Programudgifter!$Z:$Z,Programudgifter!$W:$W,B76&amp;C76&amp;D76&amp;E76)</f>
        <v>0</v>
      </c>
      <c r="P76">
        <f ca="1">SUMIFS(Programudgifter!$AA:$AA,Programudgifter!$W:$W,B76&amp;C76&amp;D76&amp;E76)</f>
        <v>0</v>
      </c>
      <c r="Q76">
        <f ca="1">SUMIFS(Programudgifter!$AB:$AB,Programudgifter!$W:$W,B76&amp;C76&amp;D76&amp;E76)</f>
        <v>0</v>
      </c>
      <c r="R76">
        <f ca="1">SUMIFS(Programudgifter!$AC:$AC,Programudgifter!$W:$W,B76&amp;C76&amp;D76&amp;E76)</f>
        <v>0</v>
      </c>
      <c r="S76">
        <f ca="1">SUMIFS(Programudgifter!$AG:$AG,Programudgifter!$W:$W,B76&amp;C76&amp;D76&amp;E76,Programudgifter!$S:$S,"")</f>
        <v>0</v>
      </c>
      <c r="U76">
        <f ca="1">SUMIFS(Programudgifter!$AI:$AI,Programudgifter!$W:$W,B76&amp;C76&amp;D76&amp;E76,Programudgifter!$S:$S,"")</f>
        <v>0</v>
      </c>
      <c r="W76">
        <f ca="1">SUMIFS(Programudgifter!$AK:$AK,Programudgifter!$W:$W,B76&amp;C76&amp;D76&amp;E76,Programudgifter!$S:$S,"")</f>
        <v>0</v>
      </c>
    </row>
    <row r="77" spans="2:24" ht="14.25" customHeight="1" x14ac:dyDescent="0.25">
      <c r="B77" t="s">
        <v>1265</v>
      </c>
      <c r="C77" t="s">
        <v>1182</v>
      </c>
      <c r="D77" t="s">
        <v>693</v>
      </c>
      <c r="E77">
        <v>2013</v>
      </c>
      <c r="F77" t="s">
        <v>1361</v>
      </c>
      <c r="H77" t="s">
        <v>1194</v>
      </c>
      <c r="S77">
        <f ca="1">SUMIFS(Programudgifter!$AG:$AG,Programudgifter!$W:$W,B77&amp;C77&amp;D77&amp;E77,Programudgifter!$S:$S,F77)</f>
        <v>0</v>
      </c>
      <c r="T77">
        <f ca="1">SUMIFS(Programudgifter!$AH:$AH,Programudgifter!$W:$W,B77&amp;C77&amp;D77&amp;E77,Programudgifter!$T:$T,F77)</f>
        <v>0</v>
      </c>
      <c r="U77">
        <f ca="1">SUMIFS(Programudgifter!$AI:$AI,Programudgifter!$W:$W,B77&amp;C77&amp;D77&amp;E77,Programudgifter!$S:$S,F77)</f>
        <v>0</v>
      </c>
      <c r="V77">
        <f ca="1">SUMIFS(Programudgifter!$AJ:$AJ,Programudgifter!$W:$W,B77&amp;C77&amp;D77&amp;E77,Programudgifter!$T:$T,F77)</f>
        <v>0</v>
      </c>
      <c r="W77">
        <f ca="1">SUMIFS(Programudgifter!$AK:$AK,Programudgifter!$W:$W,B77&amp;C77&amp;D77&amp;E77,Programudgifter!$S:$S,F77)</f>
        <v>0</v>
      </c>
      <c r="X77">
        <f ca="1">SUMIFS(Programudgifter!$AL:$AL,Programudgifter!$W:$W,B77&amp;C77&amp;D77&amp;E77,Programudgifter!$T:$T,F77)</f>
        <v>0</v>
      </c>
    </row>
    <row r="78" spans="2:24" ht="14.25" customHeight="1" x14ac:dyDescent="0.25">
      <c r="B78" t="s">
        <v>1265</v>
      </c>
      <c r="C78" t="s">
        <v>1182</v>
      </c>
      <c r="D78" t="s">
        <v>693</v>
      </c>
      <c r="E78">
        <v>2013</v>
      </c>
      <c r="F78" t="s">
        <v>680</v>
      </c>
      <c r="H78" t="s">
        <v>1194</v>
      </c>
      <c r="S78">
        <f ca="1">SUMIFS(Programudgifter!$AG:$AG,Programudgifter!$W:$W,B78&amp;C78&amp;D78&amp;E78,Programudgifter!$S:$S,F78)</f>
        <v>0</v>
      </c>
      <c r="T78">
        <f ca="1">SUMIFS(Programudgifter!$AH:$AH,Programudgifter!$W:$W,B78&amp;C78&amp;D78&amp;E78,Programudgifter!$T:$T,F78)</f>
        <v>0</v>
      </c>
      <c r="U78">
        <f ca="1">SUMIFS(Programudgifter!$AI:$AI,Programudgifter!$W:$W,B78&amp;C78&amp;D78&amp;E78,Programudgifter!$S:$S,F78)</f>
        <v>0</v>
      </c>
      <c r="V78">
        <f ca="1">SUMIFS(Programudgifter!$AJ:$AJ,Programudgifter!$W:$W,B78&amp;C78&amp;D78&amp;E78,Programudgifter!$T:$T,F78)</f>
        <v>0</v>
      </c>
      <c r="W78">
        <f ca="1">SUMIFS(Programudgifter!$AK:$AK,Programudgifter!$W:$W,B78&amp;C78&amp;D78&amp;E78,Programudgifter!$S:$S,F78)</f>
        <v>0</v>
      </c>
      <c r="X78">
        <f ca="1">SUMIFS(Programudgifter!$AL:$AL,Programudgifter!$W:$W,B78&amp;C78&amp;D78&amp;E78,Programudgifter!$T:$T,F78)</f>
        <v>0</v>
      </c>
    </row>
    <row r="79" spans="2:24" ht="14.25" customHeight="1" x14ac:dyDescent="0.25">
      <c r="B79" t="s">
        <v>1265</v>
      </c>
      <c r="C79" t="s">
        <v>1182</v>
      </c>
      <c r="D79" t="s">
        <v>693</v>
      </c>
      <c r="E79">
        <v>2013</v>
      </c>
      <c r="N79">
        <f ca="1">SUMIFS(Programudgifter!$Y:$Y,Programudgifter!$W:$W,B79&amp;C79&amp;D79&amp;E79)</f>
        <v>0</v>
      </c>
      <c r="O79">
        <f ca="1">SUMIFS(Programudgifter!$Z:$Z,Programudgifter!$W:$W,B79&amp;C79&amp;D79&amp;E79)</f>
        <v>0</v>
      </c>
      <c r="P79">
        <f ca="1">SUMIFS(Programudgifter!$AA:$AA,Programudgifter!$W:$W,B79&amp;C79&amp;D79&amp;E79)</f>
        <v>0</v>
      </c>
      <c r="Q79">
        <f ca="1">SUMIFS(Programudgifter!$AB:$AB,Programudgifter!$W:$W,B79&amp;C79&amp;D79&amp;E79)</f>
        <v>0</v>
      </c>
      <c r="R79">
        <f ca="1">SUMIFS(Programudgifter!$AC:$AC,Programudgifter!$W:$W,B79&amp;C79&amp;D79&amp;E79)</f>
        <v>0</v>
      </c>
      <c r="S79">
        <f ca="1">SUMIFS(Programudgifter!$AG:$AG,Programudgifter!$W:$W,B79&amp;C79&amp;D79&amp;E79,Programudgifter!$S:$S,"")</f>
        <v>0</v>
      </c>
      <c r="U79">
        <f ca="1">SUMIFS(Programudgifter!$AI:$AI,Programudgifter!$W:$W,B79&amp;C79&amp;D79&amp;E79,Programudgifter!$S:$S,"")</f>
        <v>0</v>
      </c>
      <c r="W79">
        <f ca="1">SUMIFS(Programudgifter!$AK:$AK,Programudgifter!$W:$W,B79&amp;C79&amp;D79&amp;E79,Programudgifter!$S:$S,"")</f>
        <v>0</v>
      </c>
    </row>
    <row r="80" spans="2:24" ht="14.25" customHeight="1" x14ac:dyDescent="0.25">
      <c r="B80" t="s">
        <v>1265</v>
      </c>
      <c r="C80" t="s">
        <v>1182</v>
      </c>
      <c r="D80" t="s">
        <v>693</v>
      </c>
      <c r="E80">
        <v>2014</v>
      </c>
      <c r="F80" t="s">
        <v>1361</v>
      </c>
      <c r="H80" t="s">
        <v>1194</v>
      </c>
      <c r="S80">
        <f ca="1">SUMIFS(Programudgifter!$AG:$AG,Programudgifter!$W:$W,B80&amp;C80&amp;D80&amp;E80,Programudgifter!$S:$S,F80)</f>
        <v>0</v>
      </c>
      <c r="T80">
        <f ca="1">SUMIFS(Programudgifter!$AH:$AH,Programudgifter!$W:$W,B80&amp;C80&amp;D80&amp;E80,Programudgifter!$T:$T,F80)</f>
        <v>0</v>
      </c>
      <c r="U80">
        <f ca="1">SUMIFS(Programudgifter!$AI:$AI,Programudgifter!$W:$W,B80&amp;C80&amp;D80&amp;E80,Programudgifter!$S:$S,F80)</f>
        <v>0</v>
      </c>
      <c r="V80">
        <f ca="1">SUMIFS(Programudgifter!$AJ:$AJ,Programudgifter!$W:$W,B80&amp;C80&amp;D80&amp;E80,Programudgifter!$T:$T,F80)</f>
        <v>0</v>
      </c>
      <c r="W80">
        <f ca="1">SUMIFS(Programudgifter!$AK:$AK,Programudgifter!$W:$W,B80&amp;C80&amp;D80&amp;E80,Programudgifter!$S:$S,F80)</f>
        <v>0</v>
      </c>
      <c r="X80">
        <f ca="1">SUMIFS(Programudgifter!$AL:$AL,Programudgifter!$W:$W,B80&amp;C80&amp;D80&amp;E80,Programudgifter!$T:$T,F80)</f>
        <v>0</v>
      </c>
    </row>
    <row r="81" spans="2:24" ht="14.25" customHeight="1" x14ac:dyDescent="0.25">
      <c r="B81" t="s">
        <v>1265</v>
      </c>
      <c r="C81" t="s">
        <v>1182</v>
      </c>
      <c r="D81" t="s">
        <v>693</v>
      </c>
      <c r="E81">
        <v>2014</v>
      </c>
      <c r="F81" t="s">
        <v>680</v>
      </c>
      <c r="H81" t="s">
        <v>1194</v>
      </c>
      <c r="S81">
        <f ca="1">SUMIFS(Programudgifter!$AG:$AG,Programudgifter!$W:$W,B81&amp;C81&amp;D81&amp;E81,Programudgifter!$S:$S,F81)</f>
        <v>0</v>
      </c>
      <c r="T81">
        <f ca="1">SUMIFS(Programudgifter!$AH:$AH,Programudgifter!$W:$W,B81&amp;C81&amp;D81&amp;E81,Programudgifter!$T:$T,F81)</f>
        <v>0</v>
      </c>
      <c r="U81">
        <f ca="1">SUMIFS(Programudgifter!$AI:$AI,Programudgifter!$W:$W,B81&amp;C81&amp;D81&amp;E81,Programudgifter!$S:$S,F81)</f>
        <v>0</v>
      </c>
      <c r="V81">
        <f ca="1">SUMIFS(Programudgifter!$AJ:$AJ,Programudgifter!$W:$W,B81&amp;C81&amp;D81&amp;E81,Programudgifter!$T:$T,F81)</f>
        <v>0</v>
      </c>
      <c r="W81">
        <f ca="1">SUMIFS(Programudgifter!$AK:$AK,Programudgifter!$W:$W,B81&amp;C81&amp;D81&amp;E81,Programudgifter!$S:$S,F81)</f>
        <v>0</v>
      </c>
      <c r="X81">
        <f ca="1">SUMIFS(Programudgifter!$AL:$AL,Programudgifter!$W:$W,B81&amp;C81&amp;D81&amp;E81,Programudgifter!$T:$T,F81)</f>
        <v>0</v>
      </c>
    </row>
    <row r="82" spans="2:24" ht="14.25" customHeight="1" x14ac:dyDescent="0.25">
      <c r="B82" t="s">
        <v>1265</v>
      </c>
      <c r="C82" t="s">
        <v>1182</v>
      </c>
      <c r="D82" t="s">
        <v>693</v>
      </c>
      <c r="E82">
        <v>2014</v>
      </c>
      <c r="N82">
        <f ca="1">SUMIFS(Programudgifter!$Y:$Y,Programudgifter!$W:$W,B82&amp;C82&amp;D82&amp;E82)</f>
        <v>0</v>
      </c>
      <c r="O82">
        <f ca="1">SUMIFS(Programudgifter!$Z:$Z,Programudgifter!$W:$W,B82&amp;C82&amp;D82&amp;E82)</f>
        <v>0</v>
      </c>
      <c r="P82">
        <f ca="1">SUMIFS(Programudgifter!$AA:$AA,Programudgifter!$W:$W,B82&amp;C82&amp;D82&amp;E82)</f>
        <v>0</v>
      </c>
      <c r="Q82">
        <f ca="1">SUMIFS(Programudgifter!$AB:$AB,Programudgifter!$W:$W,B82&amp;C82&amp;D82&amp;E82)</f>
        <v>0</v>
      </c>
      <c r="R82">
        <f ca="1">SUMIFS(Programudgifter!$AC:$AC,Programudgifter!$W:$W,B82&amp;C82&amp;D82&amp;E82)</f>
        <v>0</v>
      </c>
      <c r="S82">
        <f ca="1">SUMIFS(Programudgifter!$AG:$AG,Programudgifter!$W:$W,B82&amp;C82&amp;D82&amp;E82,Programudgifter!$S:$S,"")</f>
        <v>0</v>
      </c>
      <c r="U82">
        <f ca="1">SUMIFS(Programudgifter!$AI:$AI,Programudgifter!$W:$W,B82&amp;C82&amp;D82&amp;E82,Programudgifter!$S:$S,"")</f>
        <v>0</v>
      </c>
      <c r="W82">
        <f ca="1">SUMIFS(Programudgifter!$AK:$AK,Programudgifter!$W:$W,B82&amp;C82&amp;D82&amp;E82,Programudgifter!$S:$S,"")</f>
        <v>0</v>
      </c>
    </row>
    <row r="83" spans="2:24" ht="14.25" customHeight="1" x14ac:dyDescent="0.25">
      <c r="B83" t="s">
        <v>1265</v>
      </c>
      <c r="C83" t="s">
        <v>1183</v>
      </c>
      <c r="D83" t="s">
        <v>693</v>
      </c>
      <c r="E83">
        <v>2013</v>
      </c>
      <c r="F83" t="s">
        <v>1361</v>
      </c>
      <c r="H83" t="s">
        <v>1194</v>
      </c>
      <c r="S83">
        <f ca="1">SUMIFS(Programudgifter!$AG:$AG,Programudgifter!$W:$W,B83&amp;C83&amp;D83&amp;E83,Programudgifter!$S:$S,F83)</f>
        <v>0</v>
      </c>
      <c r="T83">
        <f ca="1">SUMIFS(Programudgifter!$AH:$AH,Programudgifter!$W:$W,B83&amp;C83&amp;D83&amp;E83,Programudgifter!$T:$T,F83)</f>
        <v>0</v>
      </c>
      <c r="U83">
        <f ca="1">SUMIFS(Programudgifter!$AI:$AI,Programudgifter!$W:$W,B83&amp;C83&amp;D83&amp;E83,Programudgifter!$S:$S,F83)</f>
        <v>0</v>
      </c>
      <c r="V83">
        <f ca="1">SUMIFS(Programudgifter!$AJ:$AJ,Programudgifter!$W:$W,B83&amp;C83&amp;D83&amp;E83,Programudgifter!$T:$T,F83)</f>
        <v>0</v>
      </c>
      <c r="W83">
        <f ca="1">SUMIFS(Programudgifter!$AK:$AK,Programudgifter!$W:$W,B83&amp;C83&amp;D83&amp;E83,Programudgifter!$S:$S,F83)</f>
        <v>0</v>
      </c>
      <c r="X83">
        <f ca="1">SUMIFS(Programudgifter!$AL:$AL,Programudgifter!$W:$W,B83&amp;C83&amp;D83&amp;E83,Programudgifter!$T:$T,F83)</f>
        <v>0</v>
      </c>
    </row>
    <row r="84" spans="2:24" ht="14.25" customHeight="1" x14ac:dyDescent="0.25">
      <c r="B84" t="s">
        <v>1265</v>
      </c>
      <c r="C84" t="s">
        <v>1183</v>
      </c>
      <c r="D84" t="s">
        <v>693</v>
      </c>
      <c r="E84">
        <v>2013</v>
      </c>
      <c r="F84" t="s">
        <v>680</v>
      </c>
      <c r="H84" t="s">
        <v>1194</v>
      </c>
      <c r="S84">
        <f ca="1">SUMIFS(Programudgifter!$AG:$AG,Programudgifter!$W:$W,B84&amp;C84&amp;D84&amp;E84,Programudgifter!$S:$S,F84)</f>
        <v>0</v>
      </c>
      <c r="T84">
        <f ca="1">SUMIFS(Programudgifter!$AH:$AH,Programudgifter!$W:$W,B84&amp;C84&amp;D84&amp;E84,Programudgifter!$T:$T,F84)</f>
        <v>0</v>
      </c>
      <c r="U84">
        <f ca="1">SUMIFS(Programudgifter!$AI:$AI,Programudgifter!$W:$W,B84&amp;C84&amp;D84&amp;E84,Programudgifter!$S:$S,F84)</f>
        <v>0</v>
      </c>
      <c r="V84">
        <f ca="1">SUMIFS(Programudgifter!$AJ:$AJ,Programudgifter!$W:$W,B84&amp;C84&amp;D84&amp;E84,Programudgifter!$T:$T,F84)</f>
        <v>0</v>
      </c>
      <c r="W84">
        <f ca="1">SUMIFS(Programudgifter!$AK:$AK,Programudgifter!$W:$W,B84&amp;C84&amp;D84&amp;E84,Programudgifter!$S:$S,F84)</f>
        <v>0</v>
      </c>
      <c r="X84">
        <f ca="1">SUMIFS(Programudgifter!$AL:$AL,Programudgifter!$W:$W,B84&amp;C84&amp;D84&amp;E84,Programudgifter!$T:$T,F84)</f>
        <v>0</v>
      </c>
    </row>
    <row r="85" spans="2:24" ht="14.25" customHeight="1" x14ac:dyDescent="0.25">
      <c r="B85" t="s">
        <v>1265</v>
      </c>
      <c r="C85" t="s">
        <v>1183</v>
      </c>
      <c r="D85" t="s">
        <v>693</v>
      </c>
      <c r="E85">
        <v>2013</v>
      </c>
      <c r="N85">
        <f ca="1">SUMIFS(Programudgifter!$Y:$Y,Programudgifter!$W:$W,B85&amp;C85&amp;D85&amp;E85)</f>
        <v>0</v>
      </c>
      <c r="O85">
        <f ca="1">SUMIFS(Programudgifter!$Z:$Z,Programudgifter!$W:$W,B85&amp;C85&amp;D85&amp;E85)</f>
        <v>0</v>
      </c>
      <c r="P85">
        <f ca="1">SUMIFS(Programudgifter!$AA:$AA,Programudgifter!$W:$W,B85&amp;C85&amp;D85&amp;E85)</f>
        <v>0</v>
      </c>
      <c r="Q85">
        <f ca="1">SUMIFS(Programudgifter!$AB:$AB,Programudgifter!$W:$W,B85&amp;C85&amp;D85&amp;E85)</f>
        <v>0</v>
      </c>
      <c r="R85">
        <f ca="1">SUMIFS(Programudgifter!$AC:$AC,Programudgifter!$W:$W,B85&amp;C85&amp;D85&amp;E85)</f>
        <v>0</v>
      </c>
      <c r="S85">
        <f ca="1">SUMIFS(Programudgifter!$AG:$AG,Programudgifter!$W:$W,B85&amp;C85&amp;D85&amp;E85,Programudgifter!$S:$S,"")</f>
        <v>0</v>
      </c>
      <c r="U85">
        <f ca="1">SUMIFS(Programudgifter!$AI:$AI,Programudgifter!$W:$W,B85&amp;C85&amp;D85&amp;E85,Programudgifter!$S:$S,"")</f>
        <v>0</v>
      </c>
      <c r="W85">
        <f ca="1">SUMIFS(Programudgifter!$AK:$AK,Programudgifter!$W:$W,B85&amp;C85&amp;D85&amp;E85,Programudgifter!$S:$S,"")</f>
        <v>0</v>
      </c>
    </row>
    <row r="86" spans="2:24" ht="14.25" customHeight="1" x14ac:dyDescent="0.25">
      <c r="B86" t="s">
        <v>1265</v>
      </c>
      <c r="C86" t="s">
        <v>1183</v>
      </c>
      <c r="D86" t="s">
        <v>693</v>
      </c>
      <c r="E86">
        <v>2014</v>
      </c>
      <c r="F86" t="s">
        <v>1361</v>
      </c>
      <c r="H86" t="s">
        <v>1194</v>
      </c>
      <c r="S86">
        <f ca="1">SUMIFS(Programudgifter!$AG:$AG,Programudgifter!$W:$W,B86&amp;C86&amp;D86&amp;E86,Programudgifter!$S:$S,F86)</f>
        <v>0</v>
      </c>
      <c r="T86">
        <f ca="1">SUMIFS(Programudgifter!$AH:$AH,Programudgifter!$W:$W,B86&amp;C86&amp;D86&amp;E86,Programudgifter!$T:$T,F86)</f>
        <v>0</v>
      </c>
      <c r="U86">
        <f ca="1">SUMIFS(Programudgifter!$AI:$AI,Programudgifter!$W:$W,B86&amp;C86&amp;D86&amp;E86,Programudgifter!$S:$S,F86)</f>
        <v>0</v>
      </c>
      <c r="V86">
        <f ca="1">SUMIFS(Programudgifter!$AJ:$AJ,Programudgifter!$W:$W,B86&amp;C86&amp;D86&amp;E86,Programudgifter!$T:$T,F86)</f>
        <v>0</v>
      </c>
      <c r="W86">
        <f ca="1">SUMIFS(Programudgifter!$AK:$AK,Programudgifter!$W:$W,B86&amp;C86&amp;D86&amp;E86,Programudgifter!$S:$S,F86)</f>
        <v>0</v>
      </c>
      <c r="X86">
        <f ca="1">SUMIFS(Programudgifter!$AL:$AL,Programudgifter!$W:$W,B86&amp;C86&amp;D86&amp;E86,Programudgifter!$T:$T,F86)</f>
        <v>0</v>
      </c>
    </row>
    <row r="87" spans="2:24" ht="14.25" customHeight="1" x14ac:dyDescent="0.25">
      <c r="B87" t="s">
        <v>1265</v>
      </c>
      <c r="C87" t="s">
        <v>1183</v>
      </c>
      <c r="D87" t="s">
        <v>693</v>
      </c>
      <c r="E87">
        <v>2014</v>
      </c>
      <c r="F87" t="s">
        <v>680</v>
      </c>
      <c r="H87" t="s">
        <v>1194</v>
      </c>
      <c r="S87">
        <f ca="1">SUMIFS(Programudgifter!$AG:$AG,Programudgifter!$W:$W,B87&amp;C87&amp;D87&amp;E87,Programudgifter!$S:$S,F87)</f>
        <v>0</v>
      </c>
      <c r="T87">
        <f ca="1">SUMIFS(Programudgifter!$AH:$AH,Programudgifter!$W:$W,B87&amp;C87&amp;D87&amp;E87,Programudgifter!$T:$T,F87)</f>
        <v>0</v>
      </c>
      <c r="U87">
        <f ca="1">SUMIFS(Programudgifter!$AI:$AI,Programudgifter!$W:$W,B87&amp;C87&amp;D87&amp;E87,Programudgifter!$S:$S,F87)</f>
        <v>0</v>
      </c>
      <c r="V87">
        <f ca="1">SUMIFS(Programudgifter!$AJ:$AJ,Programudgifter!$W:$W,B87&amp;C87&amp;D87&amp;E87,Programudgifter!$T:$T,F87)</f>
        <v>0</v>
      </c>
      <c r="W87">
        <f ca="1">SUMIFS(Programudgifter!$AK:$AK,Programudgifter!$W:$W,B87&amp;C87&amp;D87&amp;E87,Programudgifter!$S:$S,F87)</f>
        <v>0</v>
      </c>
      <c r="X87">
        <f ca="1">SUMIFS(Programudgifter!$AL:$AL,Programudgifter!$W:$W,B87&amp;C87&amp;D87&amp;E87,Programudgifter!$T:$T,F87)</f>
        <v>0</v>
      </c>
    </row>
    <row r="88" spans="2:24" ht="14.25" customHeight="1" x14ac:dyDescent="0.25">
      <c r="B88" t="s">
        <v>1265</v>
      </c>
      <c r="C88" t="s">
        <v>1183</v>
      </c>
      <c r="D88" t="s">
        <v>693</v>
      </c>
      <c r="E88">
        <v>2014</v>
      </c>
      <c r="N88">
        <f ca="1">SUMIFS(Programudgifter!$Y:$Y,Programudgifter!$W:$W,B88&amp;C88&amp;D88&amp;E88)</f>
        <v>0</v>
      </c>
      <c r="O88">
        <f ca="1">SUMIFS(Programudgifter!$Z:$Z,Programudgifter!$W:$W,B88&amp;C88&amp;D88&amp;E88)</f>
        <v>0</v>
      </c>
      <c r="P88">
        <f ca="1">SUMIFS(Programudgifter!$AA:$AA,Programudgifter!$W:$W,B88&amp;C88&amp;D88&amp;E88)</f>
        <v>0</v>
      </c>
      <c r="Q88">
        <f ca="1">SUMIFS(Programudgifter!$AB:$AB,Programudgifter!$W:$W,B88&amp;C88&amp;D88&amp;E88)</f>
        <v>0</v>
      </c>
      <c r="R88">
        <f ca="1">SUMIFS(Programudgifter!$AC:$AC,Programudgifter!$W:$W,B88&amp;C88&amp;D88&amp;E88)</f>
        <v>0</v>
      </c>
      <c r="S88">
        <f ca="1">SUMIFS(Programudgifter!$AG:$AG,Programudgifter!$W:$W,B88&amp;C88&amp;D88&amp;E88,Programudgifter!$S:$S,"")</f>
        <v>0</v>
      </c>
      <c r="U88">
        <f ca="1">SUMIFS(Programudgifter!$AI:$AI,Programudgifter!$W:$W,B88&amp;C88&amp;D88&amp;E88,Programudgifter!$S:$S,"")</f>
        <v>0</v>
      </c>
      <c r="W88">
        <f ca="1">SUMIFS(Programudgifter!$AK:$AK,Programudgifter!$W:$W,B88&amp;C88&amp;D88&amp;E88,Programudgifter!$S:$S,"")</f>
        <v>0</v>
      </c>
    </row>
    <row r="89" spans="2:24" ht="14.25" customHeight="1" x14ac:dyDescent="0.25">
      <c r="B89" t="s">
        <v>1265</v>
      </c>
      <c r="C89" t="s">
        <v>84</v>
      </c>
      <c r="D89" t="s">
        <v>693</v>
      </c>
      <c r="E89">
        <v>2013</v>
      </c>
      <c r="F89" t="s">
        <v>1361</v>
      </c>
      <c r="H89" t="s">
        <v>1194</v>
      </c>
      <c r="S89">
        <f ca="1">SUMIFS(Programudgifter!$AG:$AG,Programudgifter!$W:$W,B89&amp;C89&amp;D89&amp;E89,Programudgifter!$S:$S,F89)</f>
        <v>0</v>
      </c>
      <c r="T89">
        <f ca="1">SUMIFS(Programudgifter!$AH:$AH,Programudgifter!$W:$W,B89&amp;C89&amp;D89&amp;E89,Programudgifter!$T:$T,F89)</f>
        <v>0</v>
      </c>
      <c r="U89">
        <f ca="1">SUMIFS(Programudgifter!$AI:$AI,Programudgifter!$W:$W,B89&amp;C89&amp;D89&amp;E89,Programudgifter!$S:$S,F89)</f>
        <v>0</v>
      </c>
      <c r="V89">
        <f ca="1">SUMIFS(Programudgifter!$AJ:$AJ,Programudgifter!$W:$W,B89&amp;C89&amp;D89&amp;E89,Programudgifter!$T:$T,F89)</f>
        <v>0</v>
      </c>
      <c r="W89">
        <f ca="1">SUMIFS(Programudgifter!$AK:$AK,Programudgifter!$W:$W,B89&amp;C89&amp;D89&amp;E89,Programudgifter!$S:$S,F89)</f>
        <v>0</v>
      </c>
      <c r="X89">
        <f ca="1">SUMIFS(Programudgifter!$AL:$AL,Programudgifter!$W:$W,B89&amp;C89&amp;D89&amp;E89,Programudgifter!$T:$T,F89)</f>
        <v>0</v>
      </c>
    </row>
    <row r="90" spans="2:24" ht="14.25" customHeight="1" x14ac:dyDescent="0.25">
      <c r="B90" t="s">
        <v>1265</v>
      </c>
      <c r="C90" t="s">
        <v>84</v>
      </c>
      <c r="D90" t="s">
        <v>693</v>
      </c>
      <c r="E90">
        <v>2013</v>
      </c>
      <c r="F90" t="s">
        <v>680</v>
      </c>
      <c r="H90" t="s">
        <v>1194</v>
      </c>
      <c r="S90">
        <f ca="1">SUMIFS(Programudgifter!$AG:$AG,Programudgifter!$W:$W,B90&amp;C90&amp;D90&amp;E90,Programudgifter!$S:$S,F90)</f>
        <v>0</v>
      </c>
      <c r="T90">
        <f ca="1">SUMIFS(Programudgifter!$AH:$AH,Programudgifter!$W:$W,B90&amp;C90&amp;D90&amp;E90,Programudgifter!$T:$T,F90)</f>
        <v>0</v>
      </c>
      <c r="U90">
        <f ca="1">SUMIFS(Programudgifter!$AI:$AI,Programudgifter!$W:$W,B90&amp;C90&amp;D90&amp;E90,Programudgifter!$S:$S,F90)</f>
        <v>0</v>
      </c>
      <c r="V90">
        <f ca="1">SUMIFS(Programudgifter!$AJ:$AJ,Programudgifter!$W:$W,B90&amp;C90&amp;D90&amp;E90,Programudgifter!$T:$T,F90)</f>
        <v>0</v>
      </c>
      <c r="W90">
        <f ca="1">SUMIFS(Programudgifter!$AK:$AK,Programudgifter!$W:$W,B90&amp;C90&amp;D90&amp;E90,Programudgifter!$S:$S,F90)</f>
        <v>0</v>
      </c>
      <c r="X90">
        <f ca="1">SUMIFS(Programudgifter!$AL:$AL,Programudgifter!$W:$W,B90&amp;C90&amp;D90&amp;E90,Programudgifter!$T:$T,F90)</f>
        <v>0</v>
      </c>
    </row>
    <row r="91" spans="2:24" ht="14.25" customHeight="1" x14ac:dyDescent="0.25">
      <c r="B91" t="s">
        <v>1265</v>
      </c>
      <c r="C91" t="s">
        <v>84</v>
      </c>
      <c r="D91" t="s">
        <v>693</v>
      </c>
      <c r="E91">
        <v>2013</v>
      </c>
      <c r="N91">
        <f ca="1">SUMIFS(Programudgifter!$Y:$Y,Programudgifter!$W:$W,B91&amp;C91&amp;D91&amp;E91)</f>
        <v>0</v>
      </c>
      <c r="O91">
        <f ca="1">SUMIFS(Programudgifter!$Z:$Z,Programudgifter!$W:$W,B91&amp;C91&amp;D91&amp;E91)</f>
        <v>0</v>
      </c>
      <c r="P91">
        <f ca="1">SUMIFS(Programudgifter!$AA:$AA,Programudgifter!$W:$W,B91&amp;C91&amp;D91&amp;E91)</f>
        <v>0</v>
      </c>
      <c r="Q91">
        <f ca="1">SUMIFS(Programudgifter!$AB:$AB,Programudgifter!$W:$W,B91&amp;C91&amp;D91&amp;E91)</f>
        <v>0</v>
      </c>
      <c r="R91">
        <f ca="1">SUMIFS(Programudgifter!$AC:$AC,Programudgifter!$W:$W,B91&amp;C91&amp;D91&amp;E91)</f>
        <v>0</v>
      </c>
      <c r="S91">
        <f ca="1">SUMIFS(Programudgifter!$AG:$AG,Programudgifter!$W:$W,B91&amp;C91&amp;D91&amp;E91,Programudgifter!$S:$S,"")</f>
        <v>0</v>
      </c>
      <c r="U91">
        <f ca="1">SUMIFS(Programudgifter!$AI:$AI,Programudgifter!$W:$W,B91&amp;C91&amp;D91&amp;E91,Programudgifter!$S:$S,"")</f>
        <v>0</v>
      </c>
      <c r="W91">
        <f ca="1">SUMIFS(Programudgifter!$AK:$AK,Programudgifter!$W:$W,B91&amp;C91&amp;D91&amp;E91,Programudgifter!$S:$S,"")</f>
        <v>0</v>
      </c>
    </row>
    <row r="92" spans="2:24" ht="14.25" customHeight="1" x14ac:dyDescent="0.25">
      <c r="B92" t="s">
        <v>1265</v>
      </c>
      <c r="C92" t="s">
        <v>84</v>
      </c>
      <c r="D92" t="s">
        <v>693</v>
      </c>
      <c r="E92">
        <v>2014</v>
      </c>
      <c r="F92" t="s">
        <v>1361</v>
      </c>
      <c r="H92" t="s">
        <v>1194</v>
      </c>
      <c r="S92">
        <f ca="1">SUMIFS(Programudgifter!$AG:$AG,Programudgifter!$W:$W,B92&amp;C92&amp;D92&amp;E92,Programudgifter!$S:$S,F92)</f>
        <v>0</v>
      </c>
      <c r="T92">
        <f ca="1">SUMIFS(Programudgifter!$AH:$AH,Programudgifter!$W:$W,B92&amp;C92&amp;D92&amp;E92,Programudgifter!$T:$T,F92)</f>
        <v>0</v>
      </c>
      <c r="U92">
        <f ca="1">SUMIFS(Programudgifter!$AI:$AI,Programudgifter!$W:$W,B92&amp;C92&amp;D92&amp;E92,Programudgifter!$S:$S,F92)</f>
        <v>0</v>
      </c>
      <c r="V92">
        <f ca="1">SUMIFS(Programudgifter!$AJ:$AJ,Programudgifter!$W:$W,B92&amp;C92&amp;D92&amp;E92,Programudgifter!$T:$T,F92)</f>
        <v>0</v>
      </c>
      <c r="W92">
        <f ca="1">SUMIFS(Programudgifter!$AK:$AK,Programudgifter!$W:$W,B92&amp;C92&amp;D92&amp;E92,Programudgifter!$S:$S,F92)</f>
        <v>0</v>
      </c>
      <c r="X92">
        <f ca="1">SUMIFS(Programudgifter!$AL:$AL,Programudgifter!$W:$W,B92&amp;C92&amp;D92&amp;E92,Programudgifter!$T:$T,F92)</f>
        <v>0</v>
      </c>
    </row>
    <row r="93" spans="2:24" ht="14.25" customHeight="1" x14ac:dyDescent="0.25">
      <c r="B93" t="s">
        <v>1265</v>
      </c>
      <c r="C93" t="s">
        <v>84</v>
      </c>
      <c r="D93" t="s">
        <v>693</v>
      </c>
      <c r="E93">
        <v>2014</v>
      </c>
      <c r="F93" t="s">
        <v>680</v>
      </c>
      <c r="H93" t="s">
        <v>1194</v>
      </c>
      <c r="S93">
        <f ca="1">SUMIFS(Programudgifter!$AG:$AG,Programudgifter!$W:$W,B93&amp;C93&amp;D93&amp;E93,Programudgifter!$S:$S,F93)</f>
        <v>0</v>
      </c>
      <c r="T93">
        <f ca="1">SUMIFS(Programudgifter!$AH:$AH,Programudgifter!$W:$W,B93&amp;C93&amp;D93&amp;E93,Programudgifter!$T:$T,F93)</f>
        <v>0</v>
      </c>
      <c r="U93">
        <f ca="1">SUMIFS(Programudgifter!$AI:$AI,Programudgifter!$W:$W,B93&amp;C93&amp;D93&amp;E93,Programudgifter!$S:$S,F93)</f>
        <v>0</v>
      </c>
      <c r="V93">
        <f ca="1">SUMIFS(Programudgifter!$AJ:$AJ,Programudgifter!$W:$W,B93&amp;C93&amp;D93&amp;E93,Programudgifter!$T:$T,F93)</f>
        <v>0</v>
      </c>
      <c r="W93">
        <f ca="1">SUMIFS(Programudgifter!$AK:$AK,Programudgifter!$W:$W,B93&amp;C93&amp;D93&amp;E93,Programudgifter!$S:$S,F93)</f>
        <v>0</v>
      </c>
      <c r="X93">
        <f ca="1">SUMIFS(Programudgifter!$AL:$AL,Programudgifter!$W:$W,B93&amp;C93&amp;D93&amp;E93,Programudgifter!$T:$T,F93)</f>
        <v>0</v>
      </c>
    </row>
    <row r="94" spans="2:24" ht="14.25" customHeight="1" x14ac:dyDescent="0.25">
      <c r="B94" t="s">
        <v>1265</v>
      </c>
      <c r="C94" t="s">
        <v>84</v>
      </c>
      <c r="D94" t="s">
        <v>693</v>
      </c>
      <c r="E94">
        <v>2014</v>
      </c>
      <c r="N94">
        <f ca="1">SUMIFS(Programudgifter!$Y:$Y,Programudgifter!$W:$W,B94&amp;C94&amp;D94&amp;E94)</f>
        <v>0</v>
      </c>
      <c r="O94">
        <f ca="1">SUMIFS(Programudgifter!$Z:$Z,Programudgifter!$W:$W,B94&amp;C94&amp;D94&amp;E94)</f>
        <v>0</v>
      </c>
      <c r="P94">
        <f ca="1">SUMIFS(Programudgifter!$AA:$AA,Programudgifter!$W:$W,B94&amp;C94&amp;D94&amp;E94)</f>
        <v>0</v>
      </c>
      <c r="Q94">
        <f ca="1">SUMIFS(Programudgifter!$AB:$AB,Programudgifter!$W:$W,B94&amp;C94&amp;D94&amp;E94)</f>
        <v>0</v>
      </c>
      <c r="R94">
        <f ca="1">SUMIFS(Programudgifter!$AC:$AC,Programudgifter!$W:$W,B94&amp;C94&amp;D94&amp;E94)</f>
        <v>0</v>
      </c>
      <c r="S94">
        <f ca="1">SUMIFS(Programudgifter!$AG:$AG,Programudgifter!$W:$W,B94&amp;C94&amp;D94&amp;E94,Programudgifter!$S:$S,"")</f>
        <v>0</v>
      </c>
      <c r="U94">
        <f ca="1">SUMIFS(Programudgifter!$AI:$AI,Programudgifter!$W:$W,B94&amp;C94&amp;D94&amp;E94,Programudgifter!$S:$S,"")</f>
        <v>0</v>
      </c>
      <c r="W94">
        <f ca="1">SUMIFS(Programudgifter!$AK:$AK,Programudgifter!$W:$W,B94&amp;C94&amp;D94&amp;E94,Programudgifter!$S:$S,"")</f>
        <v>0</v>
      </c>
    </row>
    <row r="95" spans="2:24" ht="14.25" customHeight="1" x14ac:dyDescent="0.25">
      <c r="B95" t="s">
        <v>1265</v>
      </c>
      <c r="C95" t="s">
        <v>85</v>
      </c>
      <c r="D95" t="s">
        <v>693</v>
      </c>
      <c r="E95">
        <v>2013</v>
      </c>
      <c r="F95" t="s">
        <v>1361</v>
      </c>
      <c r="H95" t="s">
        <v>1194</v>
      </c>
      <c r="S95">
        <f ca="1">SUMIFS(Programudgifter!$AG:$AG,Programudgifter!$W:$W,B95&amp;C95&amp;D95&amp;E95,Programudgifter!$S:$S,F95)</f>
        <v>0</v>
      </c>
      <c r="T95">
        <f ca="1">SUMIFS(Programudgifter!$AH:$AH,Programudgifter!$W:$W,B95&amp;C95&amp;D95&amp;E95,Programudgifter!$T:$T,F95)</f>
        <v>0</v>
      </c>
      <c r="U95">
        <f ca="1">SUMIFS(Programudgifter!$AI:$AI,Programudgifter!$W:$W,B95&amp;C95&amp;D95&amp;E95,Programudgifter!$S:$S,F95)</f>
        <v>0</v>
      </c>
      <c r="V95">
        <f ca="1">SUMIFS(Programudgifter!$AJ:$AJ,Programudgifter!$W:$W,B95&amp;C95&amp;D95&amp;E95,Programudgifter!$T:$T,F95)</f>
        <v>0</v>
      </c>
      <c r="W95">
        <f ca="1">SUMIFS(Programudgifter!$AK:$AK,Programudgifter!$W:$W,B95&amp;C95&amp;D95&amp;E95,Programudgifter!$S:$S,F95)</f>
        <v>0</v>
      </c>
      <c r="X95">
        <f ca="1">SUMIFS(Programudgifter!$AL:$AL,Programudgifter!$W:$W,B95&amp;C95&amp;D95&amp;E95,Programudgifter!$T:$T,F95)</f>
        <v>0</v>
      </c>
    </row>
    <row r="96" spans="2:24" ht="14.25" customHeight="1" x14ac:dyDescent="0.25">
      <c r="B96" t="s">
        <v>1265</v>
      </c>
      <c r="C96" t="s">
        <v>85</v>
      </c>
      <c r="D96" t="s">
        <v>693</v>
      </c>
      <c r="E96">
        <v>2013</v>
      </c>
      <c r="F96" t="s">
        <v>680</v>
      </c>
      <c r="H96" t="s">
        <v>1194</v>
      </c>
      <c r="S96">
        <f ca="1">SUMIFS(Programudgifter!$AG:$AG,Programudgifter!$W:$W,B96&amp;C96&amp;D96&amp;E96,Programudgifter!$S:$S,F96)</f>
        <v>0</v>
      </c>
      <c r="T96">
        <f ca="1">SUMIFS(Programudgifter!$AH:$AH,Programudgifter!$W:$W,B96&amp;C96&amp;D96&amp;E96,Programudgifter!$T:$T,F96)</f>
        <v>0</v>
      </c>
      <c r="U96">
        <f ca="1">SUMIFS(Programudgifter!$AI:$AI,Programudgifter!$W:$W,B96&amp;C96&amp;D96&amp;E96,Programudgifter!$S:$S,F96)</f>
        <v>0</v>
      </c>
      <c r="V96">
        <f ca="1">SUMIFS(Programudgifter!$AJ:$AJ,Programudgifter!$W:$W,B96&amp;C96&amp;D96&amp;E96,Programudgifter!$T:$T,F96)</f>
        <v>0</v>
      </c>
      <c r="W96">
        <f ca="1">SUMIFS(Programudgifter!$AK:$AK,Programudgifter!$W:$W,B96&amp;C96&amp;D96&amp;E96,Programudgifter!$S:$S,F96)</f>
        <v>0</v>
      </c>
      <c r="X96">
        <f ca="1">SUMIFS(Programudgifter!$AL:$AL,Programudgifter!$W:$W,B96&amp;C96&amp;D96&amp;E96,Programudgifter!$T:$T,F96)</f>
        <v>0</v>
      </c>
    </row>
    <row r="97" spans="2:24" ht="14.25" customHeight="1" x14ac:dyDescent="0.25">
      <c r="B97" t="s">
        <v>1265</v>
      </c>
      <c r="C97" t="s">
        <v>85</v>
      </c>
      <c r="D97" t="s">
        <v>693</v>
      </c>
      <c r="E97">
        <v>2013</v>
      </c>
      <c r="N97">
        <f ca="1">SUMIFS(Programudgifter!$Y:$Y,Programudgifter!$W:$W,B97&amp;C97&amp;D97&amp;E97)</f>
        <v>0</v>
      </c>
      <c r="O97">
        <f ca="1">SUMIFS(Programudgifter!$Z:$Z,Programudgifter!$W:$W,B97&amp;C97&amp;D97&amp;E97)</f>
        <v>0</v>
      </c>
      <c r="P97">
        <f ca="1">SUMIFS(Programudgifter!$AA:$AA,Programudgifter!$W:$W,B97&amp;C97&amp;D97&amp;E97)</f>
        <v>0</v>
      </c>
      <c r="Q97">
        <f ca="1">SUMIFS(Programudgifter!$AB:$AB,Programudgifter!$W:$W,B97&amp;C97&amp;D97&amp;E97)</f>
        <v>0</v>
      </c>
      <c r="R97">
        <f ca="1">SUMIFS(Programudgifter!$AC:$AC,Programudgifter!$W:$W,B97&amp;C97&amp;D97&amp;E97)</f>
        <v>0</v>
      </c>
      <c r="S97">
        <f ca="1">SUMIFS(Programudgifter!$AG:$AG,Programudgifter!$W:$W,B97&amp;C97&amp;D97&amp;E97,Programudgifter!$S:$S,"")</f>
        <v>0</v>
      </c>
      <c r="U97">
        <f ca="1">SUMIFS(Programudgifter!$AI:$AI,Programudgifter!$W:$W,B97&amp;C97&amp;D97&amp;E97,Programudgifter!$S:$S,"")</f>
        <v>0</v>
      </c>
      <c r="W97">
        <f ca="1">SUMIFS(Programudgifter!$AK:$AK,Programudgifter!$W:$W,B97&amp;C97&amp;D97&amp;E97,Programudgifter!$S:$S,"")</f>
        <v>0</v>
      </c>
    </row>
    <row r="98" spans="2:24" ht="14.25" customHeight="1" x14ac:dyDescent="0.25">
      <c r="B98" t="s">
        <v>1265</v>
      </c>
      <c r="C98" t="s">
        <v>85</v>
      </c>
      <c r="D98" t="s">
        <v>693</v>
      </c>
      <c r="E98">
        <v>2014</v>
      </c>
      <c r="F98" t="s">
        <v>1361</v>
      </c>
      <c r="H98" t="s">
        <v>1194</v>
      </c>
      <c r="S98">
        <f ca="1">SUMIFS(Programudgifter!$AG:$AG,Programudgifter!$W:$W,B98&amp;C98&amp;D98&amp;E98,Programudgifter!$S:$S,F98)</f>
        <v>0</v>
      </c>
      <c r="T98">
        <f ca="1">SUMIFS(Programudgifter!$AH:$AH,Programudgifter!$W:$W,B98&amp;C98&amp;D98&amp;E98,Programudgifter!$T:$T,F98)</f>
        <v>0</v>
      </c>
      <c r="U98">
        <f ca="1">SUMIFS(Programudgifter!$AI:$AI,Programudgifter!$W:$W,B98&amp;C98&amp;D98&amp;E98,Programudgifter!$S:$S,F98)</f>
        <v>0</v>
      </c>
      <c r="V98">
        <f ca="1">SUMIFS(Programudgifter!$AJ:$AJ,Programudgifter!$W:$W,B98&amp;C98&amp;D98&amp;E98,Programudgifter!$T:$T,F98)</f>
        <v>0</v>
      </c>
      <c r="W98">
        <f ca="1">SUMIFS(Programudgifter!$AK:$AK,Programudgifter!$W:$W,B98&amp;C98&amp;D98&amp;E98,Programudgifter!$S:$S,F98)</f>
        <v>0</v>
      </c>
      <c r="X98">
        <f ca="1">SUMIFS(Programudgifter!$AL:$AL,Programudgifter!$W:$W,B98&amp;C98&amp;D98&amp;E98,Programudgifter!$T:$T,F98)</f>
        <v>0</v>
      </c>
    </row>
    <row r="99" spans="2:24" ht="14.25" customHeight="1" x14ac:dyDescent="0.25">
      <c r="B99" t="s">
        <v>1265</v>
      </c>
      <c r="C99" t="s">
        <v>85</v>
      </c>
      <c r="D99" t="s">
        <v>693</v>
      </c>
      <c r="E99">
        <v>2014</v>
      </c>
      <c r="F99" t="s">
        <v>680</v>
      </c>
      <c r="H99" t="s">
        <v>1194</v>
      </c>
      <c r="S99">
        <f ca="1">SUMIFS(Programudgifter!$AG:$AG,Programudgifter!$W:$W,B99&amp;C99&amp;D99&amp;E99,Programudgifter!$S:$S,F99)</f>
        <v>0</v>
      </c>
      <c r="T99">
        <f ca="1">SUMIFS(Programudgifter!$AH:$AH,Programudgifter!$W:$W,B99&amp;C99&amp;D99&amp;E99,Programudgifter!$T:$T,F99)</f>
        <v>0</v>
      </c>
      <c r="U99">
        <f ca="1">SUMIFS(Programudgifter!$AI:$AI,Programudgifter!$W:$W,B99&amp;C99&amp;D99&amp;E99,Programudgifter!$S:$S,F99)</f>
        <v>0</v>
      </c>
      <c r="V99">
        <f ca="1">SUMIFS(Programudgifter!$AJ:$AJ,Programudgifter!$W:$W,B99&amp;C99&amp;D99&amp;E99,Programudgifter!$T:$T,F99)</f>
        <v>0</v>
      </c>
      <c r="W99">
        <f ca="1">SUMIFS(Programudgifter!$AK:$AK,Programudgifter!$W:$W,B99&amp;C99&amp;D99&amp;E99,Programudgifter!$S:$S,F99)</f>
        <v>0</v>
      </c>
      <c r="X99">
        <f ca="1">SUMIFS(Programudgifter!$AL:$AL,Programudgifter!$W:$W,B99&amp;C99&amp;D99&amp;E99,Programudgifter!$T:$T,F99)</f>
        <v>0</v>
      </c>
    </row>
    <row r="100" spans="2:24" ht="14.25" customHeight="1" x14ac:dyDescent="0.25">
      <c r="B100" t="s">
        <v>1265</v>
      </c>
      <c r="C100" t="s">
        <v>85</v>
      </c>
      <c r="D100" t="s">
        <v>693</v>
      </c>
      <c r="E100">
        <v>2014</v>
      </c>
      <c r="N100">
        <f ca="1">SUMIFS(Programudgifter!$Y:$Y,Programudgifter!$W:$W,B100&amp;C100&amp;D100&amp;E100)</f>
        <v>0</v>
      </c>
      <c r="O100">
        <f ca="1">SUMIFS(Programudgifter!$Z:$Z,Programudgifter!$W:$W,B100&amp;C100&amp;D100&amp;E100)</f>
        <v>0</v>
      </c>
      <c r="P100">
        <f ca="1">SUMIFS(Programudgifter!$AA:$AA,Programudgifter!$W:$W,B100&amp;C100&amp;D100&amp;E100)</f>
        <v>0</v>
      </c>
      <c r="Q100">
        <f ca="1">SUMIFS(Programudgifter!$AB:$AB,Programudgifter!$W:$W,B100&amp;C100&amp;D100&amp;E100)</f>
        <v>0</v>
      </c>
      <c r="R100">
        <f ca="1">SUMIFS(Programudgifter!$AC:$AC,Programudgifter!$W:$W,B100&amp;C100&amp;D100&amp;E100)</f>
        <v>0</v>
      </c>
      <c r="S100">
        <f ca="1">SUMIFS(Programudgifter!$AG:$AG,Programudgifter!$W:$W,B100&amp;C100&amp;D100&amp;E100,Programudgifter!$S:$S,"")</f>
        <v>0</v>
      </c>
      <c r="U100">
        <f ca="1">SUMIFS(Programudgifter!$AI:$AI,Programudgifter!$W:$W,B100&amp;C100&amp;D100&amp;E100,Programudgifter!$S:$S,"")</f>
        <v>0</v>
      </c>
      <c r="W100">
        <f ca="1">SUMIFS(Programudgifter!$AK:$AK,Programudgifter!$W:$W,B100&amp;C100&amp;D100&amp;E100,Programudgifter!$S:$S,"")</f>
        <v>0</v>
      </c>
    </row>
    <row r="101" spans="2:24" ht="14.25" customHeight="1" x14ac:dyDescent="0.25">
      <c r="B101" t="s">
        <v>1265</v>
      </c>
      <c r="C101" t="s">
        <v>86</v>
      </c>
      <c r="D101" t="s">
        <v>693</v>
      </c>
      <c r="E101">
        <v>2013</v>
      </c>
      <c r="F101" t="s">
        <v>1361</v>
      </c>
      <c r="H101" t="s">
        <v>1194</v>
      </c>
      <c r="S101">
        <f ca="1">SUMIFS(Programudgifter!$AG:$AG,Programudgifter!$W:$W,B101&amp;C101&amp;D101&amp;E101,Programudgifter!$S:$S,F101)</f>
        <v>0</v>
      </c>
      <c r="T101">
        <f ca="1">SUMIFS(Programudgifter!$AH:$AH,Programudgifter!$W:$W,B101&amp;C101&amp;D101&amp;E101,Programudgifter!$T:$T,F101)</f>
        <v>0</v>
      </c>
      <c r="U101">
        <f ca="1">SUMIFS(Programudgifter!$AI:$AI,Programudgifter!$W:$W,B101&amp;C101&amp;D101&amp;E101,Programudgifter!$S:$S,F101)</f>
        <v>0</v>
      </c>
      <c r="V101">
        <f ca="1">SUMIFS(Programudgifter!$AJ:$AJ,Programudgifter!$W:$W,B101&amp;C101&amp;D101&amp;E101,Programudgifter!$T:$T,F101)</f>
        <v>0</v>
      </c>
      <c r="W101">
        <f ca="1">SUMIFS(Programudgifter!$AK:$AK,Programudgifter!$W:$W,B101&amp;C101&amp;D101&amp;E101,Programudgifter!$S:$S,F101)</f>
        <v>0</v>
      </c>
      <c r="X101">
        <f ca="1">SUMIFS(Programudgifter!$AL:$AL,Programudgifter!$W:$W,B101&amp;C101&amp;D101&amp;E101,Programudgifter!$T:$T,F101)</f>
        <v>0</v>
      </c>
    </row>
    <row r="102" spans="2:24" ht="14.25" customHeight="1" x14ac:dyDescent="0.25">
      <c r="B102" t="s">
        <v>1265</v>
      </c>
      <c r="C102" t="s">
        <v>86</v>
      </c>
      <c r="D102" t="s">
        <v>693</v>
      </c>
      <c r="E102">
        <v>2013</v>
      </c>
      <c r="F102" t="s">
        <v>680</v>
      </c>
      <c r="H102" t="s">
        <v>1194</v>
      </c>
      <c r="S102">
        <f ca="1">SUMIFS(Programudgifter!$AG:$AG,Programudgifter!$W:$W,B102&amp;C102&amp;D102&amp;E102,Programudgifter!$S:$S,F102)</f>
        <v>0</v>
      </c>
      <c r="T102">
        <f ca="1">SUMIFS(Programudgifter!$AH:$AH,Programudgifter!$W:$W,B102&amp;C102&amp;D102&amp;E102,Programudgifter!$T:$T,F102)</f>
        <v>0</v>
      </c>
      <c r="U102">
        <f ca="1">SUMIFS(Programudgifter!$AI:$AI,Programudgifter!$W:$W,B102&amp;C102&amp;D102&amp;E102,Programudgifter!$S:$S,F102)</f>
        <v>0</v>
      </c>
      <c r="V102">
        <f ca="1">SUMIFS(Programudgifter!$AJ:$AJ,Programudgifter!$W:$W,B102&amp;C102&amp;D102&amp;E102,Programudgifter!$T:$T,F102)</f>
        <v>0</v>
      </c>
      <c r="W102">
        <f ca="1">SUMIFS(Programudgifter!$AK:$AK,Programudgifter!$W:$W,B102&amp;C102&amp;D102&amp;E102,Programudgifter!$S:$S,F102)</f>
        <v>0</v>
      </c>
      <c r="X102">
        <f ca="1">SUMIFS(Programudgifter!$AL:$AL,Programudgifter!$W:$W,B102&amp;C102&amp;D102&amp;E102,Programudgifter!$T:$T,F102)</f>
        <v>0</v>
      </c>
    </row>
    <row r="103" spans="2:24" ht="14.25" customHeight="1" x14ac:dyDescent="0.25">
      <c r="B103" t="s">
        <v>1265</v>
      </c>
      <c r="C103" t="s">
        <v>86</v>
      </c>
      <c r="D103" t="s">
        <v>693</v>
      </c>
      <c r="E103">
        <v>2013</v>
      </c>
      <c r="N103">
        <f ca="1">SUMIFS(Programudgifter!$Y:$Y,Programudgifter!$W:$W,B103&amp;C103&amp;D103&amp;E103)</f>
        <v>0</v>
      </c>
      <c r="O103">
        <f ca="1">SUMIFS(Programudgifter!$Z:$Z,Programudgifter!$W:$W,B103&amp;C103&amp;D103&amp;E103)</f>
        <v>0</v>
      </c>
      <c r="P103">
        <f ca="1">SUMIFS(Programudgifter!$AA:$AA,Programudgifter!$W:$W,B103&amp;C103&amp;D103&amp;E103)</f>
        <v>0</v>
      </c>
      <c r="Q103">
        <f ca="1">SUMIFS(Programudgifter!$AB:$AB,Programudgifter!$W:$W,B103&amp;C103&amp;D103&amp;E103)</f>
        <v>0</v>
      </c>
      <c r="R103">
        <f ca="1">SUMIFS(Programudgifter!$AC:$AC,Programudgifter!$W:$W,B103&amp;C103&amp;D103&amp;E103)</f>
        <v>0</v>
      </c>
      <c r="S103">
        <f ca="1">SUMIFS(Programudgifter!$AG:$AG,Programudgifter!$W:$W,B103&amp;C103&amp;D103&amp;E103,Programudgifter!$S:$S,"")</f>
        <v>0</v>
      </c>
      <c r="U103">
        <f ca="1">SUMIFS(Programudgifter!$AI:$AI,Programudgifter!$W:$W,B103&amp;C103&amp;D103&amp;E103,Programudgifter!$S:$S,"")</f>
        <v>0</v>
      </c>
      <c r="W103">
        <f ca="1">SUMIFS(Programudgifter!$AK:$AK,Programudgifter!$W:$W,B103&amp;C103&amp;D103&amp;E103,Programudgifter!$S:$S,"")</f>
        <v>0</v>
      </c>
    </row>
    <row r="104" spans="2:24" ht="14.25" customHeight="1" x14ac:dyDescent="0.25">
      <c r="B104" t="s">
        <v>1265</v>
      </c>
      <c r="C104" t="s">
        <v>86</v>
      </c>
      <c r="D104" t="s">
        <v>693</v>
      </c>
      <c r="E104">
        <v>2014</v>
      </c>
      <c r="F104" t="s">
        <v>1361</v>
      </c>
      <c r="H104" t="s">
        <v>1194</v>
      </c>
      <c r="S104">
        <f ca="1">SUMIFS(Programudgifter!$AG:$AG,Programudgifter!$W:$W,B104&amp;C104&amp;D104&amp;E104,Programudgifter!$S:$S,F104)</f>
        <v>0</v>
      </c>
      <c r="T104">
        <f ca="1">SUMIFS(Programudgifter!$AH:$AH,Programudgifter!$W:$W,B104&amp;C104&amp;D104&amp;E104,Programudgifter!$T:$T,F104)</f>
        <v>0</v>
      </c>
      <c r="U104">
        <f ca="1">SUMIFS(Programudgifter!$AI:$AI,Programudgifter!$W:$W,B104&amp;C104&amp;D104&amp;E104,Programudgifter!$S:$S,F104)</f>
        <v>0</v>
      </c>
      <c r="V104">
        <f ca="1">SUMIFS(Programudgifter!$AJ:$AJ,Programudgifter!$W:$W,B104&amp;C104&amp;D104&amp;E104,Programudgifter!$T:$T,F104)</f>
        <v>0</v>
      </c>
      <c r="W104">
        <f ca="1">SUMIFS(Programudgifter!$AK:$AK,Programudgifter!$W:$W,B104&amp;C104&amp;D104&amp;E104,Programudgifter!$S:$S,F104)</f>
        <v>0</v>
      </c>
      <c r="X104">
        <f ca="1">SUMIFS(Programudgifter!$AL:$AL,Programudgifter!$W:$W,B104&amp;C104&amp;D104&amp;E104,Programudgifter!$T:$T,F104)</f>
        <v>0</v>
      </c>
    </row>
    <row r="105" spans="2:24" ht="14.25" customHeight="1" x14ac:dyDescent="0.25">
      <c r="B105" t="s">
        <v>1265</v>
      </c>
      <c r="C105" t="s">
        <v>86</v>
      </c>
      <c r="D105" t="s">
        <v>693</v>
      </c>
      <c r="E105">
        <v>2014</v>
      </c>
      <c r="F105" t="s">
        <v>680</v>
      </c>
      <c r="H105" t="s">
        <v>1194</v>
      </c>
      <c r="S105">
        <f ca="1">SUMIFS(Programudgifter!$AG:$AG,Programudgifter!$W:$W,B105&amp;C105&amp;D105&amp;E105,Programudgifter!$S:$S,F105)</f>
        <v>0</v>
      </c>
      <c r="T105">
        <f ca="1">SUMIFS(Programudgifter!$AH:$AH,Programudgifter!$W:$W,B105&amp;C105&amp;D105&amp;E105,Programudgifter!$T:$T,F105)</f>
        <v>0</v>
      </c>
      <c r="U105">
        <f ca="1">SUMIFS(Programudgifter!$AI:$AI,Programudgifter!$W:$W,B105&amp;C105&amp;D105&amp;E105,Programudgifter!$S:$S,F105)</f>
        <v>0</v>
      </c>
      <c r="V105">
        <f ca="1">SUMIFS(Programudgifter!$AJ:$AJ,Programudgifter!$W:$W,B105&amp;C105&amp;D105&amp;E105,Programudgifter!$T:$T,F105)</f>
        <v>0</v>
      </c>
      <c r="W105">
        <f ca="1">SUMIFS(Programudgifter!$AK:$AK,Programudgifter!$W:$W,B105&amp;C105&amp;D105&amp;E105,Programudgifter!$S:$S,F105)</f>
        <v>0</v>
      </c>
      <c r="X105">
        <f ca="1">SUMIFS(Programudgifter!$AL:$AL,Programudgifter!$W:$W,B105&amp;C105&amp;D105&amp;E105,Programudgifter!$T:$T,F105)</f>
        <v>0</v>
      </c>
    </row>
    <row r="106" spans="2:24" ht="14.25" customHeight="1" x14ac:dyDescent="0.25">
      <c r="B106" t="s">
        <v>1265</v>
      </c>
      <c r="C106" t="s">
        <v>86</v>
      </c>
      <c r="D106" t="s">
        <v>693</v>
      </c>
      <c r="E106">
        <v>2014</v>
      </c>
      <c r="N106">
        <f ca="1">SUMIFS(Programudgifter!$Y:$Y,Programudgifter!$W:$W,B106&amp;C106&amp;D106&amp;E106)</f>
        <v>0</v>
      </c>
      <c r="O106">
        <f ca="1">SUMIFS(Programudgifter!$Z:$Z,Programudgifter!$W:$W,B106&amp;C106&amp;D106&amp;E106)</f>
        <v>0</v>
      </c>
      <c r="P106">
        <f ca="1">SUMIFS(Programudgifter!$AA:$AA,Programudgifter!$W:$W,B106&amp;C106&amp;D106&amp;E106)</f>
        <v>0</v>
      </c>
      <c r="Q106">
        <f ca="1">SUMIFS(Programudgifter!$AB:$AB,Programudgifter!$W:$W,B106&amp;C106&amp;D106&amp;E106)</f>
        <v>0</v>
      </c>
      <c r="R106">
        <f ca="1">SUMIFS(Programudgifter!$AC:$AC,Programudgifter!$W:$W,B106&amp;C106&amp;D106&amp;E106)</f>
        <v>0</v>
      </c>
      <c r="S106">
        <f ca="1">SUMIFS(Programudgifter!$AG:$AG,Programudgifter!$W:$W,B106&amp;C106&amp;D106&amp;E106,Programudgifter!$S:$S,"")</f>
        <v>0</v>
      </c>
      <c r="U106">
        <f ca="1">SUMIFS(Programudgifter!$AI:$AI,Programudgifter!$W:$W,B106&amp;C106&amp;D106&amp;E106,Programudgifter!$S:$S,"")</f>
        <v>0</v>
      </c>
      <c r="W106">
        <f ca="1">SUMIFS(Programudgifter!$AK:$AK,Programudgifter!$W:$W,B106&amp;C106&amp;D106&amp;E106,Programudgifter!$S:$S,"")</f>
        <v>0</v>
      </c>
    </row>
    <row r="107" spans="2:24" ht="14.25" customHeight="1" x14ac:dyDescent="0.25">
      <c r="B107" t="s">
        <v>1265</v>
      </c>
      <c r="C107" t="s">
        <v>1486</v>
      </c>
      <c r="D107" t="s">
        <v>693</v>
      </c>
      <c r="E107">
        <v>2013</v>
      </c>
      <c r="F107" t="s">
        <v>1361</v>
      </c>
      <c r="H107" t="s">
        <v>1194</v>
      </c>
      <c r="S107">
        <f ca="1">SUMIFS(Programudgifter!$AG:$AG,Programudgifter!$W:$W,B107&amp;C107&amp;D107&amp;E107,Programudgifter!$S:$S,F107)</f>
        <v>0</v>
      </c>
      <c r="T107">
        <f ca="1">SUMIFS(Programudgifter!$AH:$AH,Programudgifter!$W:$W,B107&amp;C107&amp;D107&amp;E107,Programudgifter!$T:$T,F107)</f>
        <v>0</v>
      </c>
      <c r="U107">
        <f ca="1">SUMIFS(Programudgifter!$AI:$AI,Programudgifter!$W:$W,B107&amp;C107&amp;D107&amp;E107,Programudgifter!$S:$S,F107)</f>
        <v>0</v>
      </c>
      <c r="V107">
        <f ca="1">SUMIFS(Programudgifter!$AJ:$AJ,Programudgifter!$W:$W,B107&amp;C107&amp;D107&amp;E107,Programudgifter!$T:$T,F107)</f>
        <v>0</v>
      </c>
      <c r="W107">
        <f ca="1">SUMIFS(Programudgifter!$AK:$AK,Programudgifter!$W:$W,B107&amp;C107&amp;D107&amp;E107,Programudgifter!$S:$S,F107)</f>
        <v>0</v>
      </c>
      <c r="X107">
        <f ca="1">SUMIFS(Programudgifter!$AL:$AL,Programudgifter!$W:$W,B107&amp;C107&amp;D107&amp;E107,Programudgifter!$T:$T,F107)</f>
        <v>0</v>
      </c>
    </row>
    <row r="108" spans="2:24" ht="14.25" customHeight="1" x14ac:dyDescent="0.25">
      <c r="B108" t="s">
        <v>1265</v>
      </c>
      <c r="C108" t="s">
        <v>1486</v>
      </c>
      <c r="D108" t="s">
        <v>693</v>
      </c>
      <c r="E108">
        <v>2013</v>
      </c>
      <c r="F108" t="s">
        <v>680</v>
      </c>
      <c r="H108" t="s">
        <v>1194</v>
      </c>
      <c r="S108">
        <f ca="1">SUMIFS(Programudgifter!$AG:$AG,Programudgifter!$W:$W,B108&amp;C108&amp;D108&amp;E108,Programudgifter!$S:$S,F108)</f>
        <v>0</v>
      </c>
      <c r="T108">
        <f ca="1">SUMIFS(Programudgifter!$AH:$AH,Programudgifter!$W:$W,B108&amp;C108&amp;D108&amp;E108,Programudgifter!$T:$T,F108)</f>
        <v>0</v>
      </c>
      <c r="U108">
        <f ca="1">SUMIFS(Programudgifter!$AI:$AI,Programudgifter!$W:$W,B108&amp;C108&amp;D108&amp;E108,Programudgifter!$S:$S,F108)</f>
        <v>0</v>
      </c>
      <c r="V108">
        <f ca="1">SUMIFS(Programudgifter!$AJ:$AJ,Programudgifter!$W:$W,B108&amp;C108&amp;D108&amp;E108,Programudgifter!$T:$T,F108)</f>
        <v>0</v>
      </c>
      <c r="W108">
        <f ca="1">SUMIFS(Programudgifter!$AK:$AK,Programudgifter!$W:$W,B108&amp;C108&amp;D108&amp;E108,Programudgifter!$S:$S,F108)</f>
        <v>0</v>
      </c>
      <c r="X108">
        <f ca="1">SUMIFS(Programudgifter!$AL:$AL,Programudgifter!$W:$W,B108&amp;C108&amp;D108&amp;E108,Programudgifter!$T:$T,F108)</f>
        <v>0</v>
      </c>
    </row>
    <row r="109" spans="2:24" ht="14.25" customHeight="1" x14ac:dyDescent="0.25">
      <c r="B109" t="s">
        <v>1265</v>
      </c>
      <c r="C109" t="s">
        <v>1486</v>
      </c>
      <c r="D109" t="s">
        <v>693</v>
      </c>
      <c r="E109">
        <v>2013</v>
      </c>
      <c r="N109">
        <f ca="1">SUMIFS(Programudgifter!$Y:$Y,Programudgifter!$W:$W,B109&amp;C109&amp;D109&amp;E109)</f>
        <v>0</v>
      </c>
      <c r="O109">
        <f ca="1">SUMIFS(Programudgifter!$Z:$Z,Programudgifter!$W:$W,B109&amp;C109&amp;D109&amp;E109)</f>
        <v>0</v>
      </c>
      <c r="P109">
        <f ca="1">SUMIFS(Programudgifter!$AA:$AA,Programudgifter!$W:$W,B109&amp;C109&amp;D109&amp;E109)</f>
        <v>0</v>
      </c>
      <c r="Q109">
        <f ca="1">SUMIFS(Programudgifter!$AB:$AB,Programudgifter!$W:$W,B109&amp;C109&amp;D109&amp;E109)</f>
        <v>0</v>
      </c>
      <c r="R109">
        <f ca="1">SUMIFS(Programudgifter!$AC:$AC,Programudgifter!$W:$W,B109&amp;C109&amp;D109&amp;E109)</f>
        <v>0</v>
      </c>
      <c r="S109">
        <f ca="1">SUMIFS(Programudgifter!$AG:$AG,Programudgifter!$W:$W,B109&amp;C109&amp;D109&amp;E109,Programudgifter!$S:$S,"")</f>
        <v>0</v>
      </c>
      <c r="U109">
        <f ca="1">SUMIFS(Programudgifter!$AI:$AI,Programudgifter!$W:$W,B109&amp;C109&amp;D109&amp;E109,Programudgifter!$S:$S,"")</f>
        <v>0</v>
      </c>
      <c r="W109">
        <f ca="1">SUMIFS(Programudgifter!$AK:$AK,Programudgifter!$W:$W,B109&amp;C109&amp;D109&amp;E109,Programudgifter!$S:$S,"")</f>
        <v>0</v>
      </c>
    </row>
    <row r="110" spans="2:24" ht="14.25" customHeight="1" x14ac:dyDescent="0.25">
      <c r="B110" t="s">
        <v>1265</v>
      </c>
      <c r="C110" t="s">
        <v>1486</v>
      </c>
      <c r="D110" t="s">
        <v>693</v>
      </c>
      <c r="E110">
        <v>2014</v>
      </c>
      <c r="F110" t="s">
        <v>1361</v>
      </c>
      <c r="H110" t="s">
        <v>1194</v>
      </c>
      <c r="S110">
        <f ca="1">SUMIFS(Programudgifter!$AG:$AG,Programudgifter!$W:$W,B110&amp;C110&amp;D110&amp;E110,Programudgifter!$S:$S,F110)</f>
        <v>0</v>
      </c>
      <c r="T110">
        <f ca="1">SUMIFS(Programudgifter!$AH:$AH,Programudgifter!$W:$W,B110&amp;C110&amp;D110&amp;E110,Programudgifter!$T:$T,F110)</f>
        <v>0</v>
      </c>
      <c r="U110">
        <f ca="1">SUMIFS(Programudgifter!$AI:$AI,Programudgifter!$W:$W,B110&amp;C110&amp;D110&amp;E110,Programudgifter!$S:$S,F110)</f>
        <v>0</v>
      </c>
      <c r="V110">
        <f ca="1">SUMIFS(Programudgifter!$AJ:$AJ,Programudgifter!$W:$W,B110&amp;C110&amp;D110&amp;E110,Programudgifter!$T:$T,F110)</f>
        <v>0</v>
      </c>
      <c r="W110">
        <f ca="1">SUMIFS(Programudgifter!$AK:$AK,Programudgifter!$W:$W,B110&amp;C110&amp;D110&amp;E110,Programudgifter!$S:$S,F110)</f>
        <v>0</v>
      </c>
      <c r="X110">
        <f ca="1">SUMIFS(Programudgifter!$AL:$AL,Programudgifter!$W:$W,B110&amp;C110&amp;D110&amp;E110,Programudgifter!$T:$T,F110)</f>
        <v>0</v>
      </c>
    </row>
    <row r="111" spans="2:24" ht="14.25" customHeight="1" x14ac:dyDescent="0.25">
      <c r="B111" t="s">
        <v>1265</v>
      </c>
      <c r="C111" t="s">
        <v>1486</v>
      </c>
      <c r="D111" t="s">
        <v>693</v>
      </c>
      <c r="E111">
        <v>2014</v>
      </c>
      <c r="F111" t="s">
        <v>680</v>
      </c>
      <c r="H111" t="s">
        <v>1194</v>
      </c>
      <c r="S111">
        <f ca="1">SUMIFS(Programudgifter!$AG:$AG,Programudgifter!$W:$W,B111&amp;C111&amp;D111&amp;E111,Programudgifter!$S:$S,F111)</f>
        <v>0</v>
      </c>
      <c r="T111">
        <f ca="1">SUMIFS(Programudgifter!$AH:$AH,Programudgifter!$W:$W,B111&amp;C111&amp;D111&amp;E111,Programudgifter!$T:$T,F111)</f>
        <v>0</v>
      </c>
      <c r="U111">
        <f ca="1">SUMIFS(Programudgifter!$AI:$AI,Programudgifter!$W:$W,B111&amp;C111&amp;D111&amp;E111,Programudgifter!$S:$S,F111)</f>
        <v>0</v>
      </c>
      <c r="V111">
        <f ca="1">SUMIFS(Programudgifter!$AJ:$AJ,Programudgifter!$W:$W,B111&amp;C111&amp;D111&amp;E111,Programudgifter!$T:$T,F111)</f>
        <v>0</v>
      </c>
      <c r="W111">
        <f ca="1">SUMIFS(Programudgifter!$AK:$AK,Programudgifter!$W:$W,B111&amp;C111&amp;D111&amp;E111,Programudgifter!$S:$S,F111)</f>
        <v>0</v>
      </c>
      <c r="X111">
        <f ca="1">SUMIFS(Programudgifter!$AL:$AL,Programudgifter!$W:$W,B111&amp;C111&amp;D111&amp;E111,Programudgifter!$T:$T,F111)</f>
        <v>0</v>
      </c>
    </row>
    <row r="112" spans="2:24" ht="14.25" customHeight="1" x14ac:dyDescent="0.25">
      <c r="B112" t="s">
        <v>1265</v>
      </c>
      <c r="C112" t="s">
        <v>1486</v>
      </c>
      <c r="D112" t="s">
        <v>693</v>
      </c>
      <c r="E112">
        <v>2014</v>
      </c>
      <c r="N112">
        <f ca="1">SUMIFS(Programudgifter!$Y:$Y,Programudgifter!$W:$W,B112&amp;C112&amp;D112&amp;E112)</f>
        <v>0</v>
      </c>
      <c r="O112">
        <f ca="1">SUMIFS(Programudgifter!$Z:$Z,Programudgifter!$W:$W,B112&amp;C112&amp;D112&amp;E112)</f>
        <v>0</v>
      </c>
      <c r="P112">
        <f ca="1">SUMIFS(Programudgifter!$AA:$AA,Programudgifter!$W:$W,B112&amp;C112&amp;D112&amp;E112)</f>
        <v>0</v>
      </c>
      <c r="Q112">
        <f ca="1">SUMIFS(Programudgifter!$AB:$AB,Programudgifter!$W:$W,B112&amp;C112&amp;D112&amp;E112)</f>
        <v>0</v>
      </c>
      <c r="R112">
        <f ca="1">SUMIFS(Programudgifter!$AC:$AC,Programudgifter!$W:$W,B112&amp;C112&amp;D112&amp;E112)</f>
        <v>0</v>
      </c>
      <c r="S112">
        <f ca="1">SUMIFS(Programudgifter!$AG:$AG,Programudgifter!$W:$W,B112&amp;C112&amp;D112&amp;E112,Programudgifter!$S:$S,"")</f>
        <v>0</v>
      </c>
      <c r="U112">
        <f ca="1">SUMIFS(Programudgifter!$AI:$AI,Programudgifter!$W:$W,B112&amp;C112&amp;D112&amp;E112,Programudgifter!$S:$S,"")</f>
        <v>0</v>
      </c>
      <c r="W112">
        <f ca="1">SUMIFS(Programudgifter!$AK:$AK,Programudgifter!$W:$W,B112&amp;C112&amp;D112&amp;E112,Programudgifter!$S:$S,"")</f>
        <v>0</v>
      </c>
    </row>
  </sheetData>
  <sheetProtection algorithmName="SHA-512" hashValue="evga1zCeSlx7hZ3yPVzkp30gsbPCUrVd4Eyc4r2tjFkiJqZWIubtt1HdDJG9lPkgf4pT8Xemgwo/4qW4c78ABg==" saltValue="YZHqkcCozDqFWNYFbvH1NQ==" spinCount="100000" sheet="1" objects="1" scenarios="1"/>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tabColor rgb="FF5379B7"/>
  </sheetPr>
  <dimension ref="B2:Y58"/>
  <sheetViews>
    <sheetView showGridLines="0" zoomScale="80" zoomScaleNormal="80" workbookViewId="0">
      <selection activeCell="B4" sqref="B4:Y4"/>
    </sheetView>
  </sheetViews>
  <sheetFormatPr defaultColWidth="10.140625" defaultRowHeight="14.25" customHeight="1" x14ac:dyDescent="0.25"/>
  <cols>
    <col min="1" max="1" width="9.140625" customWidth="1"/>
    <col min="2" max="2" width="17" customWidth="1"/>
    <col min="3" max="3" width="43.5703125" customWidth="1"/>
    <col min="4" max="4" width="16.42578125" customWidth="1"/>
    <col min="5" max="5" width="9.28515625" customWidth="1"/>
    <col min="6" max="6" width="21.5703125" customWidth="1"/>
    <col min="7" max="7" width="18.7109375" customWidth="1"/>
    <col min="8" max="8" width="37.7109375" customWidth="1"/>
    <col min="9" max="17" width="16.42578125" customWidth="1"/>
    <col min="18" max="18" width="16.28515625" customWidth="1"/>
    <col min="19" max="19" width="15.7109375" customWidth="1"/>
    <col min="20" max="28" width="11.85546875" customWidth="1"/>
    <col min="29" max="200" width="9.140625" customWidth="1"/>
  </cols>
  <sheetData>
    <row r="2" spans="2:25" ht="48.95" customHeight="1" x14ac:dyDescent="0.25"/>
    <row r="4" spans="2:25" ht="39.950000000000003" customHeight="1" thickBot="1" x14ac:dyDescent="0.3">
      <c r="B4" s="22" t="s">
        <v>1312</v>
      </c>
      <c r="C4" s="19" t="s">
        <v>624</v>
      </c>
      <c r="D4" s="19" t="s">
        <v>367</v>
      </c>
      <c r="E4" s="19" t="s">
        <v>311</v>
      </c>
      <c r="F4" s="19" t="s">
        <v>1335</v>
      </c>
      <c r="G4" s="19" t="s">
        <v>1339</v>
      </c>
      <c r="H4" s="19" t="s">
        <v>1431</v>
      </c>
      <c r="I4" s="93"/>
      <c r="J4" s="93"/>
      <c r="K4" s="93"/>
      <c r="L4" s="93"/>
      <c r="M4" s="93"/>
      <c r="N4" s="21" t="s">
        <v>300</v>
      </c>
      <c r="O4" s="21" t="s">
        <v>301</v>
      </c>
      <c r="P4" s="21" t="s">
        <v>302</v>
      </c>
      <c r="Q4" s="21" t="s">
        <v>1336</v>
      </c>
      <c r="R4" s="21" t="s">
        <v>1337</v>
      </c>
      <c r="S4" s="21" t="s">
        <v>313</v>
      </c>
      <c r="T4" s="21" t="s">
        <v>314</v>
      </c>
      <c r="U4" s="21" t="s">
        <v>315</v>
      </c>
      <c r="V4" s="21" t="s">
        <v>316</v>
      </c>
      <c r="W4" s="20" t="s">
        <v>1340</v>
      </c>
      <c r="X4" s="20" t="s">
        <v>1440</v>
      </c>
      <c r="Y4" s="93"/>
    </row>
    <row r="5" spans="2:25" ht="14.25" customHeight="1" x14ac:dyDescent="0.25">
      <c r="B5" t="s">
        <v>1369</v>
      </c>
      <c r="C5" t="s">
        <v>1179</v>
      </c>
      <c r="D5" t="s">
        <v>684</v>
      </c>
      <c r="E5">
        <v>2013</v>
      </c>
      <c r="F5" t="s">
        <v>1361</v>
      </c>
      <c r="H5" t="s">
        <v>1194</v>
      </c>
      <c r="S5">
        <f>SUMIFS('Drift - fremtidig uden projekt'!$AG:$AG,'Drift - fremtidig uden projekt'!$W:$W,B5&amp;C5&amp;D5&amp;E5,'Drift - fremtidig uden projekt'!$S:$S,F5)</f>
        <v>0</v>
      </c>
      <c r="T5">
        <f>SUMIFS('Drift - fremtidig uden projekt'!$AH:$AH,'Drift - fremtidig uden projekt'!$W:$W,B5&amp;C5&amp;D5&amp;E5,'Drift - fremtidig uden projekt'!$T:$T,F5)</f>
        <v>0</v>
      </c>
      <c r="U5">
        <f>SUMIFS('Drift - fremtidig uden projekt'!$AI:$AI,'Drift - fremtidig uden projekt'!$W:$W,B5&amp;C5&amp;D5&amp;E5,'Drift - fremtidig uden projekt'!$S:$S,F5)</f>
        <v>0</v>
      </c>
      <c r="V5">
        <f>SUMIFS('Drift - fremtidig uden projekt'!$AJ:$AJ,'Drift - fremtidig uden projekt'!$W:$W,B5&amp;C5&amp;D5&amp;E5,'Drift - fremtidig uden projekt'!$T:$T,F5)</f>
        <v>0</v>
      </c>
      <c r="W5">
        <f>SUMIFS('Drift - fremtidig uden projekt'!$AK:$AK,'Drift - fremtidig uden projekt'!$W:$W,B5&amp;C5&amp;D5&amp;E5,'Drift - fremtidig uden projekt'!$S:$S,F5)</f>
        <v>0</v>
      </c>
      <c r="X5">
        <f>SUMIFS('Drift - fremtidig uden projekt'!$AL:$AL,'Drift - fremtidig uden projekt'!$W:$W,B5&amp;C5&amp;D5&amp;E5,'Drift - fremtidig uden projekt'!$T:$T,F5)</f>
        <v>0</v>
      </c>
    </row>
    <row r="6" spans="2:25" ht="14.25" customHeight="1" x14ac:dyDescent="0.25">
      <c r="B6" t="s">
        <v>1369</v>
      </c>
      <c r="C6" t="s">
        <v>1179</v>
      </c>
      <c r="D6" t="s">
        <v>684</v>
      </c>
      <c r="E6">
        <v>2013</v>
      </c>
      <c r="F6" t="s">
        <v>680</v>
      </c>
      <c r="H6" t="s">
        <v>1194</v>
      </c>
      <c r="S6">
        <f>SUMIFS('Drift - fremtidig uden projekt'!$AG:$AG,'Drift - fremtidig uden projekt'!$W:$W,B6&amp;C6&amp;D6&amp;E6,'Drift - fremtidig uden projekt'!$S:$S,F6)</f>
        <v>0</v>
      </c>
      <c r="T6">
        <f>SUMIFS('Drift - fremtidig uden projekt'!$AH:$AH,'Drift - fremtidig uden projekt'!$W:$W,B6&amp;C6&amp;D6&amp;E6,'Drift - fremtidig uden projekt'!$T:$T,F6)</f>
        <v>0</v>
      </c>
      <c r="U6">
        <f>SUMIFS('Drift - fremtidig uden projekt'!$AI:$AI,'Drift - fremtidig uden projekt'!$W:$W,B6&amp;C6&amp;D6&amp;E6,'Drift - fremtidig uden projekt'!$S:$S,F6)</f>
        <v>0</v>
      </c>
      <c r="V6">
        <f>SUMIFS('Drift - fremtidig uden projekt'!$AJ:$AJ,'Drift - fremtidig uden projekt'!$W:$W,B6&amp;C6&amp;D6&amp;E6,'Drift - fremtidig uden projekt'!$T:$T,F6)</f>
        <v>0</v>
      </c>
      <c r="W6">
        <f>SUMIFS('Drift - fremtidig uden projekt'!$AK:$AK,'Drift - fremtidig uden projekt'!$W:$W,B6&amp;C6&amp;D6&amp;E6,'Drift - fremtidig uden projekt'!$S:$S,F6)</f>
        <v>0</v>
      </c>
      <c r="X6">
        <f>SUMIFS('Drift - fremtidig uden projekt'!$AL:$AL,'Drift - fremtidig uden projekt'!$W:$W,B6&amp;C6&amp;D6&amp;E6,'Drift - fremtidig uden projekt'!$T:$T,F6)</f>
        <v>0</v>
      </c>
    </row>
    <row r="7" spans="2:25" ht="14.25" customHeight="1" x14ac:dyDescent="0.25">
      <c r="B7" t="s">
        <v>1369</v>
      </c>
      <c r="C7" t="s">
        <v>1179</v>
      </c>
      <c r="D7" t="s">
        <v>684</v>
      </c>
      <c r="E7">
        <v>2013</v>
      </c>
      <c r="N7">
        <f>SUMIFS('Drift - fremtidig uden projekt'!$Y:$Y,'Drift - fremtidig uden projekt'!$W:$W,B7&amp;C7&amp;D7&amp;E7)</f>
        <v>0</v>
      </c>
      <c r="O7">
        <f>SUMIFS('Drift - fremtidig uden projekt'!$Z:$Z,'Drift - fremtidig uden projekt'!$W:$W,B7&amp;C7&amp;D7&amp;E7)</f>
        <v>0</v>
      </c>
      <c r="P7">
        <f>SUMIFS('Drift - fremtidig uden projekt'!$AA:$AA,'Drift - fremtidig uden projekt'!$W:$W,B7&amp;C7&amp;D7&amp;E7)</f>
        <v>0</v>
      </c>
      <c r="Q7">
        <f>SUMIFS('Drift - fremtidig uden projekt'!$AB:$AB,'Drift - fremtidig uden projekt'!$W:$W,B7&amp;C7&amp;D7&amp;E7)</f>
        <v>0</v>
      </c>
      <c r="R7">
        <f>SUMIFS('Drift - fremtidig uden projekt'!$AC:$AC,'Drift - fremtidig uden projekt'!$W:$W,B7&amp;C7&amp;D7&amp;E7)</f>
        <v>0</v>
      </c>
      <c r="S7">
        <f>SUMIFS('Drift - fremtidig uden projekt'!$AG:$AG,'Drift - fremtidig uden projekt'!$W:$W,B7&amp;C7&amp;D7&amp;E7,'Drift - fremtidig uden projekt'!$S:$S,"")</f>
        <v>0</v>
      </c>
      <c r="U7">
        <f>SUMIFS('Drift - fremtidig uden projekt'!$AI:$AI,'Drift - fremtidig uden projekt'!$W:$W,B7&amp;C7&amp;D7&amp;E7,'Drift - fremtidig uden projekt'!$S:$S,"")</f>
        <v>0</v>
      </c>
      <c r="W7">
        <f>SUMIFS('Drift - fremtidig uden projekt'!$AK:$AK,'Drift - fremtidig uden projekt'!$W:$W,B7&amp;C7&amp;D7&amp;E7,'Drift - fremtidig uden projekt'!$S:$S,"")</f>
        <v>0</v>
      </c>
    </row>
    <row r="8" spans="2:25" ht="14.25" customHeight="1" x14ac:dyDescent="0.25">
      <c r="B8" t="s">
        <v>1369</v>
      </c>
      <c r="C8" t="s">
        <v>1179</v>
      </c>
      <c r="D8" t="s">
        <v>684</v>
      </c>
      <c r="E8">
        <v>2014</v>
      </c>
      <c r="F8" t="s">
        <v>1361</v>
      </c>
      <c r="H8" t="s">
        <v>1194</v>
      </c>
      <c r="S8">
        <f>SUMIFS('Drift - fremtidig uden projekt'!$AG:$AG,'Drift - fremtidig uden projekt'!$W:$W,B8&amp;C8&amp;D8&amp;E8,'Drift - fremtidig uden projekt'!$S:$S,F8)</f>
        <v>0</v>
      </c>
      <c r="T8">
        <f>SUMIFS('Drift - fremtidig uden projekt'!$AH:$AH,'Drift - fremtidig uden projekt'!$W:$W,B8&amp;C8&amp;D8&amp;E8,'Drift - fremtidig uden projekt'!$T:$T,F8)</f>
        <v>0</v>
      </c>
      <c r="U8">
        <f>SUMIFS('Drift - fremtidig uden projekt'!$AI:$AI,'Drift - fremtidig uden projekt'!$W:$W,B8&amp;C8&amp;D8&amp;E8,'Drift - fremtidig uden projekt'!$S:$S,F8)</f>
        <v>0</v>
      </c>
      <c r="V8">
        <f>SUMIFS('Drift - fremtidig uden projekt'!$AJ:$AJ,'Drift - fremtidig uden projekt'!$W:$W,B8&amp;C8&amp;D8&amp;E8,'Drift - fremtidig uden projekt'!$T:$T,F8)</f>
        <v>0</v>
      </c>
      <c r="W8">
        <f>SUMIFS('Drift - fremtidig uden projekt'!$AK:$AK,'Drift - fremtidig uden projekt'!$W:$W,B8&amp;C8&amp;D8&amp;E8,'Drift - fremtidig uden projekt'!$S:$S,F8)</f>
        <v>0</v>
      </c>
      <c r="X8">
        <f>SUMIFS('Drift - fremtidig uden projekt'!$AL:$AL,'Drift - fremtidig uden projekt'!$W:$W,B8&amp;C8&amp;D8&amp;E8,'Drift - fremtidig uden projekt'!$T:$T,F8)</f>
        <v>0</v>
      </c>
    </row>
    <row r="9" spans="2:25" ht="14.25" customHeight="1" x14ac:dyDescent="0.25">
      <c r="B9" t="s">
        <v>1369</v>
      </c>
      <c r="C9" t="s">
        <v>1179</v>
      </c>
      <c r="D9" t="s">
        <v>684</v>
      </c>
      <c r="E9">
        <v>2014</v>
      </c>
      <c r="F9" t="s">
        <v>680</v>
      </c>
      <c r="H9" t="s">
        <v>1194</v>
      </c>
      <c r="S9">
        <f>SUMIFS('Drift - fremtidig uden projekt'!$AG:$AG,'Drift - fremtidig uden projekt'!$W:$W,B9&amp;C9&amp;D9&amp;E9,'Drift - fremtidig uden projekt'!$S:$S,F9)</f>
        <v>0</v>
      </c>
      <c r="T9">
        <f>SUMIFS('Drift - fremtidig uden projekt'!$AH:$AH,'Drift - fremtidig uden projekt'!$W:$W,B9&amp;C9&amp;D9&amp;E9,'Drift - fremtidig uden projekt'!$T:$T,F9)</f>
        <v>0</v>
      </c>
      <c r="U9">
        <f>SUMIFS('Drift - fremtidig uden projekt'!$AI:$AI,'Drift - fremtidig uden projekt'!$W:$W,B9&amp;C9&amp;D9&amp;E9,'Drift - fremtidig uden projekt'!$S:$S,F9)</f>
        <v>0</v>
      </c>
      <c r="V9">
        <f>SUMIFS('Drift - fremtidig uden projekt'!$AJ:$AJ,'Drift - fremtidig uden projekt'!$W:$W,B9&amp;C9&amp;D9&amp;E9,'Drift - fremtidig uden projekt'!$T:$T,F9)</f>
        <v>0</v>
      </c>
      <c r="W9">
        <f>SUMIFS('Drift - fremtidig uden projekt'!$AK:$AK,'Drift - fremtidig uden projekt'!$W:$W,B9&amp;C9&amp;D9&amp;E9,'Drift - fremtidig uden projekt'!$S:$S,F9)</f>
        <v>0</v>
      </c>
      <c r="X9">
        <f>SUMIFS('Drift - fremtidig uden projekt'!$AL:$AL,'Drift - fremtidig uden projekt'!$W:$W,B9&amp;C9&amp;D9&amp;E9,'Drift - fremtidig uden projekt'!$T:$T,F9)</f>
        <v>0</v>
      </c>
    </row>
    <row r="10" spans="2:25" ht="14.25" customHeight="1" x14ac:dyDescent="0.25">
      <c r="B10" t="s">
        <v>1369</v>
      </c>
      <c r="C10" t="s">
        <v>1179</v>
      </c>
      <c r="D10" t="s">
        <v>684</v>
      </c>
      <c r="E10">
        <v>2014</v>
      </c>
      <c r="N10">
        <f>SUMIFS('Drift - fremtidig uden projekt'!$Y:$Y,'Drift - fremtidig uden projekt'!$W:$W,B10&amp;C10&amp;D10&amp;E10)</f>
        <v>0</v>
      </c>
      <c r="O10">
        <f>SUMIFS('Drift - fremtidig uden projekt'!$Z:$Z,'Drift - fremtidig uden projekt'!$W:$W,B10&amp;C10&amp;D10&amp;E10)</f>
        <v>0</v>
      </c>
      <c r="P10">
        <f>SUMIFS('Drift - fremtidig uden projekt'!$AA:$AA,'Drift - fremtidig uden projekt'!$W:$W,B10&amp;C10&amp;D10&amp;E10)</f>
        <v>0</v>
      </c>
      <c r="Q10">
        <f>SUMIFS('Drift - fremtidig uden projekt'!$AB:$AB,'Drift - fremtidig uden projekt'!$W:$W,B10&amp;C10&amp;D10&amp;E10)</f>
        <v>0</v>
      </c>
      <c r="R10">
        <f>SUMIFS('Drift - fremtidig uden projekt'!$AC:$AC,'Drift - fremtidig uden projekt'!$W:$W,B10&amp;C10&amp;D10&amp;E10)</f>
        <v>0</v>
      </c>
      <c r="S10">
        <f>SUMIFS('Drift - fremtidig uden projekt'!$AG:$AG,'Drift - fremtidig uden projekt'!$W:$W,B10&amp;C10&amp;D10&amp;E10,'Drift - fremtidig uden projekt'!$S:$S,"")</f>
        <v>0</v>
      </c>
      <c r="U10">
        <f>SUMIFS('Drift - fremtidig uden projekt'!$AI:$AI,'Drift - fremtidig uden projekt'!$W:$W,B10&amp;C10&amp;D10&amp;E10,'Drift - fremtidig uden projekt'!$S:$S,"")</f>
        <v>0</v>
      </c>
      <c r="W10">
        <f>SUMIFS('Drift - fremtidig uden projekt'!$AK:$AK,'Drift - fremtidig uden projekt'!$W:$W,B10&amp;C10&amp;D10&amp;E10,'Drift - fremtidig uden projekt'!$S:$S,"")</f>
        <v>0</v>
      </c>
    </row>
    <row r="11" spans="2:25" ht="14.25" customHeight="1" x14ac:dyDescent="0.25">
      <c r="B11" t="s">
        <v>1369</v>
      </c>
      <c r="C11" t="s">
        <v>1180</v>
      </c>
      <c r="D11" t="s">
        <v>684</v>
      </c>
      <c r="E11">
        <v>2013</v>
      </c>
      <c r="F11" t="s">
        <v>1361</v>
      </c>
      <c r="H11" t="s">
        <v>1194</v>
      </c>
      <c r="S11">
        <f>SUMIFS('Drift - fremtidig uden projekt'!$AG:$AG,'Drift - fremtidig uden projekt'!$W:$W,B11&amp;C11&amp;D11&amp;E11,'Drift - fremtidig uden projekt'!$S:$S,F11)</f>
        <v>0</v>
      </c>
      <c r="T11">
        <f>SUMIFS('Drift - fremtidig uden projekt'!$AH:$AH,'Drift - fremtidig uden projekt'!$W:$W,B11&amp;C11&amp;D11&amp;E11,'Drift - fremtidig uden projekt'!$T:$T,F11)</f>
        <v>0</v>
      </c>
      <c r="U11">
        <f>SUMIFS('Drift - fremtidig uden projekt'!$AI:$AI,'Drift - fremtidig uden projekt'!$W:$W,B11&amp;C11&amp;D11&amp;E11,'Drift - fremtidig uden projekt'!$S:$S,F11)</f>
        <v>0</v>
      </c>
      <c r="V11">
        <f>SUMIFS('Drift - fremtidig uden projekt'!$AJ:$AJ,'Drift - fremtidig uden projekt'!$W:$W,B11&amp;C11&amp;D11&amp;E11,'Drift - fremtidig uden projekt'!$T:$T,F11)</f>
        <v>0</v>
      </c>
      <c r="W11">
        <f>SUMIFS('Drift - fremtidig uden projekt'!$AK:$AK,'Drift - fremtidig uden projekt'!$W:$W,B11&amp;C11&amp;D11&amp;E11,'Drift - fremtidig uden projekt'!$S:$S,F11)</f>
        <v>0</v>
      </c>
      <c r="X11">
        <f>SUMIFS('Drift - fremtidig uden projekt'!$AL:$AL,'Drift - fremtidig uden projekt'!$W:$W,B11&amp;C11&amp;D11&amp;E11,'Drift - fremtidig uden projekt'!$T:$T,F11)</f>
        <v>0</v>
      </c>
    </row>
    <row r="12" spans="2:25" ht="14.25" customHeight="1" x14ac:dyDescent="0.25">
      <c r="B12" t="s">
        <v>1369</v>
      </c>
      <c r="C12" t="s">
        <v>1180</v>
      </c>
      <c r="D12" t="s">
        <v>684</v>
      </c>
      <c r="E12">
        <v>2013</v>
      </c>
      <c r="F12" t="s">
        <v>680</v>
      </c>
      <c r="H12" t="s">
        <v>1194</v>
      </c>
      <c r="S12">
        <f>SUMIFS('Drift - fremtidig uden projekt'!$AG:$AG,'Drift - fremtidig uden projekt'!$W:$W,B12&amp;C12&amp;D12&amp;E12,'Drift - fremtidig uden projekt'!$S:$S,F12)</f>
        <v>0</v>
      </c>
      <c r="T12">
        <f>SUMIFS('Drift - fremtidig uden projekt'!$AH:$AH,'Drift - fremtidig uden projekt'!$W:$W,B12&amp;C12&amp;D12&amp;E12,'Drift - fremtidig uden projekt'!$T:$T,F12)</f>
        <v>0</v>
      </c>
      <c r="U12">
        <f>SUMIFS('Drift - fremtidig uden projekt'!$AI:$AI,'Drift - fremtidig uden projekt'!$W:$W,B12&amp;C12&amp;D12&amp;E12,'Drift - fremtidig uden projekt'!$S:$S,F12)</f>
        <v>0</v>
      </c>
      <c r="V12">
        <f>SUMIFS('Drift - fremtidig uden projekt'!$AJ:$AJ,'Drift - fremtidig uden projekt'!$W:$W,B12&amp;C12&amp;D12&amp;E12,'Drift - fremtidig uden projekt'!$T:$T,F12)</f>
        <v>0</v>
      </c>
      <c r="W12">
        <f>SUMIFS('Drift - fremtidig uden projekt'!$AK:$AK,'Drift - fremtidig uden projekt'!$W:$W,B12&amp;C12&amp;D12&amp;E12,'Drift - fremtidig uden projekt'!$S:$S,F12)</f>
        <v>0</v>
      </c>
      <c r="X12">
        <f>SUMIFS('Drift - fremtidig uden projekt'!$AL:$AL,'Drift - fremtidig uden projekt'!$W:$W,B12&amp;C12&amp;D12&amp;E12,'Drift - fremtidig uden projekt'!$T:$T,F12)</f>
        <v>0</v>
      </c>
    </row>
    <row r="13" spans="2:25" ht="14.25" customHeight="1" x14ac:dyDescent="0.25">
      <c r="B13" t="s">
        <v>1369</v>
      </c>
      <c r="C13" t="s">
        <v>1180</v>
      </c>
      <c r="D13" t="s">
        <v>684</v>
      </c>
      <c r="E13">
        <v>2013</v>
      </c>
      <c r="N13">
        <f>SUMIFS('Drift - fremtidig uden projekt'!$Y:$Y,'Drift - fremtidig uden projekt'!$W:$W,B13&amp;C13&amp;D13&amp;E13)</f>
        <v>0</v>
      </c>
      <c r="O13">
        <f>SUMIFS('Drift - fremtidig uden projekt'!$Z:$Z,'Drift - fremtidig uden projekt'!$W:$W,B13&amp;C13&amp;D13&amp;E13)</f>
        <v>0</v>
      </c>
      <c r="P13">
        <f>SUMIFS('Drift - fremtidig uden projekt'!$AA:$AA,'Drift - fremtidig uden projekt'!$W:$W,B13&amp;C13&amp;D13&amp;E13)</f>
        <v>0</v>
      </c>
      <c r="Q13">
        <f>SUMIFS('Drift - fremtidig uden projekt'!$AB:$AB,'Drift - fremtidig uden projekt'!$W:$W,B13&amp;C13&amp;D13&amp;E13)</f>
        <v>0</v>
      </c>
      <c r="R13">
        <f>SUMIFS('Drift - fremtidig uden projekt'!$AC:$AC,'Drift - fremtidig uden projekt'!$W:$W,B13&amp;C13&amp;D13&amp;E13)</f>
        <v>0</v>
      </c>
      <c r="S13">
        <f>SUMIFS('Drift - fremtidig uden projekt'!$AG:$AG,'Drift - fremtidig uden projekt'!$W:$W,B13&amp;C13&amp;D13&amp;E13,'Drift - fremtidig uden projekt'!$S:$S,"")</f>
        <v>0</v>
      </c>
      <c r="U13">
        <f>SUMIFS('Drift - fremtidig uden projekt'!$AI:$AI,'Drift - fremtidig uden projekt'!$W:$W,B13&amp;C13&amp;D13&amp;E13,'Drift - fremtidig uden projekt'!$S:$S,"")</f>
        <v>0</v>
      </c>
      <c r="W13">
        <f>SUMIFS('Drift - fremtidig uden projekt'!$AK:$AK,'Drift - fremtidig uden projekt'!$W:$W,B13&amp;C13&amp;D13&amp;E13,'Drift - fremtidig uden projekt'!$S:$S,"")</f>
        <v>0</v>
      </c>
    </row>
    <row r="14" spans="2:25" ht="14.25" customHeight="1" x14ac:dyDescent="0.25">
      <c r="B14" t="s">
        <v>1369</v>
      </c>
      <c r="C14" t="s">
        <v>1180</v>
      </c>
      <c r="D14" t="s">
        <v>684</v>
      </c>
      <c r="E14">
        <v>2014</v>
      </c>
      <c r="F14" t="s">
        <v>1361</v>
      </c>
      <c r="H14" t="s">
        <v>1194</v>
      </c>
      <c r="S14">
        <f>SUMIFS('Drift - fremtidig uden projekt'!$AG:$AG,'Drift - fremtidig uden projekt'!$W:$W,B14&amp;C14&amp;D14&amp;E14,'Drift - fremtidig uden projekt'!$S:$S,F14)</f>
        <v>0</v>
      </c>
      <c r="T14">
        <f>SUMIFS('Drift - fremtidig uden projekt'!$AH:$AH,'Drift - fremtidig uden projekt'!$W:$W,B14&amp;C14&amp;D14&amp;E14,'Drift - fremtidig uden projekt'!$T:$T,F14)</f>
        <v>0</v>
      </c>
      <c r="U14">
        <f>SUMIFS('Drift - fremtidig uden projekt'!$AI:$AI,'Drift - fremtidig uden projekt'!$W:$W,B14&amp;C14&amp;D14&amp;E14,'Drift - fremtidig uden projekt'!$S:$S,F14)</f>
        <v>0</v>
      </c>
      <c r="V14">
        <f>SUMIFS('Drift - fremtidig uden projekt'!$AJ:$AJ,'Drift - fremtidig uden projekt'!$W:$W,B14&amp;C14&amp;D14&amp;E14,'Drift - fremtidig uden projekt'!$T:$T,F14)</f>
        <v>0</v>
      </c>
      <c r="W14">
        <f>SUMIFS('Drift - fremtidig uden projekt'!$AK:$AK,'Drift - fremtidig uden projekt'!$W:$W,B14&amp;C14&amp;D14&amp;E14,'Drift - fremtidig uden projekt'!$S:$S,F14)</f>
        <v>0</v>
      </c>
      <c r="X14">
        <f>SUMIFS('Drift - fremtidig uden projekt'!$AL:$AL,'Drift - fremtidig uden projekt'!$W:$W,B14&amp;C14&amp;D14&amp;E14,'Drift - fremtidig uden projekt'!$T:$T,F14)</f>
        <v>0</v>
      </c>
    </row>
    <row r="15" spans="2:25" ht="14.25" customHeight="1" x14ac:dyDescent="0.25">
      <c r="B15" t="s">
        <v>1369</v>
      </c>
      <c r="C15" t="s">
        <v>1180</v>
      </c>
      <c r="D15" t="s">
        <v>684</v>
      </c>
      <c r="E15">
        <v>2014</v>
      </c>
      <c r="F15" t="s">
        <v>680</v>
      </c>
      <c r="H15" t="s">
        <v>1194</v>
      </c>
      <c r="S15">
        <f>SUMIFS('Drift - fremtidig uden projekt'!$AG:$AG,'Drift - fremtidig uden projekt'!$W:$W,B15&amp;C15&amp;D15&amp;E15,'Drift - fremtidig uden projekt'!$S:$S,F15)</f>
        <v>0</v>
      </c>
      <c r="T15">
        <f>SUMIFS('Drift - fremtidig uden projekt'!$AH:$AH,'Drift - fremtidig uden projekt'!$W:$W,B15&amp;C15&amp;D15&amp;E15,'Drift - fremtidig uden projekt'!$T:$T,F15)</f>
        <v>0</v>
      </c>
      <c r="U15">
        <f>SUMIFS('Drift - fremtidig uden projekt'!$AI:$AI,'Drift - fremtidig uden projekt'!$W:$W,B15&amp;C15&amp;D15&amp;E15,'Drift - fremtidig uden projekt'!$S:$S,F15)</f>
        <v>0</v>
      </c>
      <c r="V15">
        <f>SUMIFS('Drift - fremtidig uden projekt'!$AJ:$AJ,'Drift - fremtidig uden projekt'!$W:$W,B15&amp;C15&amp;D15&amp;E15,'Drift - fremtidig uden projekt'!$T:$T,F15)</f>
        <v>0</v>
      </c>
      <c r="W15">
        <f>SUMIFS('Drift - fremtidig uden projekt'!$AK:$AK,'Drift - fremtidig uden projekt'!$W:$W,B15&amp;C15&amp;D15&amp;E15,'Drift - fremtidig uden projekt'!$S:$S,F15)</f>
        <v>0</v>
      </c>
      <c r="X15">
        <f>SUMIFS('Drift - fremtidig uden projekt'!$AL:$AL,'Drift - fremtidig uden projekt'!$W:$W,B15&amp;C15&amp;D15&amp;E15,'Drift - fremtidig uden projekt'!$T:$T,F15)</f>
        <v>0</v>
      </c>
    </row>
    <row r="16" spans="2:25" ht="14.25" customHeight="1" x14ac:dyDescent="0.25">
      <c r="B16" t="s">
        <v>1369</v>
      </c>
      <c r="C16" t="s">
        <v>1180</v>
      </c>
      <c r="D16" t="s">
        <v>684</v>
      </c>
      <c r="E16">
        <v>2014</v>
      </c>
      <c r="N16">
        <f>SUMIFS('Drift - fremtidig uden projekt'!$Y:$Y,'Drift - fremtidig uden projekt'!$W:$W,B16&amp;C16&amp;D16&amp;E16)</f>
        <v>0</v>
      </c>
      <c r="O16">
        <f>SUMIFS('Drift - fremtidig uden projekt'!$Z:$Z,'Drift - fremtidig uden projekt'!$W:$W,B16&amp;C16&amp;D16&amp;E16)</f>
        <v>0</v>
      </c>
      <c r="P16">
        <f>SUMIFS('Drift - fremtidig uden projekt'!$AA:$AA,'Drift - fremtidig uden projekt'!$W:$W,B16&amp;C16&amp;D16&amp;E16)</f>
        <v>0</v>
      </c>
      <c r="Q16">
        <f>SUMIFS('Drift - fremtidig uden projekt'!$AB:$AB,'Drift - fremtidig uden projekt'!$W:$W,B16&amp;C16&amp;D16&amp;E16)</f>
        <v>0</v>
      </c>
      <c r="R16">
        <f>SUMIFS('Drift - fremtidig uden projekt'!$AC:$AC,'Drift - fremtidig uden projekt'!$W:$W,B16&amp;C16&amp;D16&amp;E16)</f>
        <v>0</v>
      </c>
      <c r="S16">
        <f>SUMIFS('Drift - fremtidig uden projekt'!$AG:$AG,'Drift - fremtidig uden projekt'!$W:$W,B16&amp;C16&amp;D16&amp;E16,'Drift - fremtidig uden projekt'!$S:$S,"")</f>
        <v>0</v>
      </c>
      <c r="U16">
        <f>SUMIFS('Drift - fremtidig uden projekt'!$AI:$AI,'Drift - fremtidig uden projekt'!$W:$W,B16&amp;C16&amp;D16&amp;E16,'Drift - fremtidig uden projekt'!$S:$S,"")</f>
        <v>0</v>
      </c>
      <c r="W16">
        <f>SUMIFS('Drift - fremtidig uden projekt'!$AK:$AK,'Drift - fremtidig uden projekt'!$W:$W,B16&amp;C16&amp;D16&amp;E16,'Drift - fremtidig uden projekt'!$S:$S,"")</f>
        <v>0</v>
      </c>
    </row>
    <row r="17" spans="2:24" ht="14.25" customHeight="1" x14ac:dyDescent="0.25">
      <c r="B17" t="s">
        <v>1369</v>
      </c>
      <c r="C17" t="s">
        <v>1181</v>
      </c>
      <c r="D17" t="s">
        <v>684</v>
      </c>
      <c r="E17">
        <v>2013</v>
      </c>
      <c r="F17" t="s">
        <v>1361</v>
      </c>
      <c r="H17" t="s">
        <v>1194</v>
      </c>
      <c r="S17">
        <f>SUMIFS('Drift - fremtidig uden projekt'!$AG:$AG,'Drift - fremtidig uden projekt'!$W:$W,B17&amp;C17&amp;D17&amp;E17,'Drift - fremtidig uden projekt'!$S:$S,F17)</f>
        <v>0</v>
      </c>
      <c r="T17">
        <f>SUMIFS('Drift - fremtidig uden projekt'!$AH:$AH,'Drift - fremtidig uden projekt'!$W:$W,B17&amp;C17&amp;D17&amp;E17,'Drift - fremtidig uden projekt'!$T:$T,F17)</f>
        <v>0</v>
      </c>
      <c r="U17">
        <f>SUMIFS('Drift - fremtidig uden projekt'!$AI:$AI,'Drift - fremtidig uden projekt'!$W:$W,B17&amp;C17&amp;D17&amp;E17,'Drift - fremtidig uden projekt'!$S:$S,F17)</f>
        <v>0</v>
      </c>
      <c r="V17">
        <f>SUMIFS('Drift - fremtidig uden projekt'!$AJ:$AJ,'Drift - fremtidig uden projekt'!$W:$W,B17&amp;C17&amp;D17&amp;E17,'Drift - fremtidig uden projekt'!$T:$T,F17)</f>
        <v>0</v>
      </c>
      <c r="W17">
        <f>SUMIFS('Drift - fremtidig uden projekt'!$AK:$AK,'Drift - fremtidig uden projekt'!$W:$W,B17&amp;C17&amp;D17&amp;E17,'Drift - fremtidig uden projekt'!$S:$S,F17)</f>
        <v>0</v>
      </c>
      <c r="X17">
        <f>SUMIFS('Drift - fremtidig uden projekt'!$AL:$AL,'Drift - fremtidig uden projekt'!$W:$W,B17&amp;C17&amp;D17&amp;E17,'Drift - fremtidig uden projekt'!$T:$T,F17)</f>
        <v>0</v>
      </c>
    </row>
    <row r="18" spans="2:24" ht="14.25" customHeight="1" x14ac:dyDescent="0.25">
      <c r="B18" t="s">
        <v>1369</v>
      </c>
      <c r="C18" t="s">
        <v>1181</v>
      </c>
      <c r="D18" t="s">
        <v>684</v>
      </c>
      <c r="E18">
        <v>2013</v>
      </c>
      <c r="F18" t="s">
        <v>680</v>
      </c>
      <c r="H18" t="s">
        <v>1194</v>
      </c>
      <c r="S18">
        <f>SUMIFS('Drift - fremtidig uden projekt'!$AG:$AG,'Drift - fremtidig uden projekt'!$W:$W,B18&amp;C18&amp;D18&amp;E18,'Drift - fremtidig uden projekt'!$S:$S,F18)</f>
        <v>0</v>
      </c>
      <c r="T18">
        <f>SUMIFS('Drift - fremtidig uden projekt'!$AH:$AH,'Drift - fremtidig uden projekt'!$W:$W,B18&amp;C18&amp;D18&amp;E18,'Drift - fremtidig uden projekt'!$T:$T,F18)</f>
        <v>0</v>
      </c>
      <c r="U18">
        <f>SUMIFS('Drift - fremtidig uden projekt'!$AI:$AI,'Drift - fremtidig uden projekt'!$W:$W,B18&amp;C18&amp;D18&amp;E18,'Drift - fremtidig uden projekt'!$S:$S,F18)</f>
        <v>0</v>
      </c>
      <c r="V18">
        <f>SUMIFS('Drift - fremtidig uden projekt'!$AJ:$AJ,'Drift - fremtidig uden projekt'!$W:$W,B18&amp;C18&amp;D18&amp;E18,'Drift - fremtidig uden projekt'!$T:$T,F18)</f>
        <v>0</v>
      </c>
      <c r="W18">
        <f>SUMIFS('Drift - fremtidig uden projekt'!$AK:$AK,'Drift - fremtidig uden projekt'!$W:$W,B18&amp;C18&amp;D18&amp;E18,'Drift - fremtidig uden projekt'!$S:$S,F18)</f>
        <v>0</v>
      </c>
      <c r="X18">
        <f>SUMIFS('Drift - fremtidig uden projekt'!$AL:$AL,'Drift - fremtidig uden projekt'!$W:$W,B18&amp;C18&amp;D18&amp;E18,'Drift - fremtidig uden projekt'!$T:$T,F18)</f>
        <v>0</v>
      </c>
    </row>
    <row r="19" spans="2:24" ht="14.25" customHeight="1" x14ac:dyDescent="0.25">
      <c r="B19" t="s">
        <v>1369</v>
      </c>
      <c r="C19" t="s">
        <v>1181</v>
      </c>
      <c r="D19" t="s">
        <v>684</v>
      </c>
      <c r="E19">
        <v>2013</v>
      </c>
      <c r="N19">
        <f>SUMIFS('Drift - fremtidig uden projekt'!$Y:$Y,'Drift - fremtidig uden projekt'!$W:$W,B19&amp;C19&amp;D19&amp;E19)</f>
        <v>0</v>
      </c>
      <c r="O19">
        <f>SUMIFS('Drift - fremtidig uden projekt'!$Z:$Z,'Drift - fremtidig uden projekt'!$W:$W,B19&amp;C19&amp;D19&amp;E19)</f>
        <v>0</v>
      </c>
      <c r="P19">
        <f>SUMIFS('Drift - fremtidig uden projekt'!$AA:$AA,'Drift - fremtidig uden projekt'!$W:$W,B19&amp;C19&amp;D19&amp;E19)</f>
        <v>0</v>
      </c>
      <c r="Q19">
        <f>SUMIFS('Drift - fremtidig uden projekt'!$AB:$AB,'Drift - fremtidig uden projekt'!$W:$W,B19&amp;C19&amp;D19&amp;E19)</f>
        <v>0</v>
      </c>
      <c r="R19">
        <f>SUMIFS('Drift - fremtidig uden projekt'!$AC:$AC,'Drift - fremtidig uden projekt'!$W:$W,B19&amp;C19&amp;D19&amp;E19)</f>
        <v>0</v>
      </c>
      <c r="S19">
        <f>SUMIFS('Drift - fremtidig uden projekt'!$AG:$AG,'Drift - fremtidig uden projekt'!$W:$W,B19&amp;C19&amp;D19&amp;E19,'Drift - fremtidig uden projekt'!$S:$S,"")</f>
        <v>0</v>
      </c>
      <c r="U19">
        <f>SUMIFS('Drift - fremtidig uden projekt'!$AI:$AI,'Drift - fremtidig uden projekt'!$W:$W,B19&amp;C19&amp;D19&amp;E19,'Drift - fremtidig uden projekt'!$S:$S,"")</f>
        <v>0</v>
      </c>
      <c r="W19">
        <f>SUMIFS('Drift - fremtidig uden projekt'!$AK:$AK,'Drift - fremtidig uden projekt'!$W:$W,B19&amp;C19&amp;D19&amp;E19,'Drift - fremtidig uden projekt'!$S:$S,"")</f>
        <v>0</v>
      </c>
    </row>
    <row r="20" spans="2:24" ht="14.25" customHeight="1" x14ac:dyDescent="0.25">
      <c r="B20" t="s">
        <v>1369</v>
      </c>
      <c r="C20" t="s">
        <v>1181</v>
      </c>
      <c r="D20" t="s">
        <v>684</v>
      </c>
      <c r="E20">
        <v>2014</v>
      </c>
      <c r="F20" t="s">
        <v>1361</v>
      </c>
      <c r="H20" t="s">
        <v>1194</v>
      </c>
      <c r="S20">
        <f>SUMIFS('Drift - fremtidig uden projekt'!$AG:$AG,'Drift - fremtidig uden projekt'!$W:$W,B20&amp;C20&amp;D20&amp;E20,'Drift - fremtidig uden projekt'!$S:$S,F20)</f>
        <v>0</v>
      </c>
      <c r="T20">
        <f>SUMIFS('Drift - fremtidig uden projekt'!$AH:$AH,'Drift - fremtidig uden projekt'!$W:$W,B20&amp;C20&amp;D20&amp;E20,'Drift - fremtidig uden projekt'!$T:$T,F20)</f>
        <v>0</v>
      </c>
      <c r="U20">
        <f>SUMIFS('Drift - fremtidig uden projekt'!$AI:$AI,'Drift - fremtidig uden projekt'!$W:$W,B20&amp;C20&amp;D20&amp;E20,'Drift - fremtidig uden projekt'!$S:$S,F20)</f>
        <v>0</v>
      </c>
      <c r="V20">
        <f>SUMIFS('Drift - fremtidig uden projekt'!$AJ:$AJ,'Drift - fremtidig uden projekt'!$W:$W,B20&amp;C20&amp;D20&amp;E20,'Drift - fremtidig uden projekt'!$T:$T,F20)</f>
        <v>0</v>
      </c>
      <c r="W20">
        <f>SUMIFS('Drift - fremtidig uden projekt'!$AK:$AK,'Drift - fremtidig uden projekt'!$W:$W,B20&amp;C20&amp;D20&amp;E20,'Drift - fremtidig uden projekt'!$S:$S,F20)</f>
        <v>0</v>
      </c>
      <c r="X20">
        <f>SUMIFS('Drift - fremtidig uden projekt'!$AL:$AL,'Drift - fremtidig uden projekt'!$W:$W,B20&amp;C20&amp;D20&amp;E20,'Drift - fremtidig uden projekt'!$T:$T,F20)</f>
        <v>0</v>
      </c>
    </row>
    <row r="21" spans="2:24" ht="14.25" customHeight="1" x14ac:dyDescent="0.25">
      <c r="B21" t="s">
        <v>1369</v>
      </c>
      <c r="C21" t="s">
        <v>1181</v>
      </c>
      <c r="D21" t="s">
        <v>684</v>
      </c>
      <c r="E21">
        <v>2014</v>
      </c>
      <c r="F21" t="s">
        <v>680</v>
      </c>
      <c r="H21" t="s">
        <v>1194</v>
      </c>
      <c r="S21">
        <f>SUMIFS('Drift - fremtidig uden projekt'!$AG:$AG,'Drift - fremtidig uden projekt'!$W:$W,B21&amp;C21&amp;D21&amp;E21,'Drift - fremtidig uden projekt'!$S:$S,F21)</f>
        <v>0</v>
      </c>
      <c r="T21">
        <f>SUMIFS('Drift - fremtidig uden projekt'!$AH:$AH,'Drift - fremtidig uden projekt'!$W:$W,B21&amp;C21&amp;D21&amp;E21,'Drift - fremtidig uden projekt'!$T:$T,F21)</f>
        <v>0</v>
      </c>
      <c r="U21">
        <f>SUMIFS('Drift - fremtidig uden projekt'!$AI:$AI,'Drift - fremtidig uden projekt'!$W:$W,B21&amp;C21&amp;D21&amp;E21,'Drift - fremtidig uden projekt'!$S:$S,F21)</f>
        <v>0</v>
      </c>
      <c r="V21">
        <f>SUMIFS('Drift - fremtidig uden projekt'!$AJ:$AJ,'Drift - fremtidig uden projekt'!$W:$W,B21&amp;C21&amp;D21&amp;E21,'Drift - fremtidig uden projekt'!$T:$T,F21)</f>
        <v>0</v>
      </c>
      <c r="W21">
        <f>SUMIFS('Drift - fremtidig uden projekt'!$AK:$AK,'Drift - fremtidig uden projekt'!$W:$W,B21&amp;C21&amp;D21&amp;E21,'Drift - fremtidig uden projekt'!$S:$S,F21)</f>
        <v>0</v>
      </c>
      <c r="X21">
        <f>SUMIFS('Drift - fremtidig uden projekt'!$AL:$AL,'Drift - fremtidig uden projekt'!$W:$W,B21&amp;C21&amp;D21&amp;E21,'Drift - fremtidig uden projekt'!$T:$T,F21)</f>
        <v>0</v>
      </c>
    </row>
    <row r="22" spans="2:24" ht="14.25" customHeight="1" x14ac:dyDescent="0.25">
      <c r="B22" t="s">
        <v>1369</v>
      </c>
      <c r="C22" t="s">
        <v>1181</v>
      </c>
      <c r="D22" t="s">
        <v>684</v>
      </c>
      <c r="E22">
        <v>2014</v>
      </c>
      <c r="N22">
        <f>SUMIFS('Drift - fremtidig uden projekt'!$Y:$Y,'Drift - fremtidig uden projekt'!$W:$W,B22&amp;C22&amp;D22&amp;E22)</f>
        <v>0</v>
      </c>
      <c r="O22">
        <f>SUMIFS('Drift - fremtidig uden projekt'!$Z:$Z,'Drift - fremtidig uden projekt'!$W:$W,B22&amp;C22&amp;D22&amp;E22)</f>
        <v>0</v>
      </c>
      <c r="P22">
        <f>SUMIFS('Drift - fremtidig uden projekt'!$AA:$AA,'Drift - fremtidig uden projekt'!$W:$W,B22&amp;C22&amp;D22&amp;E22)</f>
        <v>0</v>
      </c>
      <c r="Q22">
        <f>SUMIFS('Drift - fremtidig uden projekt'!$AB:$AB,'Drift - fremtidig uden projekt'!$W:$W,B22&amp;C22&amp;D22&amp;E22)</f>
        <v>0</v>
      </c>
      <c r="R22">
        <f>SUMIFS('Drift - fremtidig uden projekt'!$AC:$AC,'Drift - fremtidig uden projekt'!$W:$W,B22&amp;C22&amp;D22&amp;E22)</f>
        <v>0</v>
      </c>
      <c r="S22">
        <f>SUMIFS('Drift - fremtidig uden projekt'!$AG:$AG,'Drift - fremtidig uden projekt'!$W:$W,B22&amp;C22&amp;D22&amp;E22,'Drift - fremtidig uden projekt'!$S:$S,"")</f>
        <v>0</v>
      </c>
      <c r="U22">
        <f>SUMIFS('Drift - fremtidig uden projekt'!$AI:$AI,'Drift - fremtidig uden projekt'!$W:$W,B22&amp;C22&amp;D22&amp;E22,'Drift - fremtidig uden projekt'!$S:$S,"")</f>
        <v>0</v>
      </c>
      <c r="W22">
        <f>SUMIFS('Drift - fremtidig uden projekt'!$AK:$AK,'Drift - fremtidig uden projekt'!$W:$W,B22&amp;C22&amp;D22&amp;E22,'Drift - fremtidig uden projekt'!$S:$S,"")</f>
        <v>0</v>
      </c>
    </row>
    <row r="23" spans="2:24" ht="14.25" customHeight="1" x14ac:dyDescent="0.25">
      <c r="B23" t="s">
        <v>1369</v>
      </c>
      <c r="C23" t="s">
        <v>1182</v>
      </c>
      <c r="D23" t="s">
        <v>684</v>
      </c>
      <c r="E23">
        <v>2013</v>
      </c>
      <c r="F23" t="s">
        <v>1361</v>
      </c>
      <c r="H23" t="s">
        <v>1194</v>
      </c>
      <c r="S23">
        <f>SUMIFS('Drift - fremtidig uden projekt'!$AG:$AG,'Drift - fremtidig uden projekt'!$W:$W,B23&amp;C23&amp;D23&amp;E23,'Drift - fremtidig uden projekt'!$S:$S,F23)</f>
        <v>0</v>
      </c>
      <c r="T23">
        <f>SUMIFS('Drift - fremtidig uden projekt'!$AH:$AH,'Drift - fremtidig uden projekt'!$W:$W,B23&amp;C23&amp;D23&amp;E23,'Drift - fremtidig uden projekt'!$T:$T,F23)</f>
        <v>0</v>
      </c>
      <c r="U23">
        <f>SUMIFS('Drift - fremtidig uden projekt'!$AI:$AI,'Drift - fremtidig uden projekt'!$W:$W,B23&amp;C23&amp;D23&amp;E23,'Drift - fremtidig uden projekt'!$S:$S,F23)</f>
        <v>0</v>
      </c>
      <c r="V23">
        <f>SUMIFS('Drift - fremtidig uden projekt'!$AJ:$AJ,'Drift - fremtidig uden projekt'!$W:$W,B23&amp;C23&amp;D23&amp;E23,'Drift - fremtidig uden projekt'!$T:$T,F23)</f>
        <v>0</v>
      </c>
      <c r="W23">
        <f>SUMIFS('Drift - fremtidig uden projekt'!$AK:$AK,'Drift - fremtidig uden projekt'!$W:$W,B23&amp;C23&amp;D23&amp;E23,'Drift - fremtidig uden projekt'!$S:$S,F23)</f>
        <v>0</v>
      </c>
      <c r="X23">
        <f>SUMIFS('Drift - fremtidig uden projekt'!$AL:$AL,'Drift - fremtidig uden projekt'!$W:$W,B23&amp;C23&amp;D23&amp;E23,'Drift - fremtidig uden projekt'!$T:$T,F23)</f>
        <v>0</v>
      </c>
    </row>
    <row r="24" spans="2:24" ht="14.25" customHeight="1" x14ac:dyDescent="0.25">
      <c r="B24" t="s">
        <v>1369</v>
      </c>
      <c r="C24" t="s">
        <v>1182</v>
      </c>
      <c r="D24" t="s">
        <v>684</v>
      </c>
      <c r="E24">
        <v>2013</v>
      </c>
      <c r="F24" t="s">
        <v>680</v>
      </c>
      <c r="H24" t="s">
        <v>1194</v>
      </c>
      <c r="S24">
        <f>SUMIFS('Drift - fremtidig uden projekt'!$AG:$AG,'Drift - fremtidig uden projekt'!$W:$W,B24&amp;C24&amp;D24&amp;E24,'Drift - fremtidig uden projekt'!$S:$S,F24)</f>
        <v>0</v>
      </c>
      <c r="T24">
        <f>SUMIFS('Drift - fremtidig uden projekt'!$AH:$AH,'Drift - fremtidig uden projekt'!$W:$W,B24&amp;C24&amp;D24&amp;E24,'Drift - fremtidig uden projekt'!$T:$T,F24)</f>
        <v>0</v>
      </c>
      <c r="U24">
        <f>SUMIFS('Drift - fremtidig uden projekt'!$AI:$AI,'Drift - fremtidig uden projekt'!$W:$W,B24&amp;C24&amp;D24&amp;E24,'Drift - fremtidig uden projekt'!$S:$S,F24)</f>
        <v>0</v>
      </c>
      <c r="V24">
        <f>SUMIFS('Drift - fremtidig uden projekt'!$AJ:$AJ,'Drift - fremtidig uden projekt'!$W:$W,B24&amp;C24&amp;D24&amp;E24,'Drift - fremtidig uden projekt'!$T:$T,F24)</f>
        <v>0</v>
      </c>
      <c r="W24">
        <f>SUMIFS('Drift - fremtidig uden projekt'!$AK:$AK,'Drift - fremtidig uden projekt'!$W:$W,B24&amp;C24&amp;D24&amp;E24,'Drift - fremtidig uden projekt'!$S:$S,F24)</f>
        <v>0</v>
      </c>
      <c r="X24">
        <f>SUMIFS('Drift - fremtidig uden projekt'!$AL:$AL,'Drift - fremtidig uden projekt'!$W:$W,B24&amp;C24&amp;D24&amp;E24,'Drift - fremtidig uden projekt'!$T:$T,F24)</f>
        <v>0</v>
      </c>
    </row>
    <row r="25" spans="2:24" ht="14.25" customHeight="1" x14ac:dyDescent="0.25">
      <c r="B25" t="s">
        <v>1369</v>
      </c>
      <c r="C25" t="s">
        <v>1182</v>
      </c>
      <c r="D25" t="s">
        <v>684</v>
      </c>
      <c r="E25">
        <v>2013</v>
      </c>
      <c r="N25">
        <f>SUMIFS('Drift - fremtidig uden projekt'!$Y:$Y,'Drift - fremtidig uden projekt'!$W:$W,B25&amp;C25&amp;D25&amp;E25)</f>
        <v>0</v>
      </c>
      <c r="O25">
        <f>SUMIFS('Drift - fremtidig uden projekt'!$Z:$Z,'Drift - fremtidig uden projekt'!$W:$W,B25&amp;C25&amp;D25&amp;E25)</f>
        <v>0</v>
      </c>
      <c r="P25">
        <f>SUMIFS('Drift - fremtidig uden projekt'!$AA:$AA,'Drift - fremtidig uden projekt'!$W:$W,B25&amp;C25&amp;D25&amp;E25)</f>
        <v>0</v>
      </c>
      <c r="Q25">
        <f>SUMIFS('Drift - fremtidig uden projekt'!$AB:$AB,'Drift - fremtidig uden projekt'!$W:$W,B25&amp;C25&amp;D25&amp;E25)</f>
        <v>0</v>
      </c>
      <c r="R25">
        <f>SUMIFS('Drift - fremtidig uden projekt'!$AC:$AC,'Drift - fremtidig uden projekt'!$W:$W,B25&amp;C25&amp;D25&amp;E25)</f>
        <v>0</v>
      </c>
      <c r="S25">
        <f>SUMIFS('Drift - fremtidig uden projekt'!$AG:$AG,'Drift - fremtidig uden projekt'!$W:$W,B25&amp;C25&amp;D25&amp;E25,'Drift - fremtidig uden projekt'!$S:$S,"")</f>
        <v>0</v>
      </c>
      <c r="U25">
        <f>SUMIFS('Drift - fremtidig uden projekt'!$AI:$AI,'Drift - fremtidig uden projekt'!$W:$W,B25&amp;C25&amp;D25&amp;E25,'Drift - fremtidig uden projekt'!$S:$S,"")</f>
        <v>0</v>
      </c>
      <c r="W25">
        <f>SUMIFS('Drift - fremtidig uden projekt'!$AK:$AK,'Drift - fremtidig uden projekt'!$W:$W,B25&amp;C25&amp;D25&amp;E25,'Drift - fremtidig uden projekt'!$S:$S,"")</f>
        <v>0</v>
      </c>
    </row>
    <row r="26" spans="2:24" ht="14.25" customHeight="1" x14ac:dyDescent="0.25">
      <c r="B26" t="s">
        <v>1369</v>
      </c>
      <c r="C26" t="s">
        <v>1182</v>
      </c>
      <c r="D26" t="s">
        <v>684</v>
      </c>
      <c r="E26">
        <v>2014</v>
      </c>
      <c r="F26" t="s">
        <v>1361</v>
      </c>
      <c r="H26" t="s">
        <v>1194</v>
      </c>
      <c r="S26">
        <f>SUMIFS('Drift - fremtidig uden projekt'!$AG:$AG,'Drift - fremtidig uden projekt'!$W:$W,B26&amp;C26&amp;D26&amp;E26,'Drift - fremtidig uden projekt'!$S:$S,F26)</f>
        <v>0</v>
      </c>
      <c r="T26">
        <f>SUMIFS('Drift - fremtidig uden projekt'!$AH:$AH,'Drift - fremtidig uden projekt'!$W:$W,B26&amp;C26&amp;D26&amp;E26,'Drift - fremtidig uden projekt'!$T:$T,F26)</f>
        <v>0</v>
      </c>
      <c r="U26">
        <f>SUMIFS('Drift - fremtidig uden projekt'!$AI:$AI,'Drift - fremtidig uden projekt'!$W:$W,B26&amp;C26&amp;D26&amp;E26,'Drift - fremtidig uden projekt'!$S:$S,F26)</f>
        <v>0</v>
      </c>
      <c r="V26">
        <f>SUMIFS('Drift - fremtidig uden projekt'!$AJ:$AJ,'Drift - fremtidig uden projekt'!$W:$W,B26&amp;C26&amp;D26&amp;E26,'Drift - fremtidig uden projekt'!$T:$T,F26)</f>
        <v>0</v>
      </c>
      <c r="W26">
        <f>SUMIFS('Drift - fremtidig uden projekt'!$AK:$AK,'Drift - fremtidig uden projekt'!$W:$W,B26&amp;C26&amp;D26&amp;E26,'Drift - fremtidig uden projekt'!$S:$S,F26)</f>
        <v>0</v>
      </c>
      <c r="X26">
        <f>SUMIFS('Drift - fremtidig uden projekt'!$AL:$AL,'Drift - fremtidig uden projekt'!$W:$W,B26&amp;C26&amp;D26&amp;E26,'Drift - fremtidig uden projekt'!$T:$T,F26)</f>
        <v>0</v>
      </c>
    </row>
    <row r="27" spans="2:24" ht="14.25" customHeight="1" x14ac:dyDescent="0.25">
      <c r="B27" t="s">
        <v>1369</v>
      </c>
      <c r="C27" t="s">
        <v>1182</v>
      </c>
      <c r="D27" t="s">
        <v>684</v>
      </c>
      <c r="E27">
        <v>2014</v>
      </c>
      <c r="F27" t="s">
        <v>680</v>
      </c>
      <c r="H27" t="s">
        <v>1194</v>
      </c>
      <c r="S27">
        <f>SUMIFS('Drift - fremtidig uden projekt'!$AG:$AG,'Drift - fremtidig uden projekt'!$W:$W,B27&amp;C27&amp;D27&amp;E27,'Drift - fremtidig uden projekt'!$S:$S,F27)</f>
        <v>0</v>
      </c>
      <c r="T27">
        <f>SUMIFS('Drift - fremtidig uden projekt'!$AH:$AH,'Drift - fremtidig uden projekt'!$W:$W,B27&amp;C27&amp;D27&amp;E27,'Drift - fremtidig uden projekt'!$T:$T,F27)</f>
        <v>0</v>
      </c>
      <c r="U27">
        <f>SUMIFS('Drift - fremtidig uden projekt'!$AI:$AI,'Drift - fremtidig uden projekt'!$W:$W,B27&amp;C27&amp;D27&amp;E27,'Drift - fremtidig uden projekt'!$S:$S,F27)</f>
        <v>0</v>
      </c>
      <c r="V27">
        <f>SUMIFS('Drift - fremtidig uden projekt'!$AJ:$AJ,'Drift - fremtidig uden projekt'!$W:$W,B27&amp;C27&amp;D27&amp;E27,'Drift - fremtidig uden projekt'!$T:$T,F27)</f>
        <v>0</v>
      </c>
      <c r="W27">
        <f>SUMIFS('Drift - fremtidig uden projekt'!$AK:$AK,'Drift - fremtidig uden projekt'!$W:$W,B27&amp;C27&amp;D27&amp;E27,'Drift - fremtidig uden projekt'!$S:$S,F27)</f>
        <v>0</v>
      </c>
      <c r="X27">
        <f>SUMIFS('Drift - fremtidig uden projekt'!$AL:$AL,'Drift - fremtidig uden projekt'!$W:$W,B27&amp;C27&amp;D27&amp;E27,'Drift - fremtidig uden projekt'!$T:$T,F27)</f>
        <v>0</v>
      </c>
    </row>
    <row r="28" spans="2:24" ht="14.25" customHeight="1" x14ac:dyDescent="0.25">
      <c r="B28" t="s">
        <v>1369</v>
      </c>
      <c r="C28" t="s">
        <v>1182</v>
      </c>
      <c r="D28" t="s">
        <v>684</v>
      </c>
      <c r="E28">
        <v>2014</v>
      </c>
      <c r="N28">
        <f>SUMIFS('Drift - fremtidig uden projekt'!$Y:$Y,'Drift - fremtidig uden projekt'!$W:$W,B28&amp;C28&amp;D28&amp;E28)</f>
        <v>0</v>
      </c>
      <c r="O28">
        <f>SUMIFS('Drift - fremtidig uden projekt'!$Z:$Z,'Drift - fremtidig uden projekt'!$W:$W,B28&amp;C28&amp;D28&amp;E28)</f>
        <v>0</v>
      </c>
      <c r="P28">
        <f>SUMIFS('Drift - fremtidig uden projekt'!$AA:$AA,'Drift - fremtidig uden projekt'!$W:$W,B28&amp;C28&amp;D28&amp;E28)</f>
        <v>0</v>
      </c>
      <c r="Q28">
        <f>SUMIFS('Drift - fremtidig uden projekt'!$AB:$AB,'Drift - fremtidig uden projekt'!$W:$W,B28&amp;C28&amp;D28&amp;E28)</f>
        <v>0</v>
      </c>
      <c r="R28">
        <f>SUMIFS('Drift - fremtidig uden projekt'!$AC:$AC,'Drift - fremtidig uden projekt'!$W:$W,B28&amp;C28&amp;D28&amp;E28)</f>
        <v>0</v>
      </c>
      <c r="S28">
        <f>SUMIFS('Drift - fremtidig uden projekt'!$AG:$AG,'Drift - fremtidig uden projekt'!$W:$W,B28&amp;C28&amp;D28&amp;E28,'Drift - fremtidig uden projekt'!$S:$S,"")</f>
        <v>0</v>
      </c>
      <c r="U28">
        <f>SUMIFS('Drift - fremtidig uden projekt'!$AI:$AI,'Drift - fremtidig uden projekt'!$W:$W,B28&amp;C28&amp;D28&amp;E28,'Drift - fremtidig uden projekt'!$S:$S,"")</f>
        <v>0</v>
      </c>
      <c r="W28">
        <f>SUMIFS('Drift - fremtidig uden projekt'!$AK:$AK,'Drift - fremtidig uden projekt'!$W:$W,B28&amp;C28&amp;D28&amp;E28,'Drift - fremtidig uden projekt'!$S:$S,"")</f>
        <v>0</v>
      </c>
    </row>
    <row r="29" spans="2:24" ht="14.25" customHeight="1" x14ac:dyDescent="0.25">
      <c r="B29" t="s">
        <v>1369</v>
      </c>
      <c r="C29" t="s">
        <v>1183</v>
      </c>
      <c r="D29" t="s">
        <v>684</v>
      </c>
      <c r="E29">
        <v>2013</v>
      </c>
      <c r="F29" t="s">
        <v>1361</v>
      </c>
      <c r="H29" t="s">
        <v>1194</v>
      </c>
      <c r="S29">
        <f>SUMIFS('Drift - fremtidig uden projekt'!$AG:$AG,'Drift - fremtidig uden projekt'!$W:$W,B29&amp;C29&amp;D29&amp;E29,'Drift - fremtidig uden projekt'!$S:$S,F29)</f>
        <v>0</v>
      </c>
      <c r="T29">
        <f>SUMIFS('Drift - fremtidig uden projekt'!$AH:$AH,'Drift - fremtidig uden projekt'!$W:$W,B29&amp;C29&amp;D29&amp;E29,'Drift - fremtidig uden projekt'!$T:$T,F29)</f>
        <v>0</v>
      </c>
      <c r="U29">
        <f>SUMIFS('Drift - fremtidig uden projekt'!$AI:$AI,'Drift - fremtidig uden projekt'!$W:$W,B29&amp;C29&amp;D29&amp;E29,'Drift - fremtidig uden projekt'!$S:$S,F29)</f>
        <v>0</v>
      </c>
      <c r="V29">
        <f>SUMIFS('Drift - fremtidig uden projekt'!$AJ:$AJ,'Drift - fremtidig uden projekt'!$W:$W,B29&amp;C29&amp;D29&amp;E29,'Drift - fremtidig uden projekt'!$T:$T,F29)</f>
        <v>0</v>
      </c>
      <c r="W29">
        <f>SUMIFS('Drift - fremtidig uden projekt'!$AK:$AK,'Drift - fremtidig uden projekt'!$W:$W,B29&amp;C29&amp;D29&amp;E29,'Drift - fremtidig uden projekt'!$S:$S,F29)</f>
        <v>0</v>
      </c>
      <c r="X29">
        <f>SUMIFS('Drift - fremtidig uden projekt'!$AL:$AL,'Drift - fremtidig uden projekt'!$W:$W,B29&amp;C29&amp;D29&amp;E29,'Drift - fremtidig uden projekt'!$T:$T,F29)</f>
        <v>0</v>
      </c>
    </row>
    <row r="30" spans="2:24" ht="14.25" customHeight="1" x14ac:dyDescent="0.25">
      <c r="B30" t="s">
        <v>1369</v>
      </c>
      <c r="C30" t="s">
        <v>1183</v>
      </c>
      <c r="D30" t="s">
        <v>684</v>
      </c>
      <c r="E30">
        <v>2013</v>
      </c>
      <c r="F30" t="s">
        <v>680</v>
      </c>
      <c r="H30" t="s">
        <v>1194</v>
      </c>
      <c r="S30">
        <f>SUMIFS('Drift - fremtidig uden projekt'!$AG:$AG,'Drift - fremtidig uden projekt'!$W:$W,B30&amp;C30&amp;D30&amp;E30,'Drift - fremtidig uden projekt'!$S:$S,F30)</f>
        <v>0</v>
      </c>
      <c r="T30">
        <f>SUMIFS('Drift - fremtidig uden projekt'!$AH:$AH,'Drift - fremtidig uden projekt'!$W:$W,B30&amp;C30&amp;D30&amp;E30,'Drift - fremtidig uden projekt'!$T:$T,F30)</f>
        <v>0</v>
      </c>
      <c r="U30">
        <f>SUMIFS('Drift - fremtidig uden projekt'!$AI:$AI,'Drift - fremtidig uden projekt'!$W:$W,B30&amp;C30&amp;D30&amp;E30,'Drift - fremtidig uden projekt'!$S:$S,F30)</f>
        <v>0</v>
      </c>
      <c r="V30">
        <f>SUMIFS('Drift - fremtidig uden projekt'!$AJ:$AJ,'Drift - fremtidig uden projekt'!$W:$W,B30&amp;C30&amp;D30&amp;E30,'Drift - fremtidig uden projekt'!$T:$T,F30)</f>
        <v>0</v>
      </c>
      <c r="W30">
        <f>SUMIFS('Drift - fremtidig uden projekt'!$AK:$AK,'Drift - fremtidig uden projekt'!$W:$W,B30&amp;C30&amp;D30&amp;E30,'Drift - fremtidig uden projekt'!$S:$S,F30)</f>
        <v>0</v>
      </c>
      <c r="X30">
        <f>SUMIFS('Drift - fremtidig uden projekt'!$AL:$AL,'Drift - fremtidig uden projekt'!$W:$W,B30&amp;C30&amp;D30&amp;E30,'Drift - fremtidig uden projekt'!$T:$T,F30)</f>
        <v>0</v>
      </c>
    </row>
    <row r="31" spans="2:24" ht="14.25" customHeight="1" x14ac:dyDescent="0.25">
      <c r="B31" t="s">
        <v>1369</v>
      </c>
      <c r="C31" t="s">
        <v>1183</v>
      </c>
      <c r="D31" t="s">
        <v>684</v>
      </c>
      <c r="E31">
        <v>2013</v>
      </c>
      <c r="N31">
        <f>SUMIFS('Drift - fremtidig uden projekt'!$Y:$Y,'Drift - fremtidig uden projekt'!$W:$W,B31&amp;C31&amp;D31&amp;E31)</f>
        <v>0</v>
      </c>
      <c r="O31">
        <f>SUMIFS('Drift - fremtidig uden projekt'!$Z:$Z,'Drift - fremtidig uden projekt'!$W:$W,B31&amp;C31&amp;D31&amp;E31)</f>
        <v>0</v>
      </c>
      <c r="P31">
        <f>SUMIFS('Drift - fremtidig uden projekt'!$AA:$AA,'Drift - fremtidig uden projekt'!$W:$W,B31&amp;C31&amp;D31&amp;E31)</f>
        <v>0</v>
      </c>
      <c r="Q31">
        <f>SUMIFS('Drift - fremtidig uden projekt'!$AB:$AB,'Drift - fremtidig uden projekt'!$W:$W,B31&amp;C31&amp;D31&amp;E31)</f>
        <v>0</v>
      </c>
      <c r="R31">
        <f>SUMIFS('Drift - fremtidig uden projekt'!$AC:$AC,'Drift - fremtidig uden projekt'!$W:$W,B31&amp;C31&amp;D31&amp;E31)</f>
        <v>0</v>
      </c>
      <c r="S31">
        <f>SUMIFS('Drift - fremtidig uden projekt'!$AG:$AG,'Drift - fremtidig uden projekt'!$W:$W,B31&amp;C31&amp;D31&amp;E31,'Drift - fremtidig uden projekt'!$S:$S,"")</f>
        <v>0</v>
      </c>
      <c r="U31">
        <f>SUMIFS('Drift - fremtidig uden projekt'!$AI:$AI,'Drift - fremtidig uden projekt'!$W:$W,B31&amp;C31&amp;D31&amp;E31,'Drift - fremtidig uden projekt'!$S:$S,"")</f>
        <v>0</v>
      </c>
      <c r="W31">
        <f>SUMIFS('Drift - fremtidig uden projekt'!$AK:$AK,'Drift - fremtidig uden projekt'!$W:$W,B31&amp;C31&amp;D31&amp;E31,'Drift - fremtidig uden projekt'!$S:$S,"")</f>
        <v>0</v>
      </c>
    </row>
    <row r="32" spans="2:24" ht="14.25" customHeight="1" x14ac:dyDescent="0.25">
      <c r="B32" t="s">
        <v>1369</v>
      </c>
      <c r="C32" t="s">
        <v>1183</v>
      </c>
      <c r="D32" t="s">
        <v>684</v>
      </c>
      <c r="E32">
        <v>2014</v>
      </c>
      <c r="F32" t="s">
        <v>1361</v>
      </c>
      <c r="H32" t="s">
        <v>1194</v>
      </c>
      <c r="S32">
        <f>SUMIFS('Drift - fremtidig uden projekt'!$AG:$AG,'Drift - fremtidig uden projekt'!$W:$W,B32&amp;C32&amp;D32&amp;E32,'Drift - fremtidig uden projekt'!$S:$S,F32)</f>
        <v>0</v>
      </c>
      <c r="T32">
        <f>SUMIFS('Drift - fremtidig uden projekt'!$AH:$AH,'Drift - fremtidig uden projekt'!$W:$W,B32&amp;C32&amp;D32&amp;E32,'Drift - fremtidig uden projekt'!$T:$T,F32)</f>
        <v>0</v>
      </c>
      <c r="U32">
        <f>SUMIFS('Drift - fremtidig uden projekt'!$AI:$AI,'Drift - fremtidig uden projekt'!$W:$W,B32&amp;C32&amp;D32&amp;E32,'Drift - fremtidig uden projekt'!$S:$S,F32)</f>
        <v>0</v>
      </c>
      <c r="V32">
        <f>SUMIFS('Drift - fremtidig uden projekt'!$AJ:$AJ,'Drift - fremtidig uden projekt'!$W:$W,B32&amp;C32&amp;D32&amp;E32,'Drift - fremtidig uden projekt'!$T:$T,F32)</f>
        <v>0</v>
      </c>
      <c r="W32">
        <f>SUMIFS('Drift - fremtidig uden projekt'!$AK:$AK,'Drift - fremtidig uden projekt'!$W:$W,B32&amp;C32&amp;D32&amp;E32,'Drift - fremtidig uden projekt'!$S:$S,F32)</f>
        <v>0</v>
      </c>
      <c r="X32">
        <f>SUMIFS('Drift - fremtidig uden projekt'!$AL:$AL,'Drift - fremtidig uden projekt'!$W:$W,B32&amp;C32&amp;D32&amp;E32,'Drift - fremtidig uden projekt'!$T:$T,F32)</f>
        <v>0</v>
      </c>
    </row>
    <row r="33" spans="2:24" ht="14.25" customHeight="1" x14ac:dyDescent="0.25">
      <c r="B33" t="s">
        <v>1369</v>
      </c>
      <c r="C33" t="s">
        <v>1183</v>
      </c>
      <c r="D33" t="s">
        <v>684</v>
      </c>
      <c r="E33">
        <v>2014</v>
      </c>
      <c r="F33" t="s">
        <v>680</v>
      </c>
      <c r="H33" t="s">
        <v>1194</v>
      </c>
      <c r="S33">
        <f>SUMIFS('Drift - fremtidig uden projekt'!$AG:$AG,'Drift - fremtidig uden projekt'!$W:$W,B33&amp;C33&amp;D33&amp;E33,'Drift - fremtidig uden projekt'!$S:$S,F33)</f>
        <v>0</v>
      </c>
      <c r="T33">
        <f>SUMIFS('Drift - fremtidig uden projekt'!$AH:$AH,'Drift - fremtidig uden projekt'!$W:$W,B33&amp;C33&amp;D33&amp;E33,'Drift - fremtidig uden projekt'!$T:$T,F33)</f>
        <v>0</v>
      </c>
      <c r="U33">
        <f>SUMIFS('Drift - fremtidig uden projekt'!$AI:$AI,'Drift - fremtidig uden projekt'!$W:$W,B33&amp;C33&amp;D33&amp;E33,'Drift - fremtidig uden projekt'!$S:$S,F33)</f>
        <v>0</v>
      </c>
      <c r="V33">
        <f>SUMIFS('Drift - fremtidig uden projekt'!$AJ:$AJ,'Drift - fremtidig uden projekt'!$W:$W,B33&amp;C33&amp;D33&amp;E33,'Drift - fremtidig uden projekt'!$T:$T,F33)</f>
        <v>0</v>
      </c>
      <c r="W33">
        <f>SUMIFS('Drift - fremtidig uden projekt'!$AK:$AK,'Drift - fremtidig uden projekt'!$W:$W,B33&amp;C33&amp;D33&amp;E33,'Drift - fremtidig uden projekt'!$S:$S,F33)</f>
        <v>0</v>
      </c>
      <c r="X33">
        <f>SUMIFS('Drift - fremtidig uden projekt'!$AL:$AL,'Drift - fremtidig uden projekt'!$W:$W,B33&amp;C33&amp;D33&amp;E33,'Drift - fremtidig uden projekt'!$T:$T,F33)</f>
        <v>0</v>
      </c>
    </row>
    <row r="34" spans="2:24" ht="14.25" customHeight="1" x14ac:dyDescent="0.25">
      <c r="B34" t="s">
        <v>1369</v>
      </c>
      <c r="C34" t="s">
        <v>1183</v>
      </c>
      <c r="D34" t="s">
        <v>684</v>
      </c>
      <c r="E34">
        <v>2014</v>
      </c>
      <c r="N34">
        <f>SUMIFS('Drift - fremtidig uden projekt'!$Y:$Y,'Drift - fremtidig uden projekt'!$W:$W,B34&amp;C34&amp;D34&amp;E34)</f>
        <v>0</v>
      </c>
      <c r="O34">
        <f>SUMIFS('Drift - fremtidig uden projekt'!$Z:$Z,'Drift - fremtidig uden projekt'!$W:$W,B34&amp;C34&amp;D34&amp;E34)</f>
        <v>0</v>
      </c>
      <c r="P34">
        <f>SUMIFS('Drift - fremtidig uden projekt'!$AA:$AA,'Drift - fremtidig uden projekt'!$W:$W,B34&amp;C34&amp;D34&amp;E34)</f>
        <v>0</v>
      </c>
      <c r="Q34">
        <f>SUMIFS('Drift - fremtidig uden projekt'!$AB:$AB,'Drift - fremtidig uden projekt'!$W:$W,B34&amp;C34&amp;D34&amp;E34)</f>
        <v>0</v>
      </c>
      <c r="R34">
        <f>SUMIFS('Drift - fremtidig uden projekt'!$AC:$AC,'Drift - fremtidig uden projekt'!$W:$W,B34&amp;C34&amp;D34&amp;E34)</f>
        <v>0</v>
      </c>
      <c r="S34">
        <f>SUMIFS('Drift - fremtidig uden projekt'!$AG:$AG,'Drift - fremtidig uden projekt'!$W:$W,B34&amp;C34&amp;D34&amp;E34,'Drift - fremtidig uden projekt'!$S:$S,"")</f>
        <v>0</v>
      </c>
      <c r="U34">
        <f>SUMIFS('Drift - fremtidig uden projekt'!$AI:$AI,'Drift - fremtidig uden projekt'!$W:$W,B34&amp;C34&amp;D34&amp;E34,'Drift - fremtidig uden projekt'!$S:$S,"")</f>
        <v>0</v>
      </c>
      <c r="W34">
        <f>SUMIFS('Drift - fremtidig uden projekt'!$AK:$AK,'Drift - fremtidig uden projekt'!$W:$W,B34&amp;C34&amp;D34&amp;E34,'Drift - fremtidig uden projekt'!$S:$S,"")</f>
        <v>0</v>
      </c>
    </row>
    <row r="35" spans="2:24" ht="14.25" customHeight="1" x14ac:dyDescent="0.25">
      <c r="B35" t="s">
        <v>1369</v>
      </c>
      <c r="C35" t="s">
        <v>84</v>
      </c>
      <c r="D35" t="s">
        <v>684</v>
      </c>
      <c r="E35">
        <v>2013</v>
      </c>
      <c r="F35" t="s">
        <v>1361</v>
      </c>
      <c r="H35" t="s">
        <v>1194</v>
      </c>
      <c r="S35">
        <f>SUMIFS('Drift - fremtidig uden projekt'!$AG:$AG,'Drift - fremtidig uden projekt'!$W:$W,B35&amp;C35&amp;D35&amp;E35,'Drift - fremtidig uden projekt'!$S:$S,F35)</f>
        <v>0</v>
      </c>
      <c r="T35">
        <f>SUMIFS('Drift - fremtidig uden projekt'!$AH:$AH,'Drift - fremtidig uden projekt'!$W:$W,B35&amp;C35&amp;D35&amp;E35,'Drift - fremtidig uden projekt'!$T:$T,F35)</f>
        <v>0</v>
      </c>
      <c r="U35">
        <f>SUMIFS('Drift - fremtidig uden projekt'!$AI:$AI,'Drift - fremtidig uden projekt'!$W:$W,B35&amp;C35&amp;D35&amp;E35,'Drift - fremtidig uden projekt'!$S:$S,F35)</f>
        <v>0</v>
      </c>
      <c r="V35">
        <f>SUMIFS('Drift - fremtidig uden projekt'!$AJ:$AJ,'Drift - fremtidig uden projekt'!$W:$W,B35&amp;C35&amp;D35&amp;E35,'Drift - fremtidig uden projekt'!$T:$T,F35)</f>
        <v>0</v>
      </c>
      <c r="W35">
        <f>SUMIFS('Drift - fremtidig uden projekt'!$AK:$AK,'Drift - fremtidig uden projekt'!$W:$W,B35&amp;C35&amp;D35&amp;E35,'Drift - fremtidig uden projekt'!$S:$S,F35)</f>
        <v>0</v>
      </c>
      <c r="X35">
        <f>SUMIFS('Drift - fremtidig uden projekt'!$AL:$AL,'Drift - fremtidig uden projekt'!$W:$W,B35&amp;C35&amp;D35&amp;E35,'Drift - fremtidig uden projekt'!$T:$T,F35)</f>
        <v>0</v>
      </c>
    </row>
    <row r="36" spans="2:24" ht="14.25" customHeight="1" x14ac:dyDescent="0.25">
      <c r="B36" t="s">
        <v>1369</v>
      </c>
      <c r="C36" t="s">
        <v>84</v>
      </c>
      <c r="D36" t="s">
        <v>684</v>
      </c>
      <c r="E36">
        <v>2013</v>
      </c>
      <c r="F36" t="s">
        <v>680</v>
      </c>
      <c r="H36" t="s">
        <v>1194</v>
      </c>
      <c r="S36">
        <f>SUMIFS('Drift - fremtidig uden projekt'!$AG:$AG,'Drift - fremtidig uden projekt'!$W:$W,B36&amp;C36&amp;D36&amp;E36,'Drift - fremtidig uden projekt'!$S:$S,F36)</f>
        <v>0</v>
      </c>
      <c r="T36">
        <f>SUMIFS('Drift - fremtidig uden projekt'!$AH:$AH,'Drift - fremtidig uden projekt'!$W:$W,B36&amp;C36&amp;D36&amp;E36,'Drift - fremtidig uden projekt'!$T:$T,F36)</f>
        <v>0</v>
      </c>
      <c r="U36">
        <f>SUMIFS('Drift - fremtidig uden projekt'!$AI:$AI,'Drift - fremtidig uden projekt'!$W:$W,B36&amp;C36&amp;D36&amp;E36,'Drift - fremtidig uden projekt'!$S:$S,F36)</f>
        <v>0</v>
      </c>
      <c r="V36">
        <f>SUMIFS('Drift - fremtidig uden projekt'!$AJ:$AJ,'Drift - fremtidig uden projekt'!$W:$W,B36&amp;C36&amp;D36&amp;E36,'Drift - fremtidig uden projekt'!$T:$T,F36)</f>
        <v>0</v>
      </c>
      <c r="W36">
        <f>SUMIFS('Drift - fremtidig uden projekt'!$AK:$AK,'Drift - fremtidig uden projekt'!$W:$W,B36&amp;C36&amp;D36&amp;E36,'Drift - fremtidig uden projekt'!$S:$S,F36)</f>
        <v>0</v>
      </c>
      <c r="X36">
        <f>SUMIFS('Drift - fremtidig uden projekt'!$AL:$AL,'Drift - fremtidig uden projekt'!$W:$W,B36&amp;C36&amp;D36&amp;E36,'Drift - fremtidig uden projekt'!$T:$T,F36)</f>
        <v>0</v>
      </c>
    </row>
    <row r="37" spans="2:24" ht="14.25" customHeight="1" x14ac:dyDescent="0.25">
      <c r="B37" t="s">
        <v>1369</v>
      </c>
      <c r="C37" t="s">
        <v>84</v>
      </c>
      <c r="D37" t="s">
        <v>684</v>
      </c>
      <c r="E37">
        <v>2013</v>
      </c>
      <c r="N37">
        <f>SUMIFS('Drift - fremtidig uden projekt'!$Y:$Y,'Drift - fremtidig uden projekt'!$W:$W,B37&amp;C37&amp;D37&amp;E37)</f>
        <v>0</v>
      </c>
      <c r="O37">
        <f>SUMIFS('Drift - fremtidig uden projekt'!$Z:$Z,'Drift - fremtidig uden projekt'!$W:$W,B37&amp;C37&amp;D37&amp;E37)</f>
        <v>0</v>
      </c>
      <c r="P37">
        <f>SUMIFS('Drift - fremtidig uden projekt'!$AA:$AA,'Drift - fremtidig uden projekt'!$W:$W,B37&amp;C37&amp;D37&amp;E37)</f>
        <v>0</v>
      </c>
      <c r="Q37">
        <f>SUMIFS('Drift - fremtidig uden projekt'!$AB:$AB,'Drift - fremtidig uden projekt'!$W:$W,B37&amp;C37&amp;D37&amp;E37)</f>
        <v>0</v>
      </c>
      <c r="R37">
        <f>SUMIFS('Drift - fremtidig uden projekt'!$AC:$AC,'Drift - fremtidig uden projekt'!$W:$W,B37&amp;C37&amp;D37&amp;E37)</f>
        <v>0</v>
      </c>
      <c r="S37">
        <f>SUMIFS('Drift - fremtidig uden projekt'!$AG:$AG,'Drift - fremtidig uden projekt'!$W:$W,B37&amp;C37&amp;D37&amp;E37,'Drift - fremtidig uden projekt'!$S:$S,"")</f>
        <v>0</v>
      </c>
      <c r="U37">
        <f>SUMIFS('Drift - fremtidig uden projekt'!$AI:$AI,'Drift - fremtidig uden projekt'!$W:$W,B37&amp;C37&amp;D37&amp;E37,'Drift - fremtidig uden projekt'!$S:$S,"")</f>
        <v>0</v>
      </c>
      <c r="W37">
        <f>SUMIFS('Drift - fremtidig uden projekt'!$AK:$AK,'Drift - fremtidig uden projekt'!$W:$W,B37&amp;C37&amp;D37&amp;E37,'Drift - fremtidig uden projekt'!$S:$S,"")</f>
        <v>0</v>
      </c>
    </row>
    <row r="38" spans="2:24" ht="14.25" customHeight="1" x14ac:dyDescent="0.25">
      <c r="B38" t="s">
        <v>1369</v>
      </c>
      <c r="C38" t="s">
        <v>84</v>
      </c>
      <c r="D38" t="s">
        <v>684</v>
      </c>
      <c r="E38">
        <v>2014</v>
      </c>
      <c r="F38" t="s">
        <v>1361</v>
      </c>
      <c r="H38" t="s">
        <v>1194</v>
      </c>
      <c r="S38">
        <f>SUMIFS('Drift - fremtidig uden projekt'!$AG:$AG,'Drift - fremtidig uden projekt'!$W:$W,B38&amp;C38&amp;D38&amp;E38,'Drift - fremtidig uden projekt'!$S:$S,F38)</f>
        <v>0</v>
      </c>
      <c r="T38">
        <f>SUMIFS('Drift - fremtidig uden projekt'!$AH:$AH,'Drift - fremtidig uden projekt'!$W:$W,B38&amp;C38&amp;D38&amp;E38,'Drift - fremtidig uden projekt'!$T:$T,F38)</f>
        <v>0</v>
      </c>
      <c r="U38">
        <f>SUMIFS('Drift - fremtidig uden projekt'!$AI:$AI,'Drift - fremtidig uden projekt'!$W:$W,B38&amp;C38&amp;D38&amp;E38,'Drift - fremtidig uden projekt'!$S:$S,F38)</f>
        <v>0</v>
      </c>
      <c r="V38">
        <f>SUMIFS('Drift - fremtidig uden projekt'!$AJ:$AJ,'Drift - fremtidig uden projekt'!$W:$W,B38&amp;C38&amp;D38&amp;E38,'Drift - fremtidig uden projekt'!$T:$T,F38)</f>
        <v>0</v>
      </c>
      <c r="W38">
        <f>SUMIFS('Drift - fremtidig uden projekt'!$AK:$AK,'Drift - fremtidig uden projekt'!$W:$W,B38&amp;C38&amp;D38&amp;E38,'Drift - fremtidig uden projekt'!$S:$S,F38)</f>
        <v>0</v>
      </c>
      <c r="X38">
        <f>SUMIFS('Drift - fremtidig uden projekt'!$AL:$AL,'Drift - fremtidig uden projekt'!$W:$W,B38&amp;C38&amp;D38&amp;E38,'Drift - fremtidig uden projekt'!$T:$T,F38)</f>
        <v>0</v>
      </c>
    </row>
    <row r="39" spans="2:24" ht="14.25" customHeight="1" x14ac:dyDescent="0.25">
      <c r="B39" t="s">
        <v>1369</v>
      </c>
      <c r="C39" t="s">
        <v>84</v>
      </c>
      <c r="D39" t="s">
        <v>684</v>
      </c>
      <c r="E39">
        <v>2014</v>
      </c>
      <c r="F39" t="s">
        <v>680</v>
      </c>
      <c r="H39" t="s">
        <v>1194</v>
      </c>
      <c r="S39">
        <f>SUMIFS('Drift - fremtidig uden projekt'!$AG:$AG,'Drift - fremtidig uden projekt'!$W:$W,B39&amp;C39&amp;D39&amp;E39,'Drift - fremtidig uden projekt'!$S:$S,F39)</f>
        <v>0</v>
      </c>
      <c r="T39">
        <f>SUMIFS('Drift - fremtidig uden projekt'!$AH:$AH,'Drift - fremtidig uden projekt'!$W:$W,B39&amp;C39&amp;D39&amp;E39,'Drift - fremtidig uden projekt'!$T:$T,F39)</f>
        <v>0</v>
      </c>
      <c r="U39">
        <f>SUMIFS('Drift - fremtidig uden projekt'!$AI:$AI,'Drift - fremtidig uden projekt'!$W:$W,B39&amp;C39&amp;D39&amp;E39,'Drift - fremtidig uden projekt'!$S:$S,F39)</f>
        <v>0</v>
      </c>
      <c r="V39">
        <f>SUMIFS('Drift - fremtidig uden projekt'!$AJ:$AJ,'Drift - fremtidig uden projekt'!$W:$W,B39&amp;C39&amp;D39&amp;E39,'Drift - fremtidig uden projekt'!$T:$T,F39)</f>
        <v>0</v>
      </c>
      <c r="W39">
        <f>SUMIFS('Drift - fremtidig uden projekt'!$AK:$AK,'Drift - fremtidig uden projekt'!$W:$W,B39&amp;C39&amp;D39&amp;E39,'Drift - fremtidig uden projekt'!$S:$S,F39)</f>
        <v>0</v>
      </c>
      <c r="X39">
        <f>SUMIFS('Drift - fremtidig uden projekt'!$AL:$AL,'Drift - fremtidig uden projekt'!$W:$W,B39&amp;C39&amp;D39&amp;E39,'Drift - fremtidig uden projekt'!$T:$T,F39)</f>
        <v>0</v>
      </c>
    </row>
    <row r="40" spans="2:24" ht="14.25" customHeight="1" x14ac:dyDescent="0.25">
      <c r="B40" t="s">
        <v>1369</v>
      </c>
      <c r="C40" t="s">
        <v>84</v>
      </c>
      <c r="D40" t="s">
        <v>684</v>
      </c>
      <c r="E40">
        <v>2014</v>
      </c>
      <c r="N40">
        <f>SUMIFS('Drift - fremtidig uden projekt'!$Y:$Y,'Drift - fremtidig uden projekt'!$W:$W,B40&amp;C40&amp;D40&amp;E40)</f>
        <v>0</v>
      </c>
      <c r="O40">
        <f>SUMIFS('Drift - fremtidig uden projekt'!$Z:$Z,'Drift - fremtidig uden projekt'!$W:$W,B40&amp;C40&amp;D40&amp;E40)</f>
        <v>0</v>
      </c>
      <c r="P40">
        <f>SUMIFS('Drift - fremtidig uden projekt'!$AA:$AA,'Drift - fremtidig uden projekt'!$W:$W,B40&amp;C40&amp;D40&amp;E40)</f>
        <v>0</v>
      </c>
      <c r="Q40">
        <f>SUMIFS('Drift - fremtidig uden projekt'!$AB:$AB,'Drift - fremtidig uden projekt'!$W:$W,B40&amp;C40&amp;D40&amp;E40)</f>
        <v>0</v>
      </c>
      <c r="R40">
        <f>SUMIFS('Drift - fremtidig uden projekt'!$AC:$AC,'Drift - fremtidig uden projekt'!$W:$W,B40&amp;C40&amp;D40&amp;E40)</f>
        <v>0</v>
      </c>
      <c r="S40">
        <f>SUMIFS('Drift - fremtidig uden projekt'!$AG:$AG,'Drift - fremtidig uden projekt'!$W:$W,B40&amp;C40&amp;D40&amp;E40,'Drift - fremtidig uden projekt'!$S:$S,"")</f>
        <v>0</v>
      </c>
      <c r="U40">
        <f>SUMIFS('Drift - fremtidig uden projekt'!$AI:$AI,'Drift - fremtidig uden projekt'!$W:$W,B40&amp;C40&amp;D40&amp;E40,'Drift - fremtidig uden projekt'!$S:$S,"")</f>
        <v>0</v>
      </c>
      <c r="W40">
        <f>SUMIFS('Drift - fremtidig uden projekt'!$AK:$AK,'Drift - fremtidig uden projekt'!$W:$W,B40&amp;C40&amp;D40&amp;E40,'Drift - fremtidig uden projekt'!$S:$S,"")</f>
        <v>0</v>
      </c>
    </row>
    <row r="41" spans="2:24" ht="14.25" customHeight="1" x14ac:dyDescent="0.25">
      <c r="B41" t="s">
        <v>1369</v>
      </c>
      <c r="C41" t="s">
        <v>85</v>
      </c>
      <c r="D41" t="s">
        <v>684</v>
      </c>
      <c r="E41">
        <v>2013</v>
      </c>
      <c r="F41" t="s">
        <v>1361</v>
      </c>
      <c r="H41" t="s">
        <v>1194</v>
      </c>
      <c r="S41">
        <f>SUMIFS('Drift - fremtidig uden projekt'!$AG:$AG,'Drift - fremtidig uden projekt'!$W:$W,B41&amp;C41&amp;D41&amp;E41,'Drift - fremtidig uden projekt'!$S:$S,F41)</f>
        <v>0</v>
      </c>
      <c r="T41">
        <f>SUMIFS('Drift - fremtidig uden projekt'!$AH:$AH,'Drift - fremtidig uden projekt'!$W:$W,B41&amp;C41&amp;D41&amp;E41,'Drift - fremtidig uden projekt'!$T:$T,F41)</f>
        <v>0</v>
      </c>
      <c r="U41">
        <f>SUMIFS('Drift - fremtidig uden projekt'!$AI:$AI,'Drift - fremtidig uden projekt'!$W:$W,B41&amp;C41&amp;D41&amp;E41,'Drift - fremtidig uden projekt'!$S:$S,F41)</f>
        <v>0</v>
      </c>
      <c r="V41">
        <f>SUMIFS('Drift - fremtidig uden projekt'!$AJ:$AJ,'Drift - fremtidig uden projekt'!$W:$W,B41&amp;C41&amp;D41&amp;E41,'Drift - fremtidig uden projekt'!$T:$T,F41)</f>
        <v>0</v>
      </c>
      <c r="W41">
        <f>SUMIFS('Drift - fremtidig uden projekt'!$AK:$AK,'Drift - fremtidig uden projekt'!$W:$W,B41&amp;C41&amp;D41&amp;E41,'Drift - fremtidig uden projekt'!$S:$S,F41)</f>
        <v>0</v>
      </c>
      <c r="X41">
        <f>SUMIFS('Drift - fremtidig uden projekt'!$AL:$AL,'Drift - fremtidig uden projekt'!$W:$W,B41&amp;C41&amp;D41&amp;E41,'Drift - fremtidig uden projekt'!$T:$T,F41)</f>
        <v>0</v>
      </c>
    </row>
    <row r="42" spans="2:24" ht="14.25" customHeight="1" x14ac:dyDescent="0.25">
      <c r="B42" t="s">
        <v>1369</v>
      </c>
      <c r="C42" t="s">
        <v>85</v>
      </c>
      <c r="D42" t="s">
        <v>684</v>
      </c>
      <c r="E42">
        <v>2013</v>
      </c>
      <c r="F42" t="s">
        <v>680</v>
      </c>
      <c r="H42" t="s">
        <v>1194</v>
      </c>
      <c r="S42">
        <f>SUMIFS('Drift - fremtidig uden projekt'!$AG:$AG,'Drift - fremtidig uden projekt'!$W:$W,B42&amp;C42&amp;D42&amp;E42,'Drift - fremtidig uden projekt'!$S:$S,F42)</f>
        <v>0</v>
      </c>
      <c r="T42">
        <f>SUMIFS('Drift - fremtidig uden projekt'!$AH:$AH,'Drift - fremtidig uden projekt'!$W:$W,B42&amp;C42&amp;D42&amp;E42,'Drift - fremtidig uden projekt'!$T:$T,F42)</f>
        <v>0</v>
      </c>
      <c r="U42">
        <f>SUMIFS('Drift - fremtidig uden projekt'!$AI:$AI,'Drift - fremtidig uden projekt'!$W:$W,B42&amp;C42&amp;D42&amp;E42,'Drift - fremtidig uden projekt'!$S:$S,F42)</f>
        <v>0</v>
      </c>
      <c r="V42">
        <f>SUMIFS('Drift - fremtidig uden projekt'!$AJ:$AJ,'Drift - fremtidig uden projekt'!$W:$W,B42&amp;C42&amp;D42&amp;E42,'Drift - fremtidig uden projekt'!$T:$T,F42)</f>
        <v>0</v>
      </c>
      <c r="W42">
        <f>SUMIFS('Drift - fremtidig uden projekt'!$AK:$AK,'Drift - fremtidig uden projekt'!$W:$W,B42&amp;C42&amp;D42&amp;E42,'Drift - fremtidig uden projekt'!$S:$S,F42)</f>
        <v>0</v>
      </c>
      <c r="X42">
        <f>SUMIFS('Drift - fremtidig uden projekt'!$AL:$AL,'Drift - fremtidig uden projekt'!$W:$W,B42&amp;C42&amp;D42&amp;E42,'Drift - fremtidig uden projekt'!$T:$T,F42)</f>
        <v>0</v>
      </c>
    </row>
    <row r="43" spans="2:24" ht="14.25" customHeight="1" x14ac:dyDescent="0.25">
      <c r="B43" t="s">
        <v>1369</v>
      </c>
      <c r="C43" t="s">
        <v>85</v>
      </c>
      <c r="D43" t="s">
        <v>684</v>
      </c>
      <c r="E43">
        <v>2013</v>
      </c>
      <c r="N43">
        <f>SUMIFS('Drift - fremtidig uden projekt'!$Y:$Y,'Drift - fremtidig uden projekt'!$W:$W,B43&amp;C43&amp;D43&amp;E43)</f>
        <v>0</v>
      </c>
      <c r="O43">
        <f>SUMIFS('Drift - fremtidig uden projekt'!$Z:$Z,'Drift - fremtidig uden projekt'!$W:$W,B43&amp;C43&amp;D43&amp;E43)</f>
        <v>0</v>
      </c>
      <c r="P43">
        <f>SUMIFS('Drift - fremtidig uden projekt'!$AA:$AA,'Drift - fremtidig uden projekt'!$W:$W,B43&amp;C43&amp;D43&amp;E43)</f>
        <v>0</v>
      </c>
      <c r="Q43">
        <f>SUMIFS('Drift - fremtidig uden projekt'!$AB:$AB,'Drift - fremtidig uden projekt'!$W:$W,B43&amp;C43&amp;D43&amp;E43)</f>
        <v>0</v>
      </c>
      <c r="R43">
        <f>SUMIFS('Drift - fremtidig uden projekt'!$AC:$AC,'Drift - fremtidig uden projekt'!$W:$W,B43&amp;C43&amp;D43&amp;E43)</f>
        <v>0</v>
      </c>
      <c r="S43">
        <f>SUMIFS('Drift - fremtidig uden projekt'!$AG:$AG,'Drift - fremtidig uden projekt'!$W:$W,B43&amp;C43&amp;D43&amp;E43,'Drift - fremtidig uden projekt'!$S:$S,"")</f>
        <v>0</v>
      </c>
      <c r="U43">
        <f>SUMIFS('Drift - fremtidig uden projekt'!$AI:$AI,'Drift - fremtidig uden projekt'!$W:$W,B43&amp;C43&amp;D43&amp;E43,'Drift - fremtidig uden projekt'!$S:$S,"")</f>
        <v>0</v>
      </c>
      <c r="W43">
        <f>SUMIFS('Drift - fremtidig uden projekt'!$AK:$AK,'Drift - fremtidig uden projekt'!$W:$W,B43&amp;C43&amp;D43&amp;E43,'Drift - fremtidig uden projekt'!$S:$S,"")</f>
        <v>0</v>
      </c>
    </row>
    <row r="44" spans="2:24" ht="14.25" customHeight="1" x14ac:dyDescent="0.25">
      <c r="B44" t="s">
        <v>1369</v>
      </c>
      <c r="C44" t="s">
        <v>85</v>
      </c>
      <c r="D44" t="s">
        <v>684</v>
      </c>
      <c r="E44">
        <v>2014</v>
      </c>
      <c r="F44" t="s">
        <v>1361</v>
      </c>
      <c r="H44" t="s">
        <v>1194</v>
      </c>
      <c r="S44">
        <f>SUMIFS('Drift - fremtidig uden projekt'!$AG:$AG,'Drift - fremtidig uden projekt'!$W:$W,B44&amp;C44&amp;D44&amp;E44,'Drift - fremtidig uden projekt'!$S:$S,F44)</f>
        <v>0</v>
      </c>
      <c r="T44">
        <f>SUMIFS('Drift - fremtidig uden projekt'!$AH:$AH,'Drift - fremtidig uden projekt'!$W:$W,B44&amp;C44&amp;D44&amp;E44,'Drift - fremtidig uden projekt'!$T:$T,F44)</f>
        <v>0</v>
      </c>
      <c r="U44">
        <f>SUMIFS('Drift - fremtidig uden projekt'!$AI:$AI,'Drift - fremtidig uden projekt'!$W:$W,B44&amp;C44&amp;D44&amp;E44,'Drift - fremtidig uden projekt'!$S:$S,F44)</f>
        <v>0</v>
      </c>
      <c r="V44">
        <f>SUMIFS('Drift - fremtidig uden projekt'!$AJ:$AJ,'Drift - fremtidig uden projekt'!$W:$W,B44&amp;C44&amp;D44&amp;E44,'Drift - fremtidig uden projekt'!$T:$T,F44)</f>
        <v>0</v>
      </c>
      <c r="W44">
        <f>SUMIFS('Drift - fremtidig uden projekt'!$AK:$AK,'Drift - fremtidig uden projekt'!$W:$W,B44&amp;C44&amp;D44&amp;E44,'Drift - fremtidig uden projekt'!$S:$S,F44)</f>
        <v>0</v>
      </c>
      <c r="X44">
        <f>SUMIFS('Drift - fremtidig uden projekt'!$AL:$AL,'Drift - fremtidig uden projekt'!$W:$W,B44&amp;C44&amp;D44&amp;E44,'Drift - fremtidig uden projekt'!$T:$T,F44)</f>
        <v>0</v>
      </c>
    </row>
    <row r="45" spans="2:24" ht="14.25" customHeight="1" x14ac:dyDescent="0.25">
      <c r="B45" t="s">
        <v>1369</v>
      </c>
      <c r="C45" t="s">
        <v>85</v>
      </c>
      <c r="D45" t="s">
        <v>684</v>
      </c>
      <c r="E45">
        <v>2014</v>
      </c>
      <c r="F45" t="s">
        <v>680</v>
      </c>
      <c r="H45" t="s">
        <v>1194</v>
      </c>
      <c r="S45">
        <f>SUMIFS('Drift - fremtidig uden projekt'!$AG:$AG,'Drift - fremtidig uden projekt'!$W:$W,B45&amp;C45&amp;D45&amp;E45,'Drift - fremtidig uden projekt'!$S:$S,F45)</f>
        <v>0</v>
      </c>
      <c r="T45">
        <f>SUMIFS('Drift - fremtidig uden projekt'!$AH:$AH,'Drift - fremtidig uden projekt'!$W:$W,B45&amp;C45&amp;D45&amp;E45,'Drift - fremtidig uden projekt'!$T:$T,F45)</f>
        <v>0</v>
      </c>
      <c r="U45">
        <f>SUMIFS('Drift - fremtidig uden projekt'!$AI:$AI,'Drift - fremtidig uden projekt'!$W:$W,B45&amp;C45&amp;D45&amp;E45,'Drift - fremtidig uden projekt'!$S:$S,F45)</f>
        <v>0</v>
      </c>
      <c r="V45">
        <f>SUMIFS('Drift - fremtidig uden projekt'!$AJ:$AJ,'Drift - fremtidig uden projekt'!$W:$W,B45&amp;C45&amp;D45&amp;E45,'Drift - fremtidig uden projekt'!$T:$T,F45)</f>
        <v>0</v>
      </c>
      <c r="W45">
        <f>SUMIFS('Drift - fremtidig uden projekt'!$AK:$AK,'Drift - fremtidig uden projekt'!$W:$W,B45&amp;C45&amp;D45&amp;E45,'Drift - fremtidig uden projekt'!$S:$S,F45)</f>
        <v>0</v>
      </c>
      <c r="X45">
        <f>SUMIFS('Drift - fremtidig uden projekt'!$AL:$AL,'Drift - fremtidig uden projekt'!$W:$W,B45&amp;C45&amp;D45&amp;E45,'Drift - fremtidig uden projekt'!$T:$T,F45)</f>
        <v>0</v>
      </c>
    </row>
    <row r="46" spans="2:24" ht="14.25" customHeight="1" x14ac:dyDescent="0.25">
      <c r="B46" t="s">
        <v>1369</v>
      </c>
      <c r="C46" t="s">
        <v>85</v>
      </c>
      <c r="D46" t="s">
        <v>684</v>
      </c>
      <c r="E46">
        <v>2014</v>
      </c>
      <c r="N46">
        <f>SUMIFS('Drift - fremtidig uden projekt'!$Y:$Y,'Drift - fremtidig uden projekt'!$W:$W,B46&amp;C46&amp;D46&amp;E46)</f>
        <v>0</v>
      </c>
      <c r="O46">
        <f>SUMIFS('Drift - fremtidig uden projekt'!$Z:$Z,'Drift - fremtidig uden projekt'!$W:$W,B46&amp;C46&amp;D46&amp;E46)</f>
        <v>0</v>
      </c>
      <c r="P46">
        <f>SUMIFS('Drift - fremtidig uden projekt'!$AA:$AA,'Drift - fremtidig uden projekt'!$W:$W,B46&amp;C46&amp;D46&amp;E46)</f>
        <v>0</v>
      </c>
      <c r="Q46">
        <f>SUMIFS('Drift - fremtidig uden projekt'!$AB:$AB,'Drift - fremtidig uden projekt'!$W:$W,B46&amp;C46&amp;D46&amp;E46)</f>
        <v>0</v>
      </c>
      <c r="R46">
        <f>SUMIFS('Drift - fremtidig uden projekt'!$AC:$AC,'Drift - fremtidig uden projekt'!$W:$W,B46&amp;C46&amp;D46&amp;E46)</f>
        <v>0</v>
      </c>
      <c r="S46">
        <f>SUMIFS('Drift - fremtidig uden projekt'!$AG:$AG,'Drift - fremtidig uden projekt'!$W:$W,B46&amp;C46&amp;D46&amp;E46,'Drift - fremtidig uden projekt'!$S:$S,"")</f>
        <v>0</v>
      </c>
      <c r="U46">
        <f>SUMIFS('Drift - fremtidig uden projekt'!$AI:$AI,'Drift - fremtidig uden projekt'!$W:$W,B46&amp;C46&amp;D46&amp;E46,'Drift - fremtidig uden projekt'!$S:$S,"")</f>
        <v>0</v>
      </c>
      <c r="W46">
        <f>SUMIFS('Drift - fremtidig uden projekt'!$AK:$AK,'Drift - fremtidig uden projekt'!$W:$W,B46&amp;C46&amp;D46&amp;E46,'Drift - fremtidig uden projekt'!$S:$S,"")</f>
        <v>0</v>
      </c>
    </row>
    <row r="47" spans="2:24" ht="14.25" customHeight="1" x14ac:dyDescent="0.25">
      <c r="B47" t="s">
        <v>1369</v>
      </c>
      <c r="C47" t="s">
        <v>86</v>
      </c>
      <c r="D47" t="s">
        <v>684</v>
      </c>
      <c r="E47">
        <v>2013</v>
      </c>
      <c r="F47" t="s">
        <v>1361</v>
      </c>
      <c r="H47" t="s">
        <v>1194</v>
      </c>
      <c r="S47">
        <f>SUMIFS('Drift - fremtidig uden projekt'!$AG:$AG,'Drift - fremtidig uden projekt'!$W:$W,B47&amp;C47&amp;D47&amp;E47,'Drift - fremtidig uden projekt'!$S:$S,F47)</f>
        <v>0</v>
      </c>
      <c r="T47">
        <f>SUMIFS('Drift - fremtidig uden projekt'!$AH:$AH,'Drift - fremtidig uden projekt'!$W:$W,B47&amp;C47&amp;D47&amp;E47,'Drift - fremtidig uden projekt'!$T:$T,F47)</f>
        <v>0</v>
      </c>
      <c r="U47">
        <f>SUMIFS('Drift - fremtidig uden projekt'!$AI:$AI,'Drift - fremtidig uden projekt'!$W:$W,B47&amp;C47&amp;D47&amp;E47,'Drift - fremtidig uden projekt'!$S:$S,F47)</f>
        <v>0</v>
      </c>
      <c r="V47">
        <f>SUMIFS('Drift - fremtidig uden projekt'!$AJ:$AJ,'Drift - fremtidig uden projekt'!$W:$W,B47&amp;C47&amp;D47&amp;E47,'Drift - fremtidig uden projekt'!$T:$T,F47)</f>
        <v>0</v>
      </c>
      <c r="W47">
        <f>SUMIFS('Drift - fremtidig uden projekt'!$AK:$AK,'Drift - fremtidig uden projekt'!$W:$W,B47&amp;C47&amp;D47&amp;E47,'Drift - fremtidig uden projekt'!$S:$S,F47)</f>
        <v>0</v>
      </c>
      <c r="X47">
        <f>SUMIFS('Drift - fremtidig uden projekt'!$AL:$AL,'Drift - fremtidig uden projekt'!$W:$W,B47&amp;C47&amp;D47&amp;E47,'Drift - fremtidig uden projekt'!$T:$T,F47)</f>
        <v>0</v>
      </c>
    </row>
    <row r="48" spans="2:24" ht="14.25" customHeight="1" x14ac:dyDescent="0.25">
      <c r="B48" t="s">
        <v>1369</v>
      </c>
      <c r="C48" t="s">
        <v>86</v>
      </c>
      <c r="D48" t="s">
        <v>684</v>
      </c>
      <c r="E48">
        <v>2013</v>
      </c>
      <c r="F48" t="s">
        <v>680</v>
      </c>
      <c r="H48" t="s">
        <v>1194</v>
      </c>
      <c r="S48">
        <f>SUMIFS('Drift - fremtidig uden projekt'!$AG:$AG,'Drift - fremtidig uden projekt'!$W:$W,B48&amp;C48&amp;D48&amp;E48,'Drift - fremtidig uden projekt'!$S:$S,F48)</f>
        <v>0</v>
      </c>
      <c r="T48">
        <f>SUMIFS('Drift - fremtidig uden projekt'!$AH:$AH,'Drift - fremtidig uden projekt'!$W:$W,B48&amp;C48&amp;D48&amp;E48,'Drift - fremtidig uden projekt'!$T:$T,F48)</f>
        <v>0</v>
      </c>
      <c r="U48">
        <f>SUMIFS('Drift - fremtidig uden projekt'!$AI:$AI,'Drift - fremtidig uden projekt'!$W:$W,B48&amp;C48&amp;D48&amp;E48,'Drift - fremtidig uden projekt'!$S:$S,F48)</f>
        <v>0</v>
      </c>
      <c r="V48">
        <f>SUMIFS('Drift - fremtidig uden projekt'!$AJ:$AJ,'Drift - fremtidig uden projekt'!$W:$W,B48&amp;C48&amp;D48&amp;E48,'Drift - fremtidig uden projekt'!$T:$T,F48)</f>
        <v>0</v>
      </c>
      <c r="W48">
        <f>SUMIFS('Drift - fremtidig uden projekt'!$AK:$AK,'Drift - fremtidig uden projekt'!$W:$W,B48&amp;C48&amp;D48&amp;E48,'Drift - fremtidig uden projekt'!$S:$S,F48)</f>
        <v>0</v>
      </c>
      <c r="X48">
        <f>SUMIFS('Drift - fremtidig uden projekt'!$AL:$AL,'Drift - fremtidig uden projekt'!$W:$W,B48&amp;C48&amp;D48&amp;E48,'Drift - fremtidig uden projekt'!$T:$T,F48)</f>
        <v>0</v>
      </c>
    </row>
    <row r="49" spans="2:24" ht="14.25" customHeight="1" x14ac:dyDescent="0.25">
      <c r="B49" t="s">
        <v>1369</v>
      </c>
      <c r="C49" t="s">
        <v>86</v>
      </c>
      <c r="D49" t="s">
        <v>684</v>
      </c>
      <c r="E49">
        <v>2013</v>
      </c>
      <c r="N49">
        <f>SUMIFS('Drift - fremtidig uden projekt'!$Y:$Y,'Drift - fremtidig uden projekt'!$W:$W,B49&amp;C49&amp;D49&amp;E49)</f>
        <v>0</v>
      </c>
      <c r="O49">
        <f>SUMIFS('Drift - fremtidig uden projekt'!$Z:$Z,'Drift - fremtidig uden projekt'!$W:$W,B49&amp;C49&amp;D49&amp;E49)</f>
        <v>0</v>
      </c>
      <c r="P49">
        <f>SUMIFS('Drift - fremtidig uden projekt'!$AA:$AA,'Drift - fremtidig uden projekt'!$W:$W,B49&amp;C49&amp;D49&amp;E49)</f>
        <v>0</v>
      </c>
      <c r="Q49">
        <f>SUMIFS('Drift - fremtidig uden projekt'!$AB:$AB,'Drift - fremtidig uden projekt'!$W:$W,B49&amp;C49&amp;D49&amp;E49)</f>
        <v>0</v>
      </c>
      <c r="R49">
        <f>SUMIFS('Drift - fremtidig uden projekt'!$AC:$AC,'Drift - fremtidig uden projekt'!$W:$W,B49&amp;C49&amp;D49&amp;E49)</f>
        <v>0</v>
      </c>
      <c r="S49">
        <f>SUMIFS('Drift - fremtidig uden projekt'!$AG:$AG,'Drift - fremtidig uden projekt'!$W:$W,B49&amp;C49&amp;D49&amp;E49,'Drift - fremtidig uden projekt'!$S:$S,"")</f>
        <v>0</v>
      </c>
      <c r="U49">
        <f>SUMIFS('Drift - fremtidig uden projekt'!$AI:$AI,'Drift - fremtidig uden projekt'!$W:$W,B49&amp;C49&amp;D49&amp;E49,'Drift - fremtidig uden projekt'!$S:$S,"")</f>
        <v>0</v>
      </c>
      <c r="W49">
        <f>SUMIFS('Drift - fremtidig uden projekt'!$AK:$AK,'Drift - fremtidig uden projekt'!$W:$W,B49&amp;C49&amp;D49&amp;E49,'Drift - fremtidig uden projekt'!$S:$S,"")</f>
        <v>0</v>
      </c>
    </row>
    <row r="50" spans="2:24" ht="14.25" customHeight="1" x14ac:dyDescent="0.25">
      <c r="B50" t="s">
        <v>1369</v>
      </c>
      <c r="C50" t="s">
        <v>86</v>
      </c>
      <c r="D50" t="s">
        <v>684</v>
      </c>
      <c r="E50">
        <v>2014</v>
      </c>
      <c r="F50" t="s">
        <v>1361</v>
      </c>
      <c r="H50" t="s">
        <v>1194</v>
      </c>
      <c r="S50">
        <f>SUMIFS('Drift - fremtidig uden projekt'!$AG:$AG,'Drift - fremtidig uden projekt'!$W:$W,B50&amp;C50&amp;D50&amp;E50,'Drift - fremtidig uden projekt'!$S:$S,F50)</f>
        <v>0</v>
      </c>
      <c r="T50">
        <f>SUMIFS('Drift - fremtidig uden projekt'!$AH:$AH,'Drift - fremtidig uden projekt'!$W:$W,B50&amp;C50&amp;D50&amp;E50,'Drift - fremtidig uden projekt'!$T:$T,F50)</f>
        <v>0</v>
      </c>
      <c r="U50">
        <f>SUMIFS('Drift - fremtidig uden projekt'!$AI:$AI,'Drift - fremtidig uden projekt'!$W:$W,B50&amp;C50&amp;D50&amp;E50,'Drift - fremtidig uden projekt'!$S:$S,F50)</f>
        <v>0</v>
      </c>
      <c r="V50">
        <f>SUMIFS('Drift - fremtidig uden projekt'!$AJ:$AJ,'Drift - fremtidig uden projekt'!$W:$W,B50&amp;C50&amp;D50&amp;E50,'Drift - fremtidig uden projekt'!$T:$T,F50)</f>
        <v>0</v>
      </c>
      <c r="W50">
        <f>SUMIFS('Drift - fremtidig uden projekt'!$AK:$AK,'Drift - fremtidig uden projekt'!$W:$W,B50&amp;C50&amp;D50&amp;E50,'Drift - fremtidig uden projekt'!$S:$S,F50)</f>
        <v>0</v>
      </c>
      <c r="X50">
        <f>SUMIFS('Drift - fremtidig uden projekt'!$AL:$AL,'Drift - fremtidig uden projekt'!$W:$W,B50&amp;C50&amp;D50&amp;E50,'Drift - fremtidig uden projekt'!$T:$T,F50)</f>
        <v>0</v>
      </c>
    </row>
    <row r="51" spans="2:24" ht="14.25" customHeight="1" x14ac:dyDescent="0.25">
      <c r="B51" t="s">
        <v>1369</v>
      </c>
      <c r="C51" t="s">
        <v>86</v>
      </c>
      <c r="D51" t="s">
        <v>684</v>
      </c>
      <c r="E51">
        <v>2014</v>
      </c>
      <c r="F51" t="s">
        <v>680</v>
      </c>
      <c r="H51" t="s">
        <v>1194</v>
      </c>
      <c r="S51">
        <f>SUMIFS('Drift - fremtidig uden projekt'!$AG:$AG,'Drift - fremtidig uden projekt'!$W:$W,B51&amp;C51&amp;D51&amp;E51,'Drift - fremtidig uden projekt'!$S:$S,F51)</f>
        <v>0</v>
      </c>
      <c r="T51">
        <f>SUMIFS('Drift - fremtidig uden projekt'!$AH:$AH,'Drift - fremtidig uden projekt'!$W:$W,B51&amp;C51&amp;D51&amp;E51,'Drift - fremtidig uden projekt'!$T:$T,F51)</f>
        <v>0</v>
      </c>
      <c r="U51">
        <f>SUMIFS('Drift - fremtidig uden projekt'!$AI:$AI,'Drift - fremtidig uden projekt'!$W:$W,B51&amp;C51&amp;D51&amp;E51,'Drift - fremtidig uden projekt'!$S:$S,F51)</f>
        <v>0</v>
      </c>
      <c r="V51">
        <f>SUMIFS('Drift - fremtidig uden projekt'!$AJ:$AJ,'Drift - fremtidig uden projekt'!$W:$W,B51&amp;C51&amp;D51&amp;E51,'Drift - fremtidig uden projekt'!$T:$T,F51)</f>
        <v>0</v>
      </c>
      <c r="W51">
        <f>SUMIFS('Drift - fremtidig uden projekt'!$AK:$AK,'Drift - fremtidig uden projekt'!$W:$W,B51&amp;C51&amp;D51&amp;E51,'Drift - fremtidig uden projekt'!$S:$S,F51)</f>
        <v>0</v>
      </c>
      <c r="X51">
        <f>SUMIFS('Drift - fremtidig uden projekt'!$AL:$AL,'Drift - fremtidig uden projekt'!$W:$W,B51&amp;C51&amp;D51&amp;E51,'Drift - fremtidig uden projekt'!$T:$T,F51)</f>
        <v>0</v>
      </c>
    </row>
    <row r="52" spans="2:24" ht="14.25" customHeight="1" x14ac:dyDescent="0.25">
      <c r="B52" t="s">
        <v>1369</v>
      </c>
      <c r="C52" t="s">
        <v>86</v>
      </c>
      <c r="D52" t="s">
        <v>684</v>
      </c>
      <c r="E52">
        <v>2014</v>
      </c>
      <c r="N52">
        <f>SUMIFS('Drift - fremtidig uden projekt'!$Y:$Y,'Drift - fremtidig uden projekt'!$W:$W,B52&amp;C52&amp;D52&amp;E52)</f>
        <v>0</v>
      </c>
      <c r="O52">
        <f>SUMIFS('Drift - fremtidig uden projekt'!$Z:$Z,'Drift - fremtidig uden projekt'!$W:$W,B52&amp;C52&amp;D52&amp;E52)</f>
        <v>0</v>
      </c>
      <c r="P52">
        <f>SUMIFS('Drift - fremtidig uden projekt'!$AA:$AA,'Drift - fremtidig uden projekt'!$W:$W,B52&amp;C52&amp;D52&amp;E52)</f>
        <v>0</v>
      </c>
      <c r="Q52">
        <f>SUMIFS('Drift - fremtidig uden projekt'!$AB:$AB,'Drift - fremtidig uden projekt'!$W:$W,B52&amp;C52&amp;D52&amp;E52)</f>
        <v>0</v>
      </c>
      <c r="R52">
        <f>SUMIFS('Drift - fremtidig uden projekt'!$AC:$AC,'Drift - fremtidig uden projekt'!$W:$W,B52&amp;C52&amp;D52&amp;E52)</f>
        <v>0</v>
      </c>
      <c r="S52">
        <f>SUMIFS('Drift - fremtidig uden projekt'!$AG:$AG,'Drift - fremtidig uden projekt'!$W:$W,B52&amp;C52&amp;D52&amp;E52,'Drift - fremtidig uden projekt'!$S:$S,"")</f>
        <v>0</v>
      </c>
      <c r="U52">
        <f>SUMIFS('Drift - fremtidig uden projekt'!$AI:$AI,'Drift - fremtidig uden projekt'!$W:$W,B52&amp;C52&amp;D52&amp;E52,'Drift - fremtidig uden projekt'!$S:$S,"")</f>
        <v>0</v>
      </c>
      <c r="W52">
        <f>SUMIFS('Drift - fremtidig uden projekt'!$AK:$AK,'Drift - fremtidig uden projekt'!$W:$W,B52&amp;C52&amp;D52&amp;E52,'Drift - fremtidig uden projekt'!$S:$S,"")</f>
        <v>0</v>
      </c>
    </row>
    <row r="53" spans="2:24" ht="14.25" customHeight="1" x14ac:dyDescent="0.25">
      <c r="B53" t="s">
        <v>1369</v>
      </c>
      <c r="C53" t="s">
        <v>1486</v>
      </c>
      <c r="D53" t="s">
        <v>684</v>
      </c>
      <c r="E53">
        <v>2013</v>
      </c>
      <c r="F53" t="s">
        <v>1361</v>
      </c>
      <c r="H53" t="s">
        <v>1194</v>
      </c>
      <c r="S53">
        <f>SUMIFS('Drift - fremtidig uden projekt'!$AG:$AG,'Drift - fremtidig uden projekt'!$W:$W,B53&amp;C53&amp;D53&amp;E53,'Drift - fremtidig uden projekt'!$S:$S,F53)</f>
        <v>0</v>
      </c>
      <c r="T53">
        <f>SUMIFS('Drift - fremtidig uden projekt'!$AH:$AH,'Drift - fremtidig uden projekt'!$W:$W,B53&amp;C53&amp;D53&amp;E53,'Drift - fremtidig uden projekt'!$T:$T,F53)</f>
        <v>0</v>
      </c>
      <c r="U53">
        <f>SUMIFS('Drift - fremtidig uden projekt'!$AI:$AI,'Drift - fremtidig uden projekt'!$W:$W,B53&amp;C53&amp;D53&amp;E53,'Drift - fremtidig uden projekt'!$S:$S,F53)</f>
        <v>0</v>
      </c>
      <c r="V53">
        <f>SUMIFS('Drift - fremtidig uden projekt'!$AJ:$AJ,'Drift - fremtidig uden projekt'!$W:$W,B53&amp;C53&amp;D53&amp;E53,'Drift - fremtidig uden projekt'!$T:$T,F53)</f>
        <v>0</v>
      </c>
      <c r="W53">
        <f>SUMIFS('Drift - fremtidig uden projekt'!$AK:$AK,'Drift - fremtidig uden projekt'!$W:$W,B53&amp;C53&amp;D53&amp;E53,'Drift - fremtidig uden projekt'!$S:$S,F53)</f>
        <v>0</v>
      </c>
      <c r="X53">
        <f>SUMIFS('Drift - fremtidig uden projekt'!$AL:$AL,'Drift - fremtidig uden projekt'!$W:$W,B53&amp;C53&amp;D53&amp;E53,'Drift - fremtidig uden projekt'!$T:$T,F53)</f>
        <v>0</v>
      </c>
    </row>
    <row r="54" spans="2:24" ht="14.25" customHeight="1" x14ac:dyDescent="0.25">
      <c r="B54" t="s">
        <v>1369</v>
      </c>
      <c r="C54" t="s">
        <v>1486</v>
      </c>
      <c r="D54" t="s">
        <v>684</v>
      </c>
      <c r="E54">
        <v>2013</v>
      </c>
      <c r="F54" t="s">
        <v>680</v>
      </c>
      <c r="H54" t="s">
        <v>1194</v>
      </c>
      <c r="S54">
        <f>SUMIFS('Drift - fremtidig uden projekt'!$AG:$AG,'Drift - fremtidig uden projekt'!$W:$W,B54&amp;C54&amp;D54&amp;E54,'Drift - fremtidig uden projekt'!$S:$S,F54)</f>
        <v>0</v>
      </c>
      <c r="T54">
        <f>SUMIFS('Drift - fremtidig uden projekt'!$AH:$AH,'Drift - fremtidig uden projekt'!$W:$W,B54&amp;C54&amp;D54&amp;E54,'Drift - fremtidig uden projekt'!$T:$T,F54)</f>
        <v>0</v>
      </c>
      <c r="U54">
        <f>SUMIFS('Drift - fremtidig uden projekt'!$AI:$AI,'Drift - fremtidig uden projekt'!$W:$W,B54&amp;C54&amp;D54&amp;E54,'Drift - fremtidig uden projekt'!$S:$S,F54)</f>
        <v>0</v>
      </c>
      <c r="V54">
        <f>SUMIFS('Drift - fremtidig uden projekt'!$AJ:$AJ,'Drift - fremtidig uden projekt'!$W:$W,B54&amp;C54&amp;D54&amp;E54,'Drift - fremtidig uden projekt'!$T:$T,F54)</f>
        <v>0</v>
      </c>
      <c r="W54">
        <f>SUMIFS('Drift - fremtidig uden projekt'!$AK:$AK,'Drift - fremtidig uden projekt'!$W:$W,B54&amp;C54&amp;D54&amp;E54,'Drift - fremtidig uden projekt'!$S:$S,F54)</f>
        <v>0</v>
      </c>
      <c r="X54">
        <f>SUMIFS('Drift - fremtidig uden projekt'!$AL:$AL,'Drift - fremtidig uden projekt'!$W:$W,B54&amp;C54&amp;D54&amp;E54,'Drift - fremtidig uden projekt'!$T:$T,F54)</f>
        <v>0</v>
      </c>
    </row>
    <row r="55" spans="2:24" ht="14.25" customHeight="1" x14ac:dyDescent="0.25">
      <c r="B55" t="s">
        <v>1369</v>
      </c>
      <c r="C55" t="s">
        <v>1486</v>
      </c>
      <c r="D55" t="s">
        <v>684</v>
      </c>
      <c r="E55">
        <v>2013</v>
      </c>
      <c r="N55">
        <f>SUMIFS('Drift - fremtidig uden projekt'!$Y:$Y,'Drift - fremtidig uden projekt'!$W:$W,B55&amp;C55&amp;D55&amp;E55)</f>
        <v>0</v>
      </c>
      <c r="O55">
        <f>SUMIFS('Drift - fremtidig uden projekt'!$Z:$Z,'Drift - fremtidig uden projekt'!$W:$W,B55&amp;C55&amp;D55&amp;E55)</f>
        <v>0</v>
      </c>
      <c r="P55">
        <f>SUMIFS('Drift - fremtidig uden projekt'!$AA:$AA,'Drift - fremtidig uden projekt'!$W:$W,B55&amp;C55&amp;D55&amp;E55)</f>
        <v>0</v>
      </c>
      <c r="Q55">
        <f>SUMIFS('Drift - fremtidig uden projekt'!$AB:$AB,'Drift - fremtidig uden projekt'!$W:$W,B55&amp;C55&amp;D55&amp;E55)</f>
        <v>0</v>
      </c>
      <c r="R55">
        <f>SUMIFS('Drift - fremtidig uden projekt'!$AC:$AC,'Drift - fremtidig uden projekt'!$W:$W,B55&amp;C55&amp;D55&amp;E55)</f>
        <v>0</v>
      </c>
      <c r="S55">
        <f>SUMIFS('Drift - fremtidig uden projekt'!$AG:$AG,'Drift - fremtidig uden projekt'!$W:$W,B55&amp;C55&amp;D55&amp;E55,'Drift - fremtidig uden projekt'!$S:$S,"")</f>
        <v>0</v>
      </c>
      <c r="U55">
        <f>SUMIFS('Drift - fremtidig uden projekt'!$AI:$AI,'Drift - fremtidig uden projekt'!$W:$W,B55&amp;C55&amp;D55&amp;E55,'Drift - fremtidig uden projekt'!$S:$S,"")</f>
        <v>0</v>
      </c>
      <c r="W55">
        <f>SUMIFS('Drift - fremtidig uden projekt'!$AK:$AK,'Drift - fremtidig uden projekt'!$W:$W,B55&amp;C55&amp;D55&amp;E55,'Drift - fremtidig uden projekt'!$S:$S,"")</f>
        <v>0</v>
      </c>
    </row>
    <row r="56" spans="2:24" ht="14.25" customHeight="1" x14ac:dyDescent="0.25">
      <c r="B56" t="s">
        <v>1369</v>
      </c>
      <c r="C56" t="s">
        <v>1486</v>
      </c>
      <c r="D56" t="s">
        <v>684</v>
      </c>
      <c r="E56">
        <v>2014</v>
      </c>
      <c r="F56" t="s">
        <v>1361</v>
      </c>
      <c r="H56" t="s">
        <v>1194</v>
      </c>
      <c r="S56">
        <f>SUMIFS('Drift - fremtidig uden projekt'!$AG:$AG,'Drift - fremtidig uden projekt'!$W:$W,B56&amp;C56&amp;D56&amp;E56,'Drift - fremtidig uden projekt'!$S:$S,F56)</f>
        <v>0</v>
      </c>
      <c r="T56">
        <f>SUMIFS('Drift - fremtidig uden projekt'!$AH:$AH,'Drift - fremtidig uden projekt'!$W:$W,B56&amp;C56&amp;D56&amp;E56,'Drift - fremtidig uden projekt'!$T:$T,F56)</f>
        <v>0</v>
      </c>
      <c r="U56">
        <f>SUMIFS('Drift - fremtidig uden projekt'!$AI:$AI,'Drift - fremtidig uden projekt'!$W:$W,B56&amp;C56&amp;D56&amp;E56,'Drift - fremtidig uden projekt'!$S:$S,F56)</f>
        <v>0</v>
      </c>
      <c r="V56">
        <f>SUMIFS('Drift - fremtidig uden projekt'!$AJ:$AJ,'Drift - fremtidig uden projekt'!$W:$W,B56&amp;C56&amp;D56&amp;E56,'Drift - fremtidig uden projekt'!$T:$T,F56)</f>
        <v>0</v>
      </c>
      <c r="W56">
        <f>SUMIFS('Drift - fremtidig uden projekt'!$AK:$AK,'Drift - fremtidig uden projekt'!$W:$W,B56&amp;C56&amp;D56&amp;E56,'Drift - fremtidig uden projekt'!$S:$S,F56)</f>
        <v>0</v>
      </c>
      <c r="X56">
        <f>SUMIFS('Drift - fremtidig uden projekt'!$AL:$AL,'Drift - fremtidig uden projekt'!$W:$W,B56&amp;C56&amp;D56&amp;E56,'Drift - fremtidig uden projekt'!$T:$T,F56)</f>
        <v>0</v>
      </c>
    </row>
    <row r="57" spans="2:24" ht="14.25" customHeight="1" x14ac:dyDescent="0.25">
      <c r="B57" t="s">
        <v>1369</v>
      </c>
      <c r="C57" t="s">
        <v>1486</v>
      </c>
      <c r="D57" t="s">
        <v>684</v>
      </c>
      <c r="E57">
        <v>2014</v>
      </c>
      <c r="F57" t="s">
        <v>680</v>
      </c>
      <c r="H57" t="s">
        <v>1194</v>
      </c>
      <c r="S57">
        <f>SUMIFS('Drift - fremtidig uden projekt'!$AG:$AG,'Drift - fremtidig uden projekt'!$W:$W,B57&amp;C57&amp;D57&amp;E57,'Drift - fremtidig uden projekt'!$S:$S,F57)</f>
        <v>0</v>
      </c>
      <c r="T57">
        <f>SUMIFS('Drift - fremtidig uden projekt'!$AH:$AH,'Drift - fremtidig uden projekt'!$W:$W,B57&amp;C57&amp;D57&amp;E57,'Drift - fremtidig uden projekt'!$T:$T,F57)</f>
        <v>0</v>
      </c>
      <c r="U57">
        <f>SUMIFS('Drift - fremtidig uden projekt'!$AI:$AI,'Drift - fremtidig uden projekt'!$W:$W,B57&amp;C57&amp;D57&amp;E57,'Drift - fremtidig uden projekt'!$S:$S,F57)</f>
        <v>0</v>
      </c>
      <c r="V57">
        <f>SUMIFS('Drift - fremtidig uden projekt'!$AJ:$AJ,'Drift - fremtidig uden projekt'!$W:$W,B57&amp;C57&amp;D57&amp;E57,'Drift - fremtidig uden projekt'!$T:$T,F57)</f>
        <v>0</v>
      </c>
      <c r="W57">
        <f>SUMIFS('Drift - fremtidig uden projekt'!$AK:$AK,'Drift - fremtidig uden projekt'!$W:$W,B57&amp;C57&amp;D57&amp;E57,'Drift - fremtidig uden projekt'!$S:$S,F57)</f>
        <v>0</v>
      </c>
      <c r="X57">
        <f>SUMIFS('Drift - fremtidig uden projekt'!$AL:$AL,'Drift - fremtidig uden projekt'!$W:$W,B57&amp;C57&amp;D57&amp;E57,'Drift - fremtidig uden projekt'!$T:$T,F57)</f>
        <v>0</v>
      </c>
    </row>
    <row r="58" spans="2:24" ht="14.25" customHeight="1" x14ac:dyDescent="0.25">
      <c r="B58" t="s">
        <v>1369</v>
      </c>
      <c r="C58" t="s">
        <v>1486</v>
      </c>
      <c r="D58" t="s">
        <v>684</v>
      </c>
      <c r="E58">
        <v>2014</v>
      </c>
      <c r="N58">
        <f>SUMIFS('Drift - fremtidig uden projekt'!$Y:$Y,'Drift - fremtidig uden projekt'!$W:$W,B58&amp;C58&amp;D58&amp;E58)</f>
        <v>0</v>
      </c>
      <c r="O58">
        <f>SUMIFS('Drift - fremtidig uden projekt'!$Z:$Z,'Drift - fremtidig uden projekt'!$W:$W,B58&amp;C58&amp;D58&amp;E58)</f>
        <v>0</v>
      </c>
      <c r="P58">
        <f>SUMIFS('Drift - fremtidig uden projekt'!$AA:$AA,'Drift - fremtidig uden projekt'!$W:$W,B58&amp;C58&amp;D58&amp;E58)</f>
        <v>0</v>
      </c>
      <c r="Q58">
        <f>SUMIFS('Drift - fremtidig uden projekt'!$AB:$AB,'Drift - fremtidig uden projekt'!$W:$W,B58&amp;C58&amp;D58&amp;E58)</f>
        <v>0</v>
      </c>
      <c r="R58">
        <f>SUMIFS('Drift - fremtidig uden projekt'!$AC:$AC,'Drift - fremtidig uden projekt'!$W:$W,B58&amp;C58&amp;D58&amp;E58)</f>
        <v>0</v>
      </c>
      <c r="S58">
        <f>SUMIFS('Drift - fremtidig uden projekt'!$AG:$AG,'Drift - fremtidig uden projekt'!$W:$W,B58&amp;C58&amp;D58&amp;E58,'Drift - fremtidig uden projekt'!$S:$S,"")</f>
        <v>0</v>
      </c>
      <c r="U58">
        <f>SUMIFS('Drift - fremtidig uden projekt'!$AI:$AI,'Drift - fremtidig uden projekt'!$W:$W,B58&amp;C58&amp;D58&amp;E58,'Drift - fremtidig uden projekt'!$S:$S,"")</f>
        <v>0</v>
      </c>
      <c r="W58">
        <f>SUMIFS('Drift - fremtidig uden projekt'!$AK:$AK,'Drift - fremtidig uden projekt'!$W:$W,B58&amp;C58&amp;D58&amp;E58,'Drift - fremtidig uden projekt'!$S:$S,"")</f>
        <v>0</v>
      </c>
    </row>
  </sheetData>
  <sheetProtection algorithmName="SHA-512" hashValue="0lLfjJcTMuNhFQzKDB9w9mFOzm6INkprvtBHD/5dhgJIJtGKkchYuewCDx9tjtVPxXE5WQ/OJgVvlhEOvtP5Hw==" saltValue="wbblR2M3Glcze+yAwZ+f2Q==" spinCount="100000" sheet="1" objects="1" scenarios="1"/>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tabColor rgb="FF5379B7"/>
  </sheetPr>
  <dimension ref="B2:Y5"/>
  <sheetViews>
    <sheetView showGridLines="0" zoomScale="80" zoomScaleNormal="80" workbookViewId="0">
      <selection activeCell="B4" sqref="B4:Y4"/>
    </sheetView>
  </sheetViews>
  <sheetFormatPr defaultColWidth="10.140625" defaultRowHeight="14.25" customHeight="1" x14ac:dyDescent="0.25"/>
  <cols>
    <col min="1" max="1" width="9.140625" customWidth="1"/>
    <col min="2" max="2" width="17" customWidth="1"/>
    <col min="3" max="3" width="43.5703125" customWidth="1"/>
    <col min="4" max="4" width="16.42578125" customWidth="1"/>
    <col min="5" max="5" width="18.140625" customWidth="1"/>
    <col min="6" max="6" width="21.5703125" customWidth="1"/>
    <col min="7" max="7" width="18.7109375" customWidth="1"/>
    <col min="8" max="17" width="16.42578125" customWidth="1"/>
    <col min="18" max="18" width="16.28515625" customWidth="1"/>
    <col min="19" max="28" width="11.85546875" customWidth="1"/>
    <col min="29" max="200" width="9.140625" customWidth="1"/>
  </cols>
  <sheetData>
    <row r="2" spans="2:25" ht="48.95" customHeight="1" x14ac:dyDescent="0.25"/>
    <row r="4" spans="2:25" ht="39.950000000000003" customHeight="1" thickBot="1" x14ac:dyDescent="0.3">
      <c r="B4" s="22" t="s">
        <v>1312</v>
      </c>
      <c r="C4" s="19" t="s">
        <v>369</v>
      </c>
      <c r="D4" s="93"/>
      <c r="E4" s="93"/>
      <c r="F4" s="93"/>
      <c r="G4" s="93"/>
      <c r="H4" s="93"/>
      <c r="I4" s="93"/>
      <c r="J4" s="93"/>
      <c r="K4" s="93"/>
      <c r="L4" s="93"/>
      <c r="M4" s="93"/>
      <c r="N4" s="21" t="s">
        <v>300</v>
      </c>
      <c r="O4" s="21" t="s">
        <v>301</v>
      </c>
      <c r="P4" s="21" t="s">
        <v>302</v>
      </c>
      <c r="Q4" s="21" t="s">
        <v>1336</v>
      </c>
      <c r="R4" s="21" t="s">
        <v>1337</v>
      </c>
      <c r="S4" s="93"/>
      <c r="T4" s="93"/>
      <c r="U4" s="93"/>
      <c r="V4" s="93"/>
      <c r="W4" s="93"/>
      <c r="X4" s="93"/>
      <c r="Y4" s="93"/>
    </row>
    <row r="5" spans="2:25" ht="14.25" customHeight="1" x14ac:dyDescent="0.25">
      <c r="B5" t="s">
        <v>1367</v>
      </c>
      <c r="C5" t="s">
        <v>1451</v>
      </c>
      <c r="N5">
        <f>SUMIFS('Drift - fremtidig uden projekt'!$Y:$Y,'Drift - fremtidig uden projekt'!$W:$W,B5&amp;C5)</f>
        <v>0</v>
      </c>
      <c r="O5">
        <f>SUMIFS('Drift - fremtidig uden projekt'!$Z:$Z,'Drift - fremtidig uden projekt'!$W:$W,B5&amp;C5)</f>
        <v>0</v>
      </c>
      <c r="P5">
        <f>SUMIFS('Drift - fremtidig uden projekt'!$AA:$AA,'Drift - fremtidig uden projekt'!$W:$W,B5&amp;C5)</f>
        <v>0</v>
      </c>
      <c r="Q5">
        <f>SUMIFS('Drift - fremtidig uden projekt'!$AB:$AB,'Drift - fremtidig uden projekt'!$W:$W,B5&amp;C5)</f>
        <v>0</v>
      </c>
      <c r="R5">
        <f>SUMIFS('Drift - fremtidig uden projekt'!$AC:$AC,'Drift - fremtidig uden projekt'!$W:$W,B5&amp;C5)</f>
        <v>0</v>
      </c>
    </row>
  </sheetData>
  <sheetProtection algorithmName="SHA-512" hashValue="5YxHEV7p7OCGGSj2AbJy8OHpu3gRlAC58OlsATVvPBOXzyLX/UwStH6t0SElhU9FYeF5cP4hPOlv+aRM5hC6yQ==" saltValue="5jnmPZ1e9vZvouNTmx+fcA==" spinCount="100000" sheet="1" objects="1" scenarios="1"/>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6">
    <tabColor rgb="FF5379B7"/>
  </sheetPr>
  <dimension ref="B2:Y6"/>
  <sheetViews>
    <sheetView showGridLines="0" zoomScale="80" zoomScaleNormal="80" workbookViewId="0">
      <selection activeCell="B4" sqref="B4:Y4"/>
    </sheetView>
  </sheetViews>
  <sheetFormatPr defaultColWidth="10.140625" defaultRowHeight="14.25" customHeight="1" x14ac:dyDescent="0.25"/>
  <cols>
    <col min="1" max="1" width="9.140625" customWidth="1"/>
    <col min="2" max="2" width="17" customWidth="1"/>
    <col min="3" max="3" width="10" customWidth="1"/>
    <col min="4" max="8" width="8" customWidth="1"/>
    <col min="9" max="9" width="16.7109375" customWidth="1"/>
    <col min="10" max="11" width="15" customWidth="1"/>
    <col min="12" max="12" width="15.85546875" customWidth="1"/>
    <col min="13" max="13" width="16.28515625" customWidth="1"/>
    <col min="14" max="17" width="16.42578125" customWidth="1"/>
    <col min="18" max="18" width="16.28515625" customWidth="1"/>
    <col min="19" max="28" width="11.85546875" customWidth="1"/>
    <col min="29" max="200" width="9.140625" customWidth="1"/>
  </cols>
  <sheetData>
    <row r="2" spans="2:25" ht="48.95" customHeight="1" x14ac:dyDescent="0.25"/>
    <row r="4" spans="2:25" ht="39.950000000000003" customHeight="1" thickBot="1" x14ac:dyDescent="0.3">
      <c r="B4" s="22" t="s">
        <v>1312</v>
      </c>
      <c r="C4" s="19" t="s">
        <v>311</v>
      </c>
      <c r="D4" s="93"/>
      <c r="E4" s="93"/>
      <c r="F4" s="93"/>
      <c r="G4" s="93"/>
      <c r="H4" s="93"/>
      <c r="I4" s="93"/>
      <c r="J4" s="93"/>
      <c r="K4" s="93"/>
      <c r="L4" s="93"/>
      <c r="M4" s="93"/>
      <c r="N4" s="21" t="s">
        <v>300</v>
      </c>
      <c r="O4" s="21" t="s">
        <v>301</v>
      </c>
      <c r="P4" s="21" t="s">
        <v>302</v>
      </c>
      <c r="Q4" s="21" t="s">
        <v>1336</v>
      </c>
      <c r="R4" s="21" t="s">
        <v>1337</v>
      </c>
      <c r="S4" s="93"/>
      <c r="T4" s="93"/>
      <c r="U4" s="93"/>
      <c r="V4" s="93"/>
      <c r="W4" s="93"/>
      <c r="X4" s="93"/>
      <c r="Y4" s="93"/>
    </row>
    <row r="5" spans="2:25" ht="14.25" customHeight="1" x14ac:dyDescent="0.25">
      <c r="B5" t="s">
        <v>1368</v>
      </c>
      <c r="C5">
        <v>2013</v>
      </c>
      <c r="N5">
        <f>SUMIFS('Drift - fremtidig uden projekt'!$Y:$Y,'Drift - fremtidig uden projekt'!$W:$W,B5&amp;C5)</f>
        <v>0</v>
      </c>
      <c r="O5">
        <f>SUMIFS('Drift - fremtidig uden projekt'!$Z:$Z,'Drift - fremtidig uden projekt'!$W:$W,B5&amp;C5)</f>
        <v>0</v>
      </c>
      <c r="P5">
        <f>SUMIFS('Drift - fremtidig uden projekt'!$AA:$AA,'Drift - fremtidig uden projekt'!$W:$W,B5&amp;C5)</f>
        <v>0</v>
      </c>
      <c r="Q5">
        <f>SUMIFS('Drift - fremtidig uden projekt'!$AB:$AB,'Drift - fremtidig uden projekt'!$W:$W,B5&amp;C5)</f>
        <v>0</v>
      </c>
      <c r="R5">
        <f>SUMIFS('Drift - fremtidig uden projekt'!$AC:$AC,'Drift - fremtidig uden projekt'!$W:$W,B5&amp;C5)</f>
        <v>0</v>
      </c>
    </row>
    <row r="6" spans="2:25" ht="14.25" customHeight="1" x14ac:dyDescent="0.25">
      <c r="B6" t="s">
        <v>1368</v>
      </c>
      <c r="C6">
        <v>2014</v>
      </c>
      <c r="N6">
        <f>SUMIFS('Drift - fremtidig uden projekt'!$Y:$Y,'Drift - fremtidig uden projekt'!$W:$W,B6&amp;C6)</f>
        <v>0</v>
      </c>
      <c r="O6">
        <f>SUMIFS('Drift - fremtidig uden projekt'!$Z:$Z,'Drift - fremtidig uden projekt'!$W:$W,B6&amp;C6)</f>
        <v>0</v>
      </c>
      <c r="P6">
        <f>SUMIFS('Drift - fremtidig uden projekt'!$AA:$AA,'Drift - fremtidig uden projekt'!$W:$W,B6&amp;C6)</f>
        <v>0</v>
      </c>
      <c r="Q6">
        <f>SUMIFS('Drift - fremtidig uden projekt'!$AB:$AB,'Drift - fremtidig uden projekt'!$W:$W,B6&amp;C6)</f>
        <v>0</v>
      </c>
      <c r="R6">
        <f>SUMIFS('Drift - fremtidig uden projekt'!$AC:$AC,'Drift - fremtidig uden projekt'!$W:$W,B6&amp;C6)</f>
        <v>0</v>
      </c>
    </row>
  </sheetData>
  <sheetProtection algorithmName="SHA-512" hashValue="U/3Sb8170Cn6uWaT62ZHM9gmjqIxnVsYFI7M4r6XIz6CSZIyZD+NTVLpqzfM1Zzq7ssKyw04eVNvPv+A1u51fA==" saltValue="+U7Mhj9A2zktTd9sjDKqTg==" spinCount="100000" sheet="1" objects="1" scenarios="1"/>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tabColor rgb="FF5379B7"/>
  </sheetPr>
  <dimension ref="B2:Y58"/>
  <sheetViews>
    <sheetView showGridLines="0" zoomScale="80" zoomScaleNormal="80" workbookViewId="0">
      <selection activeCell="B4" sqref="B4:Y4"/>
    </sheetView>
  </sheetViews>
  <sheetFormatPr defaultColWidth="10.140625" defaultRowHeight="14.25" customHeight="1" x14ac:dyDescent="0.25"/>
  <cols>
    <col min="1" max="1" width="9.140625" customWidth="1"/>
    <col min="2" max="2" width="17" customWidth="1"/>
    <col min="3" max="3" width="43.5703125" customWidth="1"/>
    <col min="4" max="4" width="16.42578125" customWidth="1"/>
    <col min="5" max="5" width="9.28515625" customWidth="1"/>
    <col min="6" max="6" width="21.5703125" customWidth="1"/>
    <col min="7" max="7" width="18.7109375" customWidth="1"/>
    <col min="8" max="8" width="37.7109375" customWidth="1"/>
    <col min="9" max="17" width="16.42578125" customWidth="1"/>
    <col min="18" max="18" width="16.28515625" customWidth="1"/>
    <col min="19" max="28" width="11.85546875" customWidth="1"/>
    <col min="29" max="200" width="9.140625" customWidth="1"/>
  </cols>
  <sheetData>
    <row r="2" spans="2:25" ht="48.95" customHeight="1" x14ac:dyDescent="0.25"/>
    <row r="4" spans="2:25" ht="39.950000000000003" customHeight="1" thickBot="1" x14ac:dyDescent="0.3">
      <c r="B4" s="22" t="s">
        <v>1312</v>
      </c>
      <c r="C4" s="19" t="s">
        <v>624</v>
      </c>
      <c r="D4" s="19" t="s">
        <v>367</v>
      </c>
      <c r="E4" s="19" t="s">
        <v>311</v>
      </c>
      <c r="F4" s="19" t="s">
        <v>1335</v>
      </c>
      <c r="G4" s="19" t="s">
        <v>1339</v>
      </c>
      <c r="H4" s="19" t="s">
        <v>1431</v>
      </c>
      <c r="I4" s="93"/>
      <c r="J4" s="93"/>
      <c r="K4" s="93"/>
      <c r="L4" s="93"/>
      <c r="M4" s="93"/>
      <c r="N4" s="21" t="s">
        <v>300</v>
      </c>
      <c r="O4" s="21" t="s">
        <v>301</v>
      </c>
      <c r="P4" s="21" t="s">
        <v>302</v>
      </c>
      <c r="Q4" s="21" t="s">
        <v>1336</v>
      </c>
      <c r="R4" s="21" t="s">
        <v>1337</v>
      </c>
      <c r="S4" s="21" t="s">
        <v>313</v>
      </c>
      <c r="T4" s="21" t="s">
        <v>314</v>
      </c>
      <c r="U4" s="21" t="s">
        <v>315</v>
      </c>
      <c r="V4" s="21" t="s">
        <v>316</v>
      </c>
      <c r="W4" s="20" t="s">
        <v>1340</v>
      </c>
      <c r="X4" s="20" t="s">
        <v>1440</v>
      </c>
      <c r="Y4" s="93"/>
    </row>
    <row r="5" spans="2:25" ht="14.25" customHeight="1" x14ac:dyDescent="0.25">
      <c r="B5" t="s">
        <v>1369</v>
      </c>
      <c r="C5" t="s">
        <v>1179</v>
      </c>
      <c r="D5" t="s">
        <v>684</v>
      </c>
      <c r="E5">
        <v>2013</v>
      </c>
      <c r="F5" t="s">
        <v>1361</v>
      </c>
      <c r="H5" t="s">
        <v>1194</v>
      </c>
      <c r="S5">
        <f>SUMIFS('Drift - med projekt'!$AG:$AG,'Drift - med projekt'!$W:$W,B5&amp;C5&amp;D5&amp;E5,'Drift - med projekt'!$S:$S,F5)</f>
        <v>0</v>
      </c>
      <c r="T5">
        <f>SUMIFS('Drift - med projekt'!$AH:$AH,'Drift - med projekt'!$W:$W,B5&amp;C5&amp;D5&amp;E5,'Drift - med projekt'!$T:$T,F5)</f>
        <v>0</v>
      </c>
      <c r="U5">
        <f>SUMIFS('Drift - med projekt'!$AI:$AI,'Drift - med projekt'!$W:$W,B5&amp;C5&amp;D5&amp;E5,'Drift - med projekt'!$S:$S,F5)</f>
        <v>0</v>
      </c>
      <c r="V5">
        <f>SUMIFS('Drift - med projekt'!$AJ:$AJ,'Drift - med projekt'!$W:$W,B5&amp;C5&amp;D5&amp;E5,'Drift - med projekt'!$T:$T,F5)</f>
        <v>0</v>
      </c>
      <c r="W5">
        <f>SUMIFS('Drift - med projekt'!$AK:$AK,'Drift - med projekt'!$W:$W,B5&amp;C5&amp;D5&amp;E5,'Drift - med projekt'!$S:$S,F5)</f>
        <v>0</v>
      </c>
      <c r="X5">
        <f>SUMIFS('Drift - med projekt'!$AL:$AL,'Drift - med projekt'!$W:$W,B5&amp;C5&amp;D5&amp;E5,'Drift - med projekt'!$T:$T,F5)</f>
        <v>0</v>
      </c>
    </row>
    <row r="6" spans="2:25" ht="14.25" customHeight="1" x14ac:dyDescent="0.25">
      <c r="B6" t="s">
        <v>1369</v>
      </c>
      <c r="C6" t="s">
        <v>1179</v>
      </c>
      <c r="D6" t="s">
        <v>684</v>
      </c>
      <c r="E6">
        <v>2013</v>
      </c>
      <c r="F6" t="s">
        <v>680</v>
      </c>
      <c r="H6" t="s">
        <v>1194</v>
      </c>
      <c r="S6">
        <f>SUMIFS('Drift - med projekt'!$AG:$AG,'Drift - med projekt'!$W:$W,B6&amp;C6&amp;D6&amp;E6,'Drift - med projekt'!$S:$S,F6)</f>
        <v>0</v>
      </c>
      <c r="T6">
        <f>SUMIFS('Drift - med projekt'!$AH:$AH,'Drift - med projekt'!$W:$W,B6&amp;C6&amp;D6&amp;E6,'Drift - med projekt'!$T:$T,F6)</f>
        <v>0</v>
      </c>
      <c r="U6">
        <f>SUMIFS('Drift - med projekt'!$AI:$AI,'Drift - med projekt'!$W:$W,B6&amp;C6&amp;D6&amp;E6,'Drift - med projekt'!$S:$S,F6)</f>
        <v>0</v>
      </c>
      <c r="V6">
        <f>SUMIFS('Drift - med projekt'!$AJ:$AJ,'Drift - med projekt'!$W:$W,B6&amp;C6&amp;D6&amp;E6,'Drift - med projekt'!$T:$T,F6)</f>
        <v>0</v>
      </c>
      <c r="W6">
        <f>SUMIFS('Drift - med projekt'!$AK:$AK,'Drift - med projekt'!$W:$W,B6&amp;C6&amp;D6&amp;E6,'Drift - med projekt'!$S:$S,F6)</f>
        <v>0</v>
      </c>
      <c r="X6">
        <f>SUMIFS('Drift - med projekt'!$AL:$AL,'Drift - med projekt'!$W:$W,B6&amp;C6&amp;D6&amp;E6,'Drift - med projekt'!$T:$T,F6)</f>
        <v>0</v>
      </c>
    </row>
    <row r="7" spans="2:25" ht="14.25" customHeight="1" x14ac:dyDescent="0.25">
      <c r="B7" t="s">
        <v>1369</v>
      </c>
      <c r="C7" t="s">
        <v>1179</v>
      </c>
      <c r="D7" t="s">
        <v>684</v>
      </c>
      <c r="E7">
        <v>2013</v>
      </c>
      <c r="N7">
        <f>SUMIFS('Drift - med projekt'!$Y:$Y,'Drift - med projekt'!$W:$W,B7&amp;C7&amp;D7&amp;E7)</f>
        <v>0</v>
      </c>
      <c r="O7">
        <f>SUMIFS('Drift - med projekt'!$Z:$Z,'Drift - med projekt'!$W:$W,B7&amp;C7&amp;D7&amp;E7)</f>
        <v>0</v>
      </c>
      <c r="P7">
        <f>SUMIFS('Drift - med projekt'!$AA:$AA,'Drift - med projekt'!$W:$W,B7&amp;C7&amp;D7&amp;E7)</f>
        <v>0</v>
      </c>
      <c r="Q7">
        <f>SUMIFS('Drift - med projekt'!$AB:$AB,'Drift - med projekt'!$W:$W,B7&amp;C7&amp;D7&amp;E7)</f>
        <v>0</v>
      </c>
      <c r="R7">
        <f>SUMIFS('Drift - med projekt'!$AC:$AC,'Drift - med projekt'!$W:$W,B7&amp;C7&amp;D7&amp;E7)</f>
        <v>0</v>
      </c>
      <c r="S7">
        <f>SUMIFS('Drift - med projekt'!$AG:$AG,'Drift - med projekt'!$W:$W,B7&amp;C7&amp;D7&amp;E7,'Drift - med projekt'!$S:$S,"")</f>
        <v>0</v>
      </c>
      <c r="U7">
        <f>SUMIFS('Drift - med projekt'!$AI:$AI,'Drift - med projekt'!$W:$W,B7&amp;C7&amp;D7&amp;E7,'Drift - med projekt'!$S:$S,"")</f>
        <v>0</v>
      </c>
      <c r="W7">
        <f>SUMIFS('Drift - med projekt'!$AK:$AK,'Drift - med projekt'!$W:$W,B7&amp;C7&amp;D7&amp;E7,'Drift - med projekt'!$S:$S,"")</f>
        <v>0</v>
      </c>
    </row>
    <row r="8" spans="2:25" ht="14.25" customHeight="1" x14ac:dyDescent="0.25">
      <c r="B8" t="s">
        <v>1369</v>
      </c>
      <c r="C8" t="s">
        <v>1179</v>
      </c>
      <c r="D8" t="s">
        <v>684</v>
      </c>
      <c r="E8">
        <v>2014</v>
      </c>
      <c r="F8" t="s">
        <v>1361</v>
      </c>
      <c r="H8" t="s">
        <v>1194</v>
      </c>
      <c r="S8">
        <f>SUMIFS('Drift - med projekt'!$AG:$AG,'Drift - med projekt'!$W:$W,B8&amp;C8&amp;D8&amp;E8,'Drift - med projekt'!$S:$S,F8)</f>
        <v>0</v>
      </c>
      <c r="T8">
        <f>SUMIFS('Drift - med projekt'!$AH:$AH,'Drift - med projekt'!$W:$W,B8&amp;C8&amp;D8&amp;E8,'Drift - med projekt'!$T:$T,F8)</f>
        <v>0</v>
      </c>
      <c r="U8">
        <f>SUMIFS('Drift - med projekt'!$AI:$AI,'Drift - med projekt'!$W:$W,B8&amp;C8&amp;D8&amp;E8,'Drift - med projekt'!$S:$S,F8)</f>
        <v>0</v>
      </c>
      <c r="V8">
        <f>SUMIFS('Drift - med projekt'!$AJ:$AJ,'Drift - med projekt'!$W:$W,B8&amp;C8&amp;D8&amp;E8,'Drift - med projekt'!$T:$T,F8)</f>
        <v>0</v>
      </c>
      <c r="W8">
        <f>SUMIFS('Drift - med projekt'!$AK:$AK,'Drift - med projekt'!$W:$W,B8&amp;C8&amp;D8&amp;E8,'Drift - med projekt'!$S:$S,F8)</f>
        <v>0</v>
      </c>
      <c r="X8">
        <f>SUMIFS('Drift - med projekt'!$AL:$AL,'Drift - med projekt'!$W:$W,B8&amp;C8&amp;D8&amp;E8,'Drift - med projekt'!$T:$T,F8)</f>
        <v>0</v>
      </c>
    </row>
    <row r="9" spans="2:25" ht="14.25" customHeight="1" x14ac:dyDescent="0.25">
      <c r="B9" t="s">
        <v>1369</v>
      </c>
      <c r="C9" t="s">
        <v>1179</v>
      </c>
      <c r="D9" t="s">
        <v>684</v>
      </c>
      <c r="E9">
        <v>2014</v>
      </c>
      <c r="F9" t="s">
        <v>680</v>
      </c>
      <c r="H9" t="s">
        <v>1194</v>
      </c>
      <c r="S9">
        <f>SUMIFS('Drift - med projekt'!$AG:$AG,'Drift - med projekt'!$W:$W,B9&amp;C9&amp;D9&amp;E9,'Drift - med projekt'!$S:$S,F9)</f>
        <v>0</v>
      </c>
      <c r="T9">
        <f>SUMIFS('Drift - med projekt'!$AH:$AH,'Drift - med projekt'!$W:$W,B9&amp;C9&amp;D9&amp;E9,'Drift - med projekt'!$T:$T,F9)</f>
        <v>0</v>
      </c>
      <c r="U9">
        <f>SUMIFS('Drift - med projekt'!$AI:$AI,'Drift - med projekt'!$W:$W,B9&amp;C9&amp;D9&amp;E9,'Drift - med projekt'!$S:$S,F9)</f>
        <v>0</v>
      </c>
      <c r="V9">
        <f>SUMIFS('Drift - med projekt'!$AJ:$AJ,'Drift - med projekt'!$W:$W,B9&amp;C9&amp;D9&amp;E9,'Drift - med projekt'!$T:$T,F9)</f>
        <v>0</v>
      </c>
      <c r="W9">
        <f>SUMIFS('Drift - med projekt'!$AK:$AK,'Drift - med projekt'!$W:$W,B9&amp;C9&amp;D9&amp;E9,'Drift - med projekt'!$S:$S,F9)</f>
        <v>0</v>
      </c>
      <c r="X9">
        <f>SUMIFS('Drift - med projekt'!$AL:$AL,'Drift - med projekt'!$W:$W,B9&amp;C9&amp;D9&amp;E9,'Drift - med projekt'!$T:$T,F9)</f>
        <v>0</v>
      </c>
    </row>
    <row r="10" spans="2:25" ht="14.25" customHeight="1" x14ac:dyDescent="0.25">
      <c r="B10" t="s">
        <v>1369</v>
      </c>
      <c r="C10" t="s">
        <v>1179</v>
      </c>
      <c r="D10" t="s">
        <v>684</v>
      </c>
      <c r="E10">
        <v>2014</v>
      </c>
      <c r="N10">
        <f>SUMIFS('Drift - med projekt'!$Y:$Y,'Drift - med projekt'!$W:$W,B10&amp;C10&amp;D10&amp;E10)</f>
        <v>0</v>
      </c>
      <c r="O10">
        <f>SUMIFS('Drift - med projekt'!$Z:$Z,'Drift - med projekt'!$W:$W,B10&amp;C10&amp;D10&amp;E10)</f>
        <v>0</v>
      </c>
      <c r="P10">
        <f>SUMIFS('Drift - med projekt'!$AA:$AA,'Drift - med projekt'!$W:$W,B10&amp;C10&amp;D10&amp;E10)</f>
        <v>0</v>
      </c>
      <c r="Q10">
        <f>SUMIFS('Drift - med projekt'!$AB:$AB,'Drift - med projekt'!$W:$W,B10&amp;C10&amp;D10&amp;E10)</f>
        <v>0</v>
      </c>
      <c r="R10">
        <f>SUMIFS('Drift - med projekt'!$AC:$AC,'Drift - med projekt'!$W:$W,B10&amp;C10&amp;D10&amp;E10)</f>
        <v>0</v>
      </c>
      <c r="S10">
        <f>SUMIFS('Drift - med projekt'!$AG:$AG,'Drift - med projekt'!$W:$W,B10&amp;C10&amp;D10&amp;E10,'Drift - med projekt'!$S:$S,"")</f>
        <v>0</v>
      </c>
      <c r="U10">
        <f>SUMIFS('Drift - med projekt'!$AI:$AI,'Drift - med projekt'!$W:$W,B10&amp;C10&amp;D10&amp;E10,'Drift - med projekt'!$S:$S,"")</f>
        <v>0</v>
      </c>
      <c r="W10">
        <f>SUMIFS('Drift - med projekt'!$AK:$AK,'Drift - med projekt'!$W:$W,B10&amp;C10&amp;D10&amp;E10,'Drift - med projekt'!$S:$S,"")</f>
        <v>0</v>
      </c>
    </row>
    <row r="11" spans="2:25" ht="14.25" customHeight="1" x14ac:dyDescent="0.25">
      <c r="B11" t="s">
        <v>1369</v>
      </c>
      <c r="C11" t="s">
        <v>1180</v>
      </c>
      <c r="D11" t="s">
        <v>684</v>
      </c>
      <c r="E11">
        <v>2013</v>
      </c>
      <c r="F11" t="s">
        <v>1361</v>
      </c>
      <c r="H11" t="s">
        <v>1194</v>
      </c>
      <c r="S11">
        <f>SUMIFS('Drift - med projekt'!$AG:$AG,'Drift - med projekt'!$W:$W,B11&amp;C11&amp;D11&amp;E11,'Drift - med projekt'!$S:$S,F11)</f>
        <v>0</v>
      </c>
      <c r="T11">
        <f>SUMIFS('Drift - med projekt'!$AH:$AH,'Drift - med projekt'!$W:$W,B11&amp;C11&amp;D11&amp;E11,'Drift - med projekt'!$T:$T,F11)</f>
        <v>0</v>
      </c>
      <c r="U11">
        <f>SUMIFS('Drift - med projekt'!$AI:$AI,'Drift - med projekt'!$W:$W,B11&amp;C11&amp;D11&amp;E11,'Drift - med projekt'!$S:$S,F11)</f>
        <v>0</v>
      </c>
      <c r="V11">
        <f>SUMIFS('Drift - med projekt'!$AJ:$AJ,'Drift - med projekt'!$W:$W,B11&amp;C11&amp;D11&amp;E11,'Drift - med projekt'!$T:$T,F11)</f>
        <v>0</v>
      </c>
      <c r="W11">
        <f>SUMIFS('Drift - med projekt'!$AK:$AK,'Drift - med projekt'!$W:$W,B11&amp;C11&amp;D11&amp;E11,'Drift - med projekt'!$S:$S,F11)</f>
        <v>0</v>
      </c>
      <c r="X11">
        <f>SUMIFS('Drift - med projekt'!$AL:$AL,'Drift - med projekt'!$W:$W,B11&amp;C11&amp;D11&amp;E11,'Drift - med projekt'!$T:$T,F11)</f>
        <v>0</v>
      </c>
    </row>
    <row r="12" spans="2:25" ht="14.25" customHeight="1" x14ac:dyDescent="0.25">
      <c r="B12" t="s">
        <v>1369</v>
      </c>
      <c r="C12" t="s">
        <v>1180</v>
      </c>
      <c r="D12" t="s">
        <v>684</v>
      </c>
      <c r="E12">
        <v>2013</v>
      </c>
      <c r="F12" t="s">
        <v>680</v>
      </c>
      <c r="H12" t="s">
        <v>1194</v>
      </c>
      <c r="S12">
        <f>SUMIFS('Drift - med projekt'!$AG:$AG,'Drift - med projekt'!$W:$W,B12&amp;C12&amp;D12&amp;E12,'Drift - med projekt'!$S:$S,F12)</f>
        <v>0</v>
      </c>
      <c r="T12">
        <f>SUMIFS('Drift - med projekt'!$AH:$AH,'Drift - med projekt'!$W:$W,B12&amp;C12&amp;D12&amp;E12,'Drift - med projekt'!$T:$T,F12)</f>
        <v>0</v>
      </c>
      <c r="U12">
        <f>SUMIFS('Drift - med projekt'!$AI:$AI,'Drift - med projekt'!$W:$W,B12&amp;C12&amp;D12&amp;E12,'Drift - med projekt'!$S:$S,F12)</f>
        <v>0</v>
      </c>
      <c r="V12">
        <f>SUMIFS('Drift - med projekt'!$AJ:$AJ,'Drift - med projekt'!$W:$W,B12&amp;C12&amp;D12&amp;E12,'Drift - med projekt'!$T:$T,F12)</f>
        <v>0</v>
      </c>
      <c r="W12">
        <f>SUMIFS('Drift - med projekt'!$AK:$AK,'Drift - med projekt'!$W:$W,B12&amp;C12&amp;D12&amp;E12,'Drift - med projekt'!$S:$S,F12)</f>
        <v>0</v>
      </c>
      <c r="X12">
        <f>SUMIFS('Drift - med projekt'!$AL:$AL,'Drift - med projekt'!$W:$W,B12&amp;C12&amp;D12&amp;E12,'Drift - med projekt'!$T:$T,F12)</f>
        <v>0</v>
      </c>
    </row>
    <row r="13" spans="2:25" ht="14.25" customHeight="1" x14ac:dyDescent="0.25">
      <c r="B13" t="s">
        <v>1369</v>
      </c>
      <c r="C13" t="s">
        <v>1180</v>
      </c>
      <c r="D13" t="s">
        <v>684</v>
      </c>
      <c r="E13">
        <v>2013</v>
      </c>
      <c r="N13">
        <f>SUMIFS('Drift - med projekt'!$Y:$Y,'Drift - med projekt'!$W:$W,B13&amp;C13&amp;D13&amp;E13)</f>
        <v>0</v>
      </c>
      <c r="O13">
        <f>SUMIFS('Drift - med projekt'!$Z:$Z,'Drift - med projekt'!$W:$W,B13&amp;C13&amp;D13&amp;E13)</f>
        <v>0</v>
      </c>
      <c r="P13">
        <f>SUMIFS('Drift - med projekt'!$AA:$AA,'Drift - med projekt'!$W:$W,B13&amp;C13&amp;D13&amp;E13)</f>
        <v>0</v>
      </c>
      <c r="Q13">
        <f>SUMIFS('Drift - med projekt'!$AB:$AB,'Drift - med projekt'!$W:$W,B13&amp;C13&amp;D13&amp;E13)</f>
        <v>0</v>
      </c>
      <c r="R13">
        <f>SUMIFS('Drift - med projekt'!$AC:$AC,'Drift - med projekt'!$W:$W,B13&amp;C13&amp;D13&amp;E13)</f>
        <v>0</v>
      </c>
      <c r="S13">
        <f>SUMIFS('Drift - med projekt'!$AG:$AG,'Drift - med projekt'!$W:$W,B13&amp;C13&amp;D13&amp;E13,'Drift - med projekt'!$S:$S,"")</f>
        <v>0</v>
      </c>
      <c r="U13">
        <f>SUMIFS('Drift - med projekt'!$AI:$AI,'Drift - med projekt'!$W:$W,B13&amp;C13&amp;D13&amp;E13,'Drift - med projekt'!$S:$S,"")</f>
        <v>0</v>
      </c>
      <c r="W13">
        <f>SUMIFS('Drift - med projekt'!$AK:$AK,'Drift - med projekt'!$W:$W,B13&amp;C13&amp;D13&amp;E13,'Drift - med projekt'!$S:$S,"")</f>
        <v>0</v>
      </c>
    </row>
    <row r="14" spans="2:25" ht="14.25" customHeight="1" x14ac:dyDescent="0.25">
      <c r="B14" t="s">
        <v>1369</v>
      </c>
      <c r="C14" t="s">
        <v>1180</v>
      </c>
      <c r="D14" t="s">
        <v>684</v>
      </c>
      <c r="E14">
        <v>2014</v>
      </c>
      <c r="F14" t="s">
        <v>1361</v>
      </c>
      <c r="H14" t="s">
        <v>1194</v>
      </c>
      <c r="S14">
        <f>SUMIFS('Drift - med projekt'!$AG:$AG,'Drift - med projekt'!$W:$W,B14&amp;C14&amp;D14&amp;E14,'Drift - med projekt'!$S:$S,F14)</f>
        <v>0</v>
      </c>
      <c r="T14">
        <f>SUMIFS('Drift - med projekt'!$AH:$AH,'Drift - med projekt'!$W:$W,B14&amp;C14&amp;D14&amp;E14,'Drift - med projekt'!$T:$T,F14)</f>
        <v>0</v>
      </c>
      <c r="U14">
        <f>SUMIFS('Drift - med projekt'!$AI:$AI,'Drift - med projekt'!$W:$W,B14&amp;C14&amp;D14&amp;E14,'Drift - med projekt'!$S:$S,F14)</f>
        <v>0</v>
      </c>
      <c r="V14">
        <f>SUMIFS('Drift - med projekt'!$AJ:$AJ,'Drift - med projekt'!$W:$W,B14&amp;C14&amp;D14&amp;E14,'Drift - med projekt'!$T:$T,F14)</f>
        <v>0</v>
      </c>
      <c r="W14">
        <f>SUMIFS('Drift - med projekt'!$AK:$AK,'Drift - med projekt'!$W:$W,B14&amp;C14&amp;D14&amp;E14,'Drift - med projekt'!$S:$S,F14)</f>
        <v>0</v>
      </c>
      <c r="X14">
        <f>SUMIFS('Drift - med projekt'!$AL:$AL,'Drift - med projekt'!$W:$W,B14&amp;C14&amp;D14&amp;E14,'Drift - med projekt'!$T:$T,F14)</f>
        <v>0</v>
      </c>
    </row>
    <row r="15" spans="2:25" ht="14.25" customHeight="1" x14ac:dyDescent="0.25">
      <c r="B15" t="s">
        <v>1369</v>
      </c>
      <c r="C15" t="s">
        <v>1180</v>
      </c>
      <c r="D15" t="s">
        <v>684</v>
      </c>
      <c r="E15">
        <v>2014</v>
      </c>
      <c r="F15" t="s">
        <v>680</v>
      </c>
      <c r="H15" t="s">
        <v>1194</v>
      </c>
      <c r="S15">
        <f>SUMIFS('Drift - med projekt'!$AG:$AG,'Drift - med projekt'!$W:$W,B15&amp;C15&amp;D15&amp;E15,'Drift - med projekt'!$S:$S,F15)</f>
        <v>0</v>
      </c>
      <c r="T15">
        <f>SUMIFS('Drift - med projekt'!$AH:$AH,'Drift - med projekt'!$W:$W,B15&amp;C15&amp;D15&amp;E15,'Drift - med projekt'!$T:$T,F15)</f>
        <v>0</v>
      </c>
      <c r="U15">
        <f>SUMIFS('Drift - med projekt'!$AI:$AI,'Drift - med projekt'!$W:$W,B15&amp;C15&amp;D15&amp;E15,'Drift - med projekt'!$S:$S,F15)</f>
        <v>0</v>
      </c>
      <c r="V15">
        <f>SUMIFS('Drift - med projekt'!$AJ:$AJ,'Drift - med projekt'!$W:$W,B15&amp;C15&amp;D15&amp;E15,'Drift - med projekt'!$T:$T,F15)</f>
        <v>0</v>
      </c>
      <c r="W15">
        <f>SUMIFS('Drift - med projekt'!$AK:$AK,'Drift - med projekt'!$W:$W,B15&amp;C15&amp;D15&amp;E15,'Drift - med projekt'!$S:$S,F15)</f>
        <v>0</v>
      </c>
      <c r="X15">
        <f>SUMIFS('Drift - med projekt'!$AL:$AL,'Drift - med projekt'!$W:$W,B15&amp;C15&amp;D15&amp;E15,'Drift - med projekt'!$T:$T,F15)</f>
        <v>0</v>
      </c>
    </row>
    <row r="16" spans="2:25" ht="14.25" customHeight="1" x14ac:dyDescent="0.25">
      <c r="B16" t="s">
        <v>1369</v>
      </c>
      <c r="C16" t="s">
        <v>1180</v>
      </c>
      <c r="D16" t="s">
        <v>684</v>
      </c>
      <c r="E16">
        <v>2014</v>
      </c>
      <c r="N16">
        <f>SUMIFS('Drift - med projekt'!$Y:$Y,'Drift - med projekt'!$W:$W,B16&amp;C16&amp;D16&amp;E16)</f>
        <v>0</v>
      </c>
      <c r="O16">
        <f>SUMIFS('Drift - med projekt'!$Z:$Z,'Drift - med projekt'!$W:$W,B16&amp;C16&amp;D16&amp;E16)</f>
        <v>0</v>
      </c>
      <c r="P16">
        <f>SUMIFS('Drift - med projekt'!$AA:$AA,'Drift - med projekt'!$W:$W,B16&amp;C16&amp;D16&amp;E16)</f>
        <v>0</v>
      </c>
      <c r="Q16">
        <f>SUMIFS('Drift - med projekt'!$AB:$AB,'Drift - med projekt'!$W:$W,B16&amp;C16&amp;D16&amp;E16)</f>
        <v>0</v>
      </c>
      <c r="R16">
        <f>SUMIFS('Drift - med projekt'!$AC:$AC,'Drift - med projekt'!$W:$W,B16&amp;C16&amp;D16&amp;E16)</f>
        <v>0</v>
      </c>
      <c r="S16">
        <f>SUMIFS('Drift - med projekt'!$AG:$AG,'Drift - med projekt'!$W:$W,B16&amp;C16&amp;D16&amp;E16,'Drift - med projekt'!$S:$S,"")</f>
        <v>0</v>
      </c>
      <c r="U16">
        <f>SUMIFS('Drift - med projekt'!$AI:$AI,'Drift - med projekt'!$W:$W,B16&amp;C16&amp;D16&amp;E16,'Drift - med projekt'!$S:$S,"")</f>
        <v>0</v>
      </c>
      <c r="W16">
        <f>SUMIFS('Drift - med projekt'!$AK:$AK,'Drift - med projekt'!$W:$W,B16&amp;C16&amp;D16&amp;E16,'Drift - med projekt'!$S:$S,"")</f>
        <v>0</v>
      </c>
    </row>
    <row r="17" spans="2:24" ht="14.25" customHeight="1" x14ac:dyDescent="0.25">
      <c r="B17" t="s">
        <v>1369</v>
      </c>
      <c r="C17" t="s">
        <v>1181</v>
      </c>
      <c r="D17" t="s">
        <v>684</v>
      </c>
      <c r="E17">
        <v>2013</v>
      </c>
      <c r="F17" t="s">
        <v>1361</v>
      </c>
      <c r="H17" t="s">
        <v>1194</v>
      </c>
      <c r="S17">
        <f>SUMIFS('Drift - med projekt'!$AG:$AG,'Drift - med projekt'!$W:$W,B17&amp;C17&amp;D17&amp;E17,'Drift - med projekt'!$S:$S,F17)</f>
        <v>0</v>
      </c>
      <c r="T17">
        <f>SUMIFS('Drift - med projekt'!$AH:$AH,'Drift - med projekt'!$W:$W,B17&amp;C17&amp;D17&amp;E17,'Drift - med projekt'!$T:$T,F17)</f>
        <v>0</v>
      </c>
      <c r="U17">
        <f>SUMIFS('Drift - med projekt'!$AI:$AI,'Drift - med projekt'!$W:$W,B17&amp;C17&amp;D17&amp;E17,'Drift - med projekt'!$S:$S,F17)</f>
        <v>0</v>
      </c>
      <c r="V17">
        <f>SUMIFS('Drift - med projekt'!$AJ:$AJ,'Drift - med projekt'!$W:$W,B17&amp;C17&amp;D17&amp;E17,'Drift - med projekt'!$T:$T,F17)</f>
        <v>0</v>
      </c>
      <c r="W17">
        <f>SUMIFS('Drift - med projekt'!$AK:$AK,'Drift - med projekt'!$W:$W,B17&amp;C17&amp;D17&amp;E17,'Drift - med projekt'!$S:$S,F17)</f>
        <v>0</v>
      </c>
      <c r="X17">
        <f>SUMIFS('Drift - med projekt'!$AL:$AL,'Drift - med projekt'!$W:$W,B17&amp;C17&amp;D17&amp;E17,'Drift - med projekt'!$T:$T,F17)</f>
        <v>0</v>
      </c>
    </row>
    <row r="18" spans="2:24" ht="14.25" customHeight="1" x14ac:dyDescent="0.25">
      <c r="B18" t="s">
        <v>1369</v>
      </c>
      <c r="C18" t="s">
        <v>1181</v>
      </c>
      <c r="D18" t="s">
        <v>684</v>
      </c>
      <c r="E18">
        <v>2013</v>
      </c>
      <c r="F18" t="s">
        <v>680</v>
      </c>
      <c r="H18" t="s">
        <v>1194</v>
      </c>
      <c r="S18">
        <f>SUMIFS('Drift - med projekt'!$AG:$AG,'Drift - med projekt'!$W:$W,B18&amp;C18&amp;D18&amp;E18,'Drift - med projekt'!$S:$S,F18)</f>
        <v>0</v>
      </c>
      <c r="T18">
        <f>SUMIFS('Drift - med projekt'!$AH:$AH,'Drift - med projekt'!$W:$W,B18&amp;C18&amp;D18&amp;E18,'Drift - med projekt'!$T:$T,F18)</f>
        <v>0</v>
      </c>
      <c r="U18">
        <f>SUMIFS('Drift - med projekt'!$AI:$AI,'Drift - med projekt'!$W:$W,B18&amp;C18&amp;D18&amp;E18,'Drift - med projekt'!$S:$S,F18)</f>
        <v>0</v>
      </c>
      <c r="V18">
        <f>SUMIFS('Drift - med projekt'!$AJ:$AJ,'Drift - med projekt'!$W:$W,B18&amp;C18&amp;D18&amp;E18,'Drift - med projekt'!$T:$T,F18)</f>
        <v>0</v>
      </c>
      <c r="W18">
        <f>SUMIFS('Drift - med projekt'!$AK:$AK,'Drift - med projekt'!$W:$W,B18&amp;C18&amp;D18&amp;E18,'Drift - med projekt'!$S:$S,F18)</f>
        <v>0</v>
      </c>
      <c r="X18">
        <f>SUMIFS('Drift - med projekt'!$AL:$AL,'Drift - med projekt'!$W:$W,B18&amp;C18&amp;D18&amp;E18,'Drift - med projekt'!$T:$T,F18)</f>
        <v>0</v>
      </c>
    </row>
    <row r="19" spans="2:24" ht="14.25" customHeight="1" x14ac:dyDescent="0.25">
      <c r="B19" t="s">
        <v>1369</v>
      </c>
      <c r="C19" t="s">
        <v>1181</v>
      </c>
      <c r="D19" t="s">
        <v>684</v>
      </c>
      <c r="E19">
        <v>2013</v>
      </c>
      <c r="N19">
        <f>SUMIFS('Drift - med projekt'!$Y:$Y,'Drift - med projekt'!$W:$W,B19&amp;C19&amp;D19&amp;E19)</f>
        <v>0</v>
      </c>
      <c r="O19">
        <f>SUMIFS('Drift - med projekt'!$Z:$Z,'Drift - med projekt'!$W:$W,B19&amp;C19&amp;D19&amp;E19)</f>
        <v>0</v>
      </c>
      <c r="P19">
        <f>SUMIFS('Drift - med projekt'!$AA:$AA,'Drift - med projekt'!$W:$W,B19&amp;C19&amp;D19&amp;E19)</f>
        <v>0</v>
      </c>
      <c r="Q19">
        <f>SUMIFS('Drift - med projekt'!$AB:$AB,'Drift - med projekt'!$W:$W,B19&amp;C19&amp;D19&amp;E19)</f>
        <v>0</v>
      </c>
      <c r="R19">
        <f>SUMIFS('Drift - med projekt'!$AC:$AC,'Drift - med projekt'!$W:$W,B19&amp;C19&amp;D19&amp;E19)</f>
        <v>0</v>
      </c>
      <c r="S19">
        <f>SUMIFS('Drift - med projekt'!$AG:$AG,'Drift - med projekt'!$W:$W,B19&amp;C19&amp;D19&amp;E19,'Drift - med projekt'!$S:$S,"")</f>
        <v>0</v>
      </c>
      <c r="U19">
        <f>SUMIFS('Drift - med projekt'!$AI:$AI,'Drift - med projekt'!$W:$W,B19&amp;C19&amp;D19&amp;E19,'Drift - med projekt'!$S:$S,"")</f>
        <v>0</v>
      </c>
      <c r="W19">
        <f>SUMIFS('Drift - med projekt'!$AK:$AK,'Drift - med projekt'!$W:$W,B19&amp;C19&amp;D19&amp;E19,'Drift - med projekt'!$S:$S,"")</f>
        <v>0</v>
      </c>
    </row>
    <row r="20" spans="2:24" ht="14.25" customHeight="1" x14ac:dyDescent="0.25">
      <c r="B20" t="s">
        <v>1369</v>
      </c>
      <c r="C20" t="s">
        <v>1181</v>
      </c>
      <c r="D20" t="s">
        <v>684</v>
      </c>
      <c r="E20">
        <v>2014</v>
      </c>
      <c r="F20" t="s">
        <v>1361</v>
      </c>
      <c r="H20" t="s">
        <v>1194</v>
      </c>
      <c r="S20">
        <f>SUMIFS('Drift - med projekt'!$AG:$AG,'Drift - med projekt'!$W:$W,B20&amp;C20&amp;D20&amp;E20,'Drift - med projekt'!$S:$S,F20)</f>
        <v>0</v>
      </c>
      <c r="T20">
        <f>SUMIFS('Drift - med projekt'!$AH:$AH,'Drift - med projekt'!$W:$W,B20&amp;C20&amp;D20&amp;E20,'Drift - med projekt'!$T:$T,F20)</f>
        <v>0</v>
      </c>
      <c r="U20">
        <f>SUMIFS('Drift - med projekt'!$AI:$AI,'Drift - med projekt'!$W:$W,B20&amp;C20&amp;D20&amp;E20,'Drift - med projekt'!$S:$S,F20)</f>
        <v>0</v>
      </c>
      <c r="V20">
        <f>SUMIFS('Drift - med projekt'!$AJ:$AJ,'Drift - med projekt'!$W:$W,B20&amp;C20&amp;D20&amp;E20,'Drift - med projekt'!$T:$T,F20)</f>
        <v>0</v>
      </c>
      <c r="W20">
        <f>SUMIFS('Drift - med projekt'!$AK:$AK,'Drift - med projekt'!$W:$W,B20&amp;C20&amp;D20&amp;E20,'Drift - med projekt'!$S:$S,F20)</f>
        <v>0</v>
      </c>
      <c r="X20">
        <f>SUMIFS('Drift - med projekt'!$AL:$AL,'Drift - med projekt'!$W:$W,B20&amp;C20&amp;D20&amp;E20,'Drift - med projekt'!$T:$T,F20)</f>
        <v>0</v>
      </c>
    </row>
    <row r="21" spans="2:24" ht="14.25" customHeight="1" x14ac:dyDescent="0.25">
      <c r="B21" t="s">
        <v>1369</v>
      </c>
      <c r="C21" t="s">
        <v>1181</v>
      </c>
      <c r="D21" t="s">
        <v>684</v>
      </c>
      <c r="E21">
        <v>2014</v>
      </c>
      <c r="F21" t="s">
        <v>680</v>
      </c>
      <c r="H21" t="s">
        <v>1194</v>
      </c>
      <c r="S21">
        <f>SUMIFS('Drift - med projekt'!$AG:$AG,'Drift - med projekt'!$W:$W,B21&amp;C21&amp;D21&amp;E21,'Drift - med projekt'!$S:$S,F21)</f>
        <v>0</v>
      </c>
      <c r="T21">
        <f>SUMIFS('Drift - med projekt'!$AH:$AH,'Drift - med projekt'!$W:$W,B21&amp;C21&amp;D21&amp;E21,'Drift - med projekt'!$T:$T,F21)</f>
        <v>0</v>
      </c>
      <c r="U21">
        <f>SUMIFS('Drift - med projekt'!$AI:$AI,'Drift - med projekt'!$W:$W,B21&amp;C21&amp;D21&amp;E21,'Drift - med projekt'!$S:$S,F21)</f>
        <v>0</v>
      </c>
      <c r="V21">
        <f>SUMIFS('Drift - med projekt'!$AJ:$AJ,'Drift - med projekt'!$W:$W,B21&amp;C21&amp;D21&amp;E21,'Drift - med projekt'!$T:$T,F21)</f>
        <v>0</v>
      </c>
      <c r="W21">
        <f>SUMIFS('Drift - med projekt'!$AK:$AK,'Drift - med projekt'!$W:$W,B21&amp;C21&amp;D21&amp;E21,'Drift - med projekt'!$S:$S,F21)</f>
        <v>0</v>
      </c>
      <c r="X21">
        <f>SUMIFS('Drift - med projekt'!$AL:$AL,'Drift - med projekt'!$W:$W,B21&amp;C21&amp;D21&amp;E21,'Drift - med projekt'!$T:$T,F21)</f>
        <v>0</v>
      </c>
    </row>
    <row r="22" spans="2:24" ht="14.25" customHeight="1" x14ac:dyDescent="0.25">
      <c r="B22" t="s">
        <v>1369</v>
      </c>
      <c r="C22" t="s">
        <v>1181</v>
      </c>
      <c r="D22" t="s">
        <v>684</v>
      </c>
      <c r="E22">
        <v>2014</v>
      </c>
      <c r="N22">
        <f>SUMIFS('Drift - med projekt'!$Y:$Y,'Drift - med projekt'!$W:$W,B22&amp;C22&amp;D22&amp;E22)</f>
        <v>0</v>
      </c>
      <c r="O22">
        <f>SUMIFS('Drift - med projekt'!$Z:$Z,'Drift - med projekt'!$W:$W,B22&amp;C22&amp;D22&amp;E22)</f>
        <v>0</v>
      </c>
      <c r="P22">
        <f>SUMIFS('Drift - med projekt'!$AA:$AA,'Drift - med projekt'!$W:$W,B22&amp;C22&amp;D22&amp;E22)</f>
        <v>0</v>
      </c>
      <c r="Q22">
        <f>SUMIFS('Drift - med projekt'!$AB:$AB,'Drift - med projekt'!$W:$W,B22&amp;C22&amp;D22&amp;E22)</f>
        <v>0</v>
      </c>
      <c r="R22">
        <f>SUMIFS('Drift - med projekt'!$AC:$AC,'Drift - med projekt'!$W:$W,B22&amp;C22&amp;D22&amp;E22)</f>
        <v>0</v>
      </c>
      <c r="S22">
        <f>SUMIFS('Drift - med projekt'!$AG:$AG,'Drift - med projekt'!$W:$W,B22&amp;C22&amp;D22&amp;E22,'Drift - med projekt'!$S:$S,"")</f>
        <v>0</v>
      </c>
      <c r="U22">
        <f>SUMIFS('Drift - med projekt'!$AI:$AI,'Drift - med projekt'!$W:$W,B22&amp;C22&amp;D22&amp;E22,'Drift - med projekt'!$S:$S,"")</f>
        <v>0</v>
      </c>
      <c r="W22">
        <f>SUMIFS('Drift - med projekt'!$AK:$AK,'Drift - med projekt'!$W:$W,B22&amp;C22&amp;D22&amp;E22,'Drift - med projekt'!$S:$S,"")</f>
        <v>0</v>
      </c>
    </row>
    <row r="23" spans="2:24" ht="14.25" customHeight="1" x14ac:dyDescent="0.25">
      <c r="B23" t="s">
        <v>1369</v>
      </c>
      <c r="C23" t="s">
        <v>1182</v>
      </c>
      <c r="D23" t="s">
        <v>684</v>
      </c>
      <c r="E23">
        <v>2013</v>
      </c>
      <c r="F23" t="s">
        <v>1361</v>
      </c>
      <c r="H23" t="s">
        <v>1194</v>
      </c>
      <c r="S23">
        <f>SUMIFS('Drift - med projekt'!$AG:$AG,'Drift - med projekt'!$W:$W,B23&amp;C23&amp;D23&amp;E23,'Drift - med projekt'!$S:$S,F23)</f>
        <v>0</v>
      </c>
      <c r="T23">
        <f>SUMIFS('Drift - med projekt'!$AH:$AH,'Drift - med projekt'!$W:$W,B23&amp;C23&amp;D23&amp;E23,'Drift - med projekt'!$T:$T,F23)</f>
        <v>0</v>
      </c>
      <c r="U23">
        <f>SUMIFS('Drift - med projekt'!$AI:$AI,'Drift - med projekt'!$W:$W,B23&amp;C23&amp;D23&amp;E23,'Drift - med projekt'!$S:$S,F23)</f>
        <v>0</v>
      </c>
      <c r="V23">
        <f>SUMIFS('Drift - med projekt'!$AJ:$AJ,'Drift - med projekt'!$W:$W,B23&amp;C23&amp;D23&amp;E23,'Drift - med projekt'!$T:$T,F23)</f>
        <v>0</v>
      </c>
      <c r="W23">
        <f>SUMIFS('Drift - med projekt'!$AK:$AK,'Drift - med projekt'!$W:$W,B23&amp;C23&amp;D23&amp;E23,'Drift - med projekt'!$S:$S,F23)</f>
        <v>0</v>
      </c>
      <c r="X23">
        <f>SUMIFS('Drift - med projekt'!$AL:$AL,'Drift - med projekt'!$W:$W,B23&amp;C23&amp;D23&amp;E23,'Drift - med projekt'!$T:$T,F23)</f>
        <v>0</v>
      </c>
    </row>
    <row r="24" spans="2:24" ht="14.25" customHeight="1" x14ac:dyDescent="0.25">
      <c r="B24" t="s">
        <v>1369</v>
      </c>
      <c r="C24" t="s">
        <v>1182</v>
      </c>
      <c r="D24" t="s">
        <v>684</v>
      </c>
      <c r="E24">
        <v>2013</v>
      </c>
      <c r="F24" t="s">
        <v>680</v>
      </c>
      <c r="H24" t="s">
        <v>1194</v>
      </c>
      <c r="S24">
        <f>SUMIFS('Drift - med projekt'!$AG:$AG,'Drift - med projekt'!$W:$W,B24&amp;C24&amp;D24&amp;E24,'Drift - med projekt'!$S:$S,F24)</f>
        <v>0</v>
      </c>
      <c r="T24">
        <f>SUMIFS('Drift - med projekt'!$AH:$AH,'Drift - med projekt'!$W:$W,B24&amp;C24&amp;D24&amp;E24,'Drift - med projekt'!$T:$T,F24)</f>
        <v>0</v>
      </c>
      <c r="U24">
        <f>SUMIFS('Drift - med projekt'!$AI:$AI,'Drift - med projekt'!$W:$W,B24&amp;C24&amp;D24&amp;E24,'Drift - med projekt'!$S:$S,F24)</f>
        <v>0</v>
      </c>
      <c r="V24">
        <f>SUMIFS('Drift - med projekt'!$AJ:$AJ,'Drift - med projekt'!$W:$W,B24&amp;C24&amp;D24&amp;E24,'Drift - med projekt'!$T:$T,F24)</f>
        <v>0</v>
      </c>
      <c r="W24">
        <f>SUMIFS('Drift - med projekt'!$AK:$AK,'Drift - med projekt'!$W:$W,B24&amp;C24&amp;D24&amp;E24,'Drift - med projekt'!$S:$S,F24)</f>
        <v>0</v>
      </c>
      <c r="X24">
        <f>SUMIFS('Drift - med projekt'!$AL:$AL,'Drift - med projekt'!$W:$W,B24&amp;C24&amp;D24&amp;E24,'Drift - med projekt'!$T:$T,F24)</f>
        <v>0</v>
      </c>
    </row>
    <row r="25" spans="2:24" ht="14.25" customHeight="1" x14ac:dyDescent="0.25">
      <c r="B25" t="s">
        <v>1369</v>
      </c>
      <c r="C25" t="s">
        <v>1182</v>
      </c>
      <c r="D25" t="s">
        <v>684</v>
      </c>
      <c r="E25">
        <v>2013</v>
      </c>
      <c r="N25">
        <f>SUMIFS('Drift - med projekt'!$Y:$Y,'Drift - med projekt'!$W:$W,B25&amp;C25&amp;D25&amp;E25)</f>
        <v>0</v>
      </c>
      <c r="O25">
        <f>SUMIFS('Drift - med projekt'!$Z:$Z,'Drift - med projekt'!$W:$W,B25&amp;C25&amp;D25&amp;E25)</f>
        <v>0</v>
      </c>
      <c r="P25">
        <f>SUMIFS('Drift - med projekt'!$AA:$AA,'Drift - med projekt'!$W:$W,B25&amp;C25&amp;D25&amp;E25)</f>
        <v>0</v>
      </c>
      <c r="Q25">
        <f>SUMIFS('Drift - med projekt'!$AB:$AB,'Drift - med projekt'!$W:$W,B25&amp;C25&amp;D25&amp;E25)</f>
        <v>0</v>
      </c>
      <c r="R25">
        <f>SUMIFS('Drift - med projekt'!$AC:$AC,'Drift - med projekt'!$W:$W,B25&amp;C25&amp;D25&amp;E25)</f>
        <v>0</v>
      </c>
      <c r="S25">
        <f>SUMIFS('Drift - med projekt'!$AG:$AG,'Drift - med projekt'!$W:$W,B25&amp;C25&amp;D25&amp;E25,'Drift - med projekt'!$S:$S,"")</f>
        <v>0</v>
      </c>
      <c r="U25">
        <f>SUMIFS('Drift - med projekt'!$AI:$AI,'Drift - med projekt'!$W:$W,B25&amp;C25&amp;D25&amp;E25,'Drift - med projekt'!$S:$S,"")</f>
        <v>0</v>
      </c>
      <c r="W25">
        <f>SUMIFS('Drift - med projekt'!$AK:$AK,'Drift - med projekt'!$W:$W,B25&amp;C25&amp;D25&amp;E25,'Drift - med projekt'!$S:$S,"")</f>
        <v>0</v>
      </c>
    </row>
    <row r="26" spans="2:24" ht="14.25" customHeight="1" x14ac:dyDescent="0.25">
      <c r="B26" t="s">
        <v>1369</v>
      </c>
      <c r="C26" t="s">
        <v>1182</v>
      </c>
      <c r="D26" t="s">
        <v>684</v>
      </c>
      <c r="E26">
        <v>2014</v>
      </c>
      <c r="F26" t="s">
        <v>1361</v>
      </c>
      <c r="H26" t="s">
        <v>1194</v>
      </c>
      <c r="S26">
        <f>SUMIFS('Drift - med projekt'!$AG:$AG,'Drift - med projekt'!$W:$W,B26&amp;C26&amp;D26&amp;E26,'Drift - med projekt'!$S:$S,F26)</f>
        <v>0</v>
      </c>
      <c r="T26">
        <f>SUMIFS('Drift - med projekt'!$AH:$AH,'Drift - med projekt'!$W:$W,B26&amp;C26&amp;D26&amp;E26,'Drift - med projekt'!$T:$T,F26)</f>
        <v>0</v>
      </c>
      <c r="U26">
        <f>SUMIFS('Drift - med projekt'!$AI:$AI,'Drift - med projekt'!$W:$W,B26&amp;C26&amp;D26&amp;E26,'Drift - med projekt'!$S:$S,F26)</f>
        <v>0</v>
      </c>
      <c r="V26">
        <f>SUMIFS('Drift - med projekt'!$AJ:$AJ,'Drift - med projekt'!$W:$W,B26&amp;C26&amp;D26&amp;E26,'Drift - med projekt'!$T:$T,F26)</f>
        <v>0</v>
      </c>
      <c r="W26">
        <f>SUMIFS('Drift - med projekt'!$AK:$AK,'Drift - med projekt'!$W:$W,B26&amp;C26&amp;D26&amp;E26,'Drift - med projekt'!$S:$S,F26)</f>
        <v>0</v>
      </c>
      <c r="X26">
        <f>SUMIFS('Drift - med projekt'!$AL:$AL,'Drift - med projekt'!$W:$W,B26&amp;C26&amp;D26&amp;E26,'Drift - med projekt'!$T:$T,F26)</f>
        <v>0</v>
      </c>
    </row>
    <row r="27" spans="2:24" ht="14.25" customHeight="1" x14ac:dyDescent="0.25">
      <c r="B27" t="s">
        <v>1369</v>
      </c>
      <c r="C27" t="s">
        <v>1182</v>
      </c>
      <c r="D27" t="s">
        <v>684</v>
      </c>
      <c r="E27">
        <v>2014</v>
      </c>
      <c r="F27" t="s">
        <v>680</v>
      </c>
      <c r="H27" t="s">
        <v>1194</v>
      </c>
      <c r="S27">
        <f>SUMIFS('Drift - med projekt'!$AG:$AG,'Drift - med projekt'!$W:$W,B27&amp;C27&amp;D27&amp;E27,'Drift - med projekt'!$S:$S,F27)</f>
        <v>0</v>
      </c>
      <c r="T27">
        <f>SUMIFS('Drift - med projekt'!$AH:$AH,'Drift - med projekt'!$W:$W,B27&amp;C27&amp;D27&amp;E27,'Drift - med projekt'!$T:$T,F27)</f>
        <v>0</v>
      </c>
      <c r="U27">
        <f>SUMIFS('Drift - med projekt'!$AI:$AI,'Drift - med projekt'!$W:$W,B27&amp;C27&amp;D27&amp;E27,'Drift - med projekt'!$S:$S,F27)</f>
        <v>0</v>
      </c>
      <c r="V27">
        <f>SUMIFS('Drift - med projekt'!$AJ:$AJ,'Drift - med projekt'!$W:$W,B27&amp;C27&amp;D27&amp;E27,'Drift - med projekt'!$T:$T,F27)</f>
        <v>0</v>
      </c>
      <c r="W27">
        <f>SUMIFS('Drift - med projekt'!$AK:$AK,'Drift - med projekt'!$W:$W,B27&amp;C27&amp;D27&amp;E27,'Drift - med projekt'!$S:$S,F27)</f>
        <v>0</v>
      </c>
      <c r="X27">
        <f>SUMIFS('Drift - med projekt'!$AL:$AL,'Drift - med projekt'!$W:$W,B27&amp;C27&amp;D27&amp;E27,'Drift - med projekt'!$T:$T,F27)</f>
        <v>0</v>
      </c>
    </row>
    <row r="28" spans="2:24" ht="14.25" customHeight="1" x14ac:dyDescent="0.25">
      <c r="B28" t="s">
        <v>1369</v>
      </c>
      <c r="C28" t="s">
        <v>1182</v>
      </c>
      <c r="D28" t="s">
        <v>684</v>
      </c>
      <c r="E28">
        <v>2014</v>
      </c>
      <c r="N28">
        <f>SUMIFS('Drift - med projekt'!$Y:$Y,'Drift - med projekt'!$W:$W,B28&amp;C28&amp;D28&amp;E28)</f>
        <v>0</v>
      </c>
      <c r="O28">
        <f>SUMIFS('Drift - med projekt'!$Z:$Z,'Drift - med projekt'!$W:$W,B28&amp;C28&amp;D28&amp;E28)</f>
        <v>0</v>
      </c>
      <c r="P28">
        <f>SUMIFS('Drift - med projekt'!$AA:$AA,'Drift - med projekt'!$W:$W,B28&amp;C28&amp;D28&amp;E28)</f>
        <v>0</v>
      </c>
      <c r="Q28">
        <f>SUMIFS('Drift - med projekt'!$AB:$AB,'Drift - med projekt'!$W:$W,B28&amp;C28&amp;D28&amp;E28)</f>
        <v>0</v>
      </c>
      <c r="R28">
        <f>SUMIFS('Drift - med projekt'!$AC:$AC,'Drift - med projekt'!$W:$W,B28&amp;C28&amp;D28&amp;E28)</f>
        <v>0</v>
      </c>
      <c r="S28">
        <f>SUMIFS('Drift - med projekt'!$AG:$AG,'Drift - med projekt'!$W:$W,B28&amp;C28&amp;D28&amp;E28,'Drift - med projekt'!$S:$S,"")</f>
        <v>0</v>
      </c>
      <c r="U28">
        <f>SUMIFS('Drift - med projekt'!$AI:$AI,'Drift - med projekt'!$W:$W,B28&amp;C28&amp;D28&amp;E28,'Drift - med projekt'!$S:$S,"")</f>
        <v>0</v>
      </c>
      <c r="W28">
        <f>SUMIFS('Drift - med projekt'!$AK:$AK,'Drift - med projekt'!$W:$W,B28&amp;C28&amp;D28&amp;E28,'Drift - med projekt'!$S:$S,"")</f>
        <v>0</v>
      </c>
    </row>
    <row r="29" spans="2:24" ht="14.25" customHeight="1" x14ac:dyDescent="0.25">
      <c r="B29" t="s">
        <v>1369</v>
      </c>
      <c r="C29" t="s">
        <v>1183</v>
      </c>
      <c r="D29" t="s">
        <v>684</v>
      </c>
      <c r="E29">
        <v>2013</v>
      </c>
      <c r="F29" t="s">
        <v>1361</v>
      </c>
      <c r="H29" t="s">
        <v>1194</v>
      </c>
      <c r="S29">
        <f>SUMIFS('Drift - med projekt'!$AG:$AG,'Drift - med projekt'!$W:$W,B29&amp;C29&amp;D29&amp;E29,'Drift - med projekt'!$S:$S,F29)</f>
        <v>0</v>
      </c>
      <c r="T29">
        <f>SUMIFS('Drift - med projekt'!$AH:$AH,'Drift - med projekt'!$W:$W,B29&amp;C29&amp;D29&amp;E29,'Drift - med projekt'!$T:$T,F29)</f>
        <v>0</v>
      </c>
      <c r="U29">
        <f>SUMIFS('Drift - med projekt'!$AI:$AI,'Drift - med projekt'!$W:$W,B29&amp;C29&amp;D29&amp;E29,'Drift - med projekt'!$S:$S,F29)</f>
        <v>0</v>
      </c>
      <c r="V29">
        <f>SUMIFS('Drift - med projekt'!$AJ:$AJ,'Drift - med projekt'!$W:$W,B29&amp;C29&amp;D29&amp;E29,'Drift - med projekt'!$T:$T,F29)</f>
        <v>0</v>
      </c>
      <c r="W29">
        <f>SUMIFS('Drift - med projekt'!$AK:$AK,'Drift - med projekt'!$W:$W,B29&amp;C29&amp;D29&amp;E29,'Drift - med projekt'!$S:$S,F29)</f>
        <v>0</v>
      </c>
      <c r="X29">
        <f>SUMIFS('Drift - med projekt'!$AL:$AL,'Drift - med projekt'!$W:$W,B29&amp;C29&amp;D29&amp;E29,'Drift - med projekt'!$T:$T,F29)</f>
        <v>0</v>
      </c>
    </row>
    <row r="30" spans="2:24" ht="14.25" customHeight="1" x14ac:dyDescent="0.25">
      <c r="B30" t="s">
        <v>1369</v>
      </c>
      <c r="C30" t="s">
        <v>1183</v>
      </c>
      <c r="D30" t="s">
        <v>684</v>
      </c>
      <c r="E30">
        <v>2013</v>
      </c>
      <c r="F30" t="s">
        <v>680</v>
      </c>
      <c r="H30" t="s">
        <v>1194</v>
      </c>
      <c r="S30">
        <f>SUMIFS('Drift - med projekt'!$AG:$AG,'Drift - med projekt'!$W:$W,B30&amp;C30&amp;D30&amp;E30,'Drift - med projekt'!$S:$S,F30)</f>
        <v>0</v>
      </c>
      <c r="T30">
        <f>SUMIFS('Drift - med projekt'!$AH:$AH,'Drift - med projekt'!$W:$W,B30&amp;C30&amp;D30&amp;E30,'Drift - med projekt'!$T:$T,F30)</f>
        <v>0</v>
      </c>
      <c r="U30">
        <f>SUMIFS('Drift - med projekt'!$AI:$AI,'Drift - med projekt'!$W:$W,B30&amp;C30&amp;D30&amp;E30,'Drift - med projekt'!$S:$S,F30)</f>
        <v>0</v>
      </c>
      <c r="V30">
        <f>SUMIFS('Drift - med projekt'!$AJ:$AJ,'Drift - med projekt'!$W:$W,B30&amp;C30&amp;D30&amp;E30,'Drift - med projekt'!$T:$T,F30)</f>
        <v>0</v>
      </c>
      <c r="W30">
        <f>SUMIFS('Drift - med projekt'!$AK:$AK,'Drift - med projekt'!$W:$W,B30&amp;C30&amp;D30&amp;E30,'Drift - med projekt'!$S:$S,F30)</f>
        <v>0</v>
      </c>
      <c r="X30">
        <f>SUMIFS('Drift - med projekt'!$AL:$AL,'Drift - med projekt'!$W:$W,B30&amp;C30&amp;D30&amp;E30,'Drift - med projekt'!$T:$T,F30)</f>
        <v>0</v>
      </c>
    </row>
    <row r="31" spans="2:24" ht="14.25" customHeight="1" x14ac:dyDescent="0.25">
      <c r="B31" t="s">
        <v>1369</v>
      </c>
      <c r="C31" t="s">
        <v>1183</v>
      </c>
      <c r="D31" t="s">
        <v>684</v>
      </c>
      <c r="E31">
        <v>2013</v>
      </c>
      <c r="N31">
        <f>SUMIFS('Drift - med projekt'!$Y:$Y,'Drift - med projekt'!$W:$W,B31&amp;C31&amp;D31&amp;E31)</f>
        <v>0</v>
      </c>
      <c r="O31">
        <f>SUMIFS('Drift - med projekt'!$Z:$Z,'Drift - med projekt'!$W:$W,B31&amp;C31&amp;D31&amp;E31)</f>
        <v>0</v>
      </c>
      <c r="P31">
        <f>SUMIFS('Drift - med projekt'!$AA:$AA,'Drift - med projekt'!$W:$W,B31&amp;C31&amp;D31&amp;E31)</f>
        <v>0</v>
      </c>
      <c r="Q31">
        <f>SUMIFS('Drift - med projekt'!$AB:$AB,'Drift - med projekt'!$W:$W,B31&amp;C31&amp;D31&amp;E31)</f>
        <v>0</v>
      </c>
      <c r="R31">
        <f>SUMIFS('Drift - med projekt'!$AC:$AC,'Drift - med projekt'!$W:$W,B31&amp;C31&amp;D31&amp;E31)</f>
        <v>0</v>
      </c>
      <c r="S31">
        <f>SUMIFS('Drift - med projekt'!$AG:$AG,'Drift - med projekt'!$W:$W,B31&amp;C31&amp;D31&amp;E31,'Drift - med projekt'!$S:$S,"")</f>
        <v>0</v>
      </c>
      <c r="U31">
        <f>SUMIFS('Drift - med projekt'!$AI:$AI,'Drift - med projekt'!$W:$W,B31&amp;C31&amp;D31&amp;E31,'Drift - med projekt'!$S:$S,"")</f>
        <v>0</v>
      </c>
      <c r="W31">
        <f>SUMIFS('Drift - med projekt'!$AK:$AK,'Drift - med projekt'!$W:$W,B31&amp;C31&amp;D31&amp;E31,'Drift - med projekt'!$S:$S,"")</f>
        <v>0</v>
      </c>
    </row>
    <row r="32" spans="2:24" ht="14.25" customHeight="1" x14ac:dyDescent="0.25">
      <c r="B32" t="s">
        <v>1369</v>
      </c>
      <c r="C32" t="s">
        <v>1183</v>
      </c>
      <c r="D32" t="s">
        <v>684</v>
      </c>
      <c r="E32">
        <v>2014</v>
      </c>
      <c r="F32" t="s">
        <v>1361</v>
      </c>
      <c r="H32" t="s">
        <v>1194</v>
      </c>
      <c r="S32">
        <f>SUMIFS('Drift - med projekt'!$AG:$AG,'Drift - med projekt'!$W:$W,B32&amp;C32&amp;D32&amp;E32,'Drift - med projekt'!$S:$S,F32)</f>
        <v>0</v>
      </c>
      <c r="T32">
        <f>SUMIFS('Drift - med projekt'!$AH:$AH,'Drift - med projekt'!$W:$W,B32&amp;C32&amp;D32&amp;E32,'Drift - med projekt'!$T:$T,F32)</f>
        <v>0</v>
      </c>
      <c r="U32">
        <f>SUMIFS('Drift - med projekt'!$AI:$AI,'Drift - med projekt'!$W:$W,B32&amp;C32&amp;D32&amp;E32,'Drift - med projekt'!$S:$S,F32)</f>
        <v>0</v>
      </c>
      <c r="V32">
        <f>SUMIFS('Drift - med projekt'!$AJ:$AJ,'Drift - med projekt'!$W:$W,B32&amp;C32&amp;D32&amp;E32,'Drift - med projekt'!$T:$T,F32)</f>
        <v>0</v>
      </c>
      <c r="W32">
        <f>SUMIFS('Drift - med projekt'!$AK:$AK,'Drift - med projekt'!$W:$W,B32&amp;C32&amp;D32&amp;E32,'Drift - med projekt'!$S:$S,F32)</f>
        <v>0</v>
      </c>
      <c r="X32">
        <f>SUMIFS('Drift - med projekt'!$AL:$AL,'Drift - med projekt'!$W:$W,B32&amp;C32&amp;D32&amp;E32,'Drift - med projekt'!$T:$T,F32)</f>
        <v>0</v>
      </c>
    </row>
    <row r="33" spans="2:24" ht="14.25" customHeight="1" x14ac:dyDescent="0.25">
      <c r="B33" t="s">
        <v>1369</v>
      </c>
      <c r="C33" t="s">
        <v>1183</v>
      </c>
      <c r="D33" t="s">
        <v>684</v>
      </c>
      <c r="E33">
        <v>2014</v>
      </c>
      <c r="F33" t="s">
        <v>680</v>
      </c>
      <c r="H33" t="s">
        <v>1194</v>
      </c>
      <c r="S33">
        <f>SUMIFS('Drift - med projekt'!$AG:$AG,'Drift - med projekt'!$W:$W,B33&amp;C33&amp;D33&amp;E33,'Drift - med projekt'!$S:$S,F33)</f>
        <v>0</v>
      </c>
      <c r="T33">
        <f>SUMIFS('Drift - med projekt'!$AH:$AH,'Drift - med projekt'!$W:$W,B33&amp;C33&amp;D33&amp;E33,'Drift - med projekt'!$T:$T,F33)</f>
        <v>0</v>
      </c>
      <c r="U33">
        <f>SUMIFS('Drift - med projekt'!$AI:$AI,'Drift - med projekt'!$W:$W,B33&amp;C33&amp;D33&amp;E33,'Drift - med projekt'!$S:$S,F33)</f>
        <v>0</v>
      </c>
      <c r="V33">
        <f>SUMIFS('Drift - med projekt'!$AJ:$AJ,'Drift - med projekt'!$W:$W,B33&amp;C33&amp;D33&amp;E33,'Drift - med projekt'!$T:$T,F33)</f>
        <v>0</v>
      </c>
      <c r="W33">
        <f>SUMIFS('Drift - med projekt'!$AK:$AK,'Drift - med projekt'!$W:$W,B33&amp;C33&amp;D33&amp;E33,'Drift - med projekt'!$S:$S,F33)</f>
        <v>0</v>
      </c>
      <c r="X33">
        <f>SUMIFS('Drift - med projekt'!$AL:$AL,'Drift - med projekt'!$W:$W,B33&amp;C33&amp;D33&amp;E33,'Drift - med projekt'!$T:$T,F33)</f>
        <v>0</v>
      </c>
    </row>
    <row r="34" spans="2:24" ht="14.25" customHeight="1" x14ac:dyDescent="0.25">
      <c r="B34" t="s">
        <v>1369</v>
      </c>
      <c r="C34" t="s">
        <v>1183</v>
      </c>
      <c r="D34" t="s">
        <v>684</v>
      </c>
      <c r="E34">
        <v>2014</v>
      </c>
      <c r="N34">
        <f>SUMIFS('Drift - med projekt'!$Y:$Y,'Drift - med projekt'!$W:$W,B34&amp;C34&amp;D34&amp;E34)</f>
        <v>0</v>
      </c>
      <c r="O34">
        <f>SUMIFS('Drift - med projekt'!$Z:$Z,'Drift - med projekt'!$W:$W,B34&amp;C34&amp;D34&amp;E34)</f>
        <v>0</v>
      </c>
      <c r="P34">
        <f>SUMIFS('Drift - med projekt'!$AA:$AA,'Drift - med projekt'!$W:$W,B34&amp;C34&amp;D34&amp;E34)</f>
        <v>0</v>
      </c>
      <c r="Q34">
        <f>SUMIFS('Drift - med projekt'!$AB:$AB,'Drift - med projekt'!$W:$W,B34&amp;C34&amp;D34&amp;E34)</f>
        <v>0</v>
      </c>
      <c r="R34">
        <f>SUMIFS('Drift - med projekt'!$AC:$AC,'Drift - med projekt'!$W:$W,B34&amp;C34&amp;D34&amp;E34)</f>
        <v>0</v>
      </c>
      <c r="S34">
        <f>SUMIFS('Drift - med projekt'!$AG:$AG,'Drift - med projekt'!$W:$W,B34&amp;C34&amp;D34&amp;E34,'Drift - med projekt'!$S:$S,"")</f>
        <v>0</v>
      </c>
      <c r="U34">
        <f>SUMIFS('Drift - med projekt'!$AI:$AI,'Drift - med projekt'!$W:$W,B34&amp;C34&amp;D34&amp;E34,'Drift - med projekt'!$S:$S,"")</f>
        <v>0</v>
      </c>
      <c r="W34">
        <f>SUMIFS('Drift - med projekt'!$AK:$AK,'Drift - med projekt'!$W:$W,B34&amp;C34&amp;D34&amp;E34,'Drift - med projekt'!$S:$S,"")</f>
        <v>0</v>
      </c>
    </row>
    <row r="35" spans="2:24" ht="14.25" customHeight="1" x14ac:dyDescent="0.25">
      <c r="B35" t="s">
        <v>1369</v>
      </c>
      <c r="C35" t="s">
        <v>84</v>
      </c>
      <c r="D35" t="s">
        <v>684</v>
      </c>
      <c r="E35">
        <v>2013</v>
      </c>
      <c r="F35" t="s">
        <v>1361</v>
      </c>
      <c r="H35" t="s">
        <v>1194</v>
      </c>
      <c r="S35">
        <f>SUMIFS('Drift - med projekt'!$AG:$AG,'Drift - med projekt'!$W:$W,B35&amp;C35&amp;D35&amp;E35,'Drift - med projekt'!$S:$S,F35)</f>
        <v>0</v>
      </c>
      <c r="T35">
        <f>SUMIFS('Drift - med projekt'!$AH:$AH,'Drift - med projekt'!$W:$W,B35&amp;C35&amp;D35&amp;E35,'Drift - med projekt'!$T:$T,F35)</f>
        <v>0</v>
      </c>
      <c r="U35">
        <f>SUMIFS('Drift - med projekt'!$AI:$AI,'Drift - med projekt'!$W:$W,B35&amp;C35&amp;D35&amp;E35,'Drift - med projekt'!$S:$S,F35)</f>
        <v>0</v>
      </c>
      <c r="V35">
        <f>SUMIFS('Drift - med projekt'!$AJ:$AJ,'Drift - med projekt'!$W:$W,B35&amp;C35&amp;D35&amp;E35,'Drift - med projekt'!$T:$T,F35)</f>
        <v>0</v>
      </c>
      <c r="W35">
        <f>SUMIFS('Drift - med projekt'!$AK:$AK,'Drift - med projekt'!$W:$W,B35&amp;C35&amp;D35&amp;E35,'Drift - med projekt'!$S:$S,F35)</f>
        <v>0</v>
      </c>
      <c r="X35">
        <f>SUMIFS('Drift - med projekt'!$AL:$AL,'Drift - med projekt'!$W:$W,B35&amp;C35&amp;D35&amp;E35,'Drift - med projekt'!$T:$T,F35)</f>
        <v>0</v>
      </c>
    </row>
    <row r="36" spans="2:24" ht="14.25" customHeight="1" x14ac:dyDescent="0.25">
      <c r="B36" t="s">
        <v>1369</v>
      </c>
      <c r="C36" t="s">
        <v>84</v>
      </c>
      <c r="D36" t="s">
        <v>684</v>
      </c>
      <c r="E36">
        <v>2013</v>
      </c>
      <c r="F36" t="s">
        <v>680</v>
      </c>
      <c r="H36" t="s">
        <v>1194</v>
      </c>
      <c r="S36">
        <f>SUMIFS('Drift - med projekt'!$AG:$AG,'Drift - med projekt'!$W:$W,B36&amp;C36&amp;D36&amp;E36,'Drift - med projekt'!$S:$S,F36)</f>
        <v>0</v>
      </c>
      <c r="T36">
        <f>SUMIFS('Drift - med projekt'!$AH:$AH,'Drift - med projekt'!$W:$W,B36&amp;C36&amp;D36&amp;E36,'Drift - med projekt'!$T:$T,F36)</f>
        <v>0</v>
      </c>
      <c r="U36">
        <f>SUMIFS('Drift - med projekt'!$AI:$AI,'Drift - med projekt'!$W:$W,B36&amp;C36&amp;D36&amp;E36,'Drift - med projekt'!$S:$S,F36)</f>
        <v>0</v>
      </c>
      <c r="V36">
        <f>SUMIFS('Drift - med projekt'!$AJ:$AJ,'Drift - med projekt'!$W:$W,B36&amp;C36&amp;D36&amp;E36,'Drift - med projekt'!$T:$T,F36)</f>
        <v>0</v>
      </c>
      <c r="W36">
        <f>SUMIFS('Drift - med projekt'!$AK:$AK,'Drift - med projekt'!$W:$W,B36&amp;C36&amp;D36&amp;E36,'Drift - med projekt'!$S:$S,F36)</f>
        <v>0</v>
      </c>
      <c r="X36">
        <f>SUMIFS('Drift - med projekt'!$AL:$AL,'Drift - med projekt'!$W:$W,B36&amp;C36&amp;D36&amp;E36,'Drift - med projekt'!$T:$T,F36)</f>
        <v>0</v>
      </c>
    </row>
    <row r="37" spans="2:24" ht="14.25" customHeight="1" x14ac:dyDescent="0.25">
      <c r="B37" t="s">
        <v>1369</v>
      </c>
      <c r="C37" t="s">
        <v>84</v>
      </c>
      <c r="D37" t="s">
        <v>684</v>
      </c>
      <c r="E37">
        <v>2013</v>
      </c>
      <c r="N37">
        <f>SUMIFS('Drift - med projekt'!$Y:$Y,'Drift - med projekt'!$W:$W,B37&amp;C37&amp;D37&amp;E37)</f>
        <v>0</v>
      </c>
      <c r="O37">
        <f>SUMIFS('Drift - med projekt'!$Z:$Z,'Drift - med projekt'!$W:$W,B37&amp;C37&amp;D37&amp;E37)</f>
        <v>0</v>
      </c>
      <c r="P37">
        <f>SUMIFS('Drift - med projekt'!$AA:$AA,'Drift - med projekt'!$W:$W,B37&amp;C37&amp;D37&amp;E37)</f>
        <v>0</v>
      </c>
      <c r="Q37">
        <f>SUMIFS('Drift - med projekt'!$AB:$AB,'Drift - med projekt'!$W:$W,B37&amp;C37&amp;D37&amp;E37)</f>
        <v>0</v>
      </c>
      <c r="R37">
        <f>SUMIFS('Drift - med projekt'!$AC:$AC,'Drift - med projekt'!$W:$W,B37&amp;C37&amp;D37&amp;E37)</f>
        <v>0</v>
      </c>
      <c r="S37">
        <f>SUMIFS('Drift - med projekt'!$AG:$AG,'Drift - med projekt'!$W:$W,B37&amp;C37&amp;D37&amp;E37,'Drift - med projekt'!$S:$S,"")</f>
        <v>0</v>
      </c>
      <c r="U37">
        <f>SUMIFS('Drift - med projekt'!$AI:$AI,'Drift - med projekt'!$W:$W,B37&amp;C37&amp;D37&amp;E37,'Drift - med projekt'!$S:$S,"")</f>
        <v>0</v>
      </c>
      <c r="W37">
        <f>SUMIFS('Drift - med projekt'!$AK:$AK,'Drift - med projekt'!$W:$W,B37&amp;C37&amp;D37&amp;E37,'Drift - med projekt'!$S:$S,"")</f>
        <v>0</v>
      </c>
    </row>
    <row r="38" spans="2:24" ht="14.25" customHeight="1" x14ac:dyDescent="0.25">
      <c r="B38" t="s">
        <v>1369</v>
      </c>
      <c r="C38" t="s">
        <v>84</v>
      </c>
      <c r="D38" t="s">
        <v>684</v>
      </c>
      <c r="E38">
        <v>2014</v>
      </c>
      <c r="F38" t="s">
        <v>1361</v>
      </c>
      <c r="H38" t="s">
        <v>1194</v>
      </c>
      <c r="S38">
        <f>SUMIFS('Drift - med projekt'!$AG:$AG,'Drift - med projekt'!$W:$W,B38&amp;C38&amp;D38&amp;E38,'Drift - med projekt'!$S:$S,F38)</f>
        <v>0</v>
      </c>
      <c r="T38">
        <f>SUMIFS('Drift - med projekt'!$AH:$AH,'Drift - med projekt'!$W:$W,B38&amp;C38&amp;D38&amp;E38,'Drift - med projekt'!$T:$T,F38)</f>
        <v>0</v>
      </c>
      <c r="U38">
        <f>SUMIFS('Drift - med projekt'!$AI:$AI,'Drift - med projekt'!$W:$W,B38&amp;C38&amp;D38&amp;E38,'Drift - med projekt'!$S:$S,F38)</f>
        <v>0</v>
      </c>
      <c r="V38">
        <f>SUMIFS('Drift - med projekt'!$AJ:$AJ,'Drift - med projekt'!$W:$W,B38&amp;C38&amp;D38&amp;E38,'Drift - med projekt'!$T:$T,F38)</f>
        <v>0</v>
      </c>
      <c r="W38">
        <f>SUMIFS('Drift - med projekt'!$AK:$AK,'Drift - med projekt'!$W:$W,B38&amp;C38&amp;D38&amp;E38,'Drift - med projekt'!$S:$S,F38)</f>
        <v>0</v>
      </c>
      <c r="X38">
        <f>SUMIFS('Drift - med projekt'!$AL:$AL,'Drift - med projekt'!$W:$W,B38&amp;C38&amp;D38&amp;E38,'Drift - med projekt'!$T:$T,F38)</f>
        <v>0</v>
      </c>
    </row>
    <row r="39" spans="2:24" ht="14.25" customHeight="1" x14ac:dyDescent="0.25">
      <c r="B39" t="s">
        <v>1369</v>
      </c>
      <c r="C39" t="s">
        <v>84</v>
      </c>
      <c r="D39" t="s">
        <v>684</v>
      </c>
      <c r="E39">
        <v>2014</v>
      </c>
      <c r="F39" t="s">
        <v>680</v>
      </c>
      <c r="H39" t="s">
        <v>1194</v>
      </c>
      <c r="S39">
        <f>SUMIFS('Drift - med projekt'!$AG:$AG,'Drift - med projekt'!$W:$W,B39&amp;C39&amp;D39&amp;E39,'Drift - med projekt'!$S:$S,F39)</f>
        <v>0</v>
      </c>
      <c r="T39">
        <f>SUMIFS('Drift - med projekt'!$AH:$AH,'Drift - med projekt'!$W:$W,B39&amp;C39&amp;D39&amp;E39,'Drift - med projekt'!$T:$T,F39)</f>
        <v>0</v>
      </c>
      <c r="U39">
        <f>SUMIFS('Drift - med projekt'!$AI:$AI,'Drift - med projekt'!$W:$W,B39&amp;C39&amp;D39&amp;E39,'Drift - med projekt'!$S:$S,F39)</f>
        <v>0</v>
      </c>
      <c r="V39">
        <f>SUMIFS('Drift - med projekt'!$AJ:$AJ,'Drift - med projekt'!$W:$W,B39&amp;C39&amp;D39&amp;E39,'Drift - med projekt'!$T:$T,F39)</f>
        <v>0</v>
      </c>
      <c r="W39">
        <f>SUMIFS('Drift - med projekt'!$AK:$AK,'Drift - med projekt'!$W:$W,B39&amp;C39&amp;D39&amp;E39,'Drift - med projekt'!$S:$S,F39)</f>
        <v>0</v>
      </c>
      <c r="X39">
        <f>SUMIFS('Drift - med projekt'!$AL:$AL,'Drift - med projekt'!$W:$W,B39&amp;C39&amp;D39&amp;E39,'Drift - med projekt'!$T:$T,F39)</f>
        <v>0</v>
      </c>
    </row>
    <row r="40" spans="2:24" ht="14.25" customHeight="1" x14ac:dyDescent="0.25">
      <c r="B40" t="s">
        <v>1369</v>
      </c>
      <c r="C40" t="s">
        <v>84</v>
      </c>
      <c r="D40" t="s">
        <v>684</v>
      </c>
      <c r="E40">
        <v>2014</v>
      </c>
      <c r="N40">
        <f>SUMIFS('Drift - med projekt'!$Y:$Y,'Drift - med projekt'!$W:$W,B40&amp;C40&amp;D40&amp;E40)</f>
        <v>0</v>
      </c>
      <c r="O40">
        <f>SUMIFS('Drift - med projekt'!$Z:$Z,'Drift - med projekt'!$W:$W,B40&amp;C40&amp;D40&amp;E40)</f>
        <v>0</v>
      </c>
      <c r="P40">
        <f>SUMIFS('Drift - med projekt'!$AA:$AA,'Drift - med projekt'!$W:$W,B40&amp;C40&amp;D40&amp;E40)</f>
        <v>0</v>
      </c>
      <c r="Q40">
        <f>SUMIFS('Drift - med projekt'!$AB:$AB,'Drift - med projekt'!$W:$W,B40&amp;C40&amp;D40&amp;E40)</f>
        <v>0</v>
      </c>
      <c r="R40">
        <f>SUMIFS('Drift - med projekt'!$AC:$AC,'Drift - med projekt'!$W:$W,B40&amp;C40&amp;D40&amp;E40)</f>
        <v>0</v>
      </c>
      <c r="S40">
        <f>SUMIFS('Drift - med projekt'!$AG:$AG,'Drift - med projekt'!$W:$W,B40&amp;C40&amp;D40&amp;E40,'Drift - med projekt'!$S:$S,"")</f>
        <v>0</v>
      </c>
      <c r="U40">
        <f>SUMIFS('Drift - med projekt'!$AI:$AI,'Drift - med projekt'!$W:$W,B40&amp;C40&amp;D40&amp;E40,'Drift - med projekt'!$S:$S,"")</f>
        <v>0</v>
      </c>
      <c r="W40">
        <f>SUMIFS('Drift - med projekt'!$AK:$AK,'Drift - med projekt'!$W:$W,B40&amp;C40&amp;D40&amp;E40,'Drift - med projekt'!$S:$S,"")</f>
        <v>0</v>
      </c>
    </row>
    <row r="41" spans="2:24" ht="14.25" customHeight="1" x14ac:dyDescent="0.25">
      <c r="B41" t="s">
        <v>1369</v>
      </c>
      <c r="C41" t="s">
        <v>85</v>
      </c>
      <c r="D41" t="s">
        <v>684</v>
      </c>
      <c r="E41">
        <v>2013</v>
      </c>
      <c r="F41" t="s">
        <v>1361</v>
      </c>
      <c r="H41" t="s">
        <v>1194</v>
      </c>
      <c r="S41">
        <f>SUMIFS('Drift - med projekt'!$AG:$AG,'Drift - med projekt'!$W:$W,B41&amp;C41&amp;D41&amp;E41,'Drift - med projekt'!$S:$S,F41)</f>
        <v>0</v>
      </c>
      <c r="T41">
        <f>SUMIFS('Drift - med projekt'!$AH:$AH,'Drift - med projekt'!$W:$W,B41&amp;C41&amp;D41&amp;E41,'Drift - med projekt'!$T:$T,F41)</f>
        <v>0</v>
      </c>
      <c r="U41">
        <f>SUMIFS('Drift - med projekt'!$AI:$AI,'Drift - med projekt'!$W:$W,B41&amp;C41&amp;D41&amp;E41,'Drift - med projekt'!$S:$S,F41)</f>
        <v>0</v>
      </c>
      <c r="V41">
        <f>SUMIFS('Drift - med projekt'!$AJ:$AJ,'Drift - med projekt'!$W:$W,B41&amp;C41&amp;D41&amp;E41,'Drift - med projekt'!$T:$T,F41)</f>
        <v>0</v>
      </c>
      <c r="W41">
        <f>SUMIFS('Drift - med projekt'!$AK:$AK,'Drift - med projekt'!$W:$W,B41&amp;C41&amp;D41&amp;E41,'Drift - med projekt'!$S:$S,F41)</f>
        <v>0</v>
      </c>
      <c r="X41">
        <f>SUMIFS('Drift - med projekt'!$AL:$AL,'Drift - med projekt'!$W:$W,B41&amp;C41&amp;D41&amp;E41,'Drift - med projekt'!$T:$T,F41)</f>
        <v>0</v>
      </c>
    </row>
    <row r="42" spans="2:24" ht="14.25" customHeight="1" x14ac:dyDescent="0.25">
      <c r="B42" t="s">
        <v>1369</v>
      </c>
      <c r="C42" t="s">
        <v>85</v>
      </c>
      <c r="D42" t="s">
        <v>684</v>
      </c>
      <c r="E42">
        <v>2013</v>
      </c>
      <c r="F42" t="s">
        <v>680</v>
      </c>
      <c r="H42" t="s">
        <v>1194</v>
      </c>
      <c r="S42">
        <f>SUMIFS('Drift - med projekt'!$AG:$AG,'Drift - med projekt'!$W:$W,B42&amp;C42&amp;D42&amp;E42,'Drift - med projekt'!$S:$S,F42)</f>
        <v>0</v>
      </c>
      <c r="T42">
        <f>SUMIFS('Drift - med projekt'!$AH:$AH,'Drift - med projekt'!$W:$W,B42&amp;C42&amp;D42&amp;E42,'Drift - med projekt'!$T:$T,F42)</f>
        <v>0</v>
      </c>
      <c r="U42">
        <f>SUMIFS('Drift - med projekt'!$AI:$AI,'Drift - med projekt'!$W:$W,B42&amp;C42&amp;D42&amp;E42,'Drift - med projekt'!$S:$S,F42)</f>
        <v>0</v>
      </c>
      <c r="V42">
        <f>SUMIFS('Drift - med projekt'!$AJ:$AJ,'Drift - med projekt'!$W:$W,B42&amp;C42&amp;D42&amp;E42,'Drift - med projekt'!$T:$T,F42)</f>
        <v>0</v>
      </c>
      <c r="W42">
        <f>SUMIFS('Drift - med projekt'!$AK:$AK,'Drift - med projekt'!$W:$W,B42&amp;C42&amp;D42&amp;E42,'Drift - med projekt'!$S:$S,F42)</f>
        <v>0</v>
      </c>
      <c r="X42">
        <f>SUMIFS('Drift - med projekt'!$AL:$AL,'Drift - med projekt'!$W:$W,B42&amp;C42&amp;D42&amp;E42,'Drift - med projekt'!$T:$T,F42)</f>
        <v>0</v>
      </c>
    </row>
    <row r="43" spans="2:24" ht="14.25" customHeight="1" x14ac:dyDescent="0.25">
      <c r="B43" t="s">
        <v>1369</v>
      </c>
      <c r="C43" t="s">
        <v>85</v>
      </c>
      <c r="D43" t="s">
        <v>684</v>
      </c>
      <c r="E43">
        <v>2013</v>
      </c>
      <c r="N43">
        <f>SUMIFS('Drift - med projekt'!$Y:$Y,'Drift - med projekt'!$W:$W,B43&amp;C43&amp;D43&amp;E43)</f>
        <v>0</v>
      </c>
      <c r="O43">
        <f>SUMIFS('Drift - med projekt'!$Z:$Z,'Drift - med projekt'!$W:$W,B43&amp;C43&amp;D43&amp;E43)</f>
        <v>0</v>
      </c>
      <c r="P43">
        <f>SUMIFS('Drift - med projekt'!$AA:$AA,'Drift - med projekt'!$W:$W,B43&amp;C43&amp;D43&amp;E43)</f>
        <v>0</v>
      </c>
      <c r="Q43">
        <f>SUMIFS('Drift - med projekt'!$AB:$AB,'Drift - med projekt'!$W:$W,B43&amp;C43&amp;D43&amp;E43)</f>
        <v>0</v>
      </c>
      <c r="R43">
        <f>SUMIFS('Drift - med projekt'!$AC:$AC,'Drift - med projekt'!$W:$W,B43&amp;C43&amp;D43&amp;E43)</f>
        <v>0</v>
      </c>
      <c r="S43">
        <f>SUMIFS('Drift - med projekt'!$AG:$AG,'Drift - med projekt'!$W:$W,B43&amp;C43&amp;D43&amp;E43,'Drift - med projekt'!$S:$S,"")</f>
        <v>0</v>
      </c>
      <c r="U43">
        <f>SUMIFS('Drift - med projekt'!$AI:$AI,'Drift - med projekt'!$W:$W,B43&amp;C43&amp;D43&amp;E43,'Drift - med projekt'!$S:$S,"")</f>
        <v>0</v>
      </c>
      <c r="W43">
        <f>SUMIFS('Drift - med projekt'!$AK:$AK,'Drift - med projekt'!$W:$W,B43&amp;C43&amp;D43&amp;E43,'Drift - med projekt'!$S:$S,"")</f>
        <v>0</v>
      </c>
    </row>
    <row r="44" spans="2:24" ht="14.25" customHeight="1" x14ac:dyDescent="0.25">
      <c r="B44" t="s">
        <v>1369</v>
      </c>
      <c r="C44" t="s">
        <v>85</v>
      </c>
      <c r="D44" t="s">
        <v>684</v>
      </c>
      <c r="E44">
        <v>2014</v>
      </c>
      <c r="F44" t="s">
        <v>1361</v>
      </c>
      <c r="H44" t="s">
        <v>1194</v>
      </c>
      <c r="S44">
        <f>SUMIFS('Drift - med projekt'!$AG:$AG,'Drift - med projekt'!$W:$W,B44&amp;C44&amp;D44&amp;E44,'Drift - med projekt'!$S:$S,F44)</f>
        <v>0</v>
      </c>
      <c r="T44">
        <f>SUMIFS('Drift - med projekt'!$AH:$AH,'Drift - med projekt'!$W:$W,B44&amp;C44&amp;D44&amp;E44,'Drift - med projekt'!$T:$T,F44)</f>
        <v>0</v>
      </c>
      <c r="U44">
        <f>SUMIFS('Drift - med projekt'!$AI:$AI,'Drift - med projekt'!$W:$W,B44&amp;C44&amp;D44&amp;E44,'Drift - med projekt'!$S:$S,F44)</f>
        <v>0</v>
      </c>
      <c r="V44">
        <f>SUMIFS('Drift - med projekt'!$AJ:$AJ,'Drift - med projekt'!$W:$W,B44&amp;C44&amp;D44&amp;E44,'Drift - med projekt'!$T:$T,F44)</f>
        <v>0</v>
      </c>
      <c r="W44">
        <f>SUMIFS('Drift - med projekt'!$AK:$AK,'Drift - med projekt'!$W:$W,B44&amp;C44&amp;D44&amp;E44,'Drift - med projekt'!$S:$S,F44)</f>
        <v>0</v>
      </c>
      <c r="X44">
        <f>SUMIFS('Drift - med projekt'!$AL:$AL,'Drift - med projekt'!$W:$W,B44&amp;C44&amp;D44&amp;E44,'Drift - med projekt'!$T:$T,F44)</f>
        <v>0</v>
      </c>
    </row>
    <row r="45" spans="2:24" ht="14.25" customHeight="1" x14ac:dyDescent="0.25">
      <c r="B45" t="s">
        <v>1369</v>
      </c>
      <c r="C45" t="s">
        <v>85</v>
      </c>
      <c r="D45" t="s">
        <v>684</v>
      </c>
      <c r="E45">
        <v>2014</v>
      </c>
      <c r="F45" t="s">
        <v>680</v>
      </c>
      <c r="H45" t="s">
        <v>1194</v>
      </c>
      <c r="S45">
        <f>SUMIFS('Drift - med projekt'!$AG:$AG,'Drift - med projekt'!$W:$W,B45&amp;C45&amp;D45&amp;E45,'Drift - med projekt'!$S:$S,F45)</f>
        <v>0</v>
      </c>
      <c r="T45">
        <f>SUMIFS('Drift - med projekt'!$AH:$AH,'Drift - med projekt'!$W:$W,B45&amp;C45&amp;D45&amp;E45,'Drift - med projekt'!$T:$T,F45)</f>
        <v>0</v>
      </c>
      <c r="U45">
        <f>SUMIFS('Drift - med projekt'!$AI:$AI,'Drift - med projekt'!$W:$W,B45&amp;C45&amp;D45&amp;E45,'Drift - med projekt'!$S:$S,F45)</f>
        <v>0</v>
      </c>
      <c r="V45">
        <f>SUMIFS('Drift - med projekt'!$AJ:$AJ,'Drift - med projekt'!$W:$W,B45&amp;C45&amp;D45&amp;E45,'Drift - med projekt'!$T:$T,F45)</f>
        <v>0</v>
      </c>
      <c r="W45">
        <f>SUMIFS('Drift - med projekt'!$AK:$AK,'Drift - med projekt'!$W:$W,B45&amp;C45&amp;D45&amp;E45,'Drift - med projekt'!$S:$S,F45)</f>
        <v>0</v>
      </c>
      <c r="X45">
        <f>SUMIFS('Drift - med projekt'!$AL:$AL,'Drift - med projekt'!$W:$W,B45&amp;C45&amp;D45&amp;E45,'Drift - med projekt'!$T:$T,F45)</f>
        <v>0</v>
      </c>
    </row>
    <row r="46" spans="2:24" ht="14.25" customHeight="1" x14ac:dyDescent="0.25">
      <c r="B46" t="s">
        <v>1369</v>
      </c>
      <c r="C46" t="s">
        <v>85</v>
      </c>
      <c r="D46" t="s">
        <v>684</v>
      </c>
      <c r="E46">
        <v>2014</v>
      </c>
      <c r="N46">
        <f>SUMIFS('Drift - med projekt'!$Y:$Y,'Drift - med projekt'!$W:$W,B46&amp;C46&amp;D46&amp;E46)</f>
        <v>0</v>
      </c>
      <c r="O46">
        <f>SUMIFS('Drift - med projekt'!$Z:$Z,'Drift - med projekt'!$W:$W,B46&amp;C46&amp;D46&amp;E46)</f>
        <v>0</v>
      </c>
      <c r="P46">
        <f>SUMIFS('Drift - med projekt'!$AA:$AA,'Drift - med projekt'!$W:$W,B46&amp;C46&amp;D46&amp;E46)</f>
        <v>0</v>
      </c>
      <c r="Q46">
        <f>SUMIFS('Drift - med projekt'!$AB:$AB,'Drift - med projekt'!$W:$W,B46&amp;C46&amp;D46&amp;E46)</f>
        <v>0</v>
      </c>
      <c r="R46">
        <f>SUMIFS('Drift - med projekt'!$AC:$AC,'Drift - med projekt'!$W:$W,B46&amp;C46&amp;D46&amp;E46)</f>
        <v>0</v>
      </c>
      <c r="S46">
        <f>SUMIFS('Drift - med projekt'!$AG:$AG,'Drift - med projekt'!$W:$W,B46&amp;C46&amp;D46&amp;E46,'Drift - med projekt'!$S:$S,"")</f>
        <v>0</v>
      </c>
      <c r="U46">
        <f>SUMIFS('Drift - med projekt'!$AI:$AI,'Drift - med projekt'!$W:$W,B46&amp;C46&amp;D46&amp;E46,'Drift - med projekt'!$S:$S,"")</f>
        <v>0</v>
      </c>
      <c r="W46">
        <f>SUMIFS('Drift - med projekt'!$AK:$AK,'Drift - med projekt'!$W:$W,B46&amp;C46&amp;D46&amp;E46,'Drift - med projekt'!$S:$S,"")</f>
        <v>0</v>
      </c>
    </row>
    <row r="47" spans="2:24" ht="14.25" customHeight="1" x14ac:dyDescent="0.25">
      <c r="B47" t="s">
        <v>1369</v>
      </c>
      <c r="C47" t="s">
        <v>86</v>
      </c>
      <c r="D47" t="s">
        <v>684</v>
      </c>
      <c r="E47">
        <v>2013</v>
      </c>
      <c r="F47" t="s">
        <v>1361</v>
      </c>
      <c r="H47" t="s">
        <v>1194</v>
      </c>
      <c r="S47">
        <f>SUMIFS('Drift - med projekt'!$AG:$AG,'Drift - med projekt'!$W:$W,B47&amp;C47&amp;D47&amp;E47,'Drift - med projekt'!$S:$S,F47)</f>
        <v>0</v>
      </c>
      <c r="T47">
        <f>SUMIFS('Drift - med projekt'!$AH:$AH,'Drift - med projekt'!$W:$W,B47&amp;C47&amp;D47&amp;E47,'Drift - med projekt'!$T:$T,F47)</f>
        <v>0</v>
      </c>
      <c r="U47">
        <f>SUMIFS('Drift - med projekt'!$AI:$AI,'Drift - med projekt'!$W:$W,B47&amp;C47&amp;D47&amp;E47,'Drift - med projekt'!$S:$S,F47)</f>
        <v>0</v>
      </c>
      <c r="V47">
        <f>SUMIFS('Drift - med projekt'!$AJ:$AJ,'Drift - med projekt'!$W:$W,B47&amp;C47&amp;D47&amp;E47,'Drift - med projekt'!$T:$T,F47)</f>
        <v>0</v>
      </c>
      <c r="W47">
        <f>SUMIFS('Drift - med projekt'!$AK:$AK,'Drift - med projekt'!$W:$W,B47&amp;C47&amp;D47&amp;E47,'Drift - med projekt'!$S:$S,F47)</f>
        <v>0</v>
      </c>
      <c r="X47">
        <f>SUMIFS('Drift - med projekt'!$AL:$AL,'Drift - med projekt'!$W:$W,B47&amp;C47&amp;D47&amp;E47,'Drift - med projekt'!$T:$T,F47)</f>
        <v>0</v>
      </c>
    </row>
    <row r="48" spans="2:24" ht="14.25" customHeight="1" x14ac:dyDescent="0.25">
      <c r="B48" t="s">
        <v>1369</v>
      </c>
      <c r="C48" t="s">
        <v>86</v>
      </c>
      <c r="D48" t="s">
        <v>684</v>
      </c>
      <c r="E48">
        <v>2013</v>
      </c>
      <c r="F48" t="s">
        <v>680</v>
      </c>
      <c r="H48" t="s">
        <v>1194</v>
      </c>
      <c r="S48">
        <f>SUMIFS('Drift - med projekt'!$AG:$AG,'Drift - med projekt'!$W:$W,B48&amp;C48&amp;D48&amp;E48,'Drift - med projekt'!$S:$S,F48)</f>
        <v>0</v>
      </c>
      <c r="T48">
        <f>SUMIFS('Drift - med projekt'!$AH:$AH,'Drift - med projekt'!$W:$W,B48&amp;C48&amp;D48&amp;E48,'Drift - med projekt'!$T:$T,F48)</f>
        <v>0</v>
      </c>
      <c r="U48">
        <f>SUMIFS('Drift - med projekt'!$AI:$AI,'Drift - med projekt'!$W:$W,B48&amp;C48&amp;D48&amp;E48,'Drift - med projekt'!$S:$S,F48)</f>
        <v>0</v>
      </c>
      <c r="V48">
        <f>SUMIFS('Drift - med projekt'!$AJ:$AJ,'Drift - med projekt'!$W:$W,B48&amp;C48&amp;D48&amp;E48,'Drift - med projekt'!$T:$T,F48)</f>
        <v>0</v>
      </c>
      <c r="W48">
        <f>SUMIFS('Drift - med projekt'!$AK:$AK,'Drift - med projekt'!$W:$W,B48&amp;C48&amp;D48&amp;E48,'Drift - med projekt'!$S:$S,F48)</f>
        <v>0</v>
      </c>
      <c r="X48">
        <f>SUMIFS('Drift - med projekt'!$AL:$AL,'Drift - med projekt'!$W:$W,B48&amp;C48&amp;D48&amp;E48,'Drift - med projekt'!$T:$T,F48)</f>
        <v>0</v>
      </c>
    </row>
    <row r="49" spans="2:24" ht="14.25" customHeight="1" x14ac:dyDescent="0.25">
      <c r="B49" t="s">
        <v>1369</v>
      </c>
      <c r="C49" t="s">
        <v>86</v>
      </c>
      <c r="D49" t="s">
        <v>684</v>
      </c>
      <c r="E49">
        <v>2013</v>
      </c>
      <c r="N49">
        <f>SUMIFS('Drift - med projekt'!$Y:$Y,'Drift - med projekt'!$W:$W,B49&amp;C49&amp;D49&amp;E49)</f>
        <v>0</v>
      </c>
      <c r="O49">
        <f>SUMIFS('Drift - med projekt'!$Z:$Z,'Drift - med projekt'!$W:$W,B49&amp;C49&amp;D49&amp;E49)</f>
        <v>0</v>
      </c>
      <c r="P49">
        <f>SUMIFS('Drift - med projekt'!$AA:$AA,'Drift - med projekt'!$W:$W,B49&amp;C49&amp;D49&amp;E49)</f>
        <v>0</v>
      </c>
      <c r="Q49">
        <f>SUMIFS('Drift - med projekt'!$AB:$AB,'Drift - med projekt'!$W:$W,B49&amp;C49&amp;D49&amp;E49)</f>
        <v>0</v>
      </c>
      <c r="R49">
        <f>SUMIFS('Drift - med projekt'!$AC:$AC,'Drift - med projekt'!$W:$W,B49&amp;C49&amp;D49&amp;E49)</f>
        <v>0</v>
      </c>
      <c r="S49">
        <f>SUMIFS('Drift - med projekt'!$AG:$AG,'Drift - med projekt'!$W:$W,B49&amp;C49&amp;D49&amp;E49,'Drift - med projekt'!$S:$S,"")</f>
        <v>0</v>
      </c>
      <c r="U49">
        <f>SUMIFS('Drift - med projekt'!$AI:$AI,'Drift - med projekt'!$W:$W,B49&amp;C49&amp;D49&amp;E49,'Drift - med projekt'!$S:$S,"")</f>
        <v>0</v>
      </c>
      <c r="W49">
        <f>SUMIFS('Drift - med projekt'!$AK:$AK,'Drift - med projekt'!$W:$W,B49&amp;C49&amp;D49&amp;E49,'Drift - med projekt'!$S:$S,"")</f>
        <v>0</v>
      </c>
    </row>
    <row r="50" spans="2:24" ht="14.25" customHeight="1" x14ac:dyDescent="0.25">
      <c r="B50" t="s">
        <v>1369</v>
      </c>
      <c r="C50" t="s">
        <v>86</v>
      </c>
      <c r="D50" t="s">
        <v>684</v>
      </c>
      <c r="E50">
        <v>2014</v>
      </c>
      <c r="F50" t="s">
        <v>1361</v>
      </c>
      <c r="H50" t="s">
        <v>1194</v>
      </c>
      <c r="S50">
        <f>SUMIFS('Drift - med projekt'!$AG:$AG,'Drift - med projekt'!$W:$W,B50&amp;C50&amp;D50&amp;E50,'Drift - med projekt'!$S:$S,F50)</f>
        <v>0</v>
      </c>
      <c r="T50">
        <f>SUMIFS('Drift - med projekt'!$AH:$AH,'Drift - med projekt'!$W:$W,B50&amp;C50&amp;D50&amp;E50,'Drift - med projekt'!$T:$T,F50)</f>
        <v>0</v>
      </c>
      <c r="U50">
        <f>SUMIFS('Drift - med projekt'!$AI:$AI,'Drift - med projekt'!$W:$W,B50&amp;C50&amp;D50&amp;E50,'Drift - med projekt'!$S:$S,F50)</f>
        <v>0</v>
      </c>
      <c r="V50">
        <f>SUMIFS('Drift - med projekt'!$AJ:$AJ,'Drift - med projekt'!$W:$W,B50&amp;C50&amp;D50&amp;E50,'Drift - med projekt'!$T:$T,F50)</f>
        <v>0</v>
      </c>
      <c r="W50">
        <f>SUMIFS('Drift - med projekt'!$AK:$AK,'Drift - med projekt'!$W:$W,B50&amp;C50&amp;D50&amp;E50,'Drift - med projekt'!$S:$S,F50)</f>
        <v>0</v>
      </c>
      <c r="X50">
        <f>SUMIFS('Drift - med projekt'!$AL:$AL,'Drift - med projekt'!$W:$W,B50&amp;C50&amp;D50&amp;E50,'Drift - med projekt'!$T:$T,F50)</f>
        <v>0</v>
      </c>
    </row>
    <row r="51" spans="2:24" ht="14.25" customHeight="1" x14ac:dyDescent="0.25">
      <c r="B51" t="s">
        <v>1369</v>
      </c>
      <c r="C51" t="s">
        <v>86</v>
      </c>
      <c r="D51" t="s">
        <v>684</v>
      </c>
      <c r="E51">
        <v>2014</v>
      </c>
      <c r="F51" t="s">
        <v>680</v>
      </c>
      <c r="H51" t="s">
        <v>1194</v>
      </c>
      <c r="S51">
        <f>SUMIFS('Drift - med projekt'!$AG:$AG,'Drift - med projekt'!$W:$W,B51&amp;C51&amp;D51&amp;E51,'Drift - med projekt'!$S:$S,F51)</f>
        <v>0</v>
      </c>
      <c r="T51">
        <f>SUMIFS('Drift - med projekt'!$AH:$AH,'Drift - med projekt'!$W:$W,B51&amp;C51&amp;D51&amp;E51,'Drift - med projekt'!$T:$T,F51)</f>
        <v>0</v>
      </c>
      <c r="U51">
        <f>SUMIFS('Drift - med projekt'!$AI:$AI,'Drift - med projekt'!$W:$W,B51&amp;C51&amp;D51&amp;E51,'Drift - med projekt'!$S:$S,F51)</f>
        <v>0</v>
      </c>
      <c r="V51">
        <f>SUMIFS('Drift - med projekt'!$AJ:$AJ,'Drift - med projekt'!$W:$W,B51&amp;C51&amp;D51&amp;E51,'Drift - med projekt'!$T:$T,F51)</f>
        <v>0</v>
      </c>
      <c r="W51">
        <f>SUMIFS('Drift - med projekt'!$AK:$AK,'Drift - med projekt'!$W:$W,B51&amp;C51&amp;D51&amp;E51,'Drift - med projekt'!$S:$S,F51)</f>
        <v>0</v>
      </c>
      <c r="X51">
        <f>SUMIFS('Drift - med projekt'!$AL:$AL,'Drift - med projekt'!$W:$W,B51&amp;C51&amp;D51&amp;E51,'Drift - med projekt'!$T:$T,F51)</f>
        <v>0</v>
      </c>
    </row>
    <row r="52" spans="2:24" ht="14.25" customHeight="1" x14ac:dyDescent="0.25">
      <c r="B52" t="s">
        <v>1369</v>
      </c>
      <c r="C52" t="s">
        <v>86</v>
      </c>
      <c r="D52" t="s">
        <v>684</v>
      </c>
      <c r="E52">
        <v>2014</v>
      </c>
      <c r="N52">
        <f>SUMIFS('Drift - med projekt'!$Y:$Y,'Drift - med projekt'!$W:$W,B52&amp;C52&amp;D52&amp;E52)</f>
        <v>0</v>
      </c>
      <c r="O52">
        <f>SUMIFS('Drift - med projekt'!$Z:$Z,'Drift - med projekt'!$W:$W,B52&amp;C52&amp;D52&amp;E52)</f>
        <v>0</v>
      </c>
      <c r="P52">
        <f>SUMIFS('Drift - med projekt'!$AA:$AA,'Drift - med projekt'!$W:$W,B52&amp;C52&amp;D52&amp;E52)</f>
        <v>0</v>
      </c>
      <c r="Q52">
        <f>SUMIFS('Drift - med projekt'!$AB:$AB,'Drift - med projekt'!$W:$W,B52&amp;C52&amp;D52&amp;E52)</f>
        <v>0</v>
      </c>
      <c r="R52">
        <f>SUMIFS('Drift - med projekt'!$AC:$AC,'Drift - med projekt'!$W:$W,B52&amp;C52&amp;D52&amp;E52)</f>
        <v>0</v>
      </c>
      <c r="S52">
        <f>SUMIFS('Drift - med projekt'!$AG:$AG,'Drift - med projekt'!$W:$W,B52&amp;C52&amp;D52&amp;E52,'Drift - med projekt'!$S:$S,"")</f>
        <v>0</v>
      </c>
      <c r="U52">
        <f>SUMIFS('Drift - med projekt'!$AI:$AI,'Drift - med projekt'!$W:$W,B52&amp;C52&amp;D52&amp;E52,'Drift - med projekt'!$S:$S,"")</f>
        <v>0</v>
      </c>
      <c r="W52">
        <f>SUMIFS('Drift - med projekt'!$AK:$AK,'Drift - med projekt'!$W:$W,B52&amp;C52&amp;D52&amp;E52,'Drift - med projekt'!$S:$S,"")</f>
        <v>0</v>
      </c>
    </row>
    <row r="53" spans="2:24" ht="14.25" customHeight="1" x14ac:dyDescent="0.25">
      <c r="B53" t="s">
        <v>1369</v>
      </c>
      <c r="C53" t="s">
        <v>1486</v>
      </c>
      <c r="D53" t="s">
        <v>684</v>
      </c>
      <c r="E53">
        <v>2013</v>
      </c>
      <c r="F53" t="s">
        <v>1361</v>
      </c>
      <c r="H53" t="s">
        <v>1194</v>
      </c>
      <c r="S53">
        <f>SUMIFS('Drift - med projekt'!$AG:$AG,'Drift - med projekt'!$W:$W,B53&amp;C53&amp;D53&amp;E53,'Drift - med projekt'!$S:$S,F53)</f>
        <v>0</v>
      </c>
      <c r="T53">
        <f>SUMIFS('Drift - med projekt'!$AH:$AH,'Drift - med projekt'!$W:$W,B53&amp;C53&amp;D53&amp;E53,'Drift - med projekt'!$T:$T,F53)</f>
        <v>0</v>
      </c>
      <c r="U53">
        <f>SUMIFS('Drift - med projekt'!$AI:$AI,'Drift - med projekt'!$W:$W,B53&amp;C53&amp;D53&amp;E53,'Drift - med projekt'!$S:$S,F53)</f>
        <v>0</v>
      </c>
      <c r="V53">
        <f>SUMIFS('Drift - med projekt'!$AJ:$AJ,'Drift - med projekt'!$W:$W,B53&amp;C53&amp;D53&amp;E53,'Drift - med projekt'!$T:$T,F53)</f>
        <v>0</v>
      </c>
      <c r="W53">
        <f>SUMIFS('Drift - med projekt'!$AK:$AK,'Drift - med projekt'!$W:$W,B53&amp;C53&amp;D53&amp;E53,'Drift - med projekt'!$S:$S,F53)</f>
        <v>0</v>
      </c>
      <c r="X53">
        <f>SUMIFS('Drift - med projekt'!$AL:$AL,'Drift - med projekt'!$W:$W,B53&amp;C53&amp;D53&amp;E53,'Drift - med projekt'!$T:$T,F53)</f>
        <v>0</v>
      </c>
    </row>
    <row r="54" spans="2:24" ht="14.25" customHeight="1" x14ac:dyDescent="0.25">
      <c r="B54" t="s">
        <v>1369</v>
      </c>
      <c r="C54" t="s">
        <v>1486</v>
      </c>
      <c r="D54" t="s">
        <v>684</v>
      </c>
      <c r="E54">
        <v>2013</v>
      </c>
      <c r="F54" t="s">
        <v>680</v>
      </c>
      <c r="H54" t="s">
        <v>1194</v>
      </c>
      <c r="S54">
        <f>SUMIFS('Drift - med projekt'!$AG:$AG,'Drift - med projekt'!$W:$W,B54&amp;C54&amp;D54&amp;E54,'Drift - med projekt'!$S:$S,F54)</f>
        <v>0</v>
      </c>
      <c r="T54">
        <f>SUMIFS('Drift - med projekt'!$AH:$AH,'Drift - med projekt'!$W:$W,B54&amp;C54&amp;D54&amp;E54,'Drift - med projekt'!$T:$T,F54)</f>
        <v>0</v>
      </c>
      <c r="U54">
        <f>SUMIFS('Drift - med projekt'!$AI:$AI,'Drift - med projekt'!$W:$W,B54&amp;C54&amp;D54&amp;E54,'Drift - med projekt'!$S:$S,F54)</f>
        <v>0</v>
      </c>
      <c r="V54">
        <f>SUMIFS('Drift - med projekt'!$AJ:$AJ,'Drift - med projekt'!$W:$W,B54&amp;C54&amp;D54&amp;E54,'Drift - med projekt'!$T:$T,F54)</f>
        <v>0</v>
      </c>
      <c r="W54">
        <f>SUMIFS('Drift - med projekt'!$AK:$AK,'Drift - med projekt'!$W:$W,B54&amp;C54&amp;D54&amp;E54,'Drift - med projekt'!$S:$S,F54)</f>
        <v>0</v>
      </c>
      <c r="X54">
        <f>SUMIFS('Drift - med projekt'!$AL:$AL,'Drift - med projekt'!$W:$W,B54&amp;C54&amp;D54&amp;E54,'Drift - med projekt'!$T:$T,F54)</f>
        <v>0</v>
      </c>
    </row>
    <row r="55" spans="2:24" ht="14.25" customHeight="1" x14ac:dyDescent="0.25">
      <c r="B55" t="s">
        <v>1369</v>
      </c>
      <c r="C55" t="s">
        <v>1486</v>
      </c>
      <c r="D55" t="s">
        <v>684</v>
      </c>
      <c r="E55">
        <v>2013</v>
      </c>
      <c r="N55">
        <f>SUMIFS('Drift - med projekt'!$Y:$Y,'Drift - med projekt'!$W:$W,B55&amp;C55&amp;D55&amp;E55)</f>
        <v>0</v>
      </c>
      <c r="O55">
        <f>SUMIFS('Drift - med projekt'!$Z:$Z,'Drift - med projekt'!$W:$W,B55&amp;C55&amp;D55&amp;E55)</f>
        <v>0</v>
      </c>
      <c r="P55">
        <f>SUMIFS('Drift - med projekt'!$AA:$AA,'Drift - med projekt'!$W:$W,B55&amp;C55&amp;D55&amp;E55)</f>
        <v>0</v>
      </c>
      <c r="Q55">
        <f>SUMIFS('Drift - med projekt'!$AB:$AB,'Drift - med projekt'!$W:$W,B55&amp;C55&amp;D55&amp;E55)</f>
        <v>0</v>
      </c>
      <c r="R55">
        <f>SUMIFS('Drift - med projekt'!$AC:$AC,'Drift - med projekt'!$W:$W,B55&amp;C55&amp;D55&amp;E55)</f>
        <v>0</v>
      </c>
      <c r="S55">
        <f>SUMIFS('Drift - med projekt'!$AG:$AG,'Drift - med projekt'!$W:$W,B55&amp;C55&amp;D55&amp;E55,'Drift - med projekt'!$S:$S,"")</f>
        <v>0</v>
      </c>
      <c r="U55">
        <f>SUMIFS('Drift - med projekt'!$AI:$AI,'Drift - med projekt'!$W:$W,B55&amp;C55&amp;D55&amp;E55,'Drift - med projekt'!$S:$S,"")</f>
        <v>0</v>
      </c>
      <c r="W55">
        <f>SUMIFS('Drift - med projekt'!$AK:$AK,'Drift - med projekt'!$W:$W,B55&amp;C55&amp;D55&amp;E55,'Drift - med projekt'!$S:$S,"")</f>
        <v>0</v>
      </c>
    </row>
    <row r="56" spans="2:24" ht="14.25" customHeight="1" x14ac:dyDescent="0.25">
      <c r="B56" t="s">
        <v>1369</v>
      </c>
      <c r="C56" t="s">
        <v>1486</v>
      </c>
      <c r="D56" t="s">
        <v>684</v>
      </c>
      <c r="E56">
        <v>2014</v>
      </c>
      <c r="F56" t="s">
        <v>1361</v>
      </c>
      <c r="H56" t="s">
        <v>1194</v>
      </c>
      <c r="S56">
        <f>SUMIFS('Drift - med projekt'!$AG:$AG,'Drift - med projekt'!$W:$W,B56&amp;C56&amp;D56&amp;E56,'Drift - med projekt'!$S:$S,F56)</f>
        <v>0</v>
      </c>
      <c r="T56">
        <f>SUMIFS('Drift - med projekt'!$AH:$AH,'Drift - med projekt'!$W:$W,B56&amp;C56&amp;D56&amp;E56,'Drift - med projekt'!$T:$T,F56)</f>
        <v>0</v>
      </c>
      <c r="U56">
        <f>SUMIFS('Drift - med projekt'!$AI:$AI,'Drift - med projekt'!$W:$W,B56&amp;C56&amp;D56&amp;E56,'Drift - med projekt'!$S:$S,F56)</f>
        <v>0</v>
      </c>
      <c r="V56">
        <f>SUMIFS('Drift - med projekt'!$AJ:$AJ,'Drift - med projekt'!$W:$W,B56&amp;C56&amp;D56&amp;E56,'Drift - med projekt'!$T:$T,F56)</f>
        <v>0</v>
      </c>
      <c r="W56">
        <f>SUMIFS('Drift - med projekt'!$AK:$AK,'Drift - med projekt'!$W:$W,B56&amp;C56&amp;D56&amp;E56,'Drift - med projekt'!$S:$S,F56)</f>
        <v>0</v>
      </c>
      <c r="X56">
        <f>SUMIFS('Drift - med projekt'!$AL:$AL,'Drift - med projekt'!$W:$W,B56&amp;C56&amp;D56&amp;E56,'Drift - med projekt'!$T:$T,F56)</f>
        <v>0</v>
      </c>
    </row>
    <row r="57" spans="2:24" ht="14.25" customHeight="1" x14ac:dyDescent="0.25">
      <c r="B57" t="s">
        <v>1369</v>
      </c>
      <c r="C57" t="s">
        <v>1486</v>
      </c>
      <c r="D57" t="s">
        <v>684</v>
      </c>
      <c r="E57">
        <v>2014</v>
      </c>
      <c r="F57" t="s">
        <v>680</v>
      </c>
      <c r="H57" t="s">
        <v>1194</v>
      </c>
      <c r="S57">
        <f>SUMIFS('Drift - med projekt'!$AG:$AG,'Drift - med projekt'!$W:$W,B57&amp;C57&amp;D57&amp;E57,'Drift - med projekt'!$S:$S,F57)</f>
        <v>0</v>
      </c>
      <c r="T57">
        <f>SUMIFS('Drift - med projekt'!$AH:$AH,'Drift - med projekt'!$W:$W,B57&amp;C57&amp;D57&amp;E57,'Drift - med projekt'!$T:$T,F57)</f>
        <v>0</v>
      </c>
      <c r="U57">
        <f>SUMIFS('Drift - med projekt'!$AI:$AI,'Drift - med projekt'!$W:$W,B57&amp;C57&amp;D57&amp;E57,'Drift - med projekt'!$S:$S,F57)</f>
        <v>0</v>
      </c>
      <c r="V57">
        <f>SUMIFS('Drift - med projekt'!$AJ:$AJ,'Drift - med projekt'!$W:$W,B57&amp;C57&amp;D57&amp;E57,'Drift - med projekt'!$T:$T,F57)</f>
        <v>0</v>
      </c>
      <c r="W57">
        <f>SUMIFS('Drift - med projekt'!$AK:$AK,'Drift - med projekt'!$W:$W,B57&amp;C57&amp;D57&amp;E57,'Drift - med projekt'!$S:$S,F57)</f>
        <v>0</v>
      </c>
      <c r="X57">
        <f>SUMIFS('Drift - med projekt'!$AL:$AL,'Drift - med projekt'!$W:$W,B57&amp;C57&amp;D57&amp;E57,'Drift - med projekt'!$T:$T,F57)</f>
        <v>0</v>
      </c>
    </row>
    <row r="58" spans="2:24" ht="14.25" customHeight="1" x14ac:dyDescent="0.25">
      <c r="B58" t="s">
        <v>1369</v>
      </c>
      <c r="C58" t="s">
        <v>1486</v>
      </c>
      <c r="D58" t="s">
        <v>684</v>
      </c>
      <c r="E58">
        <v>2014</v>
      </c>
      <c r="N58">
        <f>SUMIFS('Drift - med projekt'!$Y:$Y,'Drift - med projekt'!$W:$W,B58&amp;C58&amp;D58&amp;E58)</f>
        <v>0</v>
      </c>
      <c r="O58">
        <f>SUMIFS('Drift - med projekt'!$Z:$Z,'Drift - med projekt'!$W:$W,B58&amp;C58&amp;D58&amp;E58)</f>
        <v>0</v>
      </c>
      <c r="P58">
        <f>SUMIFS('Drift - med projekt'!$AA:$AA,'Drift - med projekt'!$W:$W,B58&amp;C58&amp;D58&amp;E58)</f>
        <v>0</v>
      </c>
      <c r="Q58">
        <f>SUMIFS('Drift - med projekt'!$AB:$AB,'Drift - med projekt'!$W:$W,B58&amp;C58&amp;D58&amp;E58)</f>
        <v>0</v>
      </c>
      <c r="R58">
        <f>SUMIFS('Drift - med projekt'!$AC:$AC,'Drift - med projekt'!$W:$W,B58&amp;C58&amp;D58&amp;E58)</f>
        <v>0</v>
      </c>
      <c r="S58">
        <f>SUMIFS('Drift - med projekt'!$AG:$AG,'Drift - med projekt'!$W:$W,B58&amp;C58&amp;D58&amp;E58,'Drift - med projekt'!$S:$S,"")</f>
        <v>0</v>
      </c>
      <c r="U58">
        <f>SUMIFS('Drift - med projekt'!$AI:$AI,'Drift - med projekt'!$W:$W,B58&amp;C58&amp;D58&amp;E58,'Drift - med projekt'!$S:$S,"")</f>
        <v>0</v>
      </c>
      <c r="W58">
        <f>SUMIFS('Drift - med projekt'!$AK:$AK,'Drift - med projekt'!$W:$W,B58&amp;C58&amp;D58&amp;E58,'Drift - med projekt'!$S:$S,"")</f>
        <v>0</v>
      </c>
    </row>
  </sheetData>
  <sheetProtection algorithmName="SHA-512" hashValue="LiOcxc6oZbCFcb5ICrfZL193FWapSI/5cP0//oQ3XVWx7w6Xtqg5Y5NI6P51/kfBgz8z48ACNxi624vBEOuo6w==" saltValue="Snd3zFvQ8Z0sw0icnLrQ6w==" spinCount="100000" sheet="1" objects="1" scenarios="1"/>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tabColor rgb="FF5379B7"/>
  </sheetPr>
  <dimension ref="B2:Y5"/>
  <sheetViews>
    <sheetView showGridLines="0" zoomScale="80" zoomScaleNormal="80" workbookViewId="0">
      <selection activeCell="B4" sqref="B4:Y4"/>
    </sheetView>
  </sheetViews>
  <sheetFormatPr defaultColWidth="10.140625" defaultRowHeight="14.25" customHeight="1" x14ac:dyDescent="0.25"/>
  <cols>
    <col min="1" max="1" width="9.140625" customWidth="1"/>
    <col min="2" max="2" width="16.140625" customWidth="1"/>
    <col min="3" max="3" width="14.28515625" customWidth="1"/>
    <col min="4" max="8" width="18" customWidth="1"/>
    <col min="9" max="17" width="16.42578125" customWidth="1"/>
    <col min="18" max="18" width="16.28515625" customWidth="1"/>
    <col min="19" max="28" width="11.85546875" customWidth="1"/>
    <col min="29" max="200" width="9.140625" customWidth="1"/>
  </cols>
  <sheetData>
    <row r="2" spans="2:25" ht="48.95" customHeight="1" x14ac:dyDescent="0.25"/>
    <row r="4" spans="2:25" ht="39.950000000000003" customHeight="1" thickBot="1" x14ac:dyDescent="0.3">
      <c r="B4" s="22" t="s">
        <v>1312</v>
      </c>
      <c r="C4" s="19" t="s">
        <v>369</v>
      </c>
      <c r="D4" s="93"/>
      <c r="E4" s="93"/>
      <c r="F4" s="93"/>
      <c r="G4" s="93"/>
      <c r="H4" s="93"/>
      <c r="I4" s="93"/>
      <c r="J4" s="93"/>
      <c r="K4" s="93"/>
      <c r="L4" s="93"/>
      <c r="M4" s="93"/>
      <c r="N4" s="21" t="s">
        <v>300</v>
      </c>
      <c r="O4" s="21" t="s">
        <v>301</v>
      </c>
      <c r="P4" s="21" t="s">
        <v>302</v>
      </c>
      <c r="Q4" s="21" t="s">
        <v>1336</v>
      </c>
      <c r="R4" s="21" t="s">
        <v>1337</v>
      </c>
      <c r="S4" s="93"/>
      <c r="T4" s="93"/>
      <c r="U4" s="93"/>
      <c r="V4" s="93"/>
      <c r="W4" s="93"/>
      <c r="X4" s="93"/>
      <c r="Y4" s="93"/>
    </row>
    <row r="5" spans="2:25" ht="14.25" customHeight="1" x14ac:dyDescent="0.25">
      <c r="B5" t="s">
        <v>1367</v>
      </c>
      <c r="C5" t="s">
        <v>1451</v>
      </c>
      <c r="N5">
        <f>SUMIFS('Drift - med projekt'!$Y:$Y,'Drift - med projekt'!$W:$W,B5&amp;C5)</f>
        <v>0</v>
      </c>
      <c r="O5">
        <f>SUMIFS('Drift - med projekt'!$Z:$Z,'Drift - med projekt'!$W:$W,B5&amp;C5)</f>
        <v>0</v>
      </c>
      <c r="P5">
        <f>SUMIFS('Drift - med projekt'!$AA:$AA,'Drift - med projekt'!$W:$W,B5&amp;C5)</f>
        <v>0</v>
      </c>
      <c r="Q5">
        <f>SUMIFS('Drift - med projekt'!$AB:$AB,'Drift - med projekt'!$W:$W,B5&amp;C5)</f>
        <v>0</v>
      </c>
      <c r="R5">
        <f>SUMIFS('Drift - med projekt'!$AC:$AC,'Drift - med projekt'!$W:$W,B5&amp;C5)</f>
        <v>0</v>
      </c>
    </row>
  </sheetData>
  <sheetProtection algorithmName="SHA-512" hashValue="75xYnIko1umqyEAKcHOlpnWSOWFHP+fktauAAQFxsqAG5Yt98GzipcLHhXsN1q2Lewfots3L+T9e+08dpwELJg==" saltValue="aCw0qS21VubVHumPoj4L9g==" spinCount="100000" sheet="1" objects="1" scenarios="1"/>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9">
    <tabColor rgb="FF5379B7"/>
  </sheetPr>
  <dimension ref="B2:Y6"/>
  <sheetViews>
    <sheetView showGridLines="0" zoomScale="80" zoomScaleNormal="80" workbookViewId="0">
      <selection activeCell="B4" sqref="B4:Y4"/>
    </sheetView>
  </sheetViews>
  <sheetFormatPr defaultColWidth="10.140625" defaultRowHeight="14.25" customHeight="1" x14ac:dyDescent="0.25"/>
  <cols>
    <col min="1" max="1" width="9.140625" customWidth="1"/>
    <col min="2" max="2" width="16.140625" customWidth="1"/>
    <col min="3" max="3" width="14.28515625" customWidth="1"/>
    <col min="4" max="8" width="18" customWidth="1"/>
    <col min="9" max="17" width="16.42578125" customWidth="1"/>
    <col min="18" max="18" width="16.28515625" customWidth="1"/>
    <col min="19" max="28" width="11.85546875" customWidth="1"/>
    <col min="29" max="200" width="9.140625" customWidth="1"/>
  </cols>
  <sheetData>
    <row r="2" spans="2:25" ht="48.95" customHeight="1" x14ac:dyDescent="0.25"/>
    <row r="4" spans="2:25" ht="39.950000000000003" customHeight="1" thickBot="1" x14ac:dyDescent="0.3">
      <c r="B4" s="22" t="s">
        <v>1312</v>
      </c>
      <c r="C4" s="19" t="s">
        <v>311</v>
      </c>
      <c r="D4" s="93"/>
      <c r="E4" s="93"/>
      <c r="F4" s="93"/>
      <c r="G4" s="93"/>
      <c r="H4" s="93"/>
      <c r="I4" s="93"/>
      <c r="J4" s="93"/>
      <c r="K4" s="93"/>
      <c r="L4" s="93"/>
      <c r="M4" s="93"/>
      <c r="N4" s="21" t="s">
        <v>300</v>
      </c>
      <c r="O4" s="21" t="s">
        <v>301</v>
      </c>
      <c r="P4" s="21" t="s">
        <v>302</v>
      </c>
      <c r="Q4" s="21" t="s">
        <v>1336</v>
      </c>
      <c r="R4" s="21" t="s">
        <v>1337</v>
      </c>
      <c r="S4" s="93"/>
      <c r="T4" s="93"/>
      <c r="U4" s="93"/>
      <c r="V4" s="93"/>
      <c r="W4" s="93"/>
      <c r="X4" s="93"/>
      <c r="Y4" s="93"/>
    </row>
    <row r="5" spans="2:25" ht="14.25" customHeight="1" x14ac:dyDescent="0.25">
      <c r="B5" t="s">
        <v>1368</v>
      </c>
      <c r="C5">
        <v>2013</v>
      </c>
      <c r="N5">
        <f>SUMIFS('Drift - med projekt'!$Y:$Y,'Drift - med projekt'!$W:$W,B5&amp;C5)</f>
        <v>0</v>
      </c>
      <c r="O5">
        <f>SUMIFS('Drift - med projekt'!$Z:$Z,'Drift - med projekt'!$W:$W,B5&amp;C5)</f>
        <v>0</v>
      </c>
      <c r="P5">
        <f>SUMIFS('Drift - med projekt'!$AA:$AA,'Drift - med projekt'!$W:$W,B5&amp;C5)</f>
        <v>0</v>
      </c>
      <c r="Q5">
        <f>SUMIFS('Drift - med projekt'!$AB:$AB,'Drift - med projekt'!$W:$W,B5&amp;C5)</f>
        <v>0</v>
      </c>
      <c r="R5">
        <f>SUMIFS('Drift - med projekt'!$AC:$AC,'Drift - med projekt'!$W:$W,B5&amp;C5)</f>
        <v>0</v>
      </c>
    </row>
    <row r="6" spans="2:25" ht="14.25" customHeight="1" x14ac:dyDescent="0.25">
      <c r="B6" t="s">
        <v>1368</v>
      </c>
      <c r="C6">
        <v>2014</v>
      </c>
      <c r="N6">
        <f>SUMIFS('Drift - med projekt'!$Y:$Y,'Drift - med projekt'!$W:$W,B6&amp;C6)</f>
        <v>0</v>
      </c>
      <c r="O6">
        <f>SUMIFS('Drift - med projekt'!$Z:$Z,'Drift - med projekt'!$W:$W,B6&amp;C6)</f>
        <v>0</v>
      </c>
      <c r="P6">
        <f>SUMIFS('Drift - med projekt'!$AA:$AA,'Drift - med projekt'!$W:$W,B6&amp;C6)</f>
        <v>0</v>
      </c>
      <c r="Q6">
        <f>SUMIFS('Drift - med projekt'!$AB:$AB,'Drift - med projekt'!$W:$W,B6&amp;C6)</f>
        <v>0</v>
      </c>
      <c r="R6">
        <f>SUMIFS('Drift - med projekt'!$AC:$AC,'Drift - med projekt'!$W:$W,B6&amp;C6)</f>
        <v>0</v>
      </c>
    </row>
  </sheetData>
  <sheetProtection algorithmName="SHA-512" hashValue="+nodZ1Bgcm9nxBIex5qjzVREMh4HgnVC8F4uxZzpDXK2YTCuCBHQ7le5uafD9UflDizCAFmPgaaZZjwaTdqq7Q==" saltValue="XMgqs+OppttcbyieL+rNvw==" spinCount="100000" sheet="1" objects="1" scenarios="1"/>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tabColor rgb="FF5379B7"/>
  </sheetPr>
  <dimension ref="B2:Y5"/>
  <sheetViews>
    <sheetView showGridLines="0" zoomScale="80" zoomScaleNormal="80" workbookViewId="0">
      <selection activeCell="B4" sqref="B4:Y4"/>
    </sheetView>
  </sheetViews>
  <sheetFormatPr defaultColWidth="9.140625" defaultRowHeight="14.25" customHeight="1" x14ac:dyDescent="0.25"/>
  <cols>
    <col min="1" max="1" width="9.140625" customWidth="1"/>
    <col min="2" max="2" width="21.5703125" customWidth="1"/>
    <col min="3" max="3" width="22.85546875" customWidth="1"/>
    <col min="8" max="12" width="15.140625" customWidth="1"/>
    <col min="13" max="17" width="16.42578125" customWidth="1"/>
    <col min="18" max="18" width="16.28515625" customWidth="1"/>
    <col min="19" max="28" width="11.85546875" customWidth="1"/>
    <col min="29" max="200" width="9.140625" customWidth="1"/>
  </cols>
  <sheetData>
    <row r="2" spans="2:25" ht="48.95" customHeight="1" x14ac:dyDescent="0.25"/>
    <row r="4" spans="2:25" ht="39.950000000000003" customHeight="1" thickBot="1" x14ac:dyDescent="0.3">
      <c r="B4" s="43" t="s">
        <v>1312</v>
      </c>
      <c r="C4" s="93"/>
      <c r="D4" s="93"/>
      <c r="E4" s="93"/>
      <c r="F4" s="93"/>
      <c r="G4" s="93"/>
      <c r="H4" s="93"/>
      <c r="I4" s="93"/>
      <c r="J4" s="93"/>
      <c r="K4" s="93"/>
      <c r="L4" s="93"/>
      <c r="M4" s="93"/>
      <c r="N4" s="21" t="s">
        <v>363</v>
      </c>
      <c r="O4" s="93"/>
      <c r="P4" s="93"/>
      <c r="Q4" s="93"/>
      <c r="R4" s="93"/>
      <c r="S4" s="93"/>
      <c r="T4" s="93"/>
      <c r="U4" s="93"/>
      <c r="V4" s="93"/>
      <c r="W4" s="93"/>
      <c r="X4" s="93"/>
      <c r="Y4" s="93"/>
    </row>
    <row r="5" spans="2:25" ht="14.25" customHeight="1" x14ac:dyDescent="0.25">
      <c r="B5" t="s">
        <v>1369</v>
      </c>
      <c r="N5">
        <f>SUMIFS('Drift - før projekt'!$E:$E,'Drift - før projekt'!$W:$W,B5)</f>
        <v>0</v>
      </c>
    </row>
  </sheetData>
  <sheetProtection algorithmName="SHA-512" hashValue="SW+YodQFTFngo7iYm5RT5L60HDdhVyp0tTTZceWQvvzN8OTzlcBT/ttM/JeOi5pPXDsyM0FhYEQvWAZmy++f+A==" saltValue="icSRGerW+VF/D7RH2gFI5g==" spinCount="100000" sheet="1" objects="1" scenarios="1"/>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5">
    <tabColor rgb="FF5379B7"/>
  </sheetPr>
  <dimension ref="B2:N5"/>
  <sheetViews>
    <sheetView showGridLines="0" zoomScaleNormal="100" workbookViewId="0">
      <selection activeCell="B4" sqref="B4:Y4"/>
    </sheetView>
  </sheetViews>
  <sheetFormatPr defaultRowHeight="14.25" customHeight="1" x14ac:dyDescent="0.25"/>
  <cols>
    <col min="2" max="2" width="21.5703125" customWidth="1"/>
    <col min="3" max="3" width="22.85546875" customWidth="1"/>
    <col min="8" max="12" width="15.140625" customWidth="1"/>
  </cols>
  <sheetData>
    <row r="2" spans="2:14" ht="48.95" customHeight="1" x14ac:dyDescent="0.25"/>
    <row r="4" spans="2:14" ht="39.950000000000003" customHeight="1" thickBot="1" x14ac:dyDescent="0.3">
      <c r="B4" s="43" t="s">
        <v>1312</v>
      </c>
      <c r="C4" s="19" t="s">
        <v>291</v>
      </c>
      <c r="H4" s="93"/>
      <c r="N4" s="21" t="s">
        <v>363</v>
      </c>
    </row>
    <row r="5" spans="2:14" ht="14.25" customHeight="1" x14ac:dyDescent="0.25">
      <c r="B5" t="s">
        <v>1369</v>
      </c>
      <c r="C5" t="s">
        <v>1117</v>
      </c>
      <c r="N5">
        <f>SUMIFS('Drift - før projekt'!$E:$E,'Drift - før projekt'!$V:$V,B5,'Drift - før projekt'!$C:$C,C5)</f>
        <v>0</v>
      </c>
    </row>
  </sheetData>
  <sheetProtection algorithmName="SHA-512" hashValue="SR65bb8XHR69VlcfbPOLflurmIX3dmIkRDxUiDJOj59CyHoiprPPcBME7rFKFiFBGMz/O4YTDvTua7v0f42bCA==" saltValue="LkxPwf5FW27j6AEfu+crww==" spinCount="100000" sheet="1" objects="1" scenarios="1"/>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1">
    <tabColor rgb="FF5379B7"/>
  </sheetPr>
  <dimension ref="B2:R5"/>
  <sheetViews>
    <sheetView showGridLines="0" zoomScaleNormal="100" workbookViewId="0">
      <selection activeCell="B4" sqref="B4:Y4"/>
    </sheetView>
  </sheetViews>
  <sheetFormatPr defaultRowHeight="14.25" customHeight="1" x14ac:dyDescent="0.25"/>
  <cols>
    <col min="2" max="2" width="21.5703125" customWidth="1"/>
    <col min="3" max="3" width="22.85546875" customWidth="1"/>
    <col min="8" max="12" width="15.140625" customWidth="1"/>
  </cols>
  <sheetData>
    <row r="2" spans="2:18" ht="48.95" customHeight="1" x14ac:dyDescent="0.25"/>
    <row r="4" spans="2:18" ht="39.950000000000003" customHeight="1" thickBot="1" x14ac:dyDescent="0.3">
      <c r="B4" s="22" t="s">
        <v>1312</v>
      </c>
      <c r="C4" s="19" t="s">
        <v>291</v>
      </c>
      <c r="H4" s="93"/>
      <c r="I4" s="93"/>
      <c r="J4" s="93"/>
      <c r="K4" s="93"/>
      <c r="L4" s="93"/>
      <c r="N4" s="21" t="s">
        <v>300</v>
      </c>
      <c r="O4" s="21" t="s">
        <v>301</v>
      </c>
      <c r="P4" s="21" t="s">
        <v>302</v>
      </c>
      <c r="Q4" s="21" t="s">
        <v>1336</v>
      </c>
      <c r="R4" s="21" t="s">
        <v>1337</v>
      </c>
    </row>
    <row r="5" spans="2:18" ht="14.25" customHeight="1" x14ac:dyDescent="0.25">
      <c r="B5" t="s">
        <v>1369</v>
      </c>
      <c r="C5" t="s">
        <v>1117</v>
      </c>
      <c r="N5">
        <f>SUMIFS('Drift - med projekt'!$Y:$Y,'Drift - med projekt'!$V:$V,B5,'Drift - med projekt'!$C:$C,C5)</f>
        <v>0</v>
      </c>
      <c r="O5">
        <f>SUMIFS('Drift - med projekt'!$Z:$Z,'Drift - med projekt'!$V:$V,B5,'Drift - med projekt'!$C:$C,C5)</f>
        <v>0</v>
      </c>
      <c r="P5">
        <f>SUMIFS('Drift - med projekt'!$AA:$AA,'Drift - med projekt'!$V:$V,B5,'Drift - med projekt'!$C:$C,C5)</f>
        <v>0</v>
      </c>
      <c r="Q5">
        <f>SUMIFS('Drift - med projekt'!$AB:$AB,'Drift - med projekt'!$V:$V,B5,'Drift - med projekt'!$C:$C,C5)</f>
        <v>0</v>
      </c>
      <c r="R5">
        <f>SUMIFS('Drift - med projekt'!$AC:$AC,'Drift - med projekt'!$V:$V,B5,'Drift - med projekt'!$C:$C,C5)</f>
        <v>0</v>
      </c>
    </row>
  </sheetData>
  <sheetProtection algorithmName="SHA-512" hashValue="8H8tSQ+dV5rl/WYWQUEqryqcGar9wFARppLc453n962EGbB/6skx4SenqO0Ycm3VcjCPOVI+yVEH5L6PjKM5Yw==" saltValue="XNECgqsvgtpAGXcpZsXJCQ==" spinCount="100000" sheet="1" objects="1" scenarios="1"/>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tabColor rgb="FF5379B7"/>
  </sheetPr>
  <dimension ref="B2:R5"/>
  <sheetViews>
    <sheetView showGridLines="0" zoomScaleNormal="100" workbookViewId="0">
      <selection activeCell="B4" sqref="B4:Y4"/>
    </sheetView>
  </sheetViews>
  <sheetFormatPr defaultRowHeight="14.25" customHeight="1" x14ac:dyDescent="0.25"/>
  <cols>
    <col min="2" max="2" width="21.5703125" customWidth="1"/>
    <col min="3" max="3" width="22.85546875" customWidth="1"/>
    <col min="8" max="12" width="15.140625" customWidth="1"/>
  </cols>
  <sheetData>
    <row r="2" spans="2:18" ht="48.95" customHeight="1" x14ac:dyDescent="0.25"/>
    <row r="4" spans="2:18" ht="39.950000000000003" customHeight="1" thickBot="1" x14ac:dyDescent="0.3">
      <c r="B4" s="22" t="s">
        <v>1312</v>
      </c>
      <c r="C4" s="19" t="s">
        <v>291</v>
      </c>
      <c r="H4" s="93"/>
      <c r="I4" s="93"/>
      <c r="J4" s="93"/>
      <c r="K4" s="93"/>
      <c r="L4" s="93"/>
      <c r="N4" s="21" t="s">
        <v>300</v>
      </c>
      <c r="O4" s="21" t="s">
        <v>301</v>
      </c>
      <c r="P4" s="21" t="s">
        <v>302</v>
      </c>
      <c r="Q4" s="21" t="s">
        <v>1336</v>
      </c>
      <c r="R4" s="21" t="s">
        <v>1337</v>
      </c>
    </row>
    <row r="5" spans="2:18" ht="14.25" customHeight="1" x14ac:dyDescent="0.25">
      <c r="B5" t="s">
        <v>1369</v>
      </c>
      <c r="C5" t="s">
        <v>1117</v>
      </c>
      <c r="N5">
        <f>SUMIFS('Drift - fremtidig uden projekt'!$Y:$Y,'Drift - fremtidig uden projekt'!$V:$V,B5,'Drift - fremtidig uden projekt'!$C:$C,C5)</f>
        <v>0</v>
      </c>
      <c r="O5">
        <f>SUMIFS('Drift - fremtidig uden projekt'!$Z:$Z,'Drift - fremtidig uden projekt'!$V:$V,B5,'Drift - fremtidig uden projekt'!$C:$C,C5)</f>
        <v>0</v>
      </c>
      <c r="P5">
        <f>SUMIFS('Drift - fremtidig uden projekt'!$AA:$AA,'Drift - fremtidig uden projekt'!$V:$V,B5,'Drift - fremtidig uden projekt'!$C:$C,C5)</f>
        <v>0</v>
      </c>
      <c r="Q5">
        <f>SUMIFS('Drift - fremtidig uden projekt'!$AB:$AB,'Drift - fremtidig uden projekt'!$V:$V,B5,'Drift - fremtidig uden projekt'!$C:$C,C5)</f>
        <v>0</v>
      </c>
      <c r="R5">
        <f>SUMIFS('Drift - fremtidig uden projekt'!$AC:$AC,'Drift - fremtidig uden projekt'!$V:$V,B5,'Drift - fremtidig uden projekt'!$C:$C,C5)</f>
        <v>0</v>
      </c>
    </row>
  </sheetData>
  <sheetProtection algorithmName="SHA-512" hashValue="MScJ5DC8+Au5kI07kD2HSIMKEV7KWvy4/p7qwsoP3Etgxbb3h46VYU9AhZiCam6EKmqERG53dH4wZGDLMn55bA==" saltValue="vURzUgW8oeVHUwPPoqx0xQ==" spinCount="100000" sheet="1" objects="1" scenarios="1"/>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tabColor rgb="FF5379B7"/>
  </sheetPr>
  <dimension ref="B2:R9"/>
  <sheetViews>
    <sheetView showGridLines="0" topLeftCell="B1" zoomScaleNormal="100" workbookViewId="0">
      <selection activeCell="B4" sqref="B4:Y4"/>
    </sheetView>
  </sheetViews>
  <sheetFormatPr defaultRowHeight="14.25" customHeight="1" x14ac:dyDescent="0.25"/>
  <cols>
    <col min="2" max="2" width="21.5703125" customWidth="1"/>
    <col min="3" max="3" width="22.85546875" customWidth="1"/>
    <col min="8" max="12" width="15.140625" customWidth="1"/>
    <col min="14" max="18" width="13.140625" customWidth="1"/>
  </cols>
  <sheetData>
    <row r="2" spans="2:18" ht="48.95" customHeight="1" x14ac:dyDescent="0.25"/>
    <row r="4" spans="2:18" ht="39.950000000000003" customHeight="1" thickBot="1" x14ac:dyDescent="0.3">
      <c r="B4" s="22" t="s">
        <v>1312</v>
      </c>
      <c r="C4" s="19" t="s">
        <v>291</v>
      </c>
      <c r="H4" s="93"/>
      <c r="I4" s="93"/>
      <c r="J4" s="93"/>
      <c r="K4" s="93"/>
      <c r="L4" s="93"/>
      <c r="N4" s="21" t="s">
        <v>300</v>
      </c>
      <c r="O4" s="21" t="s">
        <v>301</v>
      </c>
      <c r="P4" s="21" t="s">
        <v>302</v>
      </c>
      <c r="Q4" s="21" t="s">
        <v>1336</v>
      </c>
      <c r="R4" s="21" t="s">
        <v>1337</v>
      </c>
    </row>
    <row r="5" spans="2:18" ht="14.25" customHeight="1" x14ac:dyDescent="0.25">
      <c r="B5" t="s">
        <v>309</v>
      </c>
      <c r="C5" t="s">
        <v>1117</v>
      </c>
      <c r="N5">
        <f>SUMIFS(Projektudgifter!$Y:$Y,Projektudgifter!$V:$V,B5,Projektudgifter!$C:$C,C5)</f>
        <v>0</v>
      </c>
      <c r="O5">
        <f>SUMIFS(Projektudgifter!$Z:$Z,Projektudgifter!$V:$V,B5,Projektudgifter!$C:$C,C5)</f>
        <v>0</v>
      </c>
      <c r="P5">
        <f>SUMIFS(Projektudgifter!$AA:$AA,Projektudgifter!$V:$V,B5,Projektudgifter!$C:$C,C5)</f>
        <v>0</v>
      </c>
      <c r="Q5">
        <f>SUMIFS(Projektudgifter!$AB:$AB,Projektudgifter!$V:$V,B5,Projektudgifter!$C:$C,C5)</f>
        <v>0</v>
      </c>
      <c r="R5">
        <f>SUMIFS(Projektudgifter!$AC:$AC,Projektudgifter!$V:$V,B5,Projektudgifter!$C:$C,C5)</f>
        <v>0</v>
      </c>
    </row>
    <row r="6" spans="2:18" ht="14.25" customHeight="1" x14ac:dyDescent="0.25">
      <c r="B6" t="s">
        <v>317</v>
      </c>
      <c r="C6" t="s">
        <v>1117</v>
      </c>
      <c r="N6">
        <f>SUMIFS(Projektudgifter!$Y:$Y,Projektudgifter!$V:$V,B6,Projektudgifter!$C:$C,C6)</f>
        <v>0</v>
      </c>
      <c r="O6">
        <f>SUMIFS(Projektudgifter!$Z:$Z,Projektudgifter!$V:$V,B6,Projektudgifter!$C:$C,C6)</f>
        <v>0</v>
      </c>
      <c r="P6">
        <f>SUMIFS(Projektudgifter!$AA:$AA,Projektudgifter!$V:$V,B6,Projektudgifter!$C:$C,C6)</f>
        <v>0</v>
      </c>
      <c r="Q6">
        <f>SUMIFS(Projektudgifter!$AB:$AB,Projektudgifter!$V:$V,B6,Projektudgifter!$C:$C,C6)</f>
        <v>0</v>
      </c>
      <c r="R6">
        <f>SUMIFS(Projektudgifter!$AC:$AC,Projektudgifter!$V:$V,B6,Projektudgifter!$C:$C,C6)</f>
        <v>0</v>
      </c>
    </row>
    <row r="7" spans="2:18" ht="14.25" customHeight="1" x14ac:dyDescent="0.25">
      <c r="B7" t="s">
        <v>318</v>
      </c>
      <c r="C7" t="s">
        <v>1117</v>
      </c>
      <c r="N7">
        <f>SUMIFS(Projektudgifter!$Y:$Y,Projektudgifter!$V:$V,B7,Projektudgifter!$C:$C,C7)</f>
        <v>0</v>
      </c>
      <c r="O7">
        <f>SUMIFS(Projektudgifter!$Z:$Z,Projektudgifter!$V:$V,B7,Projektudgifter!$C:$C,C7)</f>
        <v>0</v>
      </c>
      <c r="P7">
        <f>SUMIFS(Projektudgifter!$AA:$AA,Projektudgifter!$V:$V,B7,Projektudgifter!$C:$C,C7)</f>
        <v>0</v>
      </c>
      <c r="Q7">
        <f>SUMIFS(Projektudgifter!$AB:$AB,Projektudgifter!$V:$V,B7,Projektudgifter!$C:$C,C7)</f>
        <v>0</v>
      </c>
      <c r="R7">
        <f>SUMIFS(Projektudgifter!$AC:$AC,Projektudgifter!$V:$V,B7,Projektudgifter!$C:$C,C7)</f>
        <v>0</v>
      </c>
    </row>
    <row r="8" spans="2:18" ht="14.25" customHeight="1" x14ac:dyDescent="0.25">
      <c r="B8" t="s">
        <v>1250</v>
      </c>
      <c r="C8" t="s">
        <v>1117</v>
      </c>
      <c r="N8">
        <f>SUMIFS(Projektudgifter!$Y:$Y,Projektudgifter!$V:$V,B8,Projektudgifter!$C:$C,C8)</f>
        <v>0</v>
      </c>
      <c r="O8">
        <f>SUMIFS(Projektudgifter!$Z:$Z,Projektudgifter!$V:$V,B8,Projektudgifter!$C:$C,C8)</f>
        <v>0</v>
      </c>
      <c r="P8">
        <f>SUMIFS(Projektudgifter!$AA:$AA,Projektudgifter!$V:$V,B8,Projektudgifter!$C:$C,C8)</f>
        <v>0</v>
      </c>
      <c r="Q8">
        <f>SUMIFS(Projektudgifter!$AB:$AB,Projektudgifter!$V:$V,B8,Projektudgifter!$C:$C,C8)</f>
        <v>0</v>
      </c>
      <c r="R8">
        <f>SUMIFS(Projektudgifter!$AC:$AC,Projektudgifter!$V:$V,B8,Projektudgifter!$C:$C,C8)</f>
        <v>0</v>
      </c>
    </row>
    <row r="9" spans="2:18" ht="14.25" customHeight="1" x14ac:dyDescent="0.25">
      <c r="B9" t="s">
        <v>319</v>
      </c>
      <c r="C9" t="s">
        <v>1117</v>
      </c>
      <c r="N9">
        <f>SUMIFS(Projektudgifter!$Y:$Y,Projektudgifter!$V:$V,B9,Projektudgifter!$C:$C,C9)</f>
        <v>0</v>
      </c>
      <c r="O9">
        <f>SUMIFS(Projektudgifter!$Z:$Z,Projektudgifter!$V:$V,B9,Projektudgifter!$C:$C,C9)</f>
        <v>0</v>
      </c>
      <c r="P9">
        <f>SUMIFS(Projektudgifter!$AA:$AA,Projektudgifter!$V:$V,B9,Projektudgifter!$C:$C,C9)</f>
        <v>0</v>
      </c>
      <c r="Q9">
        <f>SUMIFS(Projektudgifter!$AB:$AB,Projektudgifter!$V:$V,B9,Projektudgifter!$C:$C,C9)</f>
        <v>0</v>
      </c>
      <c r="R9">
        <f>SUMIFS(Projektudgifter!$AC:$AC,Projektudgifter!$V:$V,B9,Projektudgifter!$C:$C,C9)</f>
        <v>0</v>
      </c>
    </row>
  </sheetData>
  <sheetProtection algorithmName="SHA-512" hashValue="NGzoMN3E3PPIZPYAyhBVXra0vHOVG63H/qiiRKdnZafiFvz80hI3ZhNKY77l78aXFMlabq/n2sWKsl4ARG8zGQ==" saltValue="dcgAyiVpHtLSUq9PRfsgXA==" spinCount="100000" sheet="1" objects="1" scenarios="1"/>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tabColor rgb="FF5379B7"/>
  </sheetPr>
  <dimension ref="B2:R6"/>
  <sheetViews>
    <sheetView showGridLines="0" zoomScaleNormal="100" workbookViewId="0">
      <selection activeCell="B4" sqref="B4:Y4"/>
    </sheetView>
  </sheetViews>
  <sheetFormatPr defaultRowHeight="14.25" customHeight="1" x14ac:dyDescent="0.25"/>
  <cols>
    <col min="2" max="2" width="21.5703125" customWidth="1"/>
    <col min="3" max="3" width="22.85546875" customWidth="1"/>
    <col min="8" max="12" width="15.140625" customWidth="1"/>
  </cols>
  <sheetData>
    <row r="2" spans="2:18" ht="48.95" customHeight="1" x14ac:dyDescent="0.25"/>
    <row r="4" spans="2:18" ht="39.950000000000003" customHeight="1" thickBot="1" x14ac:dyDescent="0.3">
      <c r="B4" s="22" t="s">
        <v>1312</v>
      </c>
      <c r="C4" s="19" t="s">
        <v>291</v>
      </c>
      <c r="H4" s="93"/>
      <c r="I4" s="93"/>
      <c r="J4" s="93"/>
      <c r="K4" s="93"/>
      <c r="L4" s="93"/>
      <c r="N4" s="21" t="s">
        <v>300</v>
      </c>
      <c r="O4" s="21" t="s">
        <v>301</v>
      </c>
      <c r="P4" s="21" t="s">
        <v>302</v>
      </c>
      <c r="Q4" s="21" t="s">
        <v>1336</v>
      </c>
      <c r="R4" s="21" t="s">
        <v>1337</v>
      </c>
    </row>
    <row r="5" spans="2:18" ht="14.25" customHeight="1" x14ac:dyDescent="0.25">
      <c r="B5" t="s">
        <v>348</v>
      </c>
      <c r="C5" t="s">
        <v>1117</v>
      </c>
      <c r="N5">
        <f ca="1">SUMIFS(Programudgifter!$Y:$Y,Programudgifter!$V:$V,B5,Programudgifter!$C:$C,C5)</f>
        <v>0</v>
      </c>
      <c r="O5">
        <f ca="1">SUMIFS(Programudgifter!$Z:$Z,Programudgifter!$V:$V,B5,Programudgifter!$C:$C,C5)</f>
        <v>0</v>
      </c>
      <c r="P5">
        <f ca="1">SUMIFS(Programudgifter!$AA:$AA,Programudgifter!$V:$V,B5,Programudgifter!$C:$C,C5)</f>
        <v>0</v>
      </c>
      <c r="Q5">
        <f ca="1">SUMIFS(Programudgifter!$AB:$AB,Programudgifter!$V:$V,B5,Programudgifter!$C:$C,C5)</f>
        <v>0</v>
      </c>
      <c r="R5">
        <f ca="1">SUMIFS(Programudgifter!$AC:$AC,Programudgifter!$V:$V,B5,Programudgifter!$C:$C,C5)</f>
        <v>0</v>
      </c>
    </row>
    <row r="6" spans="2:18" ht="14.25" customHeight="1" x14ac:dyDescent="0.25">
      <c r="B6" t="s">
        <v>1265</v>
      </c>
      <c r="C6" t="s">
        <v>1117</v>
      </c>
      <c r="N6">
        <f ca="1">SUMIFS(Programudgifter!$Y:$Y,Programudgifter!$V:$V,B6,Programudgifter!$C:$C,C6)</f>
        <v>0</v>
      </c>
      <c r="O6">
        <f ca="1">SUMIFS(Programudgifter!$Z:$Z,Programudgifter!$V:$V,B6,Programudgifter!$C:$C,C6)</f>
        <v>0</v>
      </c>
      <c r="P6">
        <f ca="1">SUMIFS(Programudgifter!$AA:$AA,Programudgifter!$V:$V,B6,Programudgifter!$C:$C,C6)</f>
        <v>0</v>
      </c>
      <c r="Q6">
        <f ca="1">SUMIFS(Programudgifter!$AB:$AB,Programudgifter!$V:$V,B6,Programudgifter!$C:$C,C6)</f>
        <v>0</v>
      </c>
      <c r="R6">
        <f ca="1">SUMIFS(Programudgifter!$AC:$AC,Programudgifter!$V:$V,B6,Programudgifter!$C:$C,C6)</f>
        <v>0</v>
      </c>
    </row>
  </sheetData>
  <sheetProtection algorithmName="SHA-512" hashValue="40VA8XWVQ30mCz/o/OLZcHXENyN96ZEYXs7QswSs+iuoh5KPrgo9PbAT1VXkSydqLYhk9vF8QyvAD0YATdeQ1g==" saltValue="qHAz0l86adRJneWE7SIU7A==" spinCount="100000" sheet="1" objects="1" scenarios="1"/>
  <pageMargins left="0.7" right="0.7" top="0.75" bottom="0.75" header="0.3" footer="0.3"/>
  <drawing r:id="rId1"/>
</worksheet>
</file>

<file path=customUI/customUI.xml><?xml version="1.0" encoding="utf-8"?>
<customUI xmlns="http://schemas.microsoft.com/office/2006/01/customui" onLoad="rxIRibbonUI_OnLoad">
  <ribbon startFromScratch="false">
    <tabs>
      <tab id="BCMTab1" getLabel="rxGetLabel" insertBeforeMso="TabHome" getVisible="rxGetVisible">
        <group id="BCMTab1G1" getLabel="rxGetLabel" getVisible="rxGetVisible">
          <box id="BCMTab1G1B1" boxStyle="vertical" getVisible="rxGetVisible">
            <button id="BCMTab1G1B1Btn1" getLabel="rxGetLabel" getImage="rxGetBtnImage" getScreentip="rxGetScrnTip" getSupertip="rxGetSuperTip" onAction="grpOpsRun" getVisible="rxGetVisible"/>
            <button id="BCMTab1G1B1Btn2" getLabel="rxGetLabel" getImage="rxGetBtnImage" getScreentip="rxGetScrnTip" getSupertip="rxGetSuperTip" onAction="grpOpsRun" getVisible="rxGetVisible"/>
            <button id="BCMTab1G1B1Btn3" getLabel="rxGetLabel" getImage="rxGetBtnImage" getScreentip="rxGetScrnTip" getSupertip="rxGetSuperTip" onAction="grpOpsRun" getVisible="rxGetVisible"/>
          </box>
          <separator id="BCMTab1G1S1" getVisible="rxGetVisible"/>
          <box id="BCMTab1G1B2" boxStyle="vertical" getVisible="rxGetVisible">
            <button id="BCMTab1G1B2Btn1" getLabel="rxGetLabel" getImage="rxGetBtnImage" getScreentip="rxGetScrnTip" getSupertip="rxGetSuperTip" onAction="grpOpsRun" getVisible="rxGetVisible"/>
            <button id="BCMTab1G1B2Btn2" getLabel="rxGetLabel" getImage="rxGetBtnImage" getScreentip="rxGetScrnTip" getSupertip="rxGetSuperTip" onAction="grpOpsRun" getVisible="rxGetVisible"/>
            <button id="BCMTab1G1B2Btn3" getLabel="rxGetLabel" getImage="rxGetBtnImage" getScreentip="rxGetScrnTip" getSupertip="rxGetSuperTip" onAction="grpOpsRun" getVisible="rxGetVisible"/>
          </box>
          <box id="BCMTab1G1B3" boxStyle="vertical" getVisible="rxGetVisible">
            <button id="BCMTab1G1B3Btn1" getLabel="rxGetLabel" getImage="rxGetBtnImage" getScreentip="rxGetScrnTip" getSupertip="rxGetSuperTip" onAction="grpOpsRun" getVisible="rxGetVisible"/>
            <button id="BCMTab1G1B3Btn2" getLabel="rxGetLabel" getImage="rxGetBtnImage" getScreentip="rxGetScrnTip" getSupertip="rxGetSuperTip" onAction="grpOpsRun" getVisible="rxGetVisible"/>
            <button id="BCMTab1G1B3Btn3" getLabel="rxGetLabel" getImage="rxGetBtnImage" getScreentip="rxGetScrnTip" getSupertip="rxGetSuperTip" onAction="grpOpsRun" getVisible="rxGetVisible"/>
          </box>
          <button id="BCMTab1G1Btn1" getLabel="rxGetLabel" getImage="rxGetBtnImage" getScreentip="rxGetScrnTip" getSupertip="rxGetSuperTip" size="large" onAction="grpOpsRun" getVisible="rxGetVisible"/>
          <button id="BCMTab1G1Btn2" getLabel="rxGetLabel" getImage="rxGetBtnImage" getScreentip="rxGetScrnTip" getSupertip="rxGetSuperTip" size="large" onAction="grpOpsRun" getVisible="rxGetVisible"/>
          <button id="BCMTab1G1Btn3" getLabel="rxGetLabel" getImage="rxGetBtnImage" getScreentip="rxGetScrnTip" getSupertip="rxGetSuperTip" size="large" onAction="grpOpsRun" getVisible="rxGetVisible"/>
          <button id="BCMTab1G1Btn4" getLabel="rxGetLabel" getImage="rxGetBtnImage" getScreentip="rxGetScrnTip" getSupertip="rxGetSuperTip" size="large" onAction="grpOpsRun" getVisible="rxGetVisible"/>
        </group>
        <group id="BCMTab1G2" getLabel="rxGetLabel" getVisible="rxGetVisible">
          <box id="BCMTab1G2B1" boxStyle="vertical" getVisible="rxGetVisible">
            <button id="BCMTab1G2B1Btn1" getLabel="rxGetLabel" getImage="rxGetBtnImage" getScreentip="rxGetScrnTip" getSupertip="rxGetSuperTip" onAction="grpOpsRun" getVisible="rxGetVisible"/>
            <button id="BCMTab1G2B1Btn2" getLabel="rxGetLabel" getImage="rxGetBtnImage" getScreentip="rxGetScrnTip" getSupertip="rxGetSuperTip" onAction="grpOpsRun" getVisible="rxGetVisible"/>
            <button id="BCMTab1G2B1Btn3" getLabel="rxGetLabel" getImage="rxGetBtnImage" getScreentip="rxGetScrnTip" getSupertip="rxGetSuperTip" onAction="grpOpsRun" getVisible="rxGetVisible"/>
          </box>
          <box id="BCMTab1G2B2" boxStyle="vertical" getVisible="rxGetVisible">
            <button id="BCMTab1G2B2Btn1" getLabel="rxGetLabel" getImage="rxGetBtnImage" getScreentip="rxGetScrnTip" getSupertip="rxGetSuperTip" onAction="grpOpsRun" getVisible="rxGetVisible"/>
            <button id="BCMTab1G2B2Btn2" getLabel="rxGetLabel" getImage="rxGetBtnImage" getScreentip="rxGetScrnTip" getSupertip="rxGetSuperTip" onAction="grpOpsRun" getVisible="rxGetVisible"/>
            <button id="BCMTab1G2B2Btn3" getLabel="rxGetLabel" getImage="rxGetBtnImage" getScreentip="rxGetScrnTip" getSupertip="rxGetSuperTip" onAction="grpOpsRun" getVisible="rxGetVisible"/>
          </box>
          <box id="BCMTab1G2B3" boxStyle="vertical" getVisible="rxGetVisible">
            <button id="BCMTab1G2B3Btn1" getLabel="rxGetLabel" getImage="rxGetBtnImage" getScreentip="rxGetScrnTip" getSupertip="rxGetSuperTip" onAction="grpOpsRun" getVisible="rxGetVisible"/>
            <button id="BCMTab1G2B3Btn2" getLabel="rxGetLabel" getImage="rxGetBtnImage" getScreentip="rxGetScrnTip" getSupertip="rxGetSuperTip" onAction="grpOpsRun" getVisible="rxGetVisible"/>
            <button id="BCMTab1G2B3Btn3" getLabel="rxGetLabel" getImage="rxGetBtnImage" getScreentip="rxGetScrnTip" getSupertip="rxGetSuperTip" onAction="grpOpsRun" getVisible="rxGetVisible"/>
          </box>
          <button id="BCMTab1G2Btn1" getLabel="rxGetLabel" getImage="rxGetBtnImage" getScreentip="rxGetScrnTip" getSupertip="rxGetSuperTip" size="large" onAction="grpOpsRun" getVisible="rxGetVisible"/>
          <button id="BCMTab1G2Btn2" getLabel="rxGetLabel" getImage="rxGetBtnImage" getScreentip="rxGetScrnTip" getSupertip="rxGetSuperTip" size="large" onAction="grpOpsRun" getVisible="rxGetVisible"/>
          <button id="BCMTab1G2Btn3" getLabel="rxGetLabel" getImage="rxGetBtnImage" getScreentip="rxGetScrnTip" getSupertip="rxGetSuperTip" size="large" onAction="grpOpsRun" getVisible="rxGetVisible"/>
          <button id="BCMTab1G2Btn4" getLabel="rxGetLabel" getImage="rxGetBtnImage" getScreentip="rxGetScrnTip" getSupertip="rxGetSuperTip" size="large" onAction="grpOpsRun" getVisible="rxGetVisible"/>
        </group>
        <group id="BCMTab1G3" getLabel="rxGetLabel" getVisible="rxGetVisible">
          <box id="BCMTab1G3B1" boxStyle="vertical" getVisible="rxGetVisible">
            <button id="BCMTab1G3B1Btn1" getLabel="rxGetLabel" getImage="rxGetBtnImage" getScreentip="rxGetScrnTip" getSupertip="rxGetSuperTip" onAction="grpOpsRun" getVisible="rxGetVisible"/>
            <button id="BCMTab1G3B1Btn2" getLabel="rxGetLabel" getImage="rxGetBtnImage" getScreentip="rxGetScrnTip" getSupertip="rxGetSuperTip" onAction="grpOpsRun" getVisible="rxGetVisible"/>
            <button id="BCMTab1G3B1Btn3" getLabel="rxGetLabel" getImage="rxGetBtnImage" getScreentip="rxGetScrnTip" getSupertip="rxGetSuperTip" onAction="grpOpsRun" getVisible="rxGetVisible"/>
          </box>
          <box id="BCMTab1G3B2" boxStyle="vertical" getVisible="rxGetVisible">
            <button id="BCMTab1G3B2Btn1" getLabel="rxGetLabel" getImage="rxGetBtnImage" getScreentip="rxGetScrnTip" getSupertip="rxGetSuperTip" onAction="grpOpsRun" getVisible="rxGetVisible"/>
            <button id="BCMTab1G3B2Btn2" getLabel="rxGetLabel" getImage="rxGetBtnImage" getScreentip="rxGetScrnTip" getSupertip="rxGetSuperTip" onAction="grpOpsRun" getVisible="rxGetVisible"/>
            <button id="BCMTab1G3B2Btn3" getLabel="rxGetLabel" getImage="rxGetBtnImage" getScreentip="rxGetScrnTip" getSupertip="rxGetSuperTip" onAction="grpOpsRun" getVisible="rxGetVisible"/>
          </box>
          <box id="BCMTab1G3B3" boxStyle="vertical" getVisible="rxGetVisible">
            <button id="BCMTab1G3B3Btn1" getLabel="rxGetLabel" getImage="rxGetBtnImage" getScreentip="rxGetScrnTip" getSupertip="rxGetSuperTip" onAction="grpOpsRun" getVisible="rxGetVisible"/>
            <button id="BCMTab1G3B3Btn2" getLabel="rxGetLabel" getImage="rxGetBtnImage" getScreentip="rxGetScrnTip" getSupertip="rxGetSuperTip" onAction="grpOpsRun" getVisible="rxGetVisible"/>
            <button id="BCMTab1G3B3Btn3" getLabel="rxGetLabel" getImage="rxGetBtnImage" getScreentip="rxGetScrnTip" getSupertip="rxGetSuperTip" onAction="grpOpsRun" getVisible="rxGetVisible"/>
          </box>
          <button id="BCMTab1G3Btn1" getLabel="rxGetLabel" getImage="rxGetBtnImage" getScreentip="rxGetScrnTip" getSupertip="rxGetSuperTip" size="large" onAction="grpOpsRun" getVisible="rxGetVisible"/>
          <button id="BCMTab1G3Btn2" getLabel="rxGetLabel" getImage="rxGetBtnImage" getScreentip="rxGetScrnTip" getSupertip="rxGetSuperTip" size="large" onAction="grpOpsRun" getVisible="rxGetVisible"/>
          <button id="BCMTab1G3Btn3" getLabel="rxGetLabel" getImage="rxGetBtnImage" getScreentip="rxGetScrnTip" getSupertip="rxGetSuperTip" size="large" onAction="grpOpsRun" getVisible="rxGetVisible"/>
          <button id="BCMTab1G3Btn4" getLabel="rxGetLabel" getImage="rxGetBtnImage" getScreentip="rxGetScrnTip" getSupertip="rxGetSuperTip" size="large" onAction="grpOpsRun" getVisible="rxGetVisible"/>
        </group>
        <group id="BCMTab1G4" getLabel="rxGetLabel" getVisible="rxGetVisible">
          <box id="BCMTab1G4B1" boxStyle="vertical" getVisible="rxGetVisible">
            <button id="BCMTab1G4B1Btn1" getLabel="rxGetLabel" getImage="rxGetBtnImage" getScreentip="rxGetScrnTip" getSupertip="rxGetSuperTip" onAction="grpOpsRun" getVisible="rxGetVisible"/>
            <button id="BCMTab1G4B1Btn2" getLabel="rxGetLabel" getImage="rxGetBtnImage" getScreentip="rxGetScrnTip" getSupertip="rxGetSuperTip" onAction="grpOpsRun" getVisible="rxGetVisible"/>
            <button id="BCMTab1G4B1Btn3" getLabel="rxGetLabel" getImage="rxGetBtnImage" getScreentip="rxGetScrnTip" getSupertip="rxGetSuperTip" onAction="grpOpsRun" getVisible="rxGetVisible"/>
          </box>
          <box id="BCMTab1G4B2" boxStyle="vertical" getVisible="rxGetVisible">
            <button id="BCMTab1G4B2Btn1" getLabel="rxGetLabel" getImage="rxGetBtnImage" getScreentip="rxGetScrnTip" getSupertip="rxGetSuperTip" onAction="grpOpsRun" getVisible="rxGetVisible"/>
            <button id="BCMTab1G4B2Btn2" getLabel="rxGetLabel" getImage="rxGetBtnImage" getScreentip="rxGetScrnTip" getSupertip="rxGetSuperTip" onAction="grpOpsRun" getVisible="rxGetVisible"/>
            <button id="BCMTab1G4B2Btn3" getLabel="rxGetLabel" getImage="rxGetBtnImage" getScreentip="rxGetScrnTip" getSupertip="rxGetSuperTip" onAction="grpOpsRun" getVisible="rxGetVisible"/>
          </box>
          <box id="BCMTab1G4B3" boxStyle="vertical" getVisible="rxGetVisible">
            <button id="BCMTab1G4B3Btn1" getLabel="rxGetLabel" getImage="rxGetBtnImage" getScreentip="rxGetScrnTip" getSupertip="rxGetSuperTip" onAction="grpOpsRun" getVisible="rxGetVisible"/>
            <button id="BCMTab1G4B3Btn2" getLabel="rxGetLabel" getImage="rxGetBtnImage" getScreentip="rxGetScrnTip" getSupertip="rxGetSuperTip" onAction="grpOpsRun" getVisible="rxGetVisible"/>
            <button id="BCMTab1G4B3Btn3" getLabel="rxGetLabel" getImage="rxGetBtnImage" getScreentip="rxGetScrnTip" getSupertip="rxGetSuperTip" onAction="grpOpsRun" getVisible="rxGetVisible"/>
          </box>
          <button id="BCMTab1G4Btn1" getLabel="rxGetLabel" getImage="rxGetBtnImage" getScreentip="rxGetScrnTip" getSupertip="rxGetSuperTip" size="large" onAction="grpOpsRun" getVisible="rxGetVisible"/>
          <button id="BCMTab1G4Btn2" getLabel="rxGetLabel" getImage="rxGetBtnImage" getScreentip="rxGetScrnTip" getSupertip="rxGetSuperTip" size="large" onAction="grpOpsRun" getVisible="rxGetVisible"/>
          <button id="BCMTab1G4Btn3" getLabel="rxGetLabel" getImage="rxGetBtnImage" getScreentip="rxGetScrnTip" getSupertip="rxGetSuperTip" size="large" onAction="grpOpsRun" getVisible="rxGetVisible"/>
          <button id="BCMTab1G4Btn4" getLabel="rxGetLabel" getImage="rxGetBtnImage" getScreentip="rxGetScrnTip" getSupertip="rxGetSuperTip" size="large" onAction="grpOpsRun" getVisible="rxGetVisible"/>
        </group>
        <group id="BCMTab1G5" getLabel="rxGetLabel" getVisible="rxGetVisible">
          <box id="BCMTab1G5B1" boxStyle="vertical" getVisible="rxGetVisible">
            <button id="BCMTab1G5B1Btn1" getLabel="rxGetLabel" getImage="rxGetBtnImage" getScreentip="rxGetScrnTip" getSupertip="rxGetSuperTip" onAction="grpOpsRun" getVisible="rxGetVisible"/>
            <button id="BCMTab1G5B1Btn2" getLabel="rxGetLabel" getImage="rxGetBtnImage" getScreentip="rxGetScrnTip" getSupertip="rxGetSuperTip" onAction="grpOpsRun" getVisible="rxGetVisible"/>
            <button id="BCMTab1G5B1Btn3" getLabel="rxGetLabel" getImage="rxGetBtnImage" getScreentip="rxGetScrnTip" getSupertip="rxGetSuperTip" onAction="grpOpsRun" getVisible="rxGetVisible"/>
          </box>
          <box id="BCMTab1G5B2" boxStyle="vertical" getVisible="rxGetVisible">
            <button id="BCMTab1G5B2Btn1" getLabel="rxGetLabel" getImage="rxGetBtnImage" getScreentip="rxGetScrnTip" getSupertip="rxGetSuperTip" onAction="grpOpsRun" getVisible="rxGetVisible"/>
            <button id="BCMTab1G5B2Btn2" getLabel="rxGetLabel" getImage="rxGetBtnImage" getScreentip="rxGetScrnTip" getSupertip="rxGetSuperTip" onAction="grpOpsRun" getVisible="rxGetVisible"/>
            <button id="BCMTab1G5B2Btn3" getLabel="rxGetLabel" getImage="rxGetBtnImage" getScreentip="rxGetScrnTip" getSupertip="rxGetSuperTip" onAction="grpOpsRun" getVisible="rxGetVisible"/>
          </box>
          <box id="BCMTab1G5B3" boxStyle="vertical" getVisible="rxGetVisible">
            <button id="BCMTab1G5B3Btn1" getLabel="rxGetLabel" getImage="rxGetBtnImage" getScreentip="rxGetScrnTip" getSupertip="rxGetSuperTip" onAction="grpOpsRun" getVisible="rxGetVisible"/>
            <button id="BCMTab1G5B3Btn2" getLabel="rxGetLabel" getImage="rxGetBtnImage" getScreentip="rxGetScrnTip" getSupertip="rxGetSuperTip" onAction="grpOpsRun" getVisible="rxGetVisible"/>
            <button id="BCMTab1G5B3Btn3" getLabel="rxGetLabel" getImage="rxGetBtnImage" getScreentip="rxGetScrnTip" getSupertip="rxGetSuperTip" onAction="grpOpsRun" getVisible="rxGetVisible"/>
          </box>
          <button id="BCMTab1G5Btn1" getLabel="rxGetLabel" getImage="rxGetBtnImage" getScreentip="rxGetScrnTip" getSupertip="rxGetSuperTip" size="large" onAction="grpOpsRun" getVisible="rxGetVisible"/>
          <button id="BCMTab1G5Btn2" getLabel="rxGetLabel" getImage="rxGetBtnImage" getScreentip="rxGetScrnTip" getSupertip="rxGetSuperTip" size="large" onAction="grpOpsRun" getVisible="rxGetVisible"/>
          <button id="BCMTab1G5Btn3" getLabel="rxGetLabel" getImage="rxGetBtnImage" getScreentip="rxGetScrnTip" getSupertip="rxGetSuperTip" size="large" onAction="grpOpsRun" getVisible="rxGetVisible"/>
          <button id="BCMTab1G5Btn4" getLabel="rxGetLabel" getImage="rxGetBtnImage" getScreentip="rxGetScrnTip" getSupertip="rxGetSuperTip" size="large" onAction="grpOpsRun" getVisible="rxGetVisible"/>
        </group>
        <group id="BCMTab1G6" getLabel="rxGetLabel" getVisible="rxGetVisible">
          <box id="BCMTab1G6B1" boxStyle="vertical" getVisible="rxGetVisible">
            <button id="BCMTab1G6B1Btn1" getLabel="rxGetLabel" getImage="rxGetBtnImage" getScreentip="rxGetScrnTip" getSupertip="rxGetSuperTip" onAction="grpOpsRun" getVisible="rxGetVisible"/>
            <button id="BCMTab1G6B1Btn2" getLabel="rxGetLabel" getImage="rxGetBtnImage" getScreentip="rxGetScrnTip" getSupertip="rxGetSuperTip" onAction="grpOpsRun" getVisible="rxGetVisible"/>
            <button id="BCMTab1G6B1Btn3" getLabel="rxGetLabel" getImage="rxGetBtnImage" getScreentip="rxGetScrnTip" getSupertip="rxGetSuperTip" onAction="grpOpsRun" getVisible="rxGetVisible"/>
          </box>
          <box id="BCMTab1G6B2" boxStyle="vertical" getVisible="rxGetVisible">
            <button id="BCMTab1G6B2Btn1" getLabel="rxGetLabel" getImage="rxGetBtnImage" getScreentip="rxGetScrnTip" getSupertip="rxGetSuperTip" onAction="grpOpsRun" getVisible="rxGetVisible"/>
            <button id="BCMTab1G6B2Btn2" getLabel="rxGetLabel" getImage="rxGetBtnImage" getScreentip="rxGetScrnTip" getSupertip="rxGetSuperTip" onAction="grpOpsRun" getVisible="rxGetVisible"/>
            <button id="BCMTab1G6B2Btn3" getLabel="rxGetLabel" getImage="rxGetBtnImage" getScreentip="rxGetScrnTip" getSupertip="rxGetSuperTip" onAction="grpOpsRun" getVisible="rxGetVisible"/>
          </box>
          <box id="BCMTab1G6B3" boxStyle="vertical" getVisible="rxGetVisible">
            <button id="BCMTab1G6B3Btn1" getLabel="rxGetLabel" getImage="rxGetBtnImage" getScreentip="rxGetScrnTip" getSupertip="rxGetSuperTip" onAction="grpOpsRun" getVisible="rxGetVisible"/>
            <button id="BCMTab1G6B3Btn2" getLabel="rxGetLabel" getImage="rxGetBtnImage" getScreentip="rxGetScrnTip" getSupertip="rxGetSuperTip" onAction="grpOpsRun" getVisible="rxGetVisible"/>
            <button id="BCMTab1G6B3Btn3" getLabel="rxGetLabel" getImage="rxGetBtnImage" getScreentip="rxGetScrnTip" getSupertip="rxGetSuperTip" onAction="grpOpsRun" getVisible="rxGetVisible"/>
          </box>
          <button id="BCMTab1G6Btn1" getLabel="rxGetLabel" getImage="rxGetBtnImage" getScreentip="rxGetScrnTip" getSupertip="rxGetSuperTip" size="large" onAction="grpOpsRun" getVisible="rxGetVisible"/>
          <button id="BCMTab1G6Btn2" getLabel="rxGetLabel" getImage="rxGetBtnImage" getScreentip="rxGetScrnTip" getSupertip="rxGetSuperTip" size="large" onAction="grpOpsRun" getVisible="rxGetVisible"/>
          <button id="BCMTab1G6Btn3" getLabel="rxGetLabel" getImage="rxGetBtnImage" getScreentip="rxGetScrnTip" getSupertip="rxGetSuperTip" size="large" onAction="grpOpsRun" getVisible="rxGetVisible"/>
          <button id="BCMTab1G6Btn4" getLabel="rxGetLabel" getImage="rxGetBtnImage" getScreentip="rxGetScrnTip" getSupertip="rxGetSuperTip" size="large" onAction="grpOpsRun" getVisible="rxGetVisible"/>
        </group>
      </tab>
    </tabs>
  </ribbon>
</customUI>
</file>

<file path=customUI/customUI14.xml><?xml version="1.0" encoding="utf-8"?>
<customUI xmlns="http://schemas.microsoft.com/office/2006/01/customui" onLoad="rxIRibbonUI_OnLoad">
  <ribbon startFromScratch="false">
    <tabs>
      <tab id="BCMTab1" getLabel="rxGetLabel" insertBeforeMso="TabHome" getVisible="rxGetVisible">
        <group id="BCMTab1G1" getLabel="rxGetLabel" getVisible="rxGetVisible">
          <box id="BCMTab1G1B1" boxStyle="vertical" getVisible="rxGetVisible">
            <button id="BCMTab1G1B1Btn1" getLabel="rxGetLabel" getImage="rxGetBtnImage" getScreentip="rxGetScrnTip" getSupertip="rxGetSuperTip" onAction="grpOpsRun" getVisible="rxGetVisible"/>
            <button id="BCMTab1G1B1Btn2" getLabel="rxGetLabel" getImage="rxGetBtnImage" getScreentip="rxGetScrnTip" getSupertip="rxGetSuperTip" onAction="grpOpsRun" getVisible="rxGetVisible"/>
            <button id="BCMTab1G1B1Btn3" getLabel="rxGetLabel" getImage="rxGetBtnImage" getScreentip="rxGetScrnTip" getSupertip="rxGetSuperTip" onAction="grpOpsRun" getVisible="rxGetVisible"/>
          </box>
          <separator id="BCMTab1G1S1" getVisible="rxGetVisible"/>
          <box id="BCMTab1G1B2" boxStyle="vertical" getVisible="rxGetVisible">
            <button id="BCMTab1G1B2Btn1" getLabel="rxGetLabel" getImage="rxGetBtnImage" getScreentip="rxGetScrnTip" getSupertip="rxGetSuperTip" onAction="grpOpsRun" getVisible="rxGetVisible"/>
            <button id="BCMTab1G1B2Btn2" getLabel="rxGetLabel" getImage="rxGetBtnImage" getScreentip="rxGetScrnTip" getSupertip="rxGetSuperTip" onAction="grpOpsRun" getVisible="rxGetVisible"/>
            <button id="BCMTab1G1B2Btn3" getLabel="rxGetLabel" getImage="rxGetBtnImage" getScreentip="rxGetScrnTip" getSupertip="rxGetSuperTip" onAction="grpOpsRun" getVisible="rxGetVisible"/>
          </box>
          <separator id="BCMTab1G1S2" getVisible="rxGetVisible"/>
          <box id="BCMTab1G1B3" boxStyle="vertical" getVisible="rxGetVisible">
            <button id="BCMTab1G1B3Btn1" getLabel="rxGetLabel" getImage="rxGetBtnImage" getScreentip="rxGetScrnTip" getSupertip="rxGetSuperTip" onAction="grpOpsRun" getVisible="rxGetVisible"/>
            <button id="BCMTab1G1B3Btn2" getLabel="rxGetLabel" getImage="rxGetBtnImage" getScreentip="rxGetScrnTip" getSupertip="rxGetSuperTip" onAction="grpOpsRun" getVisible="rxGetVisible"/>
            <button id="BCMTab1G1B3Btn3" getLabel="rxGetLabel" getImage="rxGetBtnImage" getScreentip="rxGetScrnTip" getSupertip="rxGetSuperTip" onAction="grpOpsRun" getVisible="rxGetVisible"/>
          </box>
          <separator id="BCMTab1G1S3" getVisible="rxGetVisible"/>
          <button id="BCMTab1G1Btn1" getLabel="rxGetLabel" getImage="rxGetBtnImage" getScreentip="rxGetScrnTip" getSupertip="rxGetSuperTip" size="large" onAction="grpOpsRun" getVisible="rxGetVisible"/>
          <separator id="BCMTab1G1S4" getVisible="rxGetVisible"/>
          <button id="BCMTab1G1Btn2" getLabel="rxGetLabel" getImage="rxGetBtnImage" getScreentip="rxGetScrnTip" getSupertip="rxGetSuperTip" size="large" onAction="grpOpsRun" getVisible="rxGetVisible"/>
          <separator id="BCMTab1G1S5" getVisible="rxGetVisible"/>
          <button id="BCMTab1G1Btn3" getLabel="rxGetLabel" getImage="rxGetBtnImage" getScreentip="rxGetScrnTip" getSupertip="rxGetSuperTip" size="large" onAction="grpOpsRun" getVisible="rxGetVisible"/>
          <separator id="BCMTab1G1S6" getVisible="rxGetVisible"/>
          <button id="BCMTab1G1Btn4" getLabel="rxGetLabel" getImage="rxGetBtnImage" getScreentip="rxGetScrnTip" getSupertip="rxGetSuperTip" size="large" onAction="grpOpsRun" getVisible="rxGetVisible"/>
        </group>
        <group id="BCMTab1G2" getLabel="rxGetLabel" getVisible="rxGetVisible">
          <box id="BCMTab1G2B1" boxStyle="vertical" getVisible="rxGetVisible">
            <button id="BCMTab1G2B1Btn1" getLabel="rxGetLabel" getImage="rxGetBtnImage" getScreentip="rxGetScrnTip" getSupertip="rxGetSuperTip" onAction="grpOpsRun" getVisible="rxGetVisible"/>
            <button id="BCMTab1G2B1Btn2" getLabel="rxGetLabel" getImage="rxGetBtnImage" getScreentip="rxGetScrnTip" getSupertip="rxGetSuperTip" onAction="grpOpsRun" getVisible="rxGetVisible"/>
            <button id="BCMTab1G2B1Btn3" getLabel="rxGetLabel" getImage="rxGetBtnImage" getScreentip="rxGetScrnTip" getSupertip="rxGetSuperTip" onAction="grpOpsRun" getVisible="rxGetVisible"/>
          </box>
          <separator id="BCMTab1G2S1" getVisible="rxGetVisible"/>
          <box id="BCMTab1G2B2" boxStyle="vertical" getVisible="rxGetVisible">
            <button id="BCMTab1G2B2Btn1" getLabel="rxGetLabel" getImage="rxGetBtnImage" getScreentip="rxGetScrnTip" getSupertip="rxGetSuperTip" onAction="grpOpsRun" getVisible="rxGetVisible"/>
            <button id="BCMTab1G2B2Btn2" getLabel="rxGetLabel" getImage="rxGetBtnImage" getScreentip="rxGetScrnTip" getSupertip="rxGetSuperTip" onAction="grpOpsRun" getVisible="rxGetVisible"/>
            <button id="BCMTab1G2B2Btn3" getLabel="rxGetLabel" getImage="rxGetBtnImage" getScreentip="rxGetScrnTip" getSupertip="rxGetSuperTip" onAction="grpOpsRun" getVisible="rxGetVisible"/>
          </box>
          <separator id="BCMTab1G2S2" getVisible="rxGetVisible"/>
          <box id="BCMTab1G2B3" boxStyle="vertical" getVisible="rxGetVisible">
            <button id="BCMTab1G2B3Btn1" getLabel="rxGetLabel" getImage="rxGetBtnImage" getScreentip="rxGetScrnTip" getSupertip="rxGetSuperTip" onAction="grpOpsRun" getVisible="rxGetVisible"/>
            <button id="BCMTab1G2B3Btn2" getLabel="rxGetLabel" getImage="rxGetBtnImage" getScreentip="rxGetScrnTip" getSupertip="rxGetSuperTip" onAction="grpOpsRun" getVisible="rxGetVisible"/>
            <button id="BCMTab1G2B3Btn3" getLabel="rxGetLabel" getImage="rxGetBtnImage" getScreentip="rxGetScrnTip" getSupertip="rxGetSuperTip" onAction="grpOpsRun" getVisible="rxGetVisible"/>
          </box>
          <separator id="BCMTab1G2S3" getVisible="rxGetVisible"/>
          <button id="BCMTab1G2Btn1" getLabel="rxGetLabel" getImage="rxGetBtnImage" getScreentip="rxGetScrnTip" getSupertip="rxGetSuperTip" size="large" onAction="grpOpsRun" getVisible="rxGetVisible"/>
          <separator id="BCMTab1G2S4" getVisible="rxGetVisible"/>
          <button id="BCMTab1G2Btn2" getLabel="rxGetLabel" getImage="rxGetBtnImage" getScreentip="rxGetScrnTip" getSupertip="rxGetSuperTip" size="large" onAction="grpOpsRun" getVisible="rxGetVisible"/>
          <separator id="BCMTab1G2S5" getVisible="rxGetVisible"/>
          <button id="BCMTab1G2Btn3" getLabel="rxGetLabel" getImage="rxGetBtnImage" getScreentip="rxGetScrnTip" getSupertip="rxGetSuperTip" size="large" onAction="grpOpsRun" getVisible="rxGetVisible"/>
          <separator id="BCMTab1G2S6" getVisible="rxGetVisible"/>
          <button id="BCMTab1G2Btn4" getLabel="rxGetLabel" getImage="rxGetBtnImage" getScreentip="rxGetScrnTip" getSupertip="rxGetSuperTip" size="large" onAction="grpOpsRun" getVisible="rxGetVisible"/>
        </group>
        <group id="BCMTab1G3" getLabel="rxGetLabel" getVisible="rxGetVisible">
          <box id="BCMTab1G3B1" boxStyle="vertical" getVisible="rxGetVisible">
            <button id="BCMTab1G3B1Btn1" getLabel="rxGetLabel" getImage="rxGetBtnImage" getScreentip="rxGetScrnTip" getSupertip="rxGetSuperTip" onAction="grpOpsRun" getVisible="rxGetVisible"/>
            <button id="BCMTab1G3B1Btn2" getLabel="rxGetLabel" getImage="rxGetBtnImage" getScreentip="rxGetScrnTip" getSupertip="rxGetSuperTip" onAction="grpOpsRun" getVisible="rxGetVisible"/>
            <button id="BCMTab1G3B1Btn3" getLabel="rxGetLabel" getImage="rxGetBtnImage" getScreentip="rxGetScrnTip" getSupertip="rxGetSuperTip" onAction="grpOpsRun" getVisible="rxGetVisible"/>
          </box>
          <separator id="BCMTab1G3S1" getVisible="rxGetVisible"/>
          <box id="BCMTab1G3B2" boxStyle="vertical" getVisible="rxGetVisible">
            <button id="BCMTab1G3B2Btn1" getLabel="rxGetLabel" getImage="rxGetBtnImage" getScreentip="rxGetScrnTip" getSupertip="rxGetSuperTip" onAction="grpOpsRun" getVisible="rxGetVisible"/>
            <button id="BCMTab1G3B2Btn2" getLabel="rxGetLabel" getImage="rxGetBtnImage" getScreentip="rxGetScrnTip" getSupertip="rxGetSuperTip" onAction="grpOpsRun" getVisible="rxGetVisible"/>
            <button id="BCMTab1G3B2Btn3" getLabel="rxGetLabel" getImage="rxGetBtnImage" getScreentip="rxGetScrnTip" getSupertip="rxGetSuperTip" onAction="grpOpsRun" getVisible="rxGetVisible"/>
          </box>
          <separator id="BCMTab1G3S2" getVisible="rxGetVisible"/>
          <box id="BCMTab1G3B3" boxStyle="vertical" getVisible="rxGetVisible">
            <button id="BCMTab1G3B3Btn1" getLabel="rxGetLabel" getImage="rxGetBtnImage" getScreentip="rxGetScrnTip" getSupertip="rxGetSuperTip" onAction="grpOpsRun" getVisible="rxGetVisible"/>
            <button id="BCMTab1G3B3Btn2" getLabel="rxGetLabel" getImage="rxGetBtnImage" getScreentip="rxGetScrnTip" getSupertip="rxGetSuperTip" onAction="grpOpsRun" getVisible="rxGetVisible"/>
            <button id="BCMTab1G3B3Btn3" getLabel="rxGetLabel" getImage="rxGetBtnImage" getScreentip="rxGetScrnTip" getSupertip="rxGetSuperTip" onAction="grpOpsRun" getVisible="rxGetVisible"/>
          </box>
          <separator id="BCMTab1G3S3" getVisible="rxGetVisible"/>
          <button id="BCMTab1G3Btn1" getLabel="rxGetLabel" getImage="rxGetBtnImage" getScreentip="rxGetScrnTip" getSupertip="rxGetSuperTip" size="large" onAction="grpOpsRun" getVisible="rxGetVisible"/>
          <separator id="BCMTab1G3S4" getVisible="rxGetVisible"/>
          <button id="BCMTab1G3Btn2" getLabel="rxGetLabel" getImage="rxGetBtnImage" getScreentip="rxGetScrnTip" getSupertip="rxGetSuperTip" size="large" onAction="grpOpsRun" getVisible="rxGetVisible"/>
          <separator id="BCMTab1G3S5" getVisible="rxGetVisible"/>
          <button id="BCMTab1G3Btn3" getLabel="rxGetLabel" getImage="rxGetBtnImage" getScreentip="rxGetScrnTip" getSupertip="rxGetSuperTip" size="large" onAction="grpOpsRun" getVisible="rxGetVisible"/>
          <separator id="BCMTab1G3S6" getVisible="rxGetVisible"/>
          <button id="BCMTab1G3Btn4" getLabel="rxGetLabel" getImage="rxGetBtnImage" getScreentip="rxGetScrnTip" getSupertip="rxGetSuperTip" size="large" onAction="grpOpsRun" getVisible="rxGetVisible"/>
        </group>
        <group id="BCMTab1G4" getLabel="rxGetLabel" getVisible="rxGetVisible">
          <box id="BCMTab1G4B1" boxStyle="vertical" getVisible="rxGetVisible">
            <button id="BCMTab1G4B1Btn1" getLabel="rxGetLabel" getImage="rxGetBtnImage" getScreentip="rxGetScrnTip" getSupertip="rxGetSuperTip" onAction="grpOpsRun" getVisible="rxGetVisible"/>
            <button id="BCMTab1G4B1Btn2" getLabel="rxGetLabel" getImage="rxGetBtnImage" getScreentip="rxGetScrnTip" getSupertip="rxGetSuperTip" onAction="grpOpsRun" getVisible="rxGetVisible"/>
            <button id="BCMTab1G4B1Btn3" getLabel="rxGetLabel" getImage="rxGetBtnImage" getScreentip="rxGetScrnTip" getSupertip="rxGetSuperTip" onAction="grpOpsRun" getVisible="rxGetVisible"/>
          </box>
          <separator id="BCMTab1G4S1" getVisible="rxGetVisible"/>
          <box id="BCMTab1G4B2" boxStyle="vertical" getVisible="rxGetVisible">
            <button id="BCMTab1G4B2Btn1" getLabel="rxGetLabel" getImage="rxGetBtnImage" getScreentip="rxGetScrnTip" getSupertip="rxGetSuperTip" onAction="grpOpsRun" getVisible="rxGetVisible"/>
            <button id="BCMTab1G4B2Btn2" getLabel="rxGetLabel" getImage="rxGetBtnImage" getScreentip="rxGetScrnTip" getSupertip="rxGetSuperTip" onAction="grpOpsRun" getVisible="rxGetVisible"/>
            <button id="BCMTab1G4B2Btn3" getLabel="rxGetLabel" getImage="rxGetBtnImage" getScreentip="rxGetScrnTip" getSupertip="rxGetSuperTip" onAction="grpOpsRun" getVisible="rxGetVisible"/>
          </box>
          <separator id="BCMTab1G4S2" getVisible="rxGetVisible"/>
          <box id="BCMTab1G4B3" boxStyle="vertical" getVisible="rxGetVisible">
            <button id="BCMTab1G4B3Btn1" getLabel="rxGetLabel" getImage="rxGetBtnImage" getScreentip="rxGetScrnTip" getSupertip="rxGetSuperTip" onAction="grpOpsRun" getVisible="rxGetVisible"/>
            <button id="BCMTab1G4B3Btn2" getLabel="rxGetLabel" getImage="rxGetBtnImage" getScreentip="rxGetScrnTip" getSupertip="rxGetSuperTip" onAction="grpOpsRun" getVisible="rxGetVisible"/>
            <button id="BCMTab1G4B3Btn3" getLabel="rxGetLabel" getImage="rxGetBtnImage" getScreentip="rxGetScrnTip" getSupertip="rxGetSuperTip" onAction="grpOpsRun" getVisible="rxGetVisible"/>
          </box>
          <separator id="BCMTab1G4S3" getVisible="rxGetVisible"/>
          <button id="BCMTab1G4Btn1" getLabel="rxGetLabel" getImage="rxGetBtnImage" getScreentip="rxGetScrnTip" getSupertip="rxGetSuperTip" size="large" onAction="grpOpsRun" getVisible="rxGetVisible"/>
          <separator id="BCMTab1G4S4" getVisible="rxGetVisible"/>
          <button id="BCMTab1G4Btn2" getLabel="rxGetLabel" getImage="rxGetBtnImage" getScreentip="rxGetScrnTip" getSupertip="rxGetSuperTip" size="large" onAction="grpOpsRun" getVisible="rxGetVisible"/>
          <separator id="BCMTab1G4S5" getVisible="rxGetVisible"/>
          <button id="BCMTab1G4Btn3" getLabel="rxGetLabel" getImage="rxGetBtnImage" getScreentip="rxGetScrnTip" getSupertip="rxGetSuperTip" size="large" onAction="grpOpsRun" getVisible="rxGetVisible"/>
          <separator id="BCMTab1G4S6" getVisible="rxGetVisible"/>
          <button id="BCMTab1G4Btn4" getLabel="rxGetLabel" getImage="rxGetBtnImage" getScreentip="rxGetScrnTip" getSupertip="rxGetSuperTip" size="large" onAction="grpOpsRun" getVisible="rxGetVisible"/>
        </group>
        <group id="BCMTab1G5" getLabel="rxGetLabel" getVisible="rxGetVisible">
          <box id="BCMTab1G5B1" boxStyle="vertical" getVisible="rxGetVisible">
            <button id="BCMTab1G5B1Btn1" getLabel="rxGetLabel" getImage="rxGetBtnImage" getScreentip="rxGetScrnTip" getSupertip="rxGetSuperTip" onAction="grpOpsRun" getVisible="rxGetVisible"/>
            <button id="BCMTab1G5B1Btn2" getLabel="rxGetLabel" getImage="rxGetBtnImage" getScreentip="rxGetScrnTip" getSupertip="rxGetSuperTip" onAction="grpOpsRun" getVisible="rxGetVisible"/>
            <button id="BCMTab1G5B1Btn3" getLabel="rxGetLabel" getImage="rxGetBtnImage" getScreentip="rxGetScrnTip" getSupertip="rxGetSuperTip" onAction="grpOpsRun" getVisible="rxGetVisible"/>
          </box>
          <separator id="BCMTab1G5S1" getVisible="rxGetVisible"/>
          <box id="BCMTab1G5B2" boxStyle="vertical" getVisible="rxGetVisible">
            <button id="BCMTab1G5B2Btn1" getLabel="rxGetLabel" getImage="rxGetBtnImage" getScreentip="rxGetScrnTip" getSupertip="rxGetSuperTip" onAction="grpOpsRun" getVisible="rxGetVisible"/>
            <button id="BCMTab1G5B2Btn2" getLabel="rxGetLabel" getImage="rxGetBtnImage" getScreentip="rxGetScrnTip" getSupertip="rxGetSuperTip" onAction="grpOpsRun" getVisible="rxGetVisible"/>
            <button id="BCMTab1G5B2Btn3" getLabel="rxGetLabel" getImage="rxGetBtnImage" getScreentip="rxGetScrnTip" getSupertip="rxGetSuperTip" onAction="grpOpsRun" getVisible="rxGetVisible"/>
          </box>
          <separator id="BCMTab1G5S2" getVisible="rxGetVisible"/>
          <box id="BCMTab1G5B3" boxStyle="vertical" getVisible="rxGetVisible">
            <button id="BCMTab1G5B3Btn1" getLabel="rxGetLabel" getImage="rxGetBtnImage" getScreentip="rxGetScrnTip" getSupertip="rxGetSuperTip" onAction="grpOpsRun" getVisible="rxGetVisible"/>
            <button id="BCMTab1G5B3Btn2" getLabel="rxGetLabel" getImage="rxGetBtnImage" getScreentip="rxGetScrnTip" getSupertip="rxGetSuperTip" onAction="grpOpsRun" getVisible="rxGetVisible"/>
            <button id="BCMTab1G5B3Btn3" getLabel="rxGetLabel" getImage="rxGetBtnImage" getScreentip="rxGetScrnTip" getSupertip="rxGetSuperTip" onAction="grpOpsRun" getVisible="rxGetVisible"/>
          </box>
          <separator id="BCMTab1G5S3" getVisible="rxGetVisible"/>
          <button id="BCMTab1G5Btn1" getLabel="rxGetLabel" getImage="rxGetBtnImage" getScreentip="rxGetScrnTip" getSupertip="rxGetSuperTip" size="large" onAction="grpOpsRun" getVisible="rxGetVisible"/>
          <separator id="BCMTab1G5S4" getVisible="rxGetVisible"/>
          <button id="BCMTab1G5Btn2" getLabel="rxGetLabel" getImage="rxGetBtnImage" getScreentip="rxGetScrnTip" getSupertip="rxGetSuperTip" size="large" onAction="grpOpsRun" getVisible="rxGetVisible"/>
          <separator id="BCMTab1G5S5" getVisible="rxGetVisible"/>
          <button id="BCMTab1G5Btn3" getLabel="rxGetLabel" getImage="rxGetBtnImage" getScreentip="rxGetScrnTip" getSupertip="rxGetSuperTip" size="large" onAction="grpOpsRun" getVisible="rxGetVisible"/>
          <separator id="BCMTab1G5S6" getVisible="rxGetVisible"/>
          <button id="BCMTab1G5Btn4" getLabel="rxGetLabel" getImage="rxGetBtnImage" getScreentip="rxGetScrnTip" getSupertip="rxGetSuperTip" size="large" onAction="grpOpsRun" getVisible="rxGetVisible"/>
        </group>
        <group id="BCMTab1G6" getLabel="rxGetLabel" getVisible="rxGetVisible">
          <box id="BCMTab1G6B1" boxStyle="vertical" getVisible="rxGetVisible">
            <button id="BCMTab1G6B1Btn1" getLabel="rxGetLabel" getImage="rxGetBtnImage" getScreentip="rxGetScrnTip" getSupertip="rxGetSuperTip" onAction="grpOpsRun" getVisible="rxGetVisible"/>
            <button id="BCMTab1G6B1Btn2" getLabel="rxGetLabel" getImage="rxGetBtnImage" getScreentip="rxGetScrnTip" getSupertip="rxGetSuperTip" onAction="grpOpsRun" getVisible="rxGetVisible"/>
            <button id="BCMTab1G6B1Btn3" getLabel="rxGetLabel" getImage="rxGetBtnImage" getScreentip="rxGetScrnTip" getSupertip="rxGetSuperTip" onAction="grpOpsRun" getVisible="rxGetVisible"/>
          </box>
          <separator id="BCMTab1G6S1" getVisible="rxGetVisible"/>
          <box id="BCMTab1G6B2" boxStyle="vertical" getVisible="rxGetVisible">
            <button id="BCMTab1G6B2Btn1" getLabel="rxGetLabel" getImage="rxGetBtnImage" getScreentip="rxGetScrnTip" getSupertip="rxGetSuperTip" onAction="grpOpsRun" getVisible="rxGetVisible"/>
            <button id="BCMTab1G6B2Btn2" getLabel="rxGetLabel" getImage="rxGetBtnImage" getScreentip="rxGetScrnTip" getSupertip="rxGetSuperTip" onAction="grpOpsRun" getVisible="rxGetVisible"/>
            <button id="BCMTab1G6B2Btn3" getLabel="rxGetLabel" getImage="rxGetBtnImage" getScreentip="rxGetScrnTip" getSupertip="rxGetSuperTip" onAction="grpOpsRun" getVisible="rxGetVisible"/>
          </box>
          <separator id="BCMTab1G6S2" getVisible="rxGetVisible"/>
          <box id="BCMTab1G6B3" boxStyle="vertical" getVisible="rxGetVisible">
            <button id="BCMTab1G6B3Btn1" getLabel="rxGetLabel" getImage="rxGetBtnImage" getScreentip="rxGetScrnTip" getSupertip="rxGetSuperTip" onAction="grpOpsRun" getVisible="rxGetVisible"/>
            <button id="BCMTab1G6B3Btn2" getLabel="rxGetLabel" getImage="rxGetBtnImage" getScreentip="rxGetScrnTip" getSupertip="rxGetSuperTip" onAction="grpOpsRun" getVisible="rxGetVisible"/>
            <button id="BCMTab1G6B3Btn3" getLabel="rxGetLabel" getImage="rxGetBtnImage" getScreentip="rxGetScrnTip" getSupertip="rxGetSuperTip" onAction="grpOpsRun" getVisible="rxGetVisible"/>
          </box>
          <separator id="BCMTab1G6S3" getVisible="rxGetVisible"/>
          <button id="BCMTab1G6Btn1" getLabel="rxGetLabel" getImage="rxGetBtnImage" getScreentip="rxGetScrnTip" getSupertip="rxGetSuperTip" size="large" onAction="grpOpsRun" getVisible="rxGetVisible"/>
          <separator id="BCMTab1G6S4" getVisible="rxGetVisible"/>
          <button id="BCMTab1G6Btn2" getLabel="rxGetLabel" getImage="rxGetBtnImage" getScreentip="rxGetScrnTip" getSupertip="rxGetSuperTip" size="large" onAction="grpOpsRun" getVisible="rxGetVisible"/>
          <separator id="BCMTab1G6S5" getVisible="rxGetVisible"/>
          <button id="BCMTab1G6Btn3" getLabel="rxGetLabel" getImage="rxGetBtnImage" getScreentip="rxGetScrnTip" getSupertip="rxGetSuperTip" size="large" onAction="grpOpsRun" getVisible="rxGetVisible"/>
          <separator id="BCMTab1G6S6" getVisible="rxGetVisible"/>
          <button id="BCMTab1G6Btn4" getLabel="rxGetLabel" getImage="rxGetBtnImage" getScreentip="rxGetScrnTip" getSupertip="rxGetSuperTip" size="large" onAction="grpOpsRun" getVisible="rxGetVisibl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26</vt:i4>
      </vt:variant>
      <vt:variant>
        <vt:lpstr>Navngivne områder</vt:lpstr>
      </vt:variant>
      <vt:variant>
        <vt:i4>1323</vt:i4>
      </vt:variant>
    </vt:vector>
  </HeadingPairs>
  <TitlesOfParts>
    <vt:vector size="1349" baseType="lpstr">
      <vt:lpstr>PictureStore</vt:lpstr>
      <vt:lpstr>No Macros</vt:lpstr>
      <vt:lpstr>Startside</vt:lpstr>
      <vt:lpstr>Forside</vt:lpstr>
      <vt:lpstr>Konfiguration</vt:lpstr>
      <vt:lpstr>Projektudgifter</vt:lpstr>
      <vt:lpstr>Programudgifter</vt:lpstr>
      <vt:lpstr>Drift - fremtidig uden projekt</vt:lpstr>
      <vt:lpstr>Drift - med projekt</vt:lpstr>
      <vt:lpstr>Drift - før projekt</vt:lpstr>
      <vt:lpstr>MasterSheet</vt:lpstr>
      <vt:lpstr>Business casen</vt:lpstr>
      <vt:lpstr>ProjektudgifterC</vt:lpstr>
      <vt:lpstr>ProgramudgifterC</vt:lpstr>
      <vt:lpstr>Drift - fremtidig uden projektC</vt:lpstr>
      <vt:lpstr>Drift - fremtidig uden projektD</vt:lpstr>
      <vt:lpstr>Drift - fremtidig uden projektE</vt:lpstr>
      <vt:lpstr>Drift - med projektC</vt:lpstr>
      <vt:lpstr>Drift - med projektD</vt:lpstr>
      <vt:lpstr>Drift - med projektE</vt:lpstr>
      <vt:lpstr>Drift - før projektC</vt:lpstr>
      <vt:lpstr>Drift - før projektF</vt:lpstr>
      <vt:lpstr>Drift - med projektF</vt:lpstr>
      <vt:lpstr>Drift - fremtidig uden projektF</vt:lpstr>
      <vt:lpstr>ProjektudgifterF</vt:lpstr>
      <vt:lpstr>ProgramudgifterF</vt:lpstr>
      <vt:lpstr>Businesscasen_f_BCM_HolderH1_end</vt:lpstr>
      <vt:lpstr>Businesscasen_f_BCM_HolderH1_start</vt:lpstr>
      <vt:lpstr>Businesscasen_f_BCM_HolderH13_1_end</vt:lpstr>
      <vt:lpstr>Businesscasen_f_BCM_HolderH13_1_start</vt:lpstr>
      <vt:lpstr>Businesscasen_f_BCM_HolderH1a_end</vt:lpstr>
      <vt:lpstr>Businesscasen_f_BCM_HolderH1a_start</vt:lpstr>
      <vt:lpstr>Businesscasen_f_BCM_HolderH1b_end</vt:lpstr>
      <vt:lpstr>Businesscasen_f_BCM_HolderH1b_start</vt:lpstr>
      <vt:lpstr>Businesscasen_f_BCM_HolderH1c_end</vt:lpstr>
      <vt:lpstr>Businesscasen_f_BCM_HolderH1c_start</vt:lpstr>
      <vt:lpstr>Businesscasen_f_BCM_HolderH1d_end</vt:lpstr>
      <vt:lpstr>Businesscasen_f_BCM_HolderH1d_start</vt:lpstr>
      <vt:lpstr>Businesscasen_f_BCM_HolderH1e_end</vt:lpstr>
      <vt:lpstr>Businesscasen_f_BCM_HolderH1e_start</vt:lpstr>
      <vt:lpstr>Businesscasen_f_BCM_HolderH1f_end</vt:lpstr>
      <vt:lpstr>Businesscasen_f_BCM_HolderH1f_start</vt:lpstr>
      <vt:lpstr>Businesscasen_f_BCM_HolderH1g_end</vt:lpstr>
      <vt:lpstr>Businesscasen_f_BCM_HolderH1g_start</vt:lpstr>
      <vt:lpstr>Businesscasen_f_BCM_HolderH1h_end</vt:lpstr>
      <vt:lpstr>Businesscasen_f_BCM_HolderH1h_start</vt:lpstr>
      <vt:lpstr>Businesscasen_f_BCM_HolderH1i_end</vt:lpstr>
      <vt:lpstr>Businesscasen_f_BCM_HolderH1i_start</vt:lpstr>
      <vt:lpstr>Businesscasen_f_BCM_HolderH1j_end</vt:lpstr>
      <vt:lpstr>Businesscasen_f_BCM_HolderH1j_start</vt:lpstr>
      <vt:lpstr>Businesscasen_f_BCM_HolderH1k_end</vt:lpstr>
      <vt:lpstr>Businesscasen_f_BCM_HolderH1k_start</vt:lpstr>
      <vt:lpstr>Businesscasen_f_BCM_HolderH1l_end</vt:lpstr>
      <vt:lpstr>Businesscasen_f_BCM_HolderH1l_start</vt:lpstr>
      <vt:lpstr>Businesscasen_f_BCM_HolderH1m_end</vt:lpstr>
      <vt:lpstr>Businesscasen_f_BCM_HolderH1m_start</vt:lpstr>
      <vt:lpstr>Businesscasen_f_BCM_HolderH1n_end</vt:lpstr>
      <vt:lpstr>Businesscasen_f_BCM_HolderH1n_start</vt:lpstr>
      <vt:lpstr>Businesscasen_f_BCM_PIPTextHide_end</vt:lpstr>
      <vt:lpstr>Businesscasen_f_BCM_PIPTextHide_start</vt:lpstr>
      <vt:lpstr>Businesscasen_f_BCM_subca11_Chart1_end</vt:lpstr>
      <vt:lpstr>Businesscasen_f_BCM_subca11_Chart1_start</vt:lpstr>
      <vt:lpstr>Businesscasen_f_BCM_subcat10_Holder1_end</vt:lpstr>
      <vt:lpstr>Businesscasen_f_BCM_subcat10_Holder1_start</vt:lpstr>
      <vt:lpstr>Businesscasen_f_BCM_subcat10_Table1_end</vt:lpstr>
      <vt:lpstr>Businesscasen_f_BCM_subcat10_Table1_start</vt:lpstr>
      <vt:lpstr>Businesscasen_f_BCM_subcat11_Table1_end</vt:lpstr>
      <vt:lpstr>Businesscasen_f_BCM_subcat11_Table1_start</vt:lpstr>
      <vt:lpstr>Businesscasen_f_BCM_subcat12_Table1_end</vt:lpstr>
      <vt:lpstr>Businesscasen_f_BCM_subcat12_Table1_start</vt:lpstr>
      <vt:lpstr>Businesscasen_f_BCM_subcat13_Table1_end</vt:lpstr>
      <vt:lpstr>Businesscasen_f_BCM_subcat13_Table1_start</vt:lpstr>
      <vt:lpstr>Businesscasen_f_BCM_subcat13_Table2_end</vt:lpstr>
      <vt:lpstr>Businesscasen_f_BCM_subcat13_Table2_start</vt:lpstr>
      <vt:lpstr>Businesscasen_f_BCM_subcat14_Holder1_end</vt:lpstr>
      <vt:lpstr>Businesscasen_f_BCM_subcat14_Holder1_start</vt:lpstr>
      <vt:lpstr>Businesscasen_f_BCM_subcat14_Table1_end</vt:lpstr>
      <vt:lpstr>Businesscasen_f_BCM_subcat14_Table1_start</vt:lpstr>
      <vt:lpstr>Businesscasen_f_BCM_subcat15_Table1_end</vt:lpstr>
      <vt:lpstr>Businesscasen_f_BCM_subcat15_Table1_start</vt:lpstr>
      <vt:lpstr>Businesscasen_f_BCM_subcat16_Table1_end</vt:lpstr>
      <vt:lpstr>Businesscasen_f_BCM_subcat16_Table1_start</vt:lpstr>
      <vt:lpstr>Businesscasen_f_BCM_subcat17_Table1_end</vt:lpstr>
      <vt:lpstr>Businesscasen_f_BCM_subcat17_Table1_start</vt:lpstr>
      <vt:lpstr>Businesscasen_f_BCM_subcat18_Table1_end</vt:lpstr>
      <vt:lpstr>Businesscasen_f_BCM_subcat18_Table1_start</vt:lpstr>
      <vt:lpstr>Businesscasen_f_BCM_subcat19_Table1_end</vt:lpstr>
      <vt:lpstr>Businesscasen_f_BCM_subcat19_Table1_start</vt:lpstr>
      <vt:lpstr>Businesscasen_f_BCM_subcat19_Table2_end</vt:lpstr>
      <vt:lpstr>Businesscasen_f_BCM_subcat19_Table2_start</vt:lpstr>
      <vt:lpstr>Businesscasen_f_BCM_subcat2_Holder1_end</vt:lpstr>
      <vt:lpstr>Businesscasen_f_BCM_subcat2_Holder1_start</vt:lpstr>
      <vt:lpstr>Businesscasen_f_BCM_subcat2_Holder2_end</vt:lpstr>
      <vt:lpstr>Businesscasen_f_BCM_subcat2_Holder2_start</vt:lpstr>
      <vt:lpstr>Businesscasen_f_BCM_subcat2_Holder3_end</vt:lpstr>
      <vt:lpstr>Businesscasen_f_BCM_subcat2_Holder3_start</vt:lpstr>
      <vt:lpstr>Businesscasen_f_BCM_subcat2_Table1_end</vt:lpstr>
      <vt:lpstr>Businesscasen_f_BCM_subcat2_Table1_start</vt:lpstr>
      <vt:lpstr>Businesscasen_f_BCM_subcat3_Holder1_end</vt:lpstr>
      <vt:lpstr>Businesscasen_f_BCM_subcat3_Holder1_start</vt:lpstr>
      <vt:lpstr>Businesscasen_f_BCM_subcat3_Holder2_end</vt:lpstr>
      <vt:lpstr>Businesscasen_f_BCM_subcat3_Holder2_start</vt:lpstr>
      <vt:lpstr>Businesscasen_f_BCM_subcat3_Holder3_end</vt:lpstr>
      <vt:lpstr>Businesscasen_f_BCM_subcat3_Holder3_start</vt:lpstr>
      <vt:lpstr>Businesscasen_f_BCM_subcat3_Table1_end</vt:lpstr>
      <vt:lpstr>Businesscasen_f_BCM_subcat3_Table1_start</vt:lpstr>
      <vt:lpstr>Businesscasen_f_BCM_subcat4_Holder1_end</vt:lpstr>
      <vt:lpstr>Businesscasen_f_BCM_subcat4_Holder1_start</vt:lpstr>
      <vt:lpstr>Businesscasen_f_BCM_subcat4_Table1_end</vt:lpstr>
      <vt:lpstr>Businesscasen_f_BCM_subcat4_Table1_start</vt:lpstr>
      <vt:lpstr>Businesscasen_f_BCM_subcat5_Table1_end</vt:lpstr>
      <vt:lpstr>Businesscasen_f_BCM_subcat5_Table1_start</vt:lpstr>
      <vt:lpstr>Businesscasen_f_BCM_subcat6a_Table1_end</vt:lpstr>
      <vt:lpstr>Businesscasen_f_BCM_subcat6a_Table1_start</vt:lpstr>
      <vt:lpstr>Businesscasen_f_BCM_subcat6b_Table1_end</vt:lpstr>
      <vt:lpstr>Businesscasen_f_BCM_subcat6b_Table1_start</vt:lpstr>
      <vt:lpstr>Businesscasen_f_BCM_subcat7_AtRiskF1_start</vt:lpstr>
      <vt:lpstr>Businesscasen_f_BCM_subcat7_AtRiskF2_start</vt:lpstr>
      <vt:lpstr>Businesscasen_f_BCM_subcat7_Holder1_end</vt:lpstr>
      <vt:lpstr>Businesscasen_f_BCM_subcat7_Holder1_start</vt:lpstr>
      <vt:lpstr>Businesscasen_f_BCM_subcat7_Table1_end</vt:lpstr>
      <vt:lpstr>Businesscasen_f_BCM_subcat7_Table1_start</vt:lpstr>
      <vt:lpstr>Businesscasen_f_BCM_subcat7_Table2_end</vt:lpstr>
      <vt:lpstr>Businesscasen_f_BCM_subcat7_Table2_start</vt:lpstr>
      <vt:lpstr>Businesscasen_f_BCM_subcat8_Holder2_end</vt:lpstr>
      <vt:lpstr>Businesscasen_f_BCM_subcat8_Holder2_start</vt:lpstr>
      <vt:lpstr>Businesscasen_f_BCM_subcat8_Holder3_end</vt:lpstr>
      <vt:lpstr>Businesscasen_f_BCM_subcat8_Holder3_start</vt:lpstr>
      <vt:lpstr>Businesscasen_f_BCM_subcat8_Table1_end</vt:lpstr>
      <vt:lpstr>Businesscasen_f_BCM_subcat8_Table1_start</vt:lpstr>
      <vt:lpstr>Businesscasen_f_BCM_Table1_end</vt:lpstr>
      <vt:lpstr>Businesscasen_f_BCM_Table1_H1_start</vt:lpstr>
      <vt:lpstr>Businesscasen_f_BCM_Table1_H2_start</vt:lpstr>
      <vt:lpstr>Businesscasen_f_BCM_Table1_start</vt:lpstr>
      <vt:lpstr>Businesscasen_f_BCM_Table2_end</vt:lpstr>
      <vt:lpstr>Businesscasen_f_BCM_Table2_start</vt:lpstr>
      <vt:lpstr>Businesscasen_f_BCM_Table4_end</vt:lpstr>
      <vt:lpstr>Businesscasen_f_BCM_Table4_start</vt:lpstr>
      <vt:lpstr>Businesscasen_f_BCM_Text1_end</vt:lpstr>
      <vt:lpstr>Businesscasen_f_BCM_Text1_start</vt:lpstr>
      <vt:lpstr>Businesscasen_f_BCM_Text2_end</vt:lpstr>
      <vt:lpstr>Businesscasen_f_BCM_Text2_start</vt:lpstr>
      <vt:lpstr>Businesscasen_f_BCM_Text3_end</vt:lpstr>
      <vt:lpstr>Businesscasen_f_BCM_Text3_start</vt:lpstr>
      <vt:lpstr>Businesscasen_f_BCM_Text4_end</vt:lpstr>
      <vt:lpstr>Businesscasen_f_BCM_Text4_start</vt:lpstr>
      <vt:lpstr>Businesscasen_f_Gevinstejerno1_End</vt:lpstr>
      <vt:lpstr>Businesscasen_f_Hoveds1no1_End</vt:lpstr>
      <vt:lpstr>Businesscasen_f_Hoveds2no1_End</vt:lpstr>
      <vt:lpstr>Businesscasen_f_IOKVarno3_End</vt:lpstr>
      <vt:lpstr>Businesscasen_f_Projekterno1_End</vt:lpstr>
      <vt:lpstr>Businesscasen_f_Riscino2_End</vt:lpstr>
      <vt:lpstr>Businesscasen_f_subcat1_end</vt:lpstr>
      <vt:lpstr>Businesscasen_f_subcat1_start</vt:lpstr>
      <vt:lpstr>Businesscasen_f_subcat10_end</vt:lpstr>
      <vt:lpstr>Businesscasen_f_subcat10_start</vt:lpstr>
      <vt:lpstr>Businesscasen_f_subcat11_end</vt:lpstr>
      <vt:lpstr>Businesscasen_f_subcat11_start</vt:lpstr>
      <vt:lpstr>Businesscasen_f_subcat12_end</vt:lpstr>
      <vt:lpstr>Businesscasen_f_subcat12_start</vt:lpstr>
      <vt:lpstr>Businesscasen_f_subcat13_end</vt:lpstr>
      <vt:lpstr>Businesscasen_f_subcat13_start</vt:lpstr>
      <vt:lpstr>Businesscasen_f_subcat14_end</vt:lpstr>
      <vt:lpstr>Businesscasen_f_subcat14_start</vt:lpstr>
      <vt:lpstr>Businesscasen_f_subcat15_end</vt:lpstr>
      <vt:lpstr>Businesscasen_f_subcat15_start</vt:lpstr>
      <vt:lpstr>Businesscasen_f_subcat16_end</vt:lpstr>
      <vt:lpstr>Businesscasen_f_subcat16_start</vt:lpstr>
      <vt:lpstr>Businesscasen_f_subcat17_end</vt:lpstr>
      <vt:lpstr>Businesscasen_f_subcat17_start</vt:lpstr>
      <vt:lpstr>Businesscasen_f_subcat18_end</vt:lpstr>
      <vt:lpstr>Businesscasen_f_subcat18_start</vt:lpstr>
      <vt:lpstr>Businesscasen_f_subcat19_end</vt:lpstr>
      <vt:lpstr>Businesscasen_f_subcat19_start</vt:lpstr>
      <vt:lpstr>Businesscasen_f_subcat2_end</vt:lpstr>
      <vt:lpstr>Businesscasen_f_subcat2_start</vt:lpstr>
      <vt:lpstr>Businesscasen_f_subcat3_end</vt:lpstr>
      <vt:lpstr>Businesscasen_f_subcat3_start</vt:lpstr>
      <vt:lpstr>Businesscasen_f_subcat4_end</vt:lpstr>
      <vt:lpstr>Businesscasen_f_subcat4_start</vt:lpstr>
      <vt:lpstr>Businesscasen_f_subcat5_end</vt:lpstr>
      <vt:lpstr>Businesscasen_f_subcat5_start</vt:lpstr>
      <vt:lpstr>Businesscasen_f_subcat6a_end</vt:lpstr>
      <vt:lpstr>Businesscasen_f_subcat6a_start</vt:lpstr>
      <vt:lpstr>Businesscasen_f_subcat6b_end</vt:lpstr>
      <vt:lpstr>Businesscasen_f_subcat6b_start</vt:lpstr>
      <vt:lpstr>Businesscasen_f_subcat7_end</vt:lpstr>
      <vt:lpstr>Businesscasen_f_subcat7_start</vt:lpstr>
      <vt:lpstr>Businesscasen_f_subcat8_end</vt:lpstr>
      <vt:lpstr>Businesscasen_f_subcat8_start</vt:lpstr>
      <vt:lpstr>Businesscasen_f_Udgiftsno1_End</vt:lpstr>
      <vt:lpstr>Businesscasen_rng_HighRiskPool</vt:lpstr>
      <vt:lpstr>Businesscasen_rng_RiskPool</vt:lpstr>
      <vt:lpstr>Driftfremtidigudenprojekt_f_DriftfremtidigudenprojektHeader1_end</vt:lpstr>
      <vt:lpstr>Driftfremtidigudenprojekt_f_DriftfremtidigudenprojektHeader1_start</vt:lpstr>
      <vt:lpstr>Driftfremtidigudenprojekt_f_DriftfremtidigudenprojektHeader2_end</vt:lpstr>
      <vt:lpstr>Driftfremtidigudenprojekt_f_DriftfremtidigudenprojektHeader2_start</vt:lpstr>
      <vt:lpstr>Driftfremtidigudenprojekt_f_DriftfremtidigudenprojektHeader3_end</vt:lpstr>
      <vt:lpstr>Driftfremtidigudenprojekt_f_DriftfremtidigudenprojektHeader3_start</vt:lpstr>
      <vt:lpstr>Driftfremtidigudenprojekt_f_DriftfremtidigudenprojektMain1_end</vt:lpstr>
      <vt:lpstr>Driftfremtidigudenprojekt_f_DriftfremtidigudenprojektMain1_start</vt:lpstr>
      <vt:lpstr>Driftfremtidigudenprojekt_f_DriftfremtidigudenprojektMain1T1_end</vt:lpstr>
      <vt:lpstr>Driftfremtidigudenprojekt_f_DriftfremtidigudenprojektMain1T1_start</vt:lpstr>
      <vt:lpstr>Driftfremtidigudenprojekt_f_DriftfremtidigudenprojektMain2_end</vt:lpstr>
      <vt:lpstr>Driftfremtidigudenprojekt_f_DriftfremtidigudenprojektMain2_start</vt:lpstr>
      <vt:lpstr>Driftfremtidigudenprojekt_f_DriftfremtidigudenprojektMain2S1_start</vt:lpstr>
      <vt:lpstr>Driftfremtidigudenprojekt_f_DriftfremtidigudenprojektMain2T1_end</vt:lpstr>
      <vt:lpstr>Driftfremtidigudenprojekt_f_DriftfremtidigudenprojektMain2T1_start</vt:lpstr>
      <vt:lpstr>Driftfremtidigudenprojekt_f_DriftfremtidigudenprojektMain3S1_start</vt:lpstr>
      <vt:lpstr>Driftfremtidigudenprojekt_f_DriftfremtidigudenprojektMain3T1_end</vt:lpstr>
      <vt:lpstr>Driftfremtidigudenprojekt_f_DriftfremtidigudenprojektMain3T1_start</vt:lpstr>
      <vt:lpstr>Driftfremtidigudenprojekt_f_IOKVarno1_End</vt:lpstr>
      <vt:lpstr>DriftfremtidigudenprojektC_f_DriftfremtidigudenprojektCHeader_end</vt:lpstr>
      <vt:lpstr>DriftfremtidigudenprojektC_f_DriftfremtidigudenprojektCHeader_start</vt:lpstr>
      <vt:lpstr>DriftfremtidigudenprojektD_f_DriftfremtidigudenprojektDHeader_end</vt:lpstr>
      <vt:lpstr>DriftfremtidigudenprojektD_f_DriftfremtidigudenprojektDHeader_start</vt:lpstr>
      <vt:lpstr>DriftfremtidigudenprojektE_f_DriftfremtidigudenprojektEHeader_end</vt:lpstr>
      <vt:lpstr>DriftfremtidigudenprojektE_f_DriftfremtidigudenprojektEHeader_start</vt:lpstr>
      <vt:lpstr>DriftfremtidigudenprojektF_f_DriftfremtidigudenprojektFHeader_end</vt:lpstr>
      <vt:lpstr>DriftfremtidigudenprojektF_f_DriftfremtidigudenprojektFHeader_start</vt:lpstr>
      <vt:lpstr>Driftfrprojekt_f_DriftfprojektHeader2_end</vt:lpstr>
      <vt:lpstr>Driftfrprojekt_f_DriftfprojektHeader2_start</vt:lpstr>
      <vt:lpstr>Driftfrprojekt_f_DriftfprojektHeader2H1_end</vt:lpstr>
      <vt:lpstr>Driftfrprojekt_f_DriftfprojektHeader2H1_start</vt:lpstr>
      <vt:lpstr>Driftfrprojekt_f_DriftfprojektHeader2R1_end</vt:lpstr>
      <vt:lpstr>Driftfrprojekt_f_DriftfprojektHeader2R1_start</vt:lpstr>
      <vt:lpstr>Driftfrprojekt_f_DriftfprojektMain1_end</vt:lpstr>
      <vt:lpstr>Driftfrprojekt_f_DriftfprojektMain1_start</vt:lpstr>
      <vt:lpstr>Driftfrprojekt_f_DriftfprojektMain1T1_end</vt:lpstr>
      <vt:lpstr>Driftfrprojekt_f_DriftfprojektMain1T1_start</vt:lpstr>
      <vt:lpstr>DriftfrprojektC_f_DriftfprojektCHeader_end</vt:lpstr>
      <vt:lpstr>DriftfrprojektC_f_DriftfprojektCHeader_start</vt:lpstr>
      <vt:lpstr>DriftfrprojektF_f_DriftfprojektFHeader_end</vt:lpstr>
      <vt:lpstr>DriftfrprojektF_f_DriftfprojektFHeader_start</vt:lpstr>
      <vt:lpstr>Driftmedprojekt_f_DriftmedprojektHeader1_end</vt:lpstr>
      <vt:lpstr>Driftmedprojekt_f_DriftmedprojektHeader1_start</vt:lpstr>
      <vt:lpstr>Driftmedprojekt_f_DriftmedprojektHeader2_end</vt:lpstr>
      <vt:lpstr>Driftmedprojekt_f_DriftmedprojektHeader2_start</vt:lpstr>
      <vt:lpstr>Driftmedprojekt_f_DriftmedprojektHeader3_end</vt:lpstr>
      <vt:lpstr>Driftmedprojekt_f_DriftmedprojektHeader3_start</vt:lpstr>
      <vt:lpstr>Driftmedprojekt_f_DriftmedprojektMain1_end</vt:lpstr>
      <vt:lpstr>Driftmedprojekt_f_DriftmedprojektMain1_start</vt:lpstr>
      <vt:lpstr>Driftmedprojekt_f_DriftmedprojektMain1T1_end</vt:lpstr>
      <vt:lpstr>Driftmedprojekt_f_DriftmedprojektMain1T1_start</vt:lpstr>
      <vt:lpstr>Driftmedprojekt_f_DriftmedprojektMain2_end</vt:lpstr>
      <vt:lpstr>Driftmedprojekt_f_DriftmedprojektMain2_start</vt:lpstr>
      <vt:lpstr>Driftmedprojekt_f_DriftmedprojektMain2S1_start</vt:lpstr>
      <vt:lpstr>Driftmedprojekt_f_DriftmedprojektMain2T1_end</vt:lpstr>
      <vt:lpstr>Driftmedprojekt_f_DriftmedprojektMain2T1_start</vt:lpstr>
      <vt:lpstr>Driftmedprojekt_f_DriftmedprojektMain3S1_start</vt:lpstr>
      <vt:lpstr>Driftmedprojekt_f_DriftmedprojektMain3T1_end</vt:lpstr>
      <vt:lpstr>Driftmedprojekt_f_DriftmedprojektMain3T1_start</vt:lpstr>
      <vt:lpstr>Driftmedprojekt_f_IOKVarno2_End</vt:lpstr>
      <vt:lpstr>DriftmedprojektC_f_DriftmedprojektCHeader_end</vt:lpstr>
      <vt:lpstr>DriftmedprojektC_f_DriftmedprojektCHeader_start</vt:lpstr>
      <vt:lpstr>DriftmedprojektD_f_DriftmedprojektDHeader_end</vt:lpstr>
      <vt:lpstr>DriftmedprojektD_f_DriftmedprojektDHeader_start</vt:lpstr>
      <vt:lpstr>DriftmedprojektE_f_DriftmedprojektEHeader_end</vt:lpstr>
      <vt:lpstr>DriftmedprojektE_f_DriftmedprojektEHeader_start</vt:lpstr>
      <vt:lpstr>DriftmedprojektF_f_DriftmedprojektFHeader_end</vt:lpstr>
      <vt:lpstr>DriftmedprojektF_f_DriftmedprojektFHeader_start</vt:lpstr>
      <vt:lpstr>Forside_f_BCM_subcat10_Holder1_end</vt:lpstr>
      <vt:lpstr>Forside_f_BCM_subcat10_Holder1_start</vt:lpstr>
      <vt:lpstr>Forside_f_Finanskonti_End</vt:lpstr>
      <vt:lpstr>Forside_f_FP_Cfg1Text4b_end</vt:lpstr>
      <vt:lpstr>Forside_f_FP_Cfg1Text4b_start</vt:lpstr>
      <vt:lpstr>Forside_f_FP_CfgText1a_end</vt:lpstr>
      <vt:lpstr>Forside_f_FP_CfgText1a_start</vt:lpstr>
      <vt:lpstr>Forside_f_FP_CfgText1b_end</vt:lpstr>
      <vt:lpstr>Forside_f_FP_CfgText1b_start</vt:lpstr>
      <vt:lpstr>Forside_f_FP_CfgText2a_end</vt:lpstr>
      <vt:lpstr>Forside_f_FP_CfgText2a_start</vt:lpstr>
      <vt:lpstr>Forside_f_FP_CfgText2b_end</vt:lpstr>
      <vt:lpstr>Forside_f_FP_CfgText2b_start</vt:lpstr>
      <vt:lpstr>Forside_f_FP_CfgText3a_end</vt:lpstr>
      <vt:lpstr>Forside_f_FP_CfgText3a_start</vt:lpstr>
      <vt:lpstr>Forside_f_FP_CfgText3b_end</vt:lpstr>
      <vt:lpstr>Forside_f_FP_CfgText3b_start</vt:lpstr>
      <vt:lpstr>Forside_f_FP_CfgText4a_end</vt:lpstr>
      <vt:lpstr>Forside_f_FP_CfgText4a_start</vt:lpstr>
      <vt:lpstr>Forside_f_FP_Finanskonti_1_start</vt:lpstr>
      <vt:lpstr>Forside_f_FP_Finanskonti_2_start</vt:lpstr>
      <vt:lpstr>Forside_f_FP_Finanskonti_3_start</vt:lpstr>
      <vt:lpstr>Forside_f_FP_Finanskonti_4_start</vt:lpstr>
      <vt:lpstr>Forside_f_FP_Finanskonti_5_start</vt:lpstr>
      <vt:lpstr>Forside_f_FP_Finanskonti_6_start</vt:lpstr>
      <vt:lpstr>Forside_f_FP_Finanskonti_7_start</vt:lpstr>
      <vt:lpstr>Forside_f_FP_Finanskonti_8_start</vt:lpstr>
      <vt:lpstr>Forside_f_FP_Finanskonti_9_start</vt:lpstr>
      <vt:lpstr>Forside_f_FP_Gevinstejer_1_start</vt:lpstr>
      <vt:lpstr>Forside_f_FP_GevinstejerTxt1_end</vt:lpstr>
      <vt:lpstr>Forside_f_FP_GevinstejerTxt1_start</vt:lpstr>
      <vt:lpstr>Forside_f_FP_Main1_end</vt:lpstr>
      <vt:lpstr>Forside_f_FP_Main1_start</vt:lpstr>
      <vt:lpstr>Forside_f_FP_Main1BCtype_end</vt:lpstr>
      <vt:lpstr>Forside_f_FP_Main1BCtype_start</vt:lpstr>
      <vt:lpstr>Forside_f_FP_Main1Gevinstejere_end</vt:lpstr>
      <vt:lpstr>Forside_f_FP_Main1Gevinstejere_start</vt:lpstr>
      <vt:lpstr>Forside_f_FP_Main1IOKVar_end</vt:lpstr>
      <vt:lpstr>Forside_f_FP_Main1IOKVar_start</vt:lpstr>
      <vt:lpstr>Forside_f_FP_Main1IOKVarTable_end</vt:lpstr>
      <vt:lpstr>Forside_f_FP_Main1IOKVarTable_start</vt:lpstr>
      <vt:lpstr>Forside_f_FP_Main1Omkost_end</vt:lpstr>
      <vt:lpstr>Forside_f_FP_Main1Omkost_start</vt:lpstr>
      <vt:lpstr>Forside_f_FP_Main1OmkostEY_1_start</vt:lpstr>
      <vt:lpstr>Forside_f_FP_Main1OmkostIY_1_start</vt:lpstr>
      <vt:lpstr>Forside_f_FP_Main1OmkostQ1_end</vt:lpstr>
      <vt:lpstr>Forside_f_FP_Main1OmkostQ1_start</vt:lpstr>
      <vt:lpstr>Forside_f_FP_Main1OmkostSY_1_start</vt:lpstr>
      <vt:lpstr>Forside_f_FP_Main1OmkostTable_1_end</vt:lpstr>
      <vt:lpstr>Forside_f_FP_Main1OmkostTable_1_start</vt:lpstr>
      <vt:lpstr>Forside_f_FP_Main1PloY_end</vt:lpstr>
      <vt:lpstr>Forside_f_FP_Main1PloY_start</vt:lpstr>
      <vt:lpstr>Forside_f_FP_Main1Projecter_end</vt:lpstr>
      <vt:lpstr>Forside_f_FP_Main1Projecter_start</vt:lpstr>
      <vt:lpstr>Forside_f_FP_Main1RisciTable_end</vt:lpstr>
      <vt:lpstr>Forside_f_FP_Main1RisciTable_start</vt:lpstr>
      <vt:lpstr>Forside_f_FP_Main1Risici_end</vt:lpstr>
      <vt:lpstr>Forside_f_FP_Main1Risici_start</vt:lpstr>
      <vt:lpstr>Forside_f_FP_Main1Tidsplan_end</vt:lpstr>
      <vt:lpstr>Forside_f_FP_Main1Tidsplan_start</vt:lpstr>
      <vt:lpstr>Forside_f_FP_Main1TidsplanTable_1_end</vt:lpstr>
      <vt:lpstr>Forside_f_FP_Main1TidsplanTable_1_start</vt:lpstr>
      <vt:lpstr>Forside_f_FP_Main1Udgift_end</vt:lpstr>
      <vt:lpstr>Forside_f_FP_Main1Udgift_start</vt:lpstr>
      <vt:lpstr>Forside_f_FP_Main1Version_end</vt:lpstr>
      <vt:lpstr>Forside_f_FP_Main1Version_start</vt:lpstr>
      <vt:lpstr>Forside_f_FP_Main1VersionTable_end</vt:lpstr>
      <vt:lpstr>Forside_f_FP_Main1VersionTable_start</vt:lpstr>
      <vt:lpstr>Forside_f_FP_Main2_end</vt:lpstr>
      <vt:lpstr>Forside_f_FP_Main2_start</vt:lpstr>
      <vt:lpstr>Forside_f_FP_Main2Sub1_end</vt:lpstr>
      <vt:lpstr>Forside_f_FP_Main2Sub1_start</vt:lpstr>
      <vt:lpstr>Forside_f_FP_Main2Sub1Pic1_end</vt:lpstr>
      <vt:lpstr>Forside_f_FP_Main2Sub1Pic1_start</vt:lpstr>
      <vt:lpstr>Forside_f_FP_Main2Sub1Text1_end</vt:lpstr>
      <vt:lpstr>Forside_f_FP_Main2Sub1Text1_start</vt:lpstr>
      <vt:lpstr>Forside_f_FP_Main2Sub1Text2_end</vt:lpstr>
      <vt:lpstr>Forside_f_FP_Main2Sub1Text2_start</vt:lpstr>
      <vt:lpstr>Forside_f_FP_Main2Sub2_end</vt:lpstr>
      <vt:lpstr>Forside_f_FP_Main2Sub2_start</vt:lpstr>
      <vt:lpstr>Forside_f_FP_Main2Sub2Text0_end</vt:lpstr>
      <vt:lpstr>Forside_f_FP_Main2Sub2Text0_start</vt:lpstr>
      <vt:lpstr>Forside_f_FP_Main2Sub2Text1_end</vt:lpstr>
      <vt:lpstr>Forside_f_FP_Main2Sub2Text1_start</vt:lpstr>
      <vt:lpstr>Forside_f_FP_Main2Sub3_end</vt:lpstr>
      <vt:lpstr>Forside_f_FP_Main2Sub3_start</vt:lpstr>
      <vt:lpstr>Forside_f_FP_Main2Sub4_end</vt:lpstr>
      <vt:lpstr>Forside_f_FP_Main2Sub4_start</vt:lpstr>
      <vt:lpstr>Forside_f_FP_Main2Sub4Text1_end</vt:lpstr>
      <vt:lpstr>Forside_f_FP_Main2Sub4Text1_start</vt:lpstr>
      <vt:lpstr>Forside_f_FP_Main2Sub5_end</vt:lpstr>
      <vt:lpstr>Forside_f_FP_Main2Sub5_start</vt:lpstr>
      <vt:lpstr>Forside_f_FP_Main2Sub5Text1_end</vt:lpstr>
      <vt:lpstr>Forside_f_FP_Main2Sub5Text1_start</vt:lpstr>
      <vt:lpstr>Forside_f_FP_Main2Sub6_end</vt:lpstr>
      <vt:lpstr>Forside_f_FP_Main2Sub6_start</vt:lpstr>
      <vt:lpstr>Forside_f_FP_Main2Sub6Text1_end</vt:lpstr>
      <vt:lpstr>Forside_f_FP_Main2Sub6Text1_start</vt:lpstr>
      <vt:lpstr>Forside_f_FP_Main2Text1_end</vt:lpstr>
      <vt:lpstr>Forside_f_FP_Main2Text1_start</vt:lpstr>
      <vt:lpstr>Forside_f_FP_OmkostTxt1_end</vt:lpstr>
      <vt:lpstr>Forside_f_FP_OmkostTxt1_start</vt:lpstr>
      <vt:lpstr>Forside_f_FP_OmkostTxt2_end</vt:lpstr>
      <vt:lpstr>Forside_f_FP_OmkostTxt2_start</vt:lpstr>
      <vt:lpstr>Forside_f_FP_OmkostTxt3_end</vt:lpstr>
      <vt:lpstr>Forside_f_FP_OmkostTxt3_start</vt:lpstr>
      <vt:lpstr>Forside_f_FP_PloYRepY_1_start</vt:lpstr>
      <vt:lpstr>Forside_f_FP_Projekter_1_start</vt:lpstr>
      <vt:lpstr>Forside_f_FP_Projekter_2_start</vt:lpstr>
      <vt:lpstr>Forside_f_FP_ProjekterTxt1_end</vt:lpstr>
      <vt:lpstr>Forside_f_FP_ProjekterTxt1_start</vt:lpstr>
      <vt:lpstr>Forside_f_FP_StamdataMain1_end</vt:lpstr>
      <vt:lpstr>Forside_f_FP_StamdataMain1_start</vt:lpstr>
      <vt:lpstr>Forside_f_FP_StamdataT1_1_start</vt:lpstr>
      <vt:lpstr>Forside_f_FP_StamdataT1Rep_End</vt:lpstr>
      <vt:lpstr>Forside_f_FP_StamdataT2_1_start</vt:lpstr>
      <vt:lpstr>Forside_f_FP_StamdataT2Obs_1_end</vt:lpstr>
      <vt:lpstr>Forside_f_FP_StamdataT2Obs_1_start</vt:lpstr>
      <vt:lpstr>Forside_f_FP_StamdataT2Rep_End</vt:lpstr>
      <vt:lpstr>Forside_f_FP_StamdataT3_1_start</vt:lpstr>
      <vt:lpstr>Forside_f_FP_StamdataT3Rep_End</vt:lpstr>
      <vt:lpstr>Forside_f_FP_StamdataT4_end</vt:lpstr>
      <vt:lpstr>Forside_f_FP_StamdataT4_start</vt:lpstr>
      <vt:lpstr>Forside_f_FP_StamdataT5_end</vt:lpstr>
      <vt:lpstr>Forside_f_FP_StamdataT5_start</vt:lpstr>
      <vt:lpstr>Forside_f_FP_StamdataT5Obs_end</vt:lpstr>
      <vt:lpstr>Forside_f_FP_StamdataT5Obs_start</vt:lpstr>
      <vt:lpstr>Forside_f_FP_Udgifts_1_start</vt:lpstr>
      <vt:lpstr>Forside_f_FP_UdgiftTxt1_end</vt:lpstr>
      <vt:lpstr>Forside_f_FP_UdgiftTxt1_start</vt:lpstr>
      <vt:lpstr>Forside_f_Gevinstejer_End</vt:lpstr>
      <vt:lpstr>Forside_f_IOKVar_End</vt:lpstr>
      <vt:lpstr>Forside_f_Ok_end</vt:lpstr>
      <vt:lpstr>Forside_f_Ok_start</vt:lpstr>
      <vt:lpstr>Forside_f_Old_end</vt:lpstr>
      <vt:lpstr>Forside_f_Old_start</vt:lpstr>
      <vt:lpstr>Forside_f_OmkosEY_End</vt:lpstr>
      <vt:lpstr>Forside_f_OmkostIY_End</vt:lpstr>
      <vt:lpstr>Forside_f_OmkostSY_End</vt:lpstr>
      <vt:lpstr>Forside_f_OmkostTable_End</vt:lpstr>
      <vt:lpstr>Forside_f_PloYRep_End</vt:lpstr>
      <vt:lpstr>Forside_f_ProjectsFS_Holder_end</vt:lpstr>
      <vt:lpstr>Forside_f_ProjectsFS_Holder_start</vt:lpstr>
      <vt:lpstr>Forside_f_Projekter_End</vt:lpstr>
      <vt:lpstr>Forside_f_ProjInProgrFP_Holder_end</vt:lpstr>
      <vt:lpstr>Forside_f_ProjInProgrFP_Holder_start</vt:lpstr>
      <vt:lpstr>Forside_f_Risci_End</vt:lpstr>
      <vt:lpstr>Forside_f_StartsideBackup_end</vt:lpstr>
      <vt:lpstr>Forside_f_StartsideBackup_start</vt:lpstr>
      <vt:lpstr>Forside_f_StartsideTitle_end</vt:lpstr>
      <vt:lpstr>Forside_f_StartsideTitle_start</vt:lpstr>
      <vt:lpstr>Forside_f_TidsPlan_End</vt:lpstr>
      <vt:lpstr>Forside_f_Udgifts_End</vt:lpstr>
      <vt:lpstr>Forside_f_Unknown_end</vt:lpstr>
      <vt:lpstr>Forside_f_Unknown_start</vt:lpstr>
      <vt:lpstr>Forside_f_Version_End</vt:lpstr>
      <vt:lpstr>Konfiguration_f_CFG_Finanskonti_End</vt:lpstr>
      <vt:lpstr>Konfiguration_f_CFG_FinanskontiV_1_start</vt:lpstr>
      <vt:lpstr>Konfiguration_f_CFG_FinanskontiV_2_start</vt:lpstr>
      <vt:lpstr>Konfiguration_f_CFG_FinanskontiV_3_start</vt:lpstr>
      <vt:lpstr>Konfiguration_f_CFG_FinanskontiV_4_start</vt:lpstr>
      <vt:lpstr>Konfiguration_f_CFG_FinanskontiV_5_start</vt:lpstr>
      <vt:lpstr>Konfiguration_f_CFG_FinanskontiV_6_start</vt:lpstr>
      <vt:lpstr>Konfiguration_f_CFG_FinanskontiV_7_start</vt:lpstr>
      <vt:lpstr>Konfiguration_f_CFG_FinanskontiV_8_start</vt:lpstr>
      <vt:lpstr>Konfiguration_f_CFG_FinanskontiV_9_start</vt:lpstr>
      <vt:lpstr>Konfiguration_f_Cfg_Main1_end</vt:lpstr>
      <vt:lpstr>Konfiguration_f_Cfg_Main1_start</vt:lpstr>
      <vt:lpstr>Konfiguration_f_Cfg_Main1Title_end</vt:lpstr>
      <vt:lpstr>Konfiguration_f_Cfg_Main1Title_start</vt:lpstr>
      <vt:lpstr>Konfiguration_f_Cfg1Text1a_end</vt:lpstr>
      <vt:lpstr>Konfiguration_f_Cfg1Text1a_start</vt:lpstr>
      <vt:lpstr>Konfiguration_f_Cfg1Text1b_end</vt:lpstr>
      <vt:lpstr>Konfiguration_f_Cfg1Text1b_start</vt:lpstr>
      <vt:lpstr>Konfiguration_f_Cfg1Text2a_end</vt:lpstr>
      <vt:lpstr>Konfiguration_f_Cfg1Text2a_start</vt:lpstr>
      <vt:lpstr>Konfiguration_f_Cfg1Text2b_end</vt:lpstr>
      <vt:lpstr>Konfiguration_f_Cfg1Text2b_start</vt:lpstr>
      <vt:lpstr>Konfiguration_f_Cfg1Text3a_end</vt:lpstr>
      <vt:lpstr>Konfiguration_f_Cfg1Text3a_start</vt:lpstr>
      <vt:lpstr>Konfiguration_f_Cfg1Text3b_end</vt:lpstr>
      <vt:lpstr>Konfiguration_f_Cfg1Text3b_start</vt:lpstr>
      <vt:lpstr>Konfiguration_f_Cfg1Text4a_end</vt:lpstr>
      <vt:lpstr>Konfiguration_f_Cfg1Text4a_start</vt:lpstr>
      <vt:lpstr>Konfiguration_f_Cfg1Text4b_end</vt:lpstr>
      <vt:lpstr>Konfiguration_f_Cfg1Text4b_start</vt:lpstr>
      <vt:lpstr>Konfiguration_f_CfgPicLastBkp_end</vt:lpstr>
      <vt:lpstr>Konfiguration_f_CfgPicLastBkp_start</vt:lpstr>
      <vt:lpstr>Konfiguration_f_KonfigurationStartBtn_end</vt:lpstr>
      <vt:lpstr>Konfiguration_f_KonfigurationStartBtn_start</vt:lpstr>
      <vt:lpstr>Konfiguration_f_Ok_end</vt:lpstr>
      <vt:lpstr>Konfiguration_f_Ok_start</vt:lpstr>
      <vt:lpstr>Konfiguration_f_Old_end</vt:lpstr>
      <vt:lpstr>Konfiguration_f_Old_start</vt:lpstr>
      <vt:lpstr>Konfiguration_f_Unknown_end</vt:lpstr>
      <vt:lpstr>Konfiguration_f_Unknown_start</vt:lpstr>
      <vt:lpstr>MasterSheet_f_BC_Gevinstejer_1_VS</vt:lpstr>
      <vt:lpstr>MasterSheet_f_BC_GevinstejerEnd_VS</vt:lpstr>
      <vt:lpstr>MasterSheet_f_BC_Hoveds1_1_VS</vt:lpstr>
      <vt:lpstr>MasterSheet_f_BC_Hoveds2_1_VS</vt:lpstr>
      <vt:lpstr>MasterSheet_f_BC_Projekter_1_VS</vt:lpstr>
      <vt:lpstr>MasterSheet_f_BC_Projekter_2_VS</vt:lpstr>
      <vt:lpstr>MasterSheet_f_BC_Risci2_1_VS</vt:lpstr>
      <vt:lpstr>MasterSheet_f_BC_Risci2_2_VS</vt:lpstr>
      <vt:lpstr>MasterSheet_f_BC_Udgifts_1_VS</vt:lpstr>
      <vt:lpstr>MasterSheet_f_BCM_HolderH1_VS</vt:lpstr>
      <vt:lpstr>MasterSheet_f_BCM_HolderH13_1_VS</vt:lpstr>
      <vt:lpstr>MasterSheet_f_BCM_HolderH1a_VS</vt:lpstr>
      <vt:lpstr>MasterSheet_f_BCM_HolderH1b_VS</vt:lpstr>
      <vt:lpstr>MasterSheet_f_BCM_HolderH1c_VS</vt:lpstr>
      <vt:lpstr>MasterSheet_f_BCM_HolderH1d_VS</vt:lpstr>
      <vt:lpstr>MasterSheet_f_BCM_HolderH1e_VS</vt:lpstr>
      <vt:lpstr>MasterSheet_f_BCM_HolderH1f_VS</vt:lpstr>
      <vt:lpstr>MasterSheet_f_BCM_HolderH1g_VS</vt:lpstr>
      <vt:lpstr>MasterSheet_f_BCM_HolderH1h_VS</vt:lpstr>
      <vt:lpstr>MasterSheet_f_BCM_HolderH1i_VS</vt:lpstr>
      <vt:lpstr>MasterSheet_f_BCM_HolderH1j_VS</vt:lpstr>
      <vt:lpstr>MasterSheet_f_BCM_HolderH1k_VS</vt:lpstr>
      <vt:lpstr>MasterSheet_f_BCM_HolderH1l_VS</vt:lpstr>
      <vt:lpstr>MasterSheet_f_BCM_HolderH1m_VS</vt:lpstr>
      <vt:lpstr>MasterSheet_f_BCM_HolderH1n_VS</vt:lpstr>
      <vt:lpstr>MasterSheet_f_BCM_IOKVar_1_VS</vt:lpstr>
      <vt:lpstr>MasterSheet_f_BCM_PIPTextHide_VS</vt:lpstr>
      <vt:lpstr>MasterSheet_f_BCM_subca11_Chart1_VS</vt:lpstr>
      <vt:lpstr>MasterSheet_f_BCM_subcat10_Holder1_VS</vt:lpstr>
      <vt:lpstr>MasterSheet_f_BCM_subcat10_Table1_H1_VS</vt:lpstr>
      <vt:lpstr>MasterSheet_f_BCM_subcat10_Table1_H2_VS</vt:lpstr>
      <vt:lpstr>MasterSheet_f_BCM_subcat10_Table1_H3_VS</vt:lpstr>
      <vt:lpstr>MasterSheet_f_BCM_subcat10_Table1_H4_VS</vt:lpstr>
      <vt:lpstr>MasterSheet_f_BCM_subcat10_Table1_H5_VS</vt:lpstr>
      <vt:lpstr>MasterSheet_f_BCM_subcat10_Table1_VS</vt:lpstr>
      <vt:lpstr>MasterSheet_f_BCM_subcat11_Table1_H1_VS</vt:lpstr>
      <vt:lpstr>MasterSheet_f_BCM_subcat11_Table1_H2_VS</vt:lpstr>
      <vt:lpstr>MasterSheet_f_BCM_subcat11_Table1_H3_VS</vt:lpstr>
      <vt:lpstr>MasterSheet_f_BCM_subcat11_Table1_H4_VS</vt:lpstr>
      <vt:lpstr>MasterSheet_f_BCM_subcat11_Table1_H5_VS</vt:lpstr>
      <vt:lpstr>MasterSheet_f_BCM_subcat11_Table1_H6_VS</vt:lpstr>
      <vt:lpstr>MasterSheet_f_BCM_subcat11_Table1_H7_VS</vt:lpstr>
      <vt:lpstr>MasterSheet_f_BCM_subcat11_Table1_H8_VS</vt:lpstr>
      <vt:lpstr>MasterSheet_f_BCM_subcat11_Table1_VS</vt:lpstr>
      <vt:lpstr>MasterSheet_f_BCM_subcat12_Table1_BL1_VS</vt:lpstr>
      <vt:lpstr>MasterSheet_f_BCM_subcat12_Table1_BL2_VS</vt:lpstr>
      <vt:lpstr>MasterSheet_f_BCM_subcat12_Table1_H1_VS</vt:lpstr>
      <vt:lpstr>MasterSheet_f_BCM_subcat12_Table1_HEnd1_VS</vt:lpstr>
      <vt:lpstr>MasterSheet_f_BCM_subcat12_Table1_HEnd3_VS</vt:lpstr>
      <vt:lpstr>MasterSheet_f_BCM_subcat12_Table1_VS</vt:lpstr>
      <vt:lpstr>MasterSheet_f_BCM_subcat13_Table1_BL1_VS</vt:lpstr>
      <vt:lpstr>MasterSheet_f_BCM_subcat13_Table1_BL2_VS</vt:lpstr>
      <vt:lpstr>MasterSheet_f_BCM_subcat13_Table1_BL3_VS</vt:lpstr>
      <vt:lpstr>MasterSheet_f_BCM_subcat13_Table1_H1_VS</vt:lpstr>
      <vt:lpstr>MasterSheet_f_BCM_subcat13_Table1_H3_VS</vt:lpstr>
      <vt:lpstr>MasterSheet_f_BCM_subcat13_Table1_H7_VS</vt:lpstr>
      <vt:lpstr>MasterSheet_f_BCM_subcat13_Table1_VS</vt:lpstr>
      <vt:lpstr>MasterSheet_f_BCM_subcat13_Table2_BL1_VS</vt:lpstr>
      <vt:lpstr>MasterSheet_f_BCM_subcat13_Table2_BL2_VS</vt:lpstr>
      <vt:lpstr>MasterSheet_f_BCM_subcat13_Table2_R1_VS</vt:lpstr>
      <vt:lpstr>MasterSheet_f_BCM_subcat13_Table2_R3_VS</vt:lpstr>
      <vt:lpstr>MasterSheet_f_BCM_subcat13_Table2_R5_VS</vt:lpstr>
      <vt:lpstr>MasterSheet_f_BCM_subcat13_Table2_R6_VS</vt:lpstr>
      <vt:lpstr>MasterSheet_f_BCM_subcat13_Table2_R7_VS</vt:lpstr>
      <vt:lpstr>MasterSheet_f_BCM_subcat13_Table2_VS</vt:lpstr>
      <vt:lpstr>MasterSheet_f_BCM_subcat14_Holder1_VS</vt:lpstr>
      <vt:lpstr>MasterSheet_f_BCM_subcat14_Table1_H1_VS</vt:lpstr>
      <vt:lpstr>MasterSheet_f_BCM_subcat14_Table1_H10_VS</vt:lpstr>
      <vt:lpstr>MasterSheet_f_BCM_subcat14_Table1_H11_VS</vt:lpstr>
      <vt:lpstr>MasterSheet_f_BCM_subcat14_Table1_H12_VS</vt:lpstr>
      <vt:lpstr>MasterSheet_f_BCM_subcat14_Table1_H13_VS</vt:lpstr>
      <vt:lpstr>MasterSheet_f_BCM_subcat14_Table1_H14_VS</vt:lpstr>
      <vt:lpstr>MasterSheet_f_BCM_subcat14_Table1_H2_VS</vt:lpstr>
      <vt:lpstr>MasterSheet_f_BCM_subcat14_Table1_H3_VS</vt:lpstr>
      <vt:lpstr>MasterSheet_f_BCM_subcat14_Table1_H4_VS</vt:lpstr>
      <vt:lpstr>MasterSheet_f_BCM_subcat14_Table1_H5_VS</vt:lpstr>
      <vt:lpstr>MasterSheet_f_BCM_subcat14_Table1_H6_VS</vt:lpstr>
      <vt:lpstr>MasterSheet_f_BCM_subcat14_Table1_H7_VS</vt:lpstr>
      <vt:lpstr>MasterSheet_f_BCM_subcat14_Table1_H8_VS</vt:lpstr>
      <vt:lpstr>MasterSheet_f_BCM_subcat14_Table1_H9_VS</vt:lpstr>
      <vt:lpstr>MasterSheet_f_BCM_subcat14_Table1_VS</vt:lpstr>
      <vt:lpstr>MasterSheet_f_BCM_subcat15_Table1_H1_VS</vt:lpstr>
      <vt:lpstr>MasterSheet_f_BCM_subcat15_Table1_R1_VS</vt:lpstr>
      <vt:lpstr>MasterSheet_f_BCM_subcat15_Table1_R2_VS</vt:lpstr>
      <vt:lpstr>MasterSheet_f_BCM_subcat15_Table1_R3_VS</vt:lpstr>
      <vt:lpstr>MasterSheet_f_BCM_subcat15_Table1_R4_VS</vt:lpstr>
      <vt:lpstr>MasterSheet_f_BCM_subcat15_Table1_R5_VS</vt:lpstr>
      <vt:lpstr>MasterSheet_f_BCM_subcat15_Table1_R6_VS</vt:lpstr>
      <vt:lpstr>MasterSheet_f_BCM_subcat15_Table1_R7_VS</vt:lpstr>
      <vt:lpstr>MasterSheet_f_BCM_subcat15_Table1_R8_VS</vt:lpstr>
      <vt:lpstr>MasterSheet_f_BCM_subcat15_Table1_R9_VS</vt:lpstr>
      <vt:lpstr>MasterSheet_f_BCM_subcat15_Table1_VS</vt:lpstr>
      <vt:lpstr>MasterSheet_f_BCM_subcat16_Table1_H1_VS</vt:lpstr>
      <vt:lpstr>MasterSheet_f_BCM_subcat16_Table1_R1_VS</vt:lpstr>
      <vt:lpstr>MasterSheet_f_BCM_subcat16_Table1_R10_VS</vt:lpstr>
      <vt:lpstr>MasterSheet_f_BCM_subcat16_Table1_R11_VS</vt:lpstr>
      <vt:lpstr>MasterSheet_f_BCM_subcat16_Table1_R12_VS</vt:lpstr>
      <vt:lpstr>MasterSheet_f_BCM_subcat16_Table1_R13_VS</vt:lpstr>
      <vt:lpstr>MasterSheet_f_BCM_subcat16_Table1_R14_VS</vt:lpstr>
      <vt:lpstr>MasterSheet_f_BCM_subcat16_Table1_R15_VS</vt:lpstr>
      <vt:lpstr>MasterSheet_f_BCM_subcat16_Table1_R16_VS</vt:lpstr>
      <vt:lpstr>MasterSheet_f_BCM_subcat16_Table1_R17_VS</vt:lpstr>
      <vt:lpstr>MasterSheet_f_BCM_subcat16_Table1_R18_VS</vt:lpstr>
      <vt:lpstr>MasterSheet_f_BCM_subcat16_Table1_R19_VS</vt:lpstr>
      <vt:lpstr>MasterSheet_f_BCM_subcat16_Table1_R2_VS</vt:lpstr>
      <vt:lpstr>MasterSheet_f_BCM_subcat16_Table1_R20_VS</vt:lpstr>
      <vt:lpstr>MasterSheet_f_BCM_subcat16_Table1_R21_VS</vt:lpstr>
      <vt:lpstr>MasterSheet_f_BCM_subcat16_Table1_R22_VS</vt:lpstr>
      <vt:lpstr>MasterSheet_f_BCM_subcat16_Table1_R23_VS</vt:lpstr>
      <vt:lpstr>MasterSheet_f_BCM_subcat16_Table1_R24_VS</vt:lpstr>
      <vt:lpstr>MasterSheet_f_BCM_subcat16_Table1_R25_VS</vt:lpstr>
      <vt:lpstr>MasterSheet_f_BCM_subcat16_Table1_R26_VS</vt:lpstr>
      <vt:lpstr>MasterSheet_f_BCM_subcat16_Table1_R27_VS</vt:lpstr>
      <vt:lpstr>MasterSheet_f_BCM_subcat16_Table1_R28_VS</vt:lpstr>
      <vt:lpstr>MasterSheet_f_BCM_subcat16_Table1_R29_VS</vt:lpstr>
      <vt:lpstr>MasterSheet_f_BCM_subcat16_Table1_R3_VS</vt:lpstr>
      <vt:lpstr>MasterSheet_f_BCM_subcat16_Table1_R30_VS</vt:lpstr>
      <vt:lpstr>MasterSheet_f_BCM_subcat16_Table1_R31_VS</vt:lpstr>
      <vt:lpstr>MasterSheet_f_BCM_subcat16_Table1_R32_VS</vt:lpstr>
      <vt:lpstr>MasterSheet_f_BCM_subcat16_Table1_R33_VS</vt:lpstr>
      <vt:lpstr>MasterSheet_f_BCM_subcat16_Table1_R34_VS</vt:lpstr>
      <vt:lpstr>MasterSheet_f_BCM_subcat16_Table1_R35_VS</vt:lpstr>
      <vt:lpstr>MasterSheet_f_BCM_subcat16_Table1_R36_VS</vt:lpstr>
      <vt:lpstr>MasterSheet_f_BCM_subcat16_Table1_R37_VS</vt:lpstr>
      <vt:lpstr>MasterSheet_f_BCM_subcat16_Table1_R38_VS</vt:lpstr>
      <vt:lpstr>MasterSheet_f_BCM_subcat16_Table1_R39_VS</vt:lpstr>
      <vt:lpstr>MasterSheet_f_BCM_subcat16_Table1_R4_VS</vt:lpstr>
      <vt:lpstr>MasterSheet_f_BCM_subcat16_Table1_R40_VS</vt:lpstr>
      <vt:lpstr>MasterSheet_f_BCM_subcat16_Table1_R41_VS</vt:lpstr>
      <vt:lpstr>MasterSheet_f_BCM_subcat16_Table1_R42_VS</vt:lpstr>
      <vt:lpstr>MasterSheet_f_BCM_subcat16_Table1_R43_VS</vt:lpstr>
      <vt:lpstr>MasterSheet_f_BCM_subcat16_Table1_R44_VS</vt:lpstr>
      <vt:lpstr>MasterSheet_f_BCM_subcat16_Table1_R45_VS</vt:lpstr>
      <vt:lpstr>MasterSheet_f_BCM_subcat16_Table1_R46_VS</vt:lpstr>
      <vt:lpstr>MasterSheet_f_BCM_subcat16_Table1_R5_VS</vt:lpstr>
      <vt:lpstr>MasterSheet_f_BCM_subcat16_Table1_R6_VS</vt:lpstr>
      <vt:lpstr>MasterSheet_f_BCM_subcat16_Table1_R7_VS</vt:lpstr>
      <vt:lpstr>MasterSheet_f_BCM_subcat16_Table1_R8_VS</vt:lpstr>
      <vt:lpstr>MasterSheet_f_BCM_subcat16_Table1_R9_VS</vt:lpstr>
      <vt:lpstr>MasterSheet_f_BCM_subcat16_Table1_VS</vt:lpstr>
      <vt:lpstr>MasterSheet_f_BCM_subcat17_Table1_H1_VS</vt:lpstr>
      <vt:lpstr>MasterSheet_f_BCM_subcat17_Table1_VS</vt:lpstr>
      <vt:lpstr>MasterSheet_f_BCM_subcat18_Table1_H1_VS</vt:lpstr>
      <vt:lpstr>MasterSheet_f_BCM_subcat18_Table1_R1_VS</vt:lpstr>
      <vt:lpstr>MasterSheet_f_BCM_subcat18_Table1_R10_VS</vt:lpstr>
      <vt:lpstr>MasterSheet_f_BCM_subcat18_Table1_R11_VS</vt:lpstr>
      <vt:lpstr>MasterSheet_f_BCM_subcat18_Table1_R12_VS</vt:lpstr>
      <vt:lpstr>MasterSheet_f_BCM_subcat18_Table1_R13_VS</vt:lpstr>
      <vt:lpstr>MasterSheet_f_BCM_subcat18_Table1_R14_VS</vt:lpstr>
      <vt:lpstr>MasterSheet_f_BCM_subcat18_Table1_R15_VS</vt:lpstr>
      <vt:lpstr>MasterSheet_f_BCM_subcat18_Table1_R16_VS</vt:lpstr>
      <vt:lpstr>MasterSheet_f_BCM_subcat18_Table1_R17_VS</vt:lpstr>
      <vt:lpstr>MasterSheet_f_BCM_subcat18_Table1_R18_VS</vt:lpstr>
      <vt:lpstr>MasterSheet_f_BCM_subcat18_Table1_R19_VS</vt:lpstr>
      <vt:lpstr>MasterSheet_f_BCM_subcat18_Table1_R2_VS</vt:lpstr>
      <vt:lpstr>MasterSheet_f_BCM_subcat18_Table1_R20_VS</vt:lpstr>
      <vt:lpstr>MasterSheet_f_BCM_subcat18_Table1_R21_VS</vt:lpstr>
      <vt:lpstr>MasterSheet_f_BCM_subcat18_Table1_R22_VS</vt:lpstr>
      <vt:lpstr>MasterSheet_f_BCM_subcat18_Table1_R23_VS</vt:lpstr>
      <vt:lpstr>MasterSheet_f_BCM_subcat18_Table1_R24_VS</vt:lpstr>
      <vt:lpstr>MasterSheet_f_BCM_subcat18_Table1_R25_VS</vt:lpstr>
      <vt:lpstr>MasterSheet_f_BCM_subcat18_Table1_R26_VS</vt:lpstr>
      <vt:lpstr>MasterSheet_f_BCM_subcat18_Table1_R27_VS</vt:lpstr>
      <vt:lpstr>MasterSheet_f_BCM_subcat18_Table1_R28_VS</vt:lpstr>
      <vt:lpstr>MasterSheet_f_BCM_subcat18_Table1_R29_VS</vt:lpstr>
      <vt:lpstr>MasterSheet_f_BCM_subcat18_Table1_R3_VS</vt:lpstr>
      <vt:lpstr>MasterSheet_f_BCM_subcat18_Table1_R30_VS</vt:lpstr>
      <vt:lpstr>MasterSheet_f_BCM_subcat18_Table1_R31_VS</vt:lpstr>
      <vt:lpstr>MasterSheet_f_BCM_subcat18_Table1_R32_VS</vt:lpstr>
      <vt:lpstr>MasterSheet_f_BCM_subcat18_Table1_R33_VS</vt:lpstr>
      <vt:lpstr>MasterSheet_f_BCM_subcat18_Table1_R34_VS</vt:lpstr>
      <vt:lpstr>MasterSheet_f_BCM_subcat18_Table1_R35_VS</vt:lpstr>
      <vt:lpstr>MasterSheet_f_BCM_subcat18_Table1_R36_VS</vt:lpstr>
      <vt:lpstr>MasterSheet_f_BCM_subcat18_Table1_R37_VS</vt:lpstr>
      <vt:lpstr>MasterSheet_f_BCM_subcat18_Table1_R38_VS</vt:lpstr>
      <vt:lpstr>MasterSheet_f_BCM_subcat18_Table1_R39_VS</vt:lpstr>
      <vt:lpstr>MasterSheet_f_BCM_subcat18_Table1_R4_VS</vt:lpstr>
      <vt:lpstr>MasterSheet_f_BCM_subcat18_Table1_R40_VS</vt:lpstr>
      <vt:lpstr>MasterSheet_f_BCM_subcat18_Table1_R41_VS</vt:lpstr>
      <vt:lpstr>MasterSheet_f_BCM_subcat18_Table1_R42_VS</vt:lpstr>
      <vt:lpstr>MasterSheet_f_BCM_subcat18_Table1_R43_VS</vt:lpstr>
      <vt:lpstr>MasterSheet_f_BCM_subcat18_Table1_R44_VS</vt:lpstr>
      <vt:lpstr>MasterSheet_f_BCM_subcat18_Table1_R45_VS</vt:lpstr>
      <vt:lpstr>MasterSheet_f_BCM_subcat18_Table1_R46_VS</vt:lpstr>
      <vt:lpstr>MasterSheet_f_BCM_subcat18_Table1_R47_VS</vt:lpstr>
      <vt:lpstr>MasterSheet_f_BCM_subcat18_Table1_R48_VS</vt:lpstr>
      <vt:lpstr>MasterSheet_f_BCM_subcat18_Table1_R49_VS</vt:lpstr>
      <vt:lpstr>MasterSheet_f_BCM_subcat18_Table1_R5_VS</vt:lpstr>
      <vt:lpstr>MasterSheet_f_BCM_subcat18_Table1_R50_VS</vt:lpstr>
      <vt:lpstr>MasterSheet_f_BCM_subcat18_Table1_R51_VS</vt:lpstr>
      <vt:lpstr>MasterSheet_f_BCM_subcat18_Table1_R52_VS</vt:lpstr>
      <vt:lpstr>MasterSheet_f_BCM_subcat18_Table1_R53_VS</vt:lpstr>
      <vt:lpstr>MasterSheet_f_BCM_subcat18_Table1_R54_VS</vt:lpstr>
      <vt:lpstr>MasterSheet_f_BCM_subcat18_Table1_R55_VS</vt:lpstr>
      <vt:lpstr>MasterSheet_f_BCM_subcat18_Table1_R56_VS</vt:lpstr>
      <vt:lpstr>MasterSheet_f_BCM_subcat18_Table1_R57_VS</vt:lpstr>
      <vt:lpstr>MasterSheet_f_BCM_subcat18_Table1_R58_VS</vt:lpstr>
      <vt:lpstr>MasterSheet_f_BCM_subcat18_Table1_R6_VS</vt:lpstr>
      <vt:lpstr>MasterSheet_f_BCM_subcat18_Table1_R7_VS</vt:lpstr>
      <vt:lpstr>MasterSheet_f_BCM_subcat18_Table1_R8_VS</vt:lpstr>
      <vt:lpstr>MasterSheet_f_BCM_subcat18_Table1_R9_VS</vt:lpstr>
      <vt:lpstr>MasterSheet_f_BCM_subcat18_Table1_VS</vt:lpstr>
      <vt:lpstr>MasterSheet_f_BCM_subcat19_Table1_H1_VS</vt:lpstr>
      <vt:lpstr>MasterSheet_f_BCM_subcat19_Table1_VS</vt:lpstr>
      <vt:lpstr>MasterSheet_f_BCM_subcat19_Table2_H1_VS</vt:lpstr>
      <vt:lpstr>MasterSheet_f_BCM_subcat19_Table2_VS</vt:lpstr>
      <vt:lpstr>MasterSheet_f_BCM_subcat2_Holder1_VS</vt:lpstr>
      <vt:lpstr>MasterSheet_f_BCM_subcat2_Holder2_VS</vt:lpstr>
      <vt:lpstr>MasterSheet_f_BCM_subcat2_Holder3_VS</vt:lpstr>
      <vt:lpstr>MasterSheet_f_BCM_subcat2_Table1_H1_VS</vt:lpstr>
      <vt:lpstr>MasterSheet_f_BCM_subcat2_Table1_R1_VS</vt:lpstr>
      <vt:lpstr>MasterSheet_f_BCM_subcat2_Table1_R10_VS</vt:lpstr>
      <vt:lpstr>MasterSheet_f_BCM_subcat2_Table1_R11_VS</vt:lpstr>
      <vt:lpstr>MasterSheet_f_BCM_subcat2_Table1_R12_VS</vt:lpstr>
      <vt:lpstr>MasterSheet_f_BCM_subcat2_Table1_R13_VS</vt:lpstr>
      <vt:lpstr>MasterSheet_f_BCM_subcat2_Table1_R2_VS</vt:lpstr>
      <vt:lpstr>MasterSheet_f_BCM_subcat2_Table1_R3_VS</vt:lpstr>
      <vt:lpstr>MasterSheet_f_BCM_subcat2_Table1_R6_VS</vt:lpstr>
      <vt:lpstr>MasterSheet_f_BCM_subcat2_Table1_R7_VS</vt:lpstr>
      <vt:lpstr>MasterSheet_f_BCM_subcat2_Table1_R8_VS</vt:lpstr>
      <vt:lpstr>MasterSheet_f_BCM_subcat2_Table1_R9_VS</vt:lpstr>
      <vt:lpstr>MasterSheet_f_BCM_subcat2_Table1_VS</vt:lpstr>
      <vt:lpstr>MasterSheet_f_BCM_subcat3_Holder1_VS</vt:lpstr>
      <vt:lpstr>MasterSheet_f_BCM_subcat3_Holder2_VS</vt:lpstr>
      <vt:lpstr>MasterSheet_f_BCM_subcat3_Holder3_VS</vt:lpstr>
      <vt:lpstr>MasterSheet_f_BCM_subcat3_Table1_BL1_VS</vt:lpstr>
      <vt:lpstr>MasterSheet_f_BCM_subcat3_Table1_BL2_VS</vt:lpstr>
      <vt:lpstr>MasterSheet_f_BCM_subcat3_Table1_end2_VS</vt:lpstr>
      <vt:lpstr>MasterSheet_f_BCM_subcat3_Table1_end3_VS</vt:lpstr>
      <vt:lpstr>MasterSheet_f_BCM_subcat3_Table1_end4_VS</vt:lpstr>
      <vt:lpstr>MasterSheet_f_BCM_subcat3_Table1_end5_VS</vt:lpstr>
      <vt:lpstr>MasterSheet_f_BCM_subcat3_Table1_end6_VS</vt:lpstr>
      <vt:lpstr>MasterSheet_f_BCM_subcat3_Table1_end7_VS</vt:lpstr>
      <vt:lpstr>MasterSheet_f_BCM_subcat3_Table1_H1_VS</vt:lpstr>
      <vt:lpstr>MasterSheet_f_BCM_subcat3_Table1_VS</vt:lpstr>
      <vt:lpstr>MasterSheet_f_BCM_subcat3_Table8_end1_VS</vt:lpstr>
      <vt:lpstr>MasterSheet_f_BCM_subcat3_Table8_end2_VS</vt:lpstr>
      <vt:lpstr>MasterSheet_f_BCM_subcat3_Table8_end3_VS</vt:lpstr>
      <vt:lpstr>MasterSheet_f_BCM_subcat3_Table8_end4_VS</vt:lpstr>
      <vt:lpstr>MasterSheet_f_BCM_subcat3_Table8_end5_VS</vt:lpstr>
      <vt:lpstr>MasterSheet_f_BCM_subcat3_Table8_end6_VS</vt:lpstr>
      <vt:lpstr>MasterSheet_f_BCM_subcat4_Holder1_VS</vt:lpstr>
      <vt:lpstr>MasterSheet_f_BCM_subcat4_Table1_H1_VS</vt:lpstr>
      <vt:lpstr>MasterSheet_f_BCM_subcat4_Table1_R1_VS</vt:lpstr>
      <vt:lpstr>MasterSheet_f_BCM_subcat4_Table1_R2_VS</vt:lpstr>
      <vt:lpstr>MasterSheet_f_BCM_subcat4_Table1_R3_VS</vt:lpstr>
      <vt:lpstr>MasterSheet_f_BCM_subcat4_Table1_R4_VS</vt:lpstr>
      <vt:lpstr>MasterSheet_f_BCM_subcat4_Table1_R5_VS</vt:lpstr>
      <vt:lpstr>MasterSheet_f_BCM_subcat4_Table1_VS</vt:lpstr>
      <vt:lpstr>MasterSheet_f_BCM_subcat5_Table1_BL1_VS</vt:lpstr>
      <vt:lpstr>MasterSheet_f_BCM_subcat5_Table1_BL2_VS</vt:lpstr>
      <vt:lpstr>MasterSheet_f_BCM_subcat5_Table1_BL3_VS</vt:lpstr>
      <vt:lpstr>MasterSheet_f_BCM_subcat5_Table1_H1_VS</vt:lpstr>
      <vt:lpstr>MasterSheet_f_BCM_subcat5_Table1_R8_VS</vt:lpstr>
      <vt:lpstr>MasterSheet_f_BCM_subcat5_Table1_VS</vt:lpstr>
      <vt:lpstr>MasterSheet_f_BCM_subcat6a_Table1_BL1_VS</vt:lpstr>
      <vt:lpstr>MasterSheet_f_BCM_subcat6a_Table1_BL2_VS</vt:lpstr>
      <vt:lpstr>MasterSheet_f_BCM_subcat6a_Table1_BL3_VS</vt:lpstr>
      <vt:lpstr>MasterSheet_f_BCM_subcat6a_Table1_H1_VS</vt:lpstr>
      <vt:lpstr>MasterSheet_f_BCM_subcat6a_Table1_R1_VS</vt:lpstr>
      <vt:lpstr>MasterSheet_f_BCM_subcat6a_Table1_VS</vt:lpstr>
      <vt:lpstr>MasterSheet_f_BCM_subcat6b_Table1_H1_VS</vt:lpstr>
      <vt:lpstr>MasterSheet_f_BCM_subcat6b_Table1_R10_VS</vt:lpstr>
      <vt:lpstr>MasterSheet_f_BCM_subcat6b_Table1_R2_VS</vt:lpstr>
      <vt:lpstr>MasterSheet_f_BCM_subcat6b_Table1_R3_VS</vt:lpstr>
      <vt:lpstr>MasterSheet_f_BCM_subcat6b_Table1_R4_VS</vt:lpstr>
      <vt:lpstr>MasterSheet_f_BCM_subcat6b_Table1_R5_VS</vt:lpstr>
      <vt:lpstr>MasterSheet_f_BCM_subcat6b_Table1_R6_VS</vt:lpstr>
      <vt:lpstr>MasterSheet_f_BCM_subcat6b_Table1_R7_VS</vt:lpstr>
      <vt:lpstr>MasterSheet_f_BCM_subcat6b_Table1_R8_VS</vt:lpstr>
      <vt:lpstr>MasterSheet_f_BCM_subcat6b_Table1_VS</vt:lpstr>
      <vt:lpstr>MasterSheet_f_BCM_subcat7_AtRiskF1_VS</vt:lpstr>
      <vt:lpstr>MasterSheet_f_BCM_subcat7_AtRiskF2_VS</vt:lpstr>
      <vt:lpstr>MasterSheet_f_BCM_subcat7_Holder1_VS</vt:lpstr>
      <vt:lpstr>MasterSheet_f_BCM_subcat7_Table1_H1_VS</vt:lpstr>
      <vt:lpstr>MasterSheet_f_BCM_subcat7_Table1_VS</vt:lpstr>
      <vt:lpstr>MasterSheet_f_BCM_subcat7_Table2_H1_VS</vt:lpstr>
      <vt:lpstr>MasterSheet_f_BCM_subcat7_Table2_VS</vt:lpstr>
      <vt:lpstr>MasterSheet_f_BCM_subcat8_Holder2_VS</vt:lpstr>
      <vt:lpstr>MasterSheet_f_BCM_subcat8_Holder3_VS</vt:lpstr>
      <vt:lpstr>MasterSheet_f_BCM_subcat8_Table1_BL1_VS</vt:lpstr>
      <vt:lpstr>MasterSheet_f_BCM_subcat8_Table1_BL2_VS</vt:lpstr>
      <vt:lpstr>MasterSheet_f_BCM_subcat8_Table1_H1_VS</vt:lpstr>
      <vt:lpstr>MasterSheet_f_BCM_subcat8_Table1_VS</vt:lpstr>
      <vt:lpstr>MasterSheet_f_BCM_Table1_H1_VS</vt:lpstr>
      <vt:lpstr>MasterSheet_f_BCM_Table1_H2_VS</vt:lpstr>
      <vt:lpstr>MasterSheet_f_BCM_Table1_VS</vt:lpstr>
      <vt:lpstr>MasterSheet_f_BCM_Table2_R1_VS</vt:lpstr>
      <vt:lpstr>MasterSheet_f_BCM_Table2_R2_VS</vt:lpstr>
      <vt:lpstr>MasterSheet_f_BCM_Table2_R3_VS</vt:lpstr>
      <vt:lpstr>MasterSheet_f_BCM_Table2_R4_VS</vt:lpstr>
      <vt:lpstr>MasterSheet_f_BCM_Table2_R5_VS</vt:lpstr>
      <vt:lpstr>MasterSheet_f_BCM_Table2_R6_VS</vt:lpstr>
      <vt:lpstr>MasterSheet_f_BCM_Table2_VS</vt:lpstr>
      <vt:lpstr>MasterSheet_f_BCM_Table4_H1_VS</vt:lpstr>
      <vt:lpstr>MasterSheet_f_BCM_Table4_R1_VS</vt:lpstr>
      <vt:lpstr>MasterSheet_f_BCM_Table4_R2_VS</vt:lpstr>
      <vt:lpstr>MasterSheet_f_BCM_Table4_R3_VS</vt:lpstr>
      <vt:lpstr>MasterSheet_f_BCM_Table4_R4_VS</vt:lpstr>
      <vt:lpstr>MasterSheet_f_BCM_Table4_R5_VS</vt:lpstr>
      <vt:lpstr>MasterSheet_f_BCM_Table4_R6_VS</vt:lpstr>
      <vt:lpstr>MasterSheet_f_BCM_Table4_R7_VS</vt:lpstr>
      <vt:lpstr>MasterSheet_f_BCM_Table4_R8_VS</vt:lpstr>
      <vt:lpstr>MasterSheet_f_BCM_Table4_VS</vt:lpstr>
      <vt:lpstr>MasterSheet_f_BCM_Text1_VS</vt:lpstr>
      <vt:lpstr>MasterSheet_f_BCM_Text2_VS</vt:lpstr>
      <vt:lpstr>MasterSheet_f_BCM_Text3_VS</vt:lpstr>
      <vt:lpstr>MasterSheet_f_BCM_Text4_VS</vt:lpstr>
      <vt:lpstr>MasterSheet_f_BlankList1</vt:lpstr>
      <vt:lpstr>MasterSheet_f_Businesscasen_VS</vt:lpstr>
      <vt:lpstr>MasterSheet_f_CFG_FinanskontiV_1_VS</vt:lpstr>
      <vt:lpstr>MasterSheet_f_CFG_FinanskontiV_2_VS</vt:lpstr>
      <vt:lpstr>MasterSheet_f_CFG_FinanskontiV_3_VS</vt:lpstr>
      <vt:lpstr>MasterSheet_f_CFG_FinanskontiV_4_VS</vt:lpstr>
      <vt:lpstr>MasterSheet_f_CFG_FinanskontiV_5_VS</vt:lpstr>
      <vt:lpstr>MasterSheet_f_CFG_FinanskontiV_6_VS</vt:lpstr>
      <vt:lpstr>MasterSheet_f_CFG_FinanskontiV_7_VS</vt:lpstr>
      <vt:lpstr>MasterSheet_f_CFG_FinanskontiV_8_VS</vt:lpstr>
      <vt:lpstr>MasterSheet_f_CFG_FinanskontiV_9_VS</vt:lpstr>
      <vt:lpstr>MasterSheet_f_Cfg_Main1_VS</vt:lpstr>
      <vt:lpstr>MasterSheet_f_Cfg_Main1Title_VS</vt:lpstr>
      <vt:lpstr>MasterSheet_f_Cfg1Group1_VS</vt:lpstr>
      <vt:lpstr>MasterSheet_f_Cfg1Group2_VS</vt:lpstr>
      <vt:lpstr>MasterSheet_f_Cfg1Group3_VS</vt:lpstr>
      <vt:lpstr>MasterSheet_f_Cfg1Text1a_VS</vt:lpstr>
      <vt:lpstr>MasterSheet_f_Cfg1Text1b_VS</vt:lpstr>
      <vt:lpstr>MasterSheet_f_Cfg1Text2a_VS</vt:lpstr>
      <vt:lpstr>MasterSheet_f_Cfg1Text2b_VS</vt:lpstr>
      <vt:lpstr>MasterSheet_f_Cfg1Text3a_VS</vt:lpstr>
      <vt:lpstr>MasterSheet_f_Cfg1Text3b_VS</vt:lpstr>
      <vt:lpstr>MasterSheet_f_Cfg1Text4a_VS</vt:lpstr>
      <vt:lpstr>MasterSheet_f_Cfg1Text4b_VS</vt:lpstr>
      <vt:lpstr>MasterSheet_f_CfgGroup1R1_VS</vt:lpstr>
      <vt:lpstr>MasterSheet_f_CfgGroup1R2_VS</vt:lpstr>
      <vt:lpstr>MasterSheet_f_CfgGroup1R3_VS</vt:lpstr>
      <vt:lpstr>MasterSheet_f_CfgGroup2R1_VS</vt:lpstr>
      <vt:lpstr>MasterSheet_f_CfgGroup2R2_VS</vt:lpstr>
      <vt:lpstr>MasterSheet_f_CfgGroup3R1_VS</vt:lpstr>
      <vt:lpstr>MasterSheet_f_CfgGroup3R2_VS</vt:lpstr>
      <vt:lpstr>MasterSheet_f_CfgPicLastBkp_VS</vt:lpstr>
      <vt:lpstr>MasterSheet_f_currentVersion</vt:lpstr>
      <vt:lpstr>MasterSheet_f_debugMode</vt:lpstr>
      <vt:lpstr>MasterSheet_f_DriftfprojektCHeader_VS</vt:lpstr>
      <vt:lpstr>MasterSheet_f_DriftfprojektCTable_H1_VS</vt:lpstr>
      <vt:lpstr>MasterSheet_f_DriftfprojektFHeader_VS</vt:lpstr>
      <vt:lpstr>MasterSheet_f_DriftfprojektFTable_H1_VS</vt:lpstr>
      <vt:lpstr>MasterSheet_f_DriftfprojektHeader2_VS</vt:lpstr>
      <vt:lpstr>MasterSheet_f_DriftfprojektHeader2H1_VS</vt:lpstr>
      <vt:lpstr>MasterSheet_f_DriftfprojektHeader2R1_VS</vt:lpstr>
      <vt:lpstr>MasterSheet_f_DriftfprojektMain1_VS</vt:lpstr>
      <vt:lpstr>MasterSheet_f_DriftfprojektMain1T1_VS</vt:lpstr>
      <vt:lpstr>MasterSheet_f_DriftfprojektMain1T1H1_VS</vt:lpstr>
      <vt:lpstr>MasterSheet_f_DriftfprojektMain1T1R1_VS</vt:lpstr>
      <vt:lpstr>MasterSheet_f_Driftfremtidigudenprojekt_VS</vt:lpstr>
      <vt:lpstr>MasterSheet_f_DriftfremtidigudenprojektC_VS</vt:lpstr>
      <vt:lpstr>MasterSheet_f_DriftfremtidigudenprojektCHeader_VS</vt:lpstr>
      <vt:lpstr>MasterSheet_f_DriftfremtidigudenprojektCTable_H1_VS</vt:lpstr>
      <vt:lpstr>MasterSheet_f_DriftfremtidigudenprojektD_VS</vt:lpstr>
      <vt:lpstr>MasterSheet_f_DriftfremtidigudenprojektDHeader_VS</vt:lpstr>
      <vt:lpstr>MasterSheet_f_DriftfremtidigudenprojektDTable_H1_VS</vt:lpstr>
      <vt:lpstr>MasterSheet_f_DriftfremtidigudenprojektE_VS</vt:lpstr>
      <vt:lpstr>MasterSheet_f_DriftfremtidigudenprojektEHeader_VS</vt:lpstr>
      <vt:lpstr>MasterSheet_f_DriftfremtidigudenprojektETable_H1_VS</vt:lpstr>
      <vt:lpstr>MasterSheet_f_DriftfremtidigudenprojektF_VS</vt:lpstr>
      <vt:lpstr>MasterSheet_f_DriftfremtidigudenprojektFHeader_VS</vt:lpstr>
      <vt:lpstr>MasterSheet_f_DriftfremtidigudenprojektFTable_H1_VS</vt:lpstr>
      <vt:lpstr>MasterSheet_f_DriftfremtidigudenprojektHeader1_VS</vt:lpstr>
      <vt:lpstr>MasterSheet_f_DriftfremtidigudenprojektHeader2_VS</vt:lpstr>
      <vt:lpstr>MasterSheet_f_DriftfremtidigudenprojektHeader3_VS</vt:lpstr>
      <vt:lpstr>MasterSheet_f_DriftfremtidigudenprojektMain1_VS</vt:lpstr>
      <vt:lpstr>MasterSheet_f_DriftfremtidigudenprojektMain1T1_VS</vt:lpstr>
      <vt:lpstr>MasterSheet_f_DriftfremtidigudenprojektMain1T1H1_VS</vt:lpstr>
      <vt:lpstr>MasterSheet_f_DriftfremtidigudenprojektMain1T1R1_VS</vt:lpstr>
      <vt:lpstr>MasterSheet_f_DriftfremtidigudenprojektMain2_VS</vt:lpstr>
      <vt:lpstr>MasterSheet_f_DriftfremtidigudenprojektMain2S1_VS</vt:lpstr>
      <vt:lpstr>MasterSheet_f_DriftfremtidigudenprojektMain2T1_VS</vt:lpstr>
      <vt:lpstr>MasterSheet_f_DriftfremtidigudenprojektMain2T1H1_VS</vt:lpstr>
      <vt:lpstr>MasterSheet_f_DriftfremtidigudenprojektMain2T1R1_1_VS</vt:lpstr>
      <vt:lpstr>MasterSheet_f_DriftfremtidigudenprojektMain3S1_VS</vt:lpstr>
      <vt:lpstr>MasterSheet_f_DriftfremtidigudenprojektMain3T1_VS</vt:lpstr>
      <vt:lpstr>MasterSheet_f_DriftfremtidigudenprojektMain3T1H1_VS</vt:lpstr>
      <vt:lpstr>MasterSheet_f_DriftfremtidigudenprojektMain3T1R1_VS</vt:lpstr>
      <vt:lpstr>MasterSheet_f_Driftfrprojekt_VS</vt:lpstr>
      <vt:lpstr>MasterSheet_f_DriftfrprojektC_VS</vt:lpstr>
      <vt:lpstr>MasterSheet_f_DriftfrprojektF_VS</vt:lpstr>
      <vt:lpstr>MasterSheet_f_Driftmedprojekt_VS</vt:lpstr>
      <vt:lpstr>MasterSheet_f_DriftmedprojektC_VS</vt:lpstr>
      <vt:lpstr>MasterSheet_f_DriftmedprojektCHeader_VS</vt:lpstr>
      <vt:lpstr>MasterSheet_f_DriftmedprojektCTable_H1_VS</vt:lpstr>
      <vt:lpstr>MasterSheet_f_DriftmedprojektD_VS</vt:lpstr>
      <vt:lpstr>MasterSheet_f_DriftmedprojektDHeader_VS</vt:lpstr>
      <vt:lpstr>MasterSheet_f_DriftmedprojektDTable_H1_VS</vt:lpstr>
      <vt:lpstr>MasterSheet_f_DriftmedprojektE_VS</vt:lpstr>
      <vt:lpstr>MasterSheet_f_DriftmedprojektEHeader_VS</vt:lpstr>
      <vt:lpstr>MasterSheet_f_DriftmedprojektETable_H1_VS</vt:lpstr>
      <vt:lpstr>MasterSheet_f_DriftmedprojektF_VS</vt:lpstr>
      <vt:lpstr>MasterSheet_f_DriftmedprojektFHeader_VS</vt:lpstr>
      <vt:lpstr>MasterSheet_f_DriftmedprojektFTable_H1_VS</vt:lpstr>
      <vt:lpstr>MasterSheet_f_DriftmedprojektHeader1_VS</vt:lpstr>
      <vt:lpstr>MasterSheet_f_DriftmedprojektHeader2_VS</vt:lpstr>
      <vt:lpstr>MasterSheet_f_DriftmedprojektHeader3_VS</vt:lpstr>
      <vt:lpstr>MasterSheet_f_DriftmedprojektMain1_VS</vt:lpstr>
      <vt:lpstr>MasterSheet_f_DriftmedprojektMain1T1_VS</vt:lpstr>
      <vt:lpstr>MasterSheet_f_DriftmedprojektMain1T1H1_VS</vt:lpstr>
      <vt:lpstr>MasterSheet_f_DriftmedprojektMain1T1R1_VS</vt:lpstr>
      <vt:lpstr>MasterSheet_f_DriftmedprojektMain2_VS</vt:lpstr>
      <vt:lpstr>MasterSheet_f_DriftmedprojektMain2S1_VS</vt:lpstr>
      <vt:lpstr>MasterSheet_f_DriftmedprojektMain2T1_VS</vt:lpstr>
      <vt:lpstr>MasterSheet_f_DriftmedprojektMain2T1H1_VS</vt:lpstr>
      <vt:lpstr>MasterSheet_f_DriftmedprojektMain2T1R1_1_VS</vt:lpstr>
      <vt:lpstr>MasterSheet_f_DriftmedprojektMain3S1_VS</vt:lpstr>
      <vt:lpstr>MasterSheet_f_DriftmedprojektMain3T1_VS</vt:lpstr>
      <vt:lpstr>MasterSheet_f_DriftmedprojektMain3T1H1_VS</vt:lpstr>
      <vt:lpstr>MasterSheet_f_DriftmedprojektMain3T1R1_VS</vt:lpstr>
      <vt:lpstr>MasterSheet_f_Forside_VS</vt:lpstr>
      <vt:lpstr>MasterSheet_f_FP_Cfg1Text4b_VS</vt:lpstr>
      <vt:lpstr>MasterSheet_f_FP_CfgGroup1_VS</vt:lpstr>
      <vt:lpstr>MasterSheet_f_FP_CfgGroup1R1_VS</vt:lpstr>
      <vt:lpstr>MasterSheet_f_FP_CfgGroup1R2_VS</vt:lpstr>
      <vt:lpstr>MasterSheet_f_FP_CfgGroup1R3_VS</vt:lpstr>
      <vt:lpstr>MasterSheet_f_FP_CfgGroup2_VS</vt:lpstr>
      <vt:lpstr>MasterSheet_f_FP_CfgGroup2R1_VS</vt:lpstr>
      <vt:lpstr>MasterSheet_f_FP_CfgGroup2R2_VS</vt:lpstr>
      <vt:lpstr>MasterSheet_f_FP_CfgGroup3_VS</vt:lpstr>
      <vt:lpstr>MasterSheet_f_FP_CfgGroup3R1_VS</vt:lpstr>
      <vt:lpstr>MasterSheet_f_FP_CfgGroup3R2_VS</vt:lpstr>
      <vt:lpstr>MasterSheet_f_FP_CfgText1a_VS</vt:lpstr>
      <vt:lpstr>MasterSheet_f_FP_CfgText1b_VS</vt:lpstr>
      <vt:lpstr>MasterSheet_f_FP_CfgText2a_VS</vt:lpstr>
      <vt:lpstr>MasterSheet_f_FP_CfgText2b_VS</vt:lpstr>
      <vt:lpstr>MasterSheet_f_FP_CfgText3a_VS</vt:lpstr>
      <vt:lpstr>MasterSheet_f_FP_CfgText3b_VS</vt:lpstr>
      <vt:lpstr>MasterSheet_f_FP_CfgText4a_VS</vt:lpstr>
      <vt:lpstr>MasterSheet_f_FP_Finanskonti_1_VS</vt:lpstr>
      <vt:lpstr>MasterSheet_f_FP_Finanskonti_2_VS</vt:lpstr>
      <vt:lpstr>MasterSheet_f_FP_Finanskonti_3_VS</vt:lpstr>
      <vt:lpstr>MasterSheet_f_FP_Finanskonti_4_VS</vt:lpstr>
      <vt:lpstr>MasterSheet_f_FP_Finanskonti_5_VS</vt:lpstr>
      <vt:lpstr>MasterSheet_f_FP_Finanskonti_6_VS</vt:lpstr>
      <vt:lpstr>MasterSheet_f_FP_Finanskonti_7_VS</vt:lpstr>
      <vt:lpstr>MasterSheet_f_FP_Finanskonti_8_VS</vt:lpstr>
      <vt:lpstr>MasterSheet_f_FP_Finanskonti_9_VS</vt:lpstr>
      <vt:lpstr>MasterSheet_f_FP_Gevinstejer_1_VS</vt:lpstr>
      <vt:lpstr>MasterSheet_f_FP_GevinstejerTxt1_VS</vt:lpstr>
      <vt:lpstr>MasterSheet_f_FP_Main1_VS</vt:lpstr>
      <vt:lpstr>MasterSheet_f_FP_Main1BCtype_VS</vt:lpstr>
      <vt:lpstr>MasterSheet_f_FP_Main1Gevinstejere_VS</vt:lpstr>
      <vt:lpstr>MasterSheet_f_FP_Main1IOKVar_VS</vt:lpstr>
      <vt:lpstr>MasterSheet_f_FP_Main1IOKVarTable_H1_VS</vt:lpstr>
      <vt:lpstr>MasterSheet_f_FP_Main1IOKVarTable_V_1_VS</vt:lpstr>
      <vt:lpstr>MasterSheet_f_FP_Main1IOKVarTable_VS</vt:lpstr>
      <vt:lpstr>MasterSheet_f_FP_Main1Omkost_VS</vt:lpstr>
      <vt:lpstr>MasterSheet_f_FP_Main1OmkostEY_1_VS</vt:lpstr>
      <vt:lpstr>MasterSheet_f_FP_Main1OmkostIY_1_VS</vt:lpstr>
      <vt:lpstr>MasterSheet_f_FP_Main1OmkostQ1_VS</vt:lpstr>
      <vt:lpstr>MasterSheet_f_FP_Main1OmkostSY_1_VS</vt:lpstr>
      <vt:lpstr>MasterSheet_f_FP_Main1OmkostTable_1_VS</vt:lpstr>
      <vt:lpstr>MasterSheet_f_FP_Main1OmkostTableH1_1_VS</vt:lpstr>
      <vt:lpstr>MasterSheet_f_FP_Main1OmkostTableH10_1_VS</vt:lpstr>
      <vt:lpstr>MasterSheet_f_FP_Main1OmkostTableH11_1_VS</vt:lpstr>
      <vt:lpstr>MasterSheet_f_FP_Main1OmkostTableH12_1_VS</vt:lpstr>
      <vt:lpstr>MasterSheet_f_FP_Main1OmkostTableH13_1_VS</vt:lpstr>
      <vt:lpstr>MasterSheet_f_FP_Main1OmkostTableH14_1_VS</vt:lpstr>
      <vt:lpstr>MasterSheet_f_FP_Main1OmkostTableH2_1_VS</vt:lpstr>
      <vt:lpstr>MasterSheet_f_FP_Main1OmkostTableH3_1_VS</vt:lpstr>
      <vt:lpstr>MasterSheet_f_FP_Main1OmkostTableH4_1_VS</vt:lpstr>
      <vt:lpstr>MasterSheet_f_FP_Main1OmkostTableH5_1_VS</vt:lpstr>
      <vt:lpstr>MasterSheet_f_FP_Main1OmkostTableH6_1_VS</vt:lpstr>
      <vt:lpstr>MasterSheet_f_FP_Main1OmkostTableH7_1_VS</vt:lpstr>
      <vt:lpstr>MasterSheet_f_FP_Main1OmkostTableH8_1_VS</vt:lpstr>
      <vt:lpstr>MasterSheet_f_FP_Main1OmkostTableH9_1_VS</vt:lpstr>
      <vt:lpstr>MasterSheet_f_FP_Main1PloY_VS</vt:lpstr>
      <vt:lpstr>MasterSheet_f_FP_Main1Projecter_VS</vt:lpstr>
      <vt:lpstr>MasterSheet_f_FP_Main1RisciTable_H1_VS</vt:lpstr>
      <vt:lpstr>MasterSheet_f_FP_Main1RisciTable_V_1_VS</vt:lpstr>
      <vt:lpstr>MasterSheet_f_FP_Main1RisciTable_V_2_VS</vt:lpstr>
      <vt:lpstr>MasterSheet_f_FP_Main1RisciTable_VS</vt:lpstr>
      <vt:lpstr>MasterSheet_f_FP_Main1Risici_VS</vt:lpstr>
      <vt:lpstr>MasterSheet_f_FP_Main1Tidsplan_VS</vt:lpstr>
      <vt:lpstr>MasterSheet_f_FP_Main1TidsplanTable_1_VS</vt:lpstr>
      <vt:lpstr>MasterSheet_f_FP_Main1TidsplanTable_C1_1_VS</vt:lpstr>
      <vt:lpstr>MasterSheet_f_FP_Main1TidsplanTable_C2_1_VS</vt:lpstr>
      <vt:lpstr>MasterSheet_f_FP_Main1TidsplanTable_C3_1_VS</vt:lpstr>
      <vt:lpstr>MasterSheet_f_FP_Main1TidsplanTable_C4_1_VS</vt:lpstr>
      <vt:lpstr>MasterSheet_f_FP_Main1TidsplanTable_C5_1_VS</vt:lpstr>
      <vt:lpstr>MasterSheet_f_FP_Main1TidsplanTable_C6_1_VS</vt:lpstr>
      <vt:lpstr>MasterSheet_f_FP_Main1TidsplanTable_C7_1_VS</vt:lpstr>
      <vt:lpstr>MasterSheet_f_FP_Main1TidsplanTable_H1_1_VS</vt:lpstr>
      <vt:lpstr>MasterSheet_f_FP_Main1Udgift_VS</vt:lpstr>
      <vt:lpstr>MasterSheet_f_FP_Main1Version_H1_VS</vt:lpstr>
      <vt:lpstr>MasterSheet_f_FP_Main1Version_VS</vt:lpstr>
      <vt:lpstr>MasterSheet_f_FP_Main1VersionTable_V_1_VS</vt:lpstr>
      <vt:lpstr>MasterSheet_f_FP_Main1VersionTable_VS</vt:lpstr>
      <vt:lpstr>MasterSheet_f_FP_Main2_VS</vt:lpstr>
      <vt:lpstr>MasterSheet_f_FP_Main2Sub1_VS</vt:lpstr>
      <vt:lpstr>MasterSheet_f_FP_Main2Sub1Pic1_VS</vt:lpstr>
      <vt:lpstr>MasterSheet_f_FP_Main2Sub1Text1_VS</vt:lpstr>
      <vt:lpstr>MasterSheet_f_FP_Main2Sub1Text2_VS</vt:lpstr>
      <vt:lpstr>MasterSheet_f_FP_Main2Sub2_VS</vt:lpstr>
      <vt:lpstr>MasterSheet_f_FP_Main2Sub2Text0_VS</vt:lpstr>
      <vt:lpstr>MasterSheet_f_FP_Main2Sub2Text1_VS</vt:lpstr>
      <vt:lpstr>MasterSheet_f_FP_Main2Sub3_VS</vt:lpstr>
      <vt:lpstr>MasterSheet_f_FP_Main2Sub4_VS</vt:lpstr>
      <vt:lpstr>MasterSheet_f_FP_Main2Sub4Text1_VS</vt:lpstr>
      <vt:lpstr>MasterSheet_f_FP_Main2Sub5_VS</vt:lpstr>
      <vt:lpstr>MasterSheet_f_FP_Main2Sub5Text1_VS</vt:lpstr>
      <vt:lpstr>MasterSheet_f_FP_Main2Sub6_VS</vt:lpstr>
      <vt:lpstr>MasterSheet_f_FP_Main2Sub6Text1_VS</vt:lpstr>
      <vt:lpstr>MasterSheet_f_FP_Main2Text1_VS</vt:lpstr>
      <vt:lpstr>MasterSheet_f_FP_OmkostGroup1_VS</vt:lpstr>
      <vt:lpstr>MasterSheet_f_FP_OmkostGroup1Chk1_VS</vt:lpstr>
      <vt:lpstr>MasterSheet_f_FP_OmkostTxt1_VS</vt:lpstr>
      <vt:lpstr>MasterSheet_f_FP_OmkostTxt2_VS</vt:lpstr>
      <vt:lpstr>MasterSheet_f_FP_OmkostTxt3_VS</vt:lpstr>
      <vt:lpstr>MasterSheet_f_FP_PloYRepY_1_VS</vt:lpstr>
      <vt:lpstr>MasterSheet_f_FP_Projekter_1_VS</vt:lpstr>
      <vt:lpstr>MasterSheet_f_FP_Projekter_2_VS</vt:lpstr>
      <vt:lpstr>MasterSheet_f_FP_ProjekterTxt1_VS</vt:lpstr>
      <vt:lpstr>MasterSheet_f_FP_StamdataG1_VS</vt:lpstr>
      <vt:lpstr>MasterSheet_f_FP_StamdataG1R1_VS</vt:lpstr>
      <vt:lpstr>MasterSheet_f_FP_StamdataG1R2_VS</vt:lpstr>
      <vt:lpstr>MasterSheet_f_FP_StamdataG1R3_VS</vt:lpstr>
      <vt:lpstr>MasterSheet_f_FP_StamdataG2_VS</vt:lpstr>
      <vt:lpstr>MasterSheet_f_FP_StamdataG2R1_VS</vt:lpstr>
      <vt:lpstr>MasterSheet_f_FP_StamdataG2R2_VS</vt:lpstr>
      <vt:lpstr>MasterSheet_f_FP_StamdataG2R3_VS</vt:lpstr>
      <vt:lpstr>MasterSheet_f_FP_StamdataG2R4_VS</vt:lpstr>
      <vt:lpstr>MasterSheet_f_FP_StamdataG2R5_VS</vt:lpstr>
      <vt:lpstr>MasterSheet_f_FP_StamdataMain1_VS</vt:lpstr>
      <vt:lpstr>MasterSheet_f_FP_StamdataT1_1_VS</vt:lpstr>
      <vt:lpstr>MasterSheet_f_FP_StamdataT2_1_VS</vt:lpstr>
      <vt:lpstr>MasterSheet_f_FP_StamdataT2Obs_1_VS</vt:lpstr>
      <vt:lpstr>MasterSheet_f_FP_StamdataT3_1_VS</vt:lpstr>
      <vt:lpstr>MasterSheet_f_FP_StamdataT4_VS</vt:lpstr>
      <vt:lpstr>MasterSheet_f_FP_StamdataT5_VS</vt:lpstr>
      <vt:lpstr>MasterSheet_f_FP_StamdataT5Obs_VS</vt:lpstr>
      <vt:lpstr>MasterSheet_f_FP_Udgifts_1_VS</vt:lpstr>
      <vt:lpstr>MasterSheet_f_FP_UdgiftTxt1_VS</vt:lpstr>
      <vt:lpstr>MasterSheet_f_HiddenSheets</vt:lpstr>
      <vt:lpstr>MasterSheet_f_IkoName</vt:lpstr>
      <vt:lpstr>MasterSheet_f_Konfiguration_VS</vt:lpstr>
      <vt:lpstr>MasterSheet_f_KonfigurationStartBtn_VS</vt:lpstr>
      <vt:lpstr>MasterSheet_f_lastSaved</vt:lpstr>
      <vt:lpstr>MasterSheet_f_Main1_VS</vt:lpstr>
      <vt:lpstr>MasterSheet_f_Main1Group1_VS</vt:lpstr>
      <vt:lpstr>MasterSheet_f_Main1Group1Chk1_VS</vt:lpstr>
      <vt:lpstr>MasterSheet_f_Main1Group1R1_VS</vt:lpstr>
      <vt:lpstr>MasterSheet_f_Main1Group1R2_VS</vt:lpstr>
      <vt:lpstr>MasterSheet_f_Main1Group2_VS</vt:lpstr>
      <vt:lpstr>MasterSheet_f_Main1Group2Chk1_VS</vt:lpstr>
      <vt:lpstr>MasterSheet_f_Main1Group2R1_VS</vt:lpstr>
      <vt:lpstr>MasterSheet_f_Main1Group2R2_VS</vt:lpstr>
      <vt:lpstr>MasterSheet_f_Main1Group3_VS</vt:lpstr>
      <vt:lpstr>MasterSheet_f_Main1Group3Chk1_VS</vt:lpstr>
      <vt:lpstr>MasterSheet_f_Main1Group3R1_VS</vt:lpstr>
      <vt:lpstr>MasterSheet_f_Main1Group3R2_VS</vt:lpstr>
      <vt:lpstr>MasterSheet_f_Main1Group4_VS</vt:lpstr>
      <vt:lpstr>MasterSheet_f_Main1Group4Chk1_VS</vt:lpstr>
      <vt:lpstr>MasterSheet_f_Main1Group4R1_VS</vt:lpstr>
      <vt:lpstr>MasterSheet_f_Main1Group4R2_VS</vt:lpstr>
      <vt:lpstr>MasterSheet_f_Main1Group5_VS</vt:lpstr>
      <vt:lpstr>MasterSheet_f_Main1Group5Chk1_VS</vt:lpstr>
      <vt:lpstr>MasterSheet_f_Main1Group5R1_VS</vt:lpstr>
      <vt:lpstr>MasterSheet_f_Main1Group5R2_VS</vt:lpstr>
      <vt:lpstr>MasterSheet_f_Main1Group6_VS</vt:lpstr>
      <vt:lpstr>MasterSheet_f_Main1Group6Chk1_VS</vt:lpstr>
      <vt:lpstr>MasterSheet_f_Main1Group6R1_VS</vt:lpstr>
      <vt:lpstr>MasterSheet_f_Main1Group6R2_VS</vt:lpstr>
      <vt:lpstr>MasterSheet_f_Main1Group7_VS</vt:lpstr>
      <vt:lpstr>MasterSheet_f_Main1Group7Chk1_VS</vt:lpstr>
      <vt:lpstr>MasterSheet_f_Main1Group7R1_VS</vt:lpstr>
      <vt:lpstr>MasterSheet_f_Main1Group7R2_VS</vt:lpstr>
      <vt:lpstr>MasterSheet_f_Main1Text1_VS</vt:lpstr>
      <vt:lpstr>MasterSheet_f_Main1Text2_VS</vt:lpstr>
      <vt:lpstr>MasterSheet_f_Main1Text3_VS</vt:lpstr>
      <vt:lpstr>MasterSheet_f_Main1Text4_VS</vt:lpstr>
      <vt:lpstr>MasterSheet_f_Main1Text5_VS</vt:lpstr>
      <vt:lpstr>MasterSheet_f_Main1Text6_VS</vt:lpstr>
      <vt:lpstr>MasterSheet_f_Main1Text7_VS</vt:lpstr>
      <vt:lpstr>MasterSheet_f_Main1Title_VS</vt:lpstr>
      <vt:lpstr>MasterSheet_f_MainPicLastBkp_VS</vt:lpstr>
      <vt:lpstr>MasterSheet_f_NogletalName</vt:lpstr>
      <vt:lpstr>MasterSheet_f_NPVDiscount</vt:lpstr>
      <vt:lpstr>MasterSheet_f_Ok_VS</vt:lpstr>
      <vt:lpstr>MasterSheet_f_OkoName</vt:lpstr>
      <vt:lpstr>MasterSheet_f_Old_VS</vt:lpstr>
      <vt:lpstr>MasterSheet_f_OvpName</vt:lpstr>
      <vt:lpstr>MasterSheet_f_Programudgifter_VS</vt:lpstr>
      <vt:lpstr>MasterSheet_f_ProgramudgifterC_VS</vt:lpstr>
      <vt:lpstr>MasterSheet_f_ProgramudgifterCHeader_VS</vt:lpstr>
      <vt:lpstr>MasterSheet_f_ProgramudgifterCTable_H1_VS</vt:lpstr>
      <vt:lpstr>MasterSheet_f_ProgramudgifterF_VS</vt:lpstr>
      <vt:lpstr>MasterSheet_f_ProgramudgifterFHeader_VS</vt:lpstr>
      <vt:lpstr>MasterSheet_f_ProgramudgifterFTable_H1_VS</vt:lpstr>
      <vt:lpstr>MasterSheet_f_ProgramudgifterHeader_VS</vt:lpstr>
      <vt:lpstr>MasterSheet_f_ProgramudgifterHeader3_VS</vt:lpstr>
      <vt:lpstr>MasterSheet_f_ProgramudgifterMain1_VS</vt:lpstr>
      <vt:lpstr>MasterSheet_f_ProgramudgifterMain1T1_VS</vt:lpstr>
      <vt:lpstr>MasterSheet_f_ProgramudgifterMain1T1H1_VS</vt:lpstr>
      <vt:lpstr>MasterSheet_f_ProgramudgifterMain1T1R1_VS</vt:lpstr>
      <vt:lpstr>MasterSheet_f_ProgramudgifterMain2_VS</vt:lpstr>
      <vt:lpstr>MasterSheet_f_ProgramudgifterMain3T1_1_VS</vt:lpstr>
      <vt:lpstr>MasterSheet_f_ProgramudgifterMain3T1_2_VS</vt:lpstr>
      <vt:lpstr>MasterSheet_f_ProgramudgifterMain3T1H1_1_VS</vt:lpstr>
      <vt:lpstr>MasterSheet_f_ProgramudgifterMain3T1H1_2_VS</vt:lpstr>
      <vt:lpstr>MasterSheet_f_ProgramudgifterMain3T1R1_1_VS</vt:lpstr>
      <vt:lpstr>MasterSheet_f_ProgramudgifterMain3T1R1_2_VS</vt:lpstr>
      <vt:lpstr>MasterSheet_f_ProjectsFS_Holder_VS</vt:lpstr>
      <vt:lpstr>MasterSheet_f_Projektudgifter_VS</vt:lpstr>
      <vt:lpstr>MasterSheet_f_ProjektudgifterC_VS</vt:lpstr>
      <vt:lpstr>MasterSheet_f_ProjektudgifterCHeader_VS</vt:lpstr>
      <vt:lpstr>MasterSheet_f_ProjektudgifterCTable_H1_VS</vt:lpstr>
      <vt:lpstr>MasterSheet_f_ProjektudgifterF_VS</vt:lpstr>
      <vt:lpstr>MasterSheet_f_ProjektudgifterFHeader_VS</vt:lpstr>
      <vt:lpstr>MasterSheet_f_ProjektudgifterFTable_H1_VS</vt:lpstr>
      <vt:lpstr>MasterSheet_f_ProjektudgifterHeader_VS</vt:lpstr>
      <vt:lpstr>MasterSheet_f_ProjektudgifterHeader3_VS</vt:lpstr>
      <vt:lpstr>MasterSheet_f_ProjektudgifterMain1_VS</vt:lpstr>
      <vt:lpstr>MasterSheet_f_ProjektudgifterMain1T1_VS</vt:lpstr>
      <vt:lpstr>MasterSheet_f_ProjektudgifterMain1T1H1_VS</vt:lpstr>
      <vt:lpstr>MasterSheet_f_ProjektudgifterMain1T1R1_VS</vt:lpstr>
      <vt:lpstr>MasterSheet_f_ProjektudgifterMain2_VS</vt:lpstr>
      <vt:lpstr>MasterSheet_f_ProjektudgifterMain2S1_VS</vt:lpstr>
      <vt:lpstr>MasterSheet_f_ProjektudgifterMain2S2_VS</vt:lpstr>
      <vt:lpstr>MasterSheet_f_ProjektudgifterMain2S3_VS</vt:lpstr>
      <vt:lpstr>MasterSheet_f_ProjektudgifterMain2S4_VS</vt:lpstr>
      <vt:lpstr>MasterSheet_f_ProjektudgifterMain2S5_VS</vt:lpstr>
      <vt:lpstr>MasterSheet_f_ProjektudgifterMain2T1_VS</vt:lpstr>
      <vt:lpstr>MasterSheet_f_ProjektudgifterMain2T1H1_VS</vt:lpstr>
      <vt:lpstr>MasterSheet_f_ProjektudgifterMain2T1R1_VS</vt:lpstr>
      <vt:lpstr>MasterSheet_f_ProjektudgifterMain2T2_VS</vt:lpstr>
      <vt:lpstr>MasterSheet_f_ProjektudgifterMain2T2H1_VS</vt:lpstr>
      <vt:lpstr>MasterSheet_f_ProjektudgifterMain2T2R1_VS</vt:lpstr>
      <vt:lpstr>MasterSheet_f_ProjektudgifterMain2T3_VS</vt:lpstr>
      <vt:lpstr>MasterSheet_f_ProjektudgifterMain2T3H1_VS</vt:lpstr>
      <vt:lpstr>MasterSheet_f_ProjektudgifterMain2T3R1_VS</vt:lpstr>
      <vt:lpstr>MasterSheet_f_ProjektudgifterMain2T4_VS</vt:lpstr>
      <vt:lpstr>MasterSheet_f_ProjektudgifterMain2T4H1_VS</vt:lpstr>
      <vt:lpstr>MasterSheet_f_ProjektudgifterMain2T4R1_VS</vt:lpstr>
      <vt:lpstr>MasterSheet_f_ProjektudgifterMain2T5_VS</vt:lpstr>
      <vt:lpstr>MasterSheet_f_ProjektudgifterMain2T5H1_VS</vt:lpstr>
      <vt:lpstr>MasterSheet_f_ProjektudgifterMain2T5R1_VS</vt:lpstr>
      <vt:lpstr>MasterSheet_f_ProjInProgrFP_Holder_VS</vt:lpstr>
      <vt:lpstr>MasterSheet_f_RibbonPointer</vt:lpstr>
      <vt:lpstr>MasterSheet_f_RiskPrimaryPercentage</vt:lpstr>
      <vt:lpstr>MasterSheet_f_serverVersion</vt:lpstr>
      <vt:lpstr>MasterSheet_f_SP_Main1_VS</vt:lpstr>
      <vt:lpstr>MasterSheet_f_SP_Main2_VS</vt:lpstr>
      <vt:lpstr>MasterSheet_f_SP_Main2Sub1_VS</vt:lpstr>
      <vt:lpstr>MasterSheet_f_SP_Main2Sub1Pic1_VS</vt:lpstr>
      <vt:lpstr>MasterSheet_f_SP_Main2Sub1Text1_VS</vt:lpstr>
      <vt:lpstr>MasterSheet_f_SP_Main2Sub1Text2_VS</vt:lpstr>
      <vt:lpstr>MasterSheet_f_SP_Main2Sub2_VS</vt:lpstr>
      <vt:lpstr>MasterSheet_f_SP_Main2Sub2Text0_VS</vt:lpstr>
      <vt:lpstr>MasterSheet_f_SP_Main2Sub2Text1_VS</vt:lpstr>
      <vt:lpstr>MasterSheet_f_SP_Main2Sub3_VS</vt:lpstr>
      <vt:lpstr>MasterSheet_f_SP_Main2Sub4_VS</vt:lpstr>
      <vt:lpstr>MasterSheet_f_SP_Main2Sub4Text1_VS</vt:lpstr>
      <vt:lpstr>MasterSheet_f_SP_Main2Sub5_VS</vt:lpstr>
      <vt:lpstr>MasterSheet_f_SP_Main2Sub5Text1_VS</vt:lpstr>
      <vt:lpstr>MasterSheet_f_SP_Main2Sub6_VS</vt:lpstr>
      <vt:lpstr>MasterSheet_f_SP_Main2Sub6Text1_VS</vt:lpstr>
      <vt:lpstr>MasterSheet_f_SP_Main2Text1_VS</vt:lpstr>
      <vt:lpstr>MasterSheet_f_SP_Main3Group2_VS</vt:lpstr>
      <vt:lpstr>MasterSheet_f_SP_Main3Group3_VS</vt:lpstr>
      <vt:lpstr>MasterSheet_f_SP_StamdataMain1_VS</vt:lpstr>
      <vt:lpstr>MasterSheet_f_SP_StamdataT1_1_VS</vt:lpstr>
      <vt:lpstr>MasterSheet_f_SP_StamdataT1Obs_1_VS</vt:lpstr>
      <vt:lpstr>MasterSheet_f_SP_StamdataT2_1_VS</vt:lpstr>
      <vt:lpstr>MasterSheet_f_SP_StamdataT2Obs_1_VS</vt:lpstr>
      <vt:lpstr>MasterSheet_f_SP_StamdataT3_1_VS</vt:lpstr>
      <vt:lpstr>MasterSheet_f_SP_StamdataT3Obs_1_VS</vt:lpstr>
      <vt:lpstr>MasterSheet_f_SP_StamdataT4_VS</vt:lpstr>
      <vt:lpstr>MasterSheet_f_SP_StamdataT4Chk1_VS</vt:lpstr>
      <vt:lpstr>MasterSheet_f_SP_StamdataT4Chk2_VS</vt:lpstr>
      <vt:lpstr>MasterSheet_f_SP_StamdataT4Chk3_VS</vt:lpstr>
      <vt:lpstr>MasterSheet_f_SP_StamdataT5_VS</vt:lpstr>
      <vt:lpstr>MasterSheet_f_SP_StamdataT5Chk1_VS</vt:lpstr>
      <vt:lpstr>MasterSheet_f_SP_StamdataT5Chk2_VS</vt:lpstr>
      <vt:lpstr>MasterSheet_f_SP_StamdataT5Chk3_VS</vt:lpstr>
      <vt:lpstr>MasterSheet_f_SP_StamdataT5Chk4_VS</vt:lpstr>
      <vt:lpstr>MasterSheet_f_SP_StamdataT5Chk5_VS</vt:lpstr>
      <vt:lpstr>MasterSheet_f_SP_StamdataT5Obs_VS</vt:lpstr>
      <vt:lpstr>MasterSheet_f_SP_StartBtn_VS</vt:lpstr>
      <vt:lpstr>MasterSheet_f_Startside_VS</vt:lpstr>
      <vt:lpstr>MasterSheet_f_StartsideBackup_VS</vt:lpstr>
      <vt:lpstr>MasterSheet_f_StartsideTitle_VS</vt:lpstr>
      <vt:lpstr>MasterSheet_f_subcat1_VS</vt:lpstr>
      <vt:lpstr>MasterSheet_f_subcat10_VS</vt:lpstr>
      <vt:lpstr>MasterSheet_f_subcat11_VS</vt:lpstr>
      <vt:lpstr>MasterSheet_f_subcat12_VS</vt:lpstr>
      <vt:lpstr>MasterSheet_f_subcat13_VS</vt:lpstr>
      <vt:lpstr>MasterSheet_f_subcat14_VS</vt:lpstr>
      <vt:lpstr>MasterSheet_f_subcat15_VS</vt:lpstr>
      <vt:lpstr>MasterSheet_f_subcat16_VS</vt:lpstr>
      <vt:lpstr>MasterSheet_f_subcat17_VS</vt:lpstr>
      <vt:lpstr>MasterSheet_f_subcat18_VS</vt:lpstr>
      <vt:lpstr>MasterSheet_f_subcat19_VS</vt:lpstr>
      <vt:lpstr>MasterSheet_f_subcat2_VS</vt:lpstr>
      <vt:lpstr>MasterSheet_f_subcat3_VS</vt:lpstr>
      <vt:lpstr>MasterSheet_f_subcat4_VS</vt:lpstr>
      <vt:lpstr>MasterSheet_f_subcat5_VS</vt:lpstr>
      <vt:lpstr>MasterSheet_f_subcat6a_VS</vt:lpstr>
      <vt:lpstr>MasterSheet_f_subcat6b_VS</vt:lpstr>
      <vt:lpstr>MasterSheet_f_subcat7_VS</vt:lpstr>
      <vt:lpstr>MasterSheet_f_subcat8_VS</vt:lpstr>
      <vt:lpstr>MasterSheet_f_Unknown_VS</vt:lpstr>
      <vt:lpstr>MasterSheet_Repeater_CFG_Finanskonti</vt:lpstr>
      <vt:lpstr>MasterSheet_Repeater_Finanskonti</vt:lpstr>
      <vt:lpstr>MasterSheet_Repeater_FP_StamdataT1Rep</vt:lpstr>
      <vt:lpstr>MasterSheet_Repeater_FP_StamdataT2Rep</vt:lpstr>
      <vt:lpstr>MasterSheet_Repeater_FP_StamdataT3Rep</vt:lpstr>
      <vt:lpstr>MasterSheet_Repeater_Gevinstejer</vt:lpstr>
      <vt:lpstr>MasterSheet_Repeater_Hoveds1</vt:lpstr>
      <vt:lpstr>MasterSheet_Repeater_Hoveds2</vt:lpstr>
      <vt:lpstr>MasterSheet_Repeater_IOKVar</vt:lpstr>
      <vt:lpstr>MasterSheet_Repeater_OmkosEY</vt:lpstr>
      <vt:lpstr>MasterSheet_Repeater_OmkostIY</vt:lpstr>
      <vt:lpstr>MasterSheet_Repeater_OmkostSY</vt:lpstr>
      <vt:lpstr>MasterSheet_Repeater_OmkostTable</vt:lpstr>
      <vt:lpstr>MasterSheet_Repeater_PloYRep</vt:lpstr>
      <vt:lpstr>MasterSheet_Repeater_Projekter</vt:lpstr>
      <vt:lpstr>MasterSheet_Repeater_Risci</vt:lpstr>
      <vt:lpstr>MasterSheet_Repeater_SP_StamdataT1Rep</vt:lpstr>
      <vt:lpstr>MasterSheet_Repeater_SP_StamdataT2Rep</vt:lpstr>
      <vt:lpstr>MasterSheet_Repeater_SP_StamdataT3Rep</vt:lpstr>
      <vt:lpstr>MasterSheet_Repeater_TidsPlan</vt:lpstr>
      <vt:lpstr>MasterSheet_Repeater_Udgifts</vt:lpstr>
      <vt:lpstr>MasterSheet_Repeater_Version</vt:lpstr>
      <vt:lpstr>MasterSheet_rng_allObjectsTypesNR</vt:lpstr>
      <vt:lpstr>MasterSheet_rng_Assumptions</vt:lpstr>
      <vt:lpstr>MasterSheet_rng_AssumptionsMain</vt:lpstr>
      <vt:lpstr>MasterSheet_rng_AssumptionsSub</vt:lpstr>
      <vt:lpstr>MasterSheet_rng_DistType</vt:lpstr>
      <vt:lpstr>MasterSheet_rng_Estimates</vt:lpstr>
      <vt:lpstr>MasterSheet_rng_Fasen</vt:lpstr>
      <vt:lpstr>MasterSheet_rng_FinansKontiEdit</vt:lpstr>
      <vt:lpstr>MasterSheet_rng_horizontalAlignment</vt:lpstr>
      <vt:lpstr>MasterSheet_rng_InsertParam</vt:lpstr>
      <vt:lpstr>MasterSheet_rng_Konsekvens</vt:lpstr>
      <vt:lpstr>MasterSheet_rng_placement</vt:lpstr>
      <vt:lpstr>MasterSheet_rng_PLOYear</vt:lpstr>
      <vt:lpstr>MasterSheet_rng_PLOYearAdjs</vt:lpstr>
      <vt:lpstr>MasterSheet_rng_PLOYearAdjsConcat</vt:lpstr>
      <vt:lpstr>MasterSheet_rng_Prioritering</vt:lpstr>
      <vt:lpstr>MasterSheet_rng_RisciType</vt:lpstr>
      <vt:lpstr>MasterSheet_rng_Sandsynlighed</vt:lpstr>
      <vt:lpstr>MasterSheet_rng_verticalAlignment</vt:lpstr>
      <vt:lpstr>Programudgifter_f_ProgramudgifterHeader_end</vt:lpstr>
      <vt:lpstr>Programudgifter_f_ProgramudgifterHeader_start</vt:lpstr>
      <vt:lpstr>Programudgifter_f_ProgramudgifterHeader3_end</vt:lpstr>
      <vt:lpstr>Programudgifter_f_ProgramudgifterHeader3_start</vt:lpstr>
      <vt:lpstr>Programudgifter_f_ProgramudgifterMain1_end</vt:lpstr>
      <vt:lpstr>Programudgifter_f_ProgramudgifterMain1_start</vt:lpstr>
      <vt:lpstr>Programudgifter_f_ProgramudgifterMain1T1_end</vt:lpstr>
      <vt:lpstr>Programudgifter_f_ProgramudgifterMain1T1_start</vt:lpstr>
      <vt:lpstr>Programudgifter_f_ProgramudgifterMain2_end</vt:lpstr>
      <vt:lpstr>Programudgifter_f_ProgramudgifterMain2_start</vt:lpstr>
      <vt:lpstr>Programudgifter_f_ProgramudgifterMain3T1_1_end</vt:lpstr>
      <vt:lpstr>Programudgifter_f_ProgramudgifterMain3T1_1_start</vt:lpstr>
      <vt:lpstr>Programudgifter_f_ProgramudgifterMain3T1_2_end</vt:lpstr>
      <vt:lpstr>Programudgifter_f_ProgramudgifterMain3T1_2_start</vt:lpstr>
      <vt:lpstr>Programudgifter_f_Projekter_End</vt:lpstr>
      <vt:lpstr>ProgramudgifterC_f_ProgramudgifterCHeader_end</vt:lpstr>
      <vt:lpstr>ProgramudgifterC_f_ProgramudgifterCHeader_start</vt:lpstr>
      <vt:lpstr>ProgramudgifterF_f_ProgramudgifterFHeader_end</vt:lpstr>
      <vt:lpstr>ProgramudgifterF_f_ProgramudgifterFHeader_start</vt:lpstr>
      <vt:lpstr>Projektudgifter_f_ProjektudgifterHeader_end</vt:lpstr>
      <vt:lpstr>Projektudgifter_f_ProjektudgifterHeader_start</vt:lpstr>
      <vt:lpstr>Projektudgifter_f_ProjektudgifterHeader3_end</vt:lpstr>
      <vt:lpstr>Projektudgifter_f_ProjektudgifterHeader3_start</vt:lpstr>
      <vt:lpstr>Projektudgifter_f_ProjektudgifterMain1_end</vt:lpstr>
      <vt:lpstr>Projektudgifter_f_ProjektudgifterMain1_start</vt:lpstr>
      <vt:lpstr>Projektudgifter_f_ProjektudgifterMain1T1_end</vt:lpstr>
      <vt:lpstr>Projektudgifter_f_ProjektudgifterMain1T1_start</vt:lpstr>
      <vt:lpstr>Projektudgifter_f_ProjektudgifterMain2_end</vt:lpstr>
      <vt:lpstr>Projektudgifter_f_ProjektudgifterMain2_start</vt:lpstr>
      <vt:lpstr>Projektudgifter_f_ProjektudgifterMain2S1_start</vt:lpstr>
      <vt:lpstr>Projektudgifter_f_ProjektudgifterMain2S2_start</vt:lpstr>
      <vt:lpstr>Projektudgifter_f_ProjektudgifterMain2S3_start</vt:lpstr>
      <vt:lpstr>Projektudgifter_f_ProjektudgifterMain2S4_start</vt:lpstr>
      <vt:lpstr>Projektudgifter_f_ProjektudgifterMain2S5_start</vt:lpstr>
      <vt:lpstr>Projektudgifter_f_ProjektudgifterMain2T1_end</vt:lpstr>
      <vt:lpstr>Projektudgifter_f_ProjektudgifterMain2T1_start</vt:lpstr>
      <vt:lpstr>Projektudgifter_f_ProjektudgifterMain2T2_end</vt:lpstr>
      <vt:lpstr>Projektudgifter_f_ProjektudgifterMain2T2_start</vt:lpstr>
      <vt:lpstr>Projektudgifter_f_ProjektudgifterMain2T3_end</vt:lpstr>
      <vt:lpstr>Projektudgifter_f_ProjektudgifterMain2T3_start</vt:lpstr>
      <vt:lpstr>Projektudgifter_f_ProjektudgifterMain2T4_end</vt:lpstr>
      <vt:lpstr>Projektudgifter_f_ProjektudgifterMain2T4_start</vt:lpstr>
      <vt:lpstr>Projektudgifter_f_ProjektudgifterMain2T5_end</vt:lpstr>
      <vt:lpstr>Projektudgifter_f_ProjektudgifterMain2T5_start</vt:lpstr>
      <vt:lpstr>ProjektudgifterC_f_ProjektudgifterCHeader_end</vt:lpstr>
      <vt:lpstr>ProjektudgifterC_f_ProjektudgifterCHeader_start</vt:lpstr>
      <vt:lpstr>ProjektudgifterF_f_ProjektudgifterFHeader_end</vt:lpstr>
      <vt:lpstr>ProjektudgifterF_f_ProjektudgifterFHeader_start</vt:lpstr>
      <vt:lpstr>Startside_f_Main1_end</vt:lpstr>
      <vt:lpstr>Startside_f_Main1_start</vt:lpstr>
      <vt:lpstr>Startside_f_Main1Group1Chk1_end</vt:lpstr>
      <vt:lpstr>Startside_f_Main1Group1Chk1_start</vt:lpstr>
      <vt:lpstr>Startside_f_Main1Group2Chk1_end</vt:lpstr>
      <vt:lpstr>Startside_f_Main1Group2Chk1_start</vt:lpstr>
      <vt:lpstr>Startside_f_Main1Group3Chk1_end</vt:lpstr>
      <vt:lpstr>Startside_f_Main1Group3Chk1_start</vt:lpstr>
      <vt:lpstr>Startside_f_Main1Group4Chk1_end</vt:lpstr>
      <vt:lpstr>Startside_f_Main1Group4Chk1_start</vt:lpstr>
      <vt:lpstr>Startside_f_Main1Group5Chk1_end</vt:lpstr>
      <vt:lpstr>Startside_f_Main1Group5Chk1_start</vt:lpstr>
      <vt:lpstr>Startside_f_Main1Group6Chk1_end</vt:lpstr>
      <vt:lpstr>Startside_f_Main1Group6Chk1_start</vt:lpstr>
      <vt:lpstr>Startside_f_Main1Group7Chk1_end</vt:lpstr>
      <vt:lpstr>Startside_f_Main1Group7Chk1_start</vt:lpstr>
      <vt:lpstr>Startside_f_Main1Text1_end</vt:lpstr>
      <vt:lpstr>Startside_f_Main1Text1_start</vt:lpstr>
      <vt:lpstr>Startside_f_Main1Text2_end</vt:lpstr>
      <vt:lpstr>Startside_f_Main1Text2_start</vt:lpstr>
      <vt:lpstr>Startside_f_Main1Text3_end</vt:lpstr>
      <vt:lpstr>Startside_f_Main1Text3_start</vt:lpstr>
      <vt:lpstr>Startside_f_Main1Text4_end</vt:lpstr>
      <vt:lpstr>Startside_f_Main1Text4_start</vt:lpstr>
      <vt:lpstr>Startside_f_Main1Text5_end</vt:lpstr>
      <vt:lpstr>Startside_f_Main1Text5_start</vt:lpstr>
      <vt:lpstr>Startside_f_Main1Text6_end</vt:lpstr>
      <vt:lpstr>Startside_f_Main1Text6_start</vt:lpstr>
      <vt:lpstr>Startside_f_Main1Text7_end</vt:lpstr>
      <vt:lpstr>Startside_f_Main1Text7_start</vt:lpstr>
      <vt:lpstr>Startside_f_Main1Title_end</vt:lpstr>
      <vt:lpstr>Startside_f_Main1Title_start</vt:lpstr>
      <vt:lpstr>Startside_f_MainPicLastBkp_end</vt:lpstr>
      <vt:lpstr>Startside_f_MainPicLastBkp_start</vt:lpstr>
      <vt:lpstr>Startside_f_Ok_end</vt:lpstr>
      <vt:lpstr>Startside_f_Ok_start</vt:lpstr>
      <vt:lpstr>Startside_f_Old_end</vt:lpstr>
      <vt:lpstr>Startside_f_Old_start</vt:lpstr>
      <vt:lpstr>Startside_f_SP_Main1_end</vt:lpstr>
      <vt:lpstr>Startside_f_SP_Main1_start</vt:lpstr>
      <vt:lpstr>Startside_f_SP_Main2_end</vt:lpstr>
      <vt:lpstr>Startside_f_SP_Main2_start</vt:lpstr>
      <vt:lpstr>Startside_f_SP_Main2Sub1_end</vt:lpstr>
      <vt:lpstr>Startside_f_SP_Main2Sub1_start</vt:lpstr>
      <vt:lpstr>Startside_f_SP_Main2Sub1Pic1_end</vt:lpstr>
      <vt:lpstr>Startside_f_SP_Main2Sub1Pic1_start</vt:lpstr>
      <vt:lpstr>Startside_f_SP_Main2Sub1Text1_end</vt:lpstr>
      <vt:lpstr>Startside_f_SP_Main2Sub1Text1_start</vt:lpstr>
      <vt:lpstr>Startside_f_SP_Main2Sub1Text2_end</vt:lpstr>
      <vt:lpstr>Startside_f_SP_Main2Sub1Text2_start</vt:lpstr>
      <vt:lpstr>Startside_f_SP_Main2Sub2_end</vt:lpstr>
      <vt:lpstr>Startside_f_SP_Main2Sub2_start</vt:lpstr>
      <vt:lpstr>Startside_f_SP_Main2Sub2Text0_end</vt:lpstr>
      <vt:lpstr>Startside_f_SP_Main2Sub2Text0_start</vt:lpstr>
      <vt:lpstr>Startside_f_SP_Main2Sub2Text1_end</vt:lpstr>
      <vt:lpstr>Startside_f_SP_Main2Sub2Text1_start</vt:lpstr>
      <vt:lpstr>Startside_f_SP_Main2Sub3_end</vt:lpstr>
      <vt:lpstr>Startside_f_SP_Main2Sub3_start</vt:lpstr>
      <vt:lpstr>Startside_f_SP_Main2Sub4_end</vt:lpstr>
      <vt:lpstr>Startside_f_SP_Main2Sub4_start</vt:lpstr>
      <vt:lpstr>Startside_f_SP_Main2Sub4Text1_end</vt:lpstr>
      <vt:lpstr>Startside_f_SP_Main2Sub4Text1_start</vt:lpstr>
      <vt:lpstr>Startside_f_SP_Main2Sub5_end</vt:lpstr>
      <vt:lpstr>Startside_f_SP_Main2Sub5_start</vt:lpstr>
      <vt:lpstr>Startside_f_SP_Main2Sub5Text1_end</vt:lpstr>
      <vt:lpstr>Startside_f_SP_Main2Sub5Text1_start</vt:lpstr>
      <vt:lpstr>Startside_f_SP_Main2Sub6_end</vt:lpstr>
      <vt:lpstr>Startside_f_SP_Main2Sub6_start</vt:lpstr>
      <vt:lpstr>Startside_f_SP_Main2Sub6Text1_end</vt:lpstr>
      <vt:lpstr>Startside_f_SP_Main2Sub6Text1_start</vt:lpstr>
      <vt:lpstr>Startside_f_SP_Main2Text1_end</vt:lpstr>
      <vt:lpstr>Startside_f_SP_Main2Text1_start</vt:lpstr>
      <vt:lpstr>Startside_f_SP_StamdataMain1_end</vt:lpstr>
      <vt:lpstr>Startside_f_SP_StamdataMain1_start</vt:lpstr>
      <vt:lpstr>Startside_f_SP_StamdataT1_1_start</vt:lpstr>
      <vt:lpstr>Startside_f_SP_StamdataT1Obs_1_end</vt:lpstr>
      <vt:lpstr>Startside_f_SP_StamdataT1Obs_1_start</vt:lpstr>
      <vt:lpstr>Startside_f_SP_StamdataT1Rep_End</vt:lpstr>
      <vt:lpstr>Startside_f_SP_StamdataT2_1_start</vt:lpstr>
      <vt:lpstr>Startside_f_SP_StamdataT2Obs_1_end</vt:lpstr>
      <vt:lpstr>Startside_f_SP_StamdataT2Obs_1_start</vt:lpstr>
      <vt:lpstr>Startside_f_SP_StamdataT2Rep_End</vt:lpstr>
      <vt:lpstr>Startside_f_SP_StamdataT3_1_start</vt:lpstr>
      <vt:lpstr>Startside_f_SP_StamdataT3Obs_1_end</vt:lpstr>
      <vt:lpstr>Startside_f_SP_StamdataT3Obs_1_start</vt:lpstr>
      <vt:lpstr>Startside_f_SP_StamdataT3Rep_End</vt:lpstr>
      <vt:lpstr>Startside_f_SP_StamdataT4_end</vt:lpstr>
      <vt:lpstr>Startside_f_SP_StamdataT4_start</vt:lpstr>
      <vt:lpstr>Startside_f_SP_StamdataT5_end</vt:lpstr>
      <vt:lpstr>Startside_f_SP_StamdataT5_start</vt:lpstr>
      <vt:lpstr>Startside_f_SP_StamdataT5Obs_end</vt:lpstr>
      <vt:lpstr>Startside_f_SP_StamdataT5Obs_start</vt:lpstr>
      <vt:lpstr>Startside_f_SP_StartBtn_end</vt:lpstr>
      <vt:lpstr>Startside_f_SP_StartBtn_start</vt:lpstr>
      <vt:lpstr>Startside_f_Unknown_end</vt:lpstr>
      <vt:lpstr>Startside_f_Unknown_start</vt:lpstr>
    </vt:vector>
  </TitlesOfParts>
  <Company>Visual Reporting ApS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Statens Business Case Model</dc:title>
  <dc:creator>Visual Reporting ApS</dc:creator>
  <dc:description>http://www.visualreporting.dk</dc:description>
  <cp:lastModifiedBy>B046804</cp:lastModifiedBy>
  <cp:lastPrinted>2013-08-22T12:59:12Z</cp:lastPrinted>
  <dcterms:created xsi:type="dcterms:W3CDTF">2006-09-16T00:00:00Z</dcterms:created>
  <dcterms:modified xsi:type="dcterms:W3CDTF">2022-09-27T15:49:21Z</dcterms:modified>
  <cp:version>2.0</cp:version>
</cp:coreProperties>
</file>