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User\github\Myportal\Таблицы домашнего назначения\"/>
    </mc:Choice>
  </mc:AlternateContent>
  <bookViews>
    <workbookView xWindow="-30" yWindow="-45" windowWidth="13230" windowHeight="7710" activeTab="1"/>
  </bookViews>
  <sheets>
    <sheet name="Накопления - 2020 год" sheetId="2" r:id="rId1"/>
    <sheet name="БЮджет по месяцам - 2020 год" sheetId="3" r:id="rId2"/>
  </sheets>
  <definedNames>
    <definedName name="Июль">'Накопления - 2020 год'!$D$6:$I$19</definedName>
  </definedNames>
  <calcPr calcId="162913"/>
  <webPublishing codePage="1251"/>
</workbook>
</file>

<file path=xl/calcChain.xml><?xml version="1.0" encoding="utf-8"?>
<calcChain xmlns="http://schemas.openxmlformats.org/spreadsheetml/2006/main">
  <c r="BA21" i="3" l="1"/>
  <c r="AZ24" i="3"/>
  <c r="AY24" i="3"/>
  <c r="BA23" i="3"/>
  <c r="BA22" i="3"/>
  <c r="BA20" i="3"/>
  <c r="BA19" i="3"/>
  <c r="BA18" i="3"/>
  <c r="BA17" i="3"/>
  <c r="BA16" i="3"/>
  <c r="AZ15" i="3"/>
  <c r="BA14" i="3"/>
  <c r="BA13" i="3"/>
  <c r="BA12" i="3"/>
  <c r="BE11" i="3"/>
  <c r="BD11" i="3"/>
  <c r="BA11" i="3"/>
  <c r="BF10" i="3"/>
  <c r="BG10" i="3" s="1"/>
  <c r="BA10" i="3"/>
  <c r="BG9" i="3"/>
  <c r="BF9" i="3"/>
  <c r="BA9" i="3"/>
  <c r="BF8" i="3"/>
  <c r="BG8" i="3" s="1"/>
  <c r="BA8" i="3"/>
  <c r="BF7" i="3"/>
  <c r="BG7" i="3" s="1"/>
  <c r="BA7" i="3"/>
  <c r="BF6" i="3"/>
  <c r="BG6" i="3" s="1"/>
  <c r="BA6" i="3"/>
  <c r="BG5" i="3"/>
  <c r="BF5" i="3"/>
  <c r="BF11" i="3" l="1"/>
  <c r="BD21" i="3" s="1"/>
  <c r="BE21" i="3" s="1"/>
  <c r="BD16" i="3"/>
  <c r="BE16" i="3" s="1"/>
  <c r="BE17" i="3"/>
  <c r="BA24" i="3"/>
  <c r="BD20" i="3" s="1"/>
  <c r="AL18" i="2"/>
  <c r="AM18" i="2" s="1"/>
  <c r="AL17" i="2"/>
  <c r="AM17" i="2" s="1"/>
  <c r="AL16" i="2"/>
  <c r="AM16" i="2" s="1"/>
  <c r="AL15" i="2"/>
  <c r="AM15" i="2" s="1"/>
  <c r="AI9" i="2"/>
  <c r="AJ9" i="2" s="1"/>
  <c r="AK9" i="2" s="1"/>
  <c r="AJ8" i="2"/>
  <c r="AK8" i="2" s="1"/>
  <c r="AI8" i="2"/>
  <c r="AC26" i="2"/>
  <c r="AC15" i="2"/>
  <c r="BD17" i="3" l="1"/>
  <c r="BG11" i="3"/>
  <c r="BD22" i="3"/>
  <c r="BE22" i="3" s="1"/>
  <c r="BE20" i="3"/>
  <c r="AL19" i="2"/>
  <c r="AH24" i="2" s="1"/>
  <c r="AI24" i="2" s="1"/>
  <c r="AN24" i="3"/>
  <c r="AM24" i="3"/>
  <c r="AR16" i="3" s="1"/>
  <c r="AO23" i="3"/>
  <c r="AO22" i="3"/>
  <c r="AO20" i="3"/>
  <c r="AO19" i="3"/>
  <c r="AO18" i="3"/>
  <c r="AO17" i="3"/>
  <c r="AO16" i="3"/>
  <c r="AN15" i="3"/>
  <c r="AO14" i="3"/>
  <c r="AO13" i="3"/>
  <c r="AO12" i="3"/>
  <c r="AS11" i="3"/>
  <c r="AR11" i="3"/>
  <c r="AO11" i="3"/>
  <c r="AT10" i="3"/>
  <c r="AU10" i="3" s="1"/>
  <c r="AO10" i="3"/>
  <c r="AT9" i="3"/>
  <c r="AU9" i="3" s="1"/>
  <c r="AO9" i="3"/>
  <c r="AT8" i="3"/>
  <c r="AU8" i="3" s="1"/>
  <c r="AO8" i="3"/>
  <c r="AT7" i="3"/>
  <c r="AU7" i="3" s="1"/>
  <c r="AO7" i="3"/>
  <c r="AT6" i="3"/>
  <c r="AU6" i="3" s="1"/>
  <c r="AO6" i="3"/>
  <c r="AT5" i="3"/>
  <c r="AU5" i="3" s="1"/>
  <c r="AH23" i="2" l="1"/>
  <c r="AL24" i="2"/>
  <c r="AH26" i="2"/>
  <c r="AI26" i="2" s="1"/>
  <c r="AM19" i="2"/>
  <c r="AH25" i="2"/>
  <c r="AI25" i="2" s="1"/>
  <c r="AI23" i="2"/>
  <c r="AS17" i="3"/>
  <c r="AR17" i="3"/>
  <c r="AO24" i="3"/>
  <c r="AR20" i="3" s="1"/>
  <c r="AS20" i="3" s="1"/>
  <c r="AT11" i="3"/>
  <c r="AC20" i="3"/>
  <c r="AJ26" i="2" l="1"/>
  <c r="AM24" i="2"/>
  <c r="AM25" i="2" s="1"/>
  <c r="AS16" i="3"/>
  <c r="AR21" i="3"/>
  <c r="AU11" i="3"/>
  <c r="Q17" i="3"/>
  <c r="Q18" i="3"/>
  <c r="Q19" i="3"/>
  <c r="Q20" i="3"/>
  <c r="Q21" i="3"/>
  <c r="Q22" i="3"/>
  <c r="Q23" i="3"/>
  <c r="Q24" i="3"/>
  <c r="Q7" i="3"/>
  <c r="Q8" i="3"/>
  <c r="Q9" i="3"/>
  <c r="Q10" i="3"/>
  <c r="Q11" i="3"/>
  <c r="Q12" i="3"/>
  <c r="Q13" i="3"/>
  <c r="Q14" i="3"/>
  <c r="AM26" i="2" l="1"/>
  <c r="AS21" i="3"/>
  <c r="AR22" i="3"/>
  <c r="AS22" i="3" s="1"/>
  <c r="AC18" i="3"/>
  <c r="AB24" i="3" l="1"/>
  <c r="AA24" i="3"/>
  <c r="AC19" i="3"/>
  <c r="AC23" i="3"/>
  <c r="AC22" i="3"/>
  <c r="AC17" i="3"/>
  <c r="AC16" i="3"/>
  <c r="AB15" i="3"/>
  <c r="AC14" i="3"/>
  <c r="AC13" i="3"/>
  <c r="AC12" i="3"/>
  <c r="AG11" i="3"/>
  <c r="AF11" i="3"/>
  <c r="AC11" i="3"/>
  <c r="AH10" i="3"/>
  <c r="AI10" i="3" s="1"/>
  <c r="AC10" i="3"/>
  <c r="AH9" i="3"/>
  <c r="AI9" i="3" s="1"/>
  <c r="AC9" i="3"/>
  <c r="AH8" i="3"/>
  <c r="AI8" i="3" s="1"/>
  <c r="AC8" i="3"/>
  <c r="AH7" i="3"/>
  <c r="AI7" i="3" s="1"/>
  <c r="AC7" i="3"/>
  <c r="AH6" i="3"/>
  <c r="AI6" i="3" s="1"/>
  <c r="AC6" i="3"/>
  <c r="AH5" i="3"/>
  <c r="AI5" i="3" s="1"/>
  <c r="AG17" i="3" l="1"/>
  <c r="AF16" i="3"/>
  <c r="AG16" i="3" s="1"/>
  <c r="AC24" i="3"/>
  <c r="AF20" i="3" s="1"/>
  <c r="AG20" i="3" s="1"/>
  <c r="AH11" i="3"/>
  <c r="X51" i="2"/>
  <c r="X52" i="2"/>
  <c r="X53" i="2"/>
  <c r="X50" i="2"/>
  <c r="N51" i="2"/>
  <c r="N52" i="2"/>
  <c r="N50" i="2"/>
  <c r="E51" i="2"/>
  <c r="E52" i="2"/>
  <c r="E50" i="2"/>
  <c r="AF17" i="3" l="1"/>
  <c r="AF21" i="3"/>
  <c r="AI11" i="3"/>
  <c r="AG21" i="3" l="1"/>
  <c r="AF22" i="3"/>
  <c r="AG22" i="3" s="1"/>
  <c r="P15" i="3"/>
  <c r="P25" i="3" l="1"/>
  <c r="O25" i="3" l="1"/>
  <c r="D10" i="3" l="1"/>
  <c r="AA36" i="2" l="1"/>
  <c r="AA35" i="2"/>
  <c r="Q36" i="2"/>
  <c r="Q35" i="2"/>
  <c r="H8" i="2"/>
  <c r="H9" i="2"/>
  <c r="N53" i="2"/>
  <c r="E53" i="2"/>
  <c r="E26" i="2"/>
  <c r="AB51" i="2" l="1"/>
  <c r="R51" i="2"/>
  <c r="I51" i="2"/>
  <c r="Y53" i="2"/>
  <c r="Y52" i="2"/>
  <c r="Y51" i="2"/>
  <c r="Z53" i="2"/>
  <c r="O53" i="2"/>
  <c r="O52" i="2"/>
  <c r="O51" i="2"/>
  <c r="P53" i="2"/>
  <c r="F53" i="2"/>
  <c r="F51" i="2"/>
  <c r="F52" i="2"/>
  <c r="G53" i="2"/>
  <c r="Y50" i="2" l="1"/>
  <c r="S51" i="2"/>
  <c r="S52" i="2" s="1"/>
  <c r="F50" i="2"/>
  <c r="O50" i="2"/>
  <c r="S53" i="2"/>
  <c r="Q16" i="3"/>
  <c r="Q6" i="3"/>
  <c r="T11" i="3"/>
  <c r="U11" i="3"/>
  <c r="V10" i="3"/>
  <c r="W10" i="3" s="1"/>
  <c r="V9" i="3"/>
  <c r="W9" i="3" s="1"/>
  <c r="V8" i="3"/>
  <c r="W8" i="3" s="1"/>
  <c r="V7" i="3"/>
  <c r="W7" i="3" s="1"/>
  <c r="V6" i="3"/>
  <c r="W6" i="3" s="1"/>
  <c r="V5" i="3"/>
  <c r="W5" i="3" s="1"/>
  <c r="J9" i="3"/>
  <c r="K9" i="3" s="1"/>
  <c r="J8" i="3"/>
  <c r="K8" i="3" s="1"/>
  <c r="Q25" i="3" l="1"/>
  <c r="T20" i="3" s="1"/>
  <c r="U17" i="3"/>
  <c r="AC51" i="2"/>
  <c r="T16" i="3"/>
  <c r="V11" i="3"/>
  <c r="J6" i="3"/>
  <c r="K6" i="3" s="1"/>
  <c r="E11" i="3"/>
  <c r="D24" i="3"/>
  <c r="C24" i="3"/>
  <c r="J10" i="3"/>
  <c r="K10" i="3" s="1"/>
  <c r="E19" i="3"/>
  <c r="E20" i="3"/>
  <c r="E17" i="3"/>
  <c r="E18" i="3"/>
  <c r="E21" i="3"/>
  <c r="E22" i="3"/>
  <c r="E23" i="3"/>
  <c r="E16" i="3"/>
  <c r="E7" i="3"/>
  <c r="E8" i="3"/>
  <c r="E9" i="3"/>
  <c r="E10" i="3"/>
  <c r="E12" i="3"/>
  <c r="E13" i="3"/>
  <c r="E14" i="3"/>
  <c r="E6" i="3"/>
  <c r="U16" i="3" l="1"/>
  <c r="T17" i="3"/>
  <c r="T21" i="3"/>
  <c r="U21" i="3" s="1"/>
  <c r="W11" i="3"/>
  <c r="AC52" i="2"/>
  <c r="AC53" i="2"/>
  <c r="U20" i="3"/>
  <c r="H11" i="3"/>
  <c r="E24" i="3"/>
  <c r="H20" i="3" s="1"/>
  <c r="I20" i="3" s="1"/>
  <c r="J7" i="3"/>
  <c r="K7" i="3" s="1"/>
  <c r="I11" i="3"/>
  <c r="I17" i="3" s="1"/>
  <c r="J5" i="3"/>
  <c r="J44" i="2"/>
  <c r="J45" i="2"/>
  <c r="J43" i="2"/>
  <c r="J42" i="2"/>
  <c r="AB45" i="2"/>
  <c r="AB44" i="2"/>
  <c r="AB43" i="2"/>
  <c r="AB42" i="2"/>
  <c r="AB46" i="2" s="1"/>
  <c r="S45" i="2"/>
  <c r="R45" i="2"/>
  <c r="S44" i="2"/>
  <c r="R44" i="2"/>
  <c r="AC44" i="2" s="1"/>
  <c r="S43" i="2"/>
  <c r="R43" i="2"/>
  <c r="AC43" i="2" s="1"/>
  <c r="S42" i="2"/>
  <c r="R42" i="2"/>
  <c r="R46" i="2" s="1"/>
  <c r="I45" i="2"/>
  <c r="I44" i="2"/>
  <c r="I43" i="2"/>
  <c r="I42" i="2"/>
  <c r="I46" i="2" s="1"/>
  <c r="J46" i="2" s="1"/>
  <c r="AB18" i="2"/>
  <c r="AC18" i="2" s="1"/>
  <c r="AB17" i="2"/>
  <c r="AC17" i="2" s="1"/>
  <c r="AB16" i="2"/>
  <c r="AC16" i="2" s="1"/>
  <c r="AB15" i="2"/>
  <c r="I15" i="2"/>
  <c r="I16" i="2"/>
  <c r="I17" i="2"/>
  <c r="I18" i="2"/>
  <c r="S18" i="2"/>
  <c r="S17" i="2"/>
  <c r="S16" i="2"/>
  <c r="S15" i="2"/>
  <c r="R18" i="2"/>
  <c r="R17" i="2"/>
  <c r="R16" i="2"/>
  <c r="R15" i="2"/>
  <c r="Y36" i="2"/>
  <c r="Z36" i="2" s="1"/>
  <c r="Y35" i="2"/>
  <c r="Z35" i="2" s="1"/>
  <c r="O36" i="2"/>
  <c r="P36" i="2" s="1"/>
  <c r="O35" i="2"/>
  <c r="P35" i="2" s="1"/>
  <c r="F36" i="2"/>
  <c r="G36" i="2" s="1"/>
  <c r="H36" i="2" s="1"/>
  <c r="F35" i="2"/>
  <c r="G35" i="2" s="1"/>
  <c r="H35" i="2" s="1"/>
  <c r="Y9" i="2"/>
  <c r="Z9" i="2" s="1"/>
  <c r="Y8" i="2"/>
  <c r="Z8" i="2" s="1"/>
  <c r="O8" i="2"/>
  <c r="O9" i="2"/>
  <c r="P9" i="2" s="1"/>
  <c r="P8" i="2"/>
  <c r="G8" i="2"/>
  <c r="G9" i="2"/>
  <c r="AB19" i="2" l="1"/>
  <c r="X23" i="2"/>
  <c r="N26" i="2"/>
  <c r="T22" i="3"/>
  <c r="U22" i="3" s="1"/>
  <c r="Q9" i="2"/>
  <c r="Q8" i="2"/>
  <c r="AA8" i="2"/>
  <c r="AA9" i="2"/>
  <c r="K5" i="3"/>
  <c r="H16" i="3"/>
  <c r="J11" i="3"/>
  <c r="AC46" i="2"/>
  <c r="AC42" i="2"/>
  <c r="I19" i="2"/>
  <c r="S46" i="2"/>
  <c r="AC45" i="2"/>
  <c r="R19" i="2"/>
  <c r="Y23" i="2" l="1"/>
  <c r="X24" i="2"/>
  <c r="Y24" i="2" s="1"/>
  <c r="X25" i="2"/>
  <c r="Y25" i="2" s="1"/>
  <c r="X26" i="2"/>
  <c r="Y26" i="2" s="1"/>
  <c r="AB24" i="2"/>
  <c r="J51" i="2" s="1"/>
  <c r="N23" i="2"/>
  <c r="N24" i="2"/>
  <c r="O24" i="2" s="1"/>
  <c r="N25" i="2"/>
  <c r="O26" i="2"/>
  <c r="O25" i="2"/>
  <c r="R24" i="2"/>
  <c r="I16" i="3"/>
  <c r="H17" i="3"/>
  <c r="E23" i="2"/>
  <c r="E25" i="2"/>
  <c r="F25" i="2" s="1"/>
  <c r="I24" i="2"/>
  <c r="E24" i="2"/>
  <c r="F24" i="2" s="1"/>
  <c r="F26" i="2"/>
  <c r="H21" i="3"/>
  <c r="I21" i="3" s="1"/>
  <c r="K11" i="3"/>
  <c r="S19" i="2"/>
  <c r="AC19" i="2" s="1"/>
  <c r="J53" i="2" l="1"/>
  <c r="J52" i="2"/>
  <c r="Z26" i="2"/>
  <c r="AC24" i="2"/>
  <c r="S26" i="2"/>
  <c r="S24" i="2"/>
  <c r="S25" i="2" s="1"/>
  <c r="P26" i="2"/>
  <c r="O23" i="2"/>
  <c r="H22" i="3"/>
  <c r="I22" i="3" s="1"/>
  <c r="G26" i="2"/>
  <c r="F23" i="2"/>
  <c r="AC25" i="2" l="1"/>
</calcChain>
</file>

<file path=xl/sharedStrings.xml><?xml version="1.0" encoding="utf-8"?>
<sst xmlns="http://schemas.openxmlformats.org/spreadsheetml/2006/main" count="403" uniqueCount="96">
  <si>
    <t>Разница</t>
  </si>
  <si>
    <t>Газ</t>
  </si>
  <si>
    <t>Сбережения</t>
  </si>
  <si>
    <t>Итого</t>
  </si>
  <si>
    <t xml:space="preserve">Депозиты </t>
  </si>
  <si>
    <t>Мтбанк</t>
  </si>
  <si>
    <t>Альфа-банк</t>
  </si>
  <si>
    <t>Этот месяц</t>
  </si>
  <si>
    <t>Прошлый месяц</t>
  </si>
  <si>
    <t>изменение</t>
  </si>
  <si>
    <t>Изменение</t>
  </si>
  <si>
    <t>июль</t>
  </si>
  <si>
    <t>август</t>
  </si>
  <si>
    <t>сентябрь</t>
  </si>
  <si>
    <t>октябрь</t>
  </si>
  <si>
    <t>ноябрь</t>
  </si>
  <si>
    <t>декабрь</t>
  </si>
  <si>
    <t>USD</t>
  </si>
  <si>
    <t>RUR</t>
  </si>
  <si>
    <t>EUR</t>
  </si>
  <si>
    <t>курс валют</t>
  </si>
  <si>
    <t>валюта</t>
  </si>
  <si>
    <t>кол-во</t>
  </si>
  <si>
    <t>по курсу</t>
  </si>
  <si>
    <t>BYN</t>
  </si>
  <si>
    <t>Часть EUR</t>
  </si>
  <si>
    <t>Часть USD</t>
  </si>
  <si>
    <t>Часть RUR</t>
  </si>
  <si>
    <t>Часть BYN</t>
  </si>
  <si>
    <t>Расходы</t>
  </si>
  <si>
    <t>Планируемые</t>
  </si>
  <si>
    <t>Доход</t>
  </si>
  <si>
    <t>Фактические</t>
  </si>
  <si>
    <t>Планируемый</t>
  </si>
  <si>
    <t>Фактический</t>
  </si>
  <si>
    <t>Значение</t>
  </si>
  <si>
    <t>Итого месяц</t>
  </si>
  <si>
    <t>Коммунальные</t>
  </si>
  <si>
    <t>Свет</t>
  </si>
  <si>
    <t>Интернет</t>
  </si>
  <si>
    <t>Квартира аренда</t>
  </si>
  <si>
    <t>Копилка Андрей</t>
  </si>
  <si>
    <t>Копилка Марина</t>
  </si>
  <si>
    <t>Постоянные расходы</t>
  </si>
  <si>
    <t>Месячные расходы</t>
  </si>
  <si>
    <t>Проезд Марина</t>
  </si>
  <si>
    <t>Итого за месяц</t>
  </si>
  <si>
    <t>Ежедневный расход</t>
  </si>
  <si>
    <t>Дней в месяце</t>
  </si>
  <si>
    <t>Марина МТС</t>
  </si>
  <si>
    <t>Свадьба</t>
  </si>
  <si>
    <t xml:space="preserve">Спорт </t>
  </si>
  <si>
    <t>Джинсы</t>
  </si>
  <si>
    <t>Марина Обед</t>
  </si>
  <si>
    <t>Сбережения на след</t>
  </si>
  <si>
    <t>Экономия в расходах</t>
  </si>
  <si>
    <t>Экономия в доходах</t>
  </si>
  <si>
    <t>Андрей аванс</t>
  </si>
  <si>
    <t>Андрей зарплата</t>
  </si>
  <si>
    <t>Марина аванс</t>
  </si>
  <si>
    <t>Марина зарплата</t>
  </si>
  <si>
    <t>Мама Марина</t>
  </si>
  <si>
    <t>Лезвия</t>
  </si>
  <si>
    <t>Коврик в ванну</t>
  </si>
  <si>
    <t>Поездка домой</t>
  </si>
  <si>
    <t>Белье Андрей</t>
  </si>
  <si>
    <t>Холст</t>
  </si>
  <si>
    <t>Остается на еду</t>
  </si>
  <si>
    <t>Столбец1</t>
  </si>
  <si>
    <t>до 700р, мес</t>
  </si>
  <si>
    <t>Света день рожд.</t>
  </si>
  <si>
    <t>Оплата штрафа</t>
  </si>
  <si>
    <t>Форс-мажор</t>
  </si>
  <si>
    <t>Фото в универ</t>
  </si>
  <si>
    <t>справка в универ</t>
  </si>
  <si>
    <t>20 в общак, 20 след месяц</t>
  </si>
  <si>
    <t>20 по копилочкам</t>
  </si>
  <si>
    <t xml:space="preserve">Лишние деньги </t>
  </si>
  <si>
    <t>20р</t>
  </si>
  <si>
    <t>Марина кеды</t>
  </si>
  <si>
    <t>до 7000р, мес</t>
  </si>
  <si>
    <t>Прививка для кота</t>
  </si>
  <si>
    <t>Марина др</t>
  </si>
  <si>
    <t>Таблетки форс маж</t>
  </si>
  <si>
    <t>Марина доморй</t>
  </si>
  <si>
    <t>форс-мажор</t>
  </si>
  <si>
    <t>Тормоза</t>
  </si>
  <si>
    <t>леша др</t>
  </si>
  <si>
    <t>Гипермолл крупы</t>
  </si>
  <si>
    <t>Андрей Проезд</t>
  </si>
  <si>
    <t>кот, вторая вакцина</t>
  </si>
  <si>
    <t>Кот корм</t>
  </si>
  <si>
    <t>Квартира</t>
  </si>
  <si>
    <t>до 7500р, мес</t>
  </si>
  <si>
    <t>С мариной в кафе</t>
  </si>
  <si>
    <t>На переезд отлож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</si>
</sst>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19]mmmm;@"/>
    <numFmt numFmtId="165" formatCode="#,##0.00\ _₽"/>
    <numFmt numFmtId="166" formatCode="[$€-2]\ #,##0.00"/>
    <numFmt numFmtId="167" formatCode="[$$-409]#,##0.00"/>
    <numFmt numFmtId="168" formatCode="#,##0.00\ &quot;₽&quot;"/>
  </numFmts>
  <fonts count="12" x14ac:knownFonts="1">
    <font>
      <sz val="10"/>
      <color theme="1"/>
      <name val="Calibri"/>
      <family val="2"/>
      <scheme val="minor"/>
    </font>
    <font>
      <sz val="14"/>
      <color theme="1"/>
      <name val="Open Sans"/>
      <family val="2"/>
      <charset val="204"/>
    </font>
    <font>
      <sz val="10"/>
      <color theme="1"/>
      <name val="Open Sans"/>
      <family val="2"/>
      <charset val="204"/>
    </font>
    <font>
      <sz val="12"/>
      <color theme="1"/>
      <name val="Open Sans"/>
      <family val="2"/>
      <charset val="204"/>
    </font>
    <font>
      <sz val="11"/>
      <color theme="1"/>
      <name val="Open Sans"/>
      <family val="2"/>
      <charset val="204"/>
    </font>
    <font>
      <sz val="16"/>
      <color theme="1"/>
      <name val="Open Sans"/>
      <family val="2"/>
      <charset val="204"/>
    </font>
    <font>
      <b/>
      <sz val="16"/>
      <color theme="1"/>
      <name val="Open Sans"/>
      <family val="2"/>
      <charset val="204"/>
    </font>
    <font>
      <b/>
      <sz val="14"/>
      <color theme="1"/>
      <name val="Open Sans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Border="1"/>
    <xf numFmtId="0" fontId="4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4" fillId="0" borderId="6" xfId="0" applyFont="1" applyBorder="1"/>
    <xf numFmtId="0" fontId="1" fillId="0" borderId="7" xfId="0" applyFont="1" applyBorder="1"/>
    <xf numFmtId="0" fontId="1" fillId="0" borderId="2" xfId="0" applyFont="1" applyBorder="1"/>
    <xf numFmtId="0" fontId="3" fillId="0" borderId="2" xfId="0" applyFont="1" applyBorder="1"/>
    <xf numFmtId="166" fontId="4" fillId="0" borderId="2" xfId="0" applyNumberFormat="1" applyFont="1" applyBorder="1"/>
    <xf numFmtId="167" fontId="4" fillId="0" borderId="2" xfId="0" applyNumberFormat="1" applyFont="1" applyBorder="1"/>
    <xf numFmtId="168" fontId="4" fillId="0" borderId="2" xfId="0" applyNumberFormat="1" applyFont="1" applyBorder="1"/>
    <xf numFmtId="166" fontId="1" fillId="0" borderId="2" xfId="0" applyNumberFormat="1" applyFont="1" applyBorder="1"/>
    <xf numFmtId="167" fontId="1" fillId="0" borderId="2" xfId="0" applyNumberFormat="1" applyFont="1" applyBorder="1"/>
    <xf numFmtId="168" fontId="1" fillId="0" borderId="2" xfId="0" applyNumberFormat="1" applyFont="1" applyBorder="1"/>
    <xf numFmtId="0" fontId="6" fillId="0" borderId="4" xfId="0" applyFont="1" applyBorder="1" applyAlignment="1">
      <alignment horizontal="center"/>
    </xf>
    <xf numFmtId="0" fontId="1" fillId="0" borderId="6" xfId="0" applyFont="1" applyBorder="1"/>
    <xf numFmtId="0" fontId="3" fillId="0" borderId="0" xfId="0" applyFont="1" applyBorder="1"/>
    <xf numFmtId="0" fontId="1" fillId="0" borderId="0" xfId="0" applyFont="1" applyBorder="1"/>
    <xf numFmtId="0" fontId="3" fillId="0" borderId="6" xfId="0" applyFont="1" applyBorder="1"/>
    <xf numFmtId="165" fontId="1" fillId="0" borderId="0" xfId="0" applyNumberFormat="1" applyFont="1" applyBorder="1"/>
    <xf numFmtId="0" fontId="4" fillId="0" borderId="7" xfId="0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1" fillId="0" borderId="8" xfId="0" applyFont="1" applyBorder="1"/>
    <xf numFmtId="0" fontId="5" fillId="0" borderId="1" xfId="0" applyFont="1" applyBorder="1"/>
    <xf numFmtId="0" fontId="0" fillId="0" borderId="1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7" fillId="0" borderId="4" xfId="0" applyFont="1" applyBorder="1"/>
    <xf numFmtId="0" fontId="1" fillId="0" borderId="6" xfId="0" applyFont="1" applyBorder="1" applyAlignment="1">
      <alignment shrinkToFit="1"/>
    </xf>
    <xf numFmtId="0" fontId="3" fillId="0" borderId="0" xfId="0" applyFont="1" applyBorder="1" applyAlignment="1">
      <alignment shrinkToFit="1"/>
    </xf>
    <xf numFmtId="0" fontId="3" fillId="0" borderId="0" xfId="0" applyFont="1" applyBorder="1" applyAlignment="1"/>
    <xf numFmtId="0" fontId="3" fillId="0" borderId="6" xfId="0" applyFont="1" applyBorder="1" applyAlignment="1">
      <alignment shrinkToFit="1"/>
    </xf>
    <xf numFmtId="165" fontId="1" fillId="0" borderId="0" xfId="0" applyNumberFormat="1" applyFont="1" applyBorder="1" applyAlignment="1">
      <alignment shrinkToFit="1"/>
    </xf>
    <xf numFmtId="0" fontId="2" fillId="0" borderId="0" xfId="0" applyFont="1" applyBorder="1"/>
    <xf numFmtId="164" fontId="6" fillId="0" borderId="4" xfId="0" applyNumberFormat="1" applyFont="1" applyBorder="1" applyAlignment="1">
      <alignment horizontal="center"/>
    </xf>
    <xf numFmtId="0" fontId="0" fillId="0" borderId="5" xfId="0" applyBorder="1"/>
    <xf numFmtId="0" fontId="8" fillId="0" borderId="4" xfId="0" applyFont="1" applyBorder="1"/>
    <xf numFmtId="0" fontId="8" fillId="0" borderId="0" xfId="0" applyFont="1" applyFill="1" applyBorder="1"/>
    <xf numFmtId="0" fontId="4" fillId="0" borderId="11" xfId="0" applyFont="1" applyBorder="1"/>
    <xf numFmtId="166" fontId="4" fillId="0" borderId="10" xfId="0" applyNumberFormat="1" applyFont="1" applyBorder="1"/>
    <xf numFmtId="167" fontId="4" fillId="0" borderId="10" xfId="0" applyNumberFormat="1" applyFont="1" applyBorder="1"/>
    <xf numFmtId="0" fontId="1" fillId="0" borderId="1" xfId="0" applyFont="1" applyBorder="1" applyAlignment="1">
      <alignment horizontal="center" wrapText="1"/>
    </xf>
    <xf numFmtId="0" fontId="4" fillId="0" borderId="5" xfId="0" applyFont="1" applyBorder="1"/>
    <xf numFmtId="168" fontId="4" fillId="0" borderId="3" xfId="0" applyNumberFormat="1" applyFont="1" applyBorder="1"/>
    <xf numFmtId="0" fontId="3" fillId="0" borderId="11" xfId="0" applyFont="1" applyBorder="1"/>
    <xf numFmtId="0" fontId="1" fillId="0" borderId="10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8" xfId="0" applyBorder="1"/>
    <xf numFmtId="0" fontId="0" fillId="0" borderId="0" xfId="0" applyNumberFormat="1"/>
    <xf numFmtId="0" fontId="8" fillId="0" borderId="0" xfId="0" applyFont="1" applyBorder="1"/>
    <xf numFmtId="0" fontId="8" fillId="0" borderId="3" xfId="0" applyFont="1" applyBorder="1"/>
    <xf numFmtId="0" fontId="8" fillId="0" borderId="6" xfId="0" applyFont="1" applyBorder="1"/>
    <xf numFmtId="0" fontId="8" fillId="0" borderId="8" xfId="0" applyFont="1" applyBorder="1"/>
    <xf numFmtId="0" fontId="8" fillId="0" borderId="1" xfId="0" applyFont="1" applyBorder="1"/>
    <xf numFmtId="0" fontId="8" fillId="0" borderId="10" xfId="0" applyFont="1" applyBorder="1"/>
    <xf numFmtId="0" fontId="8" fillId="0" borderId="14" xfId="0" applyFont="1" applyBorder="1"/>
    <xf numFmtId="165" fontId="0" fillId="0" borderId="0" xfId="0" applyNumberFormat="1"/>
    <xf numFmtId="0" fontId="8" fillId="0" borderId="4" xfId="0" applyFont="1" applyFill="1" applyBorder="1"/>
    <xf numFmtId="0" fontId="8" fillId="0" borderId="5" xfId="0" applyFont="1" applyFill="1" applyBorder="1"/>
    <xf numFmtId="0" fontId="9" fillId="0" borderId="0" xfId="0" applyFont="1" applyBorder="1"/>
    <xf numFmtId="0" fontId="0" fillId="0" borderId="0" xfId="0" applyNumberFormat="1" applyBorder="1"/>
    <xf numFmtId="0" fontId="0" fillId="0" borderId="7" xfId="0" applyNumberFormat="1" applyBorder="1"/>
    <xf numFmtId="0" fontId="10" fillId="0" borderId="0" xfId="0" applyFont="1" applyBorder="1"/>
    <xf numFmtId="165" fontId="0" fillId="0" borderId="0" xfId="0" applyNumberFormat="1" applyBorder="1"/>
    <xf numFmtId="165" fontId="8" fillId="0" borderId="0" xfId="0" applyNumberFormat="1" applyFont="1" applyBorder="1"/>
    <xf numFmtId="0" fontId="0" fillId="2" borderId="0" xfId="0" applyFill="1" applyBorder="1"/>
    <xf numFmtId="0" fontId="8" fillId="0" borderId="11" xfId="0" applyFont="1" applyBorder="1"/>
    <xf numFmtId="0" fontId="8" fillId="0" borderId="5" xfId="0" applyFont="1" applyBorder="1"/>
    <xf numFmtId="4" fontId="1" fillId="0" borderId="7" xfId="0" applyNumberFormat="1" applyFont="1" applyBorder="1"/>
    <xf numFmtId="165" fontId="1" fillId="0" borderId="7" xfId="0" applyNumberFormat="1" applyFont="1" applyBorder="1"/>
    <xf numFmtId="0" fontId="9" fillId="0" borderId="0" xfId="0" applyFont="1" applyFill="1"/>
    <xf numFmtId="0" fontId="1" fillId="0" borderId="1" xfId="0" applyFont="1" applyBorder="1"/>
    <xf numFmtId="165" fontId="1" fillId="0" borderId="9" xfId="0" applyNumberFormat="1" applyFont="1" applyBorder="1"/>
    <xf numFmtId="0" fontId="9" fillId="0" borderId="1" xfId="0" applyFont="1" applyBorder="1"/>
    <xf numFmtId="0" fontId="8" fillId="2" borderId="0" xfId="0" applyFont="1" applyFill="1" applyBorder="1"/>
    <xf numFmtId="4" fontId="8" fillId="0" borderId="1" xfId="0" applyNumberFormat="1" applyFont="1" applyBorder="1"/>
    <xf numFmtId="0" fontId="8" fillId="0" borderId="6" xfId="0" applyFont="1" applyFill="1" applyBorder="1"/>
    <xf numFmtId="0" fontId="8" fillId="3" borderId="0" xfId="0" applyFont="1" applyFill="1" applyBorder="1"/>
    <xf numFmtId="0" fontId="8" fillId="3" borderId="4" xfId="0" applyFont="1" applyFill="1" applyBorder="1"/>
    <xf numFmtId="2" fontId="1" fillId="0" borderId="0" xfId="0" applyNumberFormat="1" applyFont="1" applyBorder="1"/>
    <xf numFmtId="2" fontId="5" fillId="0" borderId="1" xfId="0" applyNumberFormat="1" applyFont="1" applyBorder="1"/>
    <xf numFmtId="0" fontId="9" fillId="3" borderId="1" xfId="0" applyFont="1" applyFill="1" applyBorder="1"/>
    <xf numFmtId="0" fontId="8" fillId="3" borderId="6" xfId="0" applyFont="1" applyFill="1" applyBorder="1"/>
    <xf numFmtId="0" fontId="8" fillId="2" borderId="4" xfId="0" applyFont="1" applyFill="1" applyBorder="1"/>
    <xf numFmtId="0" fontId="8" fillId="3" borderId="1" xfId="0" applyFont="1" applyFill="1" applyBorder="1"/>
    <xf numFmtId="0" fontId="10" fillId="3" borderId="1" xfId="0" applyFont="1" applyFill="1" applyBorder="1"/>
    <xf numFmtId="0" fontId="9" fillId="0" borderId="0" xfId="0" applyFont="1"/>
    <xf numFmtId="4" fontId="1" fillId="0" borderId="2" xfId="0" applyNumberFormat="1" applyFont="1" applyBorder="1"/>
    <xf numFmtId="0" fontId="11" fillId="0" borderId="0" xfId="0" applyFont="1"/>
    <xf numFmtId="167" fontId="11" fillId="0" borderId="0" xfId="0" applyNumberFormat="1" applyFont="1" applyBorder="1"/>
    <xf numFmtId="0" fontId="9" fillId="2" borderId="1" xfId="0" applyFont="1" applyFill="1" applyBorder="1"/>
    <xf numFmtId="0" fontId="10" fillId="2" borderId="1" xfId="0" applyFont="1" applyFill="1" applyBorder="1"/>
    <xf numFmtId="0" fontId="1" fillId="0" borderId="10" xfId="0" applyFont="1" applyBorder="1" applyAlignment="1">
      <alignment horizontal="center" wrapText="1"/>
    </xf>
    <xf numFmtId="0" fontId="0" fillId="0" borderId="11" xfId="0" applyBorder="1" applyAlignment="1"/>
  </cellXfs>
  <cellStyles count="1">
    <cellStyle name="Обычный" xfId="0" builtinId="0" customBuiltin="1"/>
  </cellStyles>
  <dxfs count="1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/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165" formatCode="#,##0.00\ _₽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165" formatCode="#,##0.00\ _₽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165" formatCode="#,##0.00\ _₽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165" formatCode="#,##0.00\ _₽"/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165" formatCode="#,##0.00\ _₽"/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165" formatCode="#,##0.00\ _₽"/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165" formatCode="#,##0.00\ _₽"/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  <alignment horizontal="general" vertical="bottom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165" formatCode="#,##0.00\ _₽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165" formatCode="#,##0.00\ _₽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165" formatCode="#,##0.00\ _₽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  <numFmt numFmtId="165" formatCode="#,##0.00\ _₽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Ope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Open Sans"/>
        <scheme val="none"/>
      </font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533400</xdr:colOff>
      <xdr:row>0</xdr:row>
      <xdr:rowOff>95250</xdr:rowOff>
    </xdr:from>
    <xdr:ext cx="5017656" cy="718466"/>
    <xdr:sp macro="" textlink="">
      <xdr:nvSpPr>
        <xdr:cNvPr id="2" name="TextBox 1"/>
        <xdr:cNvSpPr txBox="1"/>
      </xdr:nvSpPr>
      <xdr:spPr>
        <a:xfrm>
          <a:off x="3581400" y="95250"/>
          <a:ext cx="5017656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000">
              <a:latin typeface="Aharoni" panose="02010803020104030203" pitchFamily="2" charset="-79"/>
              <a:cs typeface="Aharoni" panose="02010803020104030203" pitchFamily="2" charset="-79"/>
            </a:rPr>
            <a:t>MoneyCount</a:t>
          </a:r>
          <a:r>
            <a:rPr lang="en-US" sz="4000" baseline="0">
              <a:latin typeface="Aharoni" panose="02010803020104030203" pitchFamily="2" charset="-79"/>
              <a:cs typeface="Aharoni" panose="02010803020104030203" pitchFamily="2" charset="-79"/>
            </a:rPr>
            <a:t> </a:t>
          </a:r>
          <a:r>
            <a:rPr lang="ru-RU" sz="4000" baseline="0">
              <a:cs typeface="Aharoni" panose="02010803020104030203" pitchFamily="2" charset="-79"/>
            </a:rPr>
            <a:t>в </a:t>
          </a:r>
          <a:r>
            <a:rPr lang="en-US" sz="4000" baseline="0">
              <a:latin typeface="Aharoni" panose="02010803020104030203" pitchFamily="2" charset="-79"/>
              <a:cs typeface="Aharoni" panose="02010803020104030203" pitchFamily="2" charset="-79"/>
            </a:rPr>
            <a:t>Excel</a:t>
          </a:r>
          <a:endParaRPr lang="ru-RU" sz="4000">
            <a:cs typeface="Aharoni" panose="02010803020104030203" pitchFamily="2" charset="-79"/>
          </a:endParaRPr>
        </a:p>
      </xdr:txBody>
    </xdr:sp>
    <xdr:clientData/>
  </xdr:oneCellAnchor>
  <xdr:oneCellAnchor>
    <xdr:from>
      <xdr:col>5</xdr:col>
      <xdr:colOff>76200</xdr:colOff>
      <xdr:row>10</xdr:row>
      <xdr:rowOff>171450</xdr:rowOff>
    </xdr:from>
    <xdr:ext cx="1227131" cy="336823"/>
    <xdr:sp macro="" textlink="">
      <xdr:nvSpPr>
        <xdr:cNvPr id="3" name="TextBox 2"/>
        <xdr:cNvSpPr txBox="1"/>
      </xdr:nvSpPr>
      <xdr:spPr>
        <a:xfrm>
          <a:off x="4324350" y="2438400"/>
          <a:ext cx="1227131" cy="33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Копилочка</a:t>
          </a:r>
        </a:p>
      </xdr:txBody>
    </xdr:sp>
    <xdr:clientData/>
  </xdr:oneCellAnchor>
  <xdr:oneCellAnchor>
    <xdr:from>
      <xdr:col>14</xdr:col>
      <xdr:colOff>123825</xdr:colOff>
      <xdr:row>11</xdr:row>
      <xdr:rowOff>0</xdr:rowOff>
    </xdr:from>
    <xdr:ext cx="1227131" cy="336823"/>
    <xdr:sp macro="" textlink="">
      <xdr:nvSpPr>
        <xdr:cNvPr id="4" name="TextBox 3"/>
        <xdr:cNvSpPr txBox="1"/>
      </xdr:nvSpPr>
      <xdr:spPr>
        <a:xfrm>
          <a:off x="12658725" y="2533650"/>
          <a:ext cx="1227131" cy="33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Копилочка</a:t>
          </a:r>
        </a:p>
      </xdr:txBody>
    </xdr:sp>
    <xdr:clientData/>
  </xdr:oneCellAnchor>
  <xdr:oneCellAnchor>
    <xdr:from>
      <xdr:col>13</xdr:col>
      <xdr:colOff>942975</xdr:colOff>
      <xdr:row>19</xdr:row>
      <xdr:rowOff>190500</xdr:rowOff>
    </xdr:from>
    <xdr:ext cx="2339167" cy="336823"/>
    <xdr:sp macro="" textlink="">
      <xdr:nvSpPr>
        <xdr:cNvPr id="5" name="TextBox 4"/>
        <xdr:cNvSpPr txBox="1"/>
      </xdr:nvSpPr>
      <xdr:spPr>
        <a:xfrm>
          <a:off x="12534900" y="4857750"/>
          <a:ext cx="2339167" cy="33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Дифференциация</a:t>
          </a:r>
          <a:r>
            <a:rPr lang="ru-RU" sz="14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валют</a:t>
          </a:r>
          <a:endParaRPr lang="ru-RU" sz="14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oneCellAnchor>
  <xdr:oneCellAnchor>
    <xdr:from>
      <xdr:col>4</xdr:col>
      <xdr:colOff>942975</xdr:colOff>
      <xdr:row>19</xdr:row>
      <xdr:rowOff>190500</xdr:rowOff>
    </xdr:from>
    <xdr:ext cx="2339167" cy="336823"/>
    <xdr:sp macro="" textlink="">
      <xdr:nvSpPr>
        <xdr:cNvPr id="10" name="TextBox 9"/>
        <xdr:cNvSpPr txBox="1"/>
      </xdr:nvSpPr>
      <xdr:spPr>
        <a:xfrm>
          <a:off x="12611100" y="4857750"/>
          <a:ext cx="2339167" cy="33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Дифференциация</a:t>
          </a:r>
          <a:r>
            <a:rPr lang="ru-RU" sz="14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валют</a:t>
          </a:r>
          <a:endParaRPr lang="ru-RU" sz="14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oneCellAnchor>
  <xdr:oneCellAnchor>
    <xdr:from>
      <xdr:col>24</xdr:col>
      <xdr:colOff>123825</xdr:colOff>
      <xdr:row>11</xdr:row>
      <xdr:rowOff>0</xdr:rowOff>
    </xdr:from>
    <xdr:ext cx="1227131" cy="336823"/>
    <xdr:sp macro="" textlink="">
      <xdr:nvSpPr>
        <xdr:cNvPr id="11" name="TextBox 10"/>
        <xdr:cNvSpPr txBox="1"/>
      </xdr:nvSpPr>
      <xdr:spPr>
        <a:xfrm>
          <a:off x="12887325" y="2533650"/>
          <a:ext cx="1227131" cy="33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Копилочка</a:t>
          </a:r>
        </a:p>
      </xdr:txBody>
    </xdr:sp>
    <xdr:clientData/>
  </xdr:oneCellAnchor>
  <xdr:oneCellAnchor>
    <xdr:from>
      <xdr:col>23</xdr:col>
      <xdr:colOff>942975</xdr:colOff>
      <xdr:row>19</xdr:row>
      <xdr:rowOff>190500</xdr:rowOff>
    </xdr:from>
    <xdr:ext cx="2339167" cy="336823"/>
    <xdr:sp macro="" textlink="">
      <xdr:nvSpPr>
        <xdr:cNvPr id="12" name="TextBox 11"/>
        <xdr:cNvSpPr txBox="1"/>
      </xdr:nvSpPr>
      <xdr:spPr>
        <a:xfrm>
          <a:off x="12611100" y="4857750"/>
          <a:ext cx="2339167" cy="33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Дифференциация</a:t>
          </a:r>
          <a:r>
            <a:rPr lang="ru-RU" sz="14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валют</a:t>
          </a:r>
          <a:endParaRPr lang="ru-RU" sz="14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oneCellAnchor>
  <xdr:oneCellAnchor>
    <xdr:from>
      <xdr:col>5</xdr:col>
      <xdr:colOff>123825</xdr:colOff>
      <xdr:row>38</xdr:row>
      <xdr:rowOff>0</xdr:rowOff>
    </xdr:from>
    <xdr:ext cx="1227131" cy="336823"/>
    <xdr:sp macro="" textlink="">
      <xdr:nvSpPr>
        <xdr:cNvPr id="13" name="TextBox 12"/>
        <xdr:cNvSpPr txBox="1"/>
      </xdr:nvSpPr>
      <xdr:spPr>
        <a:xfrm>
          <a:off x="12887325" y="2533650"/>
          <a:ext cx="1227131" cy="33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Копилочка</a:t>
          </a:r>
        </a:p>
      </xdr:txBody>
    </xdr:sp>
    <xdr:clientData/>
  </xdr:oneCellAnchor>
  <xdr:oneCellAnchor>
    <xdr:from>
      <xdr:col>4</xdr:col>
      <xdr:colOff>942975</xdr:colOff>
      <xdr:row>46</xdr:row>
      <xdr:rowOff>190500</xdr:rowOff>
    </xdr:from>
    <xdr:ext cx="2339167" cy="336823"/>
    <xdr:sp macro="" textlink="">
      <xdr:nvSpPr>
        <xdr:cNvPr id="14" name="TextBox 13"/>
        <xdr:cNvSpPr txBox="1"/>
      </xdr:nvSpPr>
      <xdr:spPr>
        <a:xfrm>
          <a:off x="12611100" y="4857750"/>
          <a:ext cx="2339167" cy="33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Дифференциация</a:t>
          </a:r>
          <a:r>
            <a:rPr lang="ru-RU" sz="14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валют</a:t>
          </a:r>
          <a:endParaRPr lang="ru-RU" sz="14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oneCellAnchor>
  <xdr:oneCellAnchor>
    <xdr:from>
      <xdr:col>14</xdr:col>
      <xdr:colOff>123825</xdr:colOff>
      <xdr:row>38</xdr:row>
      <xdr:rowOff>0</xdr:rowOff>
    </xdr:from>
    <xdr:ext cx="1227131" cy="336823"/>
    <xdr:sp macro="" textlink="">
      <xdr:nvSpPr>
        <xdr:cNvPr id="15" name="TextBox 14"/>
        <xdr:cNvSpPr txBox="1"/>
      </xdr:nvSpPr>
      <xdr:spPr>
        <a:xfrm>
          <a:off x="13458825" y="2533650"/>
          <a:ext cx="1227131" cy="33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Копилочка</a:t>
          </a:r>
        </a:p>
      </xdr:txBody>
    </xdr:sp>
    <xdr:clientData/>
  </xdr:oneCellAnchor>
  <xdr:oneCellAnchor>
    <xdr:from>
      <xdr:col>13</xdr:col>
      <xdr:colOff>942975</xdr:colOff>
      <xdr:row>46</xdr:row>
      <xdr:rowOff>190500</xdr:rowOff>
    </xdr:from>
    <xdr:ext cx="2339167" cy="336823"/>
    <xdr:sp macro="" textlink="">
      <xdr:nvSpPr>
        <xdr:cNvPr id="16" name="TextBox 15"/>
        <xdr:cNvSpPr txBox="1"/>
      </xdr:nvSpPr>
      <xdr:spPr>
        <a:xfrm>
          <a:off x="13182600" y="4857750"/>
          <a:ext cx="2339167" cy="33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Дифференциация</a:t>
          </a:r>
          <a:r>
            <a:rPr lang="ru-RU" sz="14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валют</a:t>
          </a:r>
          <a:endParaRPr lang="ru-RU" sz="14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oneCellAnchor>
  <xdr:oneCellAnchor>
    <xdr:from>
      <xdr:col>24</xdr:col>
      <xdr:colOff>123825</xdr:colOff>
      <xdr:row>38</xdr:row>
      <xdr:rowOff>0</xdr:rowOff>
    </xdr:from>
    <xdr:ext cx="1227131" cy="336823"/>
    <xdr:sp macro="" textlink="">
      <xdr:nvSpPr>
        <xdr:cNvPr id="17" name="TextBox 16"/>
        <xdr:cNvSpPr txBox="1"/>
      </xdr:nvSpPr>
      <xdr:spPr>
        <a:xfrm>
          <a:off x="13458825" y="2533650"/>
          <a:ext cx="1227131" cy="33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Копилочка</a:t>
          </a:r>
        </a:p>
      </xdr:txBody>
    </xdr:sp>
    <xdr:clientData/>
  </xdr:oneCellAnchor>
  <xdr:oneCellAnchor>
    <xdr:from>
      <xdr:col>23</xdr:col>
      <xdr:colOff>942975</xdr:colOff>
      <xdr:row>46</xdr:row>
      <xdr:rowOff>190500</xdr:rowOff>
    </xdr:from>
    <xdr:ext cx="2339167" cy="336823"/>
    <xdr:sp macro="" textlink="">
      <xdr:nvSpPr>
        <xdr:cNvPr id="18" name="TextBox 17"/>
        <xdr:cNvSpPr txBox="1"/>
      </xdr:nvSpPr>
      <xdr:spPr>
        <a:xfrm>
          <a:off x="13182600" y="4857750"/>
          <a:ext cx="2339167" cy="33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Дифференциация</a:t>
          </a:r>
          <a:r>
            <a:rPr lang="ru-RU" sz="14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валют</a:t>
          </a:r>
          <a:endParaRPr lang="ru-RU" sz="14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oneCellAnchor>
  <xdr:oneCellAnchor>
    <xdr:from>
      <xdr:col>34</xdr:col>
      <xdr:colOff>123825</xdr:colOff>
      <xdr:row>11</xdr:row>
      <xdr:rowOff>0</xdr:rowOff>
    </xdr:from>
    <xdr:ext cx="1227131" cy="336823"/>
    <xdr:sp macro="" textlink="">
      <xdr:nvSpPr>
        <xdr:cNvPr id="19" name="TextBox 18"/>
        <xdr:cNvSpPr txBox="1"/>
      </xdr:nvSpPr>
      <xdr:spPr>
        <a:xfrm>
          <a:off x="24616682" y="2571750"/>
          <a:ext cx="1227131" cy="33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 b="1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Копилочка</a:t>
          </a:r>
        </a:p>
      </xdr:txBody>
    </xdr:sp>
    <xdr:clientData/>
  </xdr:oneCellAnchor>
  <xdr:oneCellAnchor>
    <xdr:from>
      <xdr:col>33</xdr:col>
      <xdr:colOff>942975</xdr:colOff>
      <xdr:row>19</xdr:row>
      <xdr:rowOff>190500</xdr:rowOff>
    </xdr:from>
    <xdr:ext cx="2339167" cy="336823"/>
    <xdr:sp macro="" textlink="">
      <xdr:nvSpPr>
        <xdr:cNvPr id="20" name="TextBox 19"/>
        <xdr:cNvSpPr txBox="1"/>
      </xdr:nvSpPr>
      <xdr:spPr>
        <a:xfrm>
          <a:off x="24415296" y="4939393"/>
          <a:ext cx="2339167" cy="3368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Дифференциация</a:t>
          </a:r>
          <a:r>
            <a:rPr lang="ru-RU" sz="14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валют</a:t>
          </a:r>
          <a:endParaRPr lang="ru-RU" sz="14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714375</xdr:colOff>
      <xdr:row>0</xdr:row>
      <xdr:rowOff>0</xdr:rowOff>
    </xdr:from>
    <xdr:ext cx="1076385" cy="513346"/>
    <xdr:sp macro="" textlink="">
      <xdr:nvSpPr>
        <xdr:cNvPr id="2" name="TextBox 1"/>
        <xdr:cNvSpPr txBox="1"/>
      </xdr:nvSpPr>
      <xdr:spPr>
        <a:xfrm>
          <a:off x="4229100" y="0"/>
          <a:ext cx="1076385" cy="5133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400">
              <a:latin typeface="+mj-lt"/>
            </a:rPr>
            <a:t>Июль 2020</a:t>
          </a:r>
        </a:p>
        <a:p>
          <a:endParaRPr lang="ru-RU" sz="1400">
            <a:latin typeface="+mj-lt"/>
          </a:endParaRPr>
        </a:p>
      </xdr:txBody>
    </xdr:sp>
    <xdr:clientData/>
  </xdr:oneCellAnchor>
  <xdr:oneCellAnchor>
    <xdr:from>
      <xdr:col>16</xdr:col>
      <xdr:colOff>447675</xdr:colOff>
      <xdr:row>0</xdr:row>
      <xdr:rowOff>152400</xdr:rowOff>
    </xdr:from>
    <xdr:ext cx="1162050" cy="311496"/>
    <xdr:sp macro="" textlink="">
      <xdr:nvSpPr>
        <xdr:cNvPr id="3" name="TextBox 2"/>
        <xdr:cNvSpPr txBox="1"/>
      </xdr:nvSpPr>
      <xdr:spPr>
        <a:xfrm>
          <a:off x="15240000" y="152400"/>
          <a:ext cx="11620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400"/>
            <a:t>Август 2020</a:t>
          </a:r>
        </a:p>
      </xdr:txBody>
    </xdr:sp>
    <xdr:clientData/>
  </xdr:oneCellAnchor>
  <xdr:oneCellAnchor>
    <xdr:from>
      <xdr:col>28</xdr:col>
      <xdr:colOff>447674</xdr:colOff>
      <xdr:row>0</xdr:row>
      <xdr:rowOff>152400</xdr:rowOff>
    </xdr:from>
    <xdr:ext cx="1323975" cy="311496"/>
    <xdr:sp macro="" textlink="">
      <xdr:nvSpPr>
        <xdr:cNvPr id="4" name="TextBox 3"/>
        <xdr:cNvSpPr txBox="1"/>
      </xdr:nvSpPr>
      <xdr:spPr>
        <a:xfrm>
          <a:off x="24888824" y="152400"/>
          <a:ext cx="13239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400"/>
            <a:t>Сентябрь 2020</a:t>
          </a:r>
        </a:p>
      </xdr:txBody>
    </xdr:sp>
    <xdr:clientData/>
  </xdr:oneCellAnchor>
  <xdr:oneCellAnchor>
    <xdr:from>
      <xdr:col>40</xdr:col>
      <xdr:colOff>447674</xdr:colOff>
      <xdr:row>0</xdr:row>
      <xdr:rowOff>152400</xdr:rowOff>
    </xdr:from>
    <xdr:ext cx="1323975" cy="311496"/>
    <xdr:sp macro="" textlink="">
      <xdr:nvSpPr>
        <xdr:cNvPr id="5" name="TextBox 4"/>
        <xdr:cNvSpPr txBox="1"/>
      </xdr:nvSpPr>
      <xdr:spPr>
        <a:xfrm>
          <a:off x="25593674" y="152400"/>
          <a:ext cx="13239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400"/>
            <a:t>Октябрь 2020</a:t>
          </a:r>
        </a:p>
      </xdr:txBody>
    </xdr:sp>
    <xdr:clientData/>
  </xdr:oneCellAnchor>
  <xdr:oneCellAnchor>
    <xdr:from>
      <xdr:col>52</xdr:col>
      <xdr:colOff>447674</xdr:colOff>
      <xdr:row>0</xdr:row>
      <xdr:rowOff>152400</xdr:rowOff>
    </xdr:from>
    <xdr:ext cx="1323975" cy="311496"/>
    <xdr:sp macro="" textlink="">
      <xdr:nvSpPr>
        <xdr:cNvPr id="6" name="TextBox 5"/>
        <xdr:cNvSpPr txBox="1"/>
      </xdr:nvSpPr>
      <xdr:spPr>
        <a:xfrm>
          <a:off x="35509199" y="152400"/>
          <a:ext cx="13239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400"/>
            <a:t>Ноябрь 2020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3" name="Таблица13" displayName="Таблица13" ref="D7:H9" totalsRowShown="0" headerRowDxfId="119" dataDxfId="118">
  <autoFilter ref="D7:H9"/>
  <tableColumns count="5">
    <tableColumn id="1" name="Депозиты " dataDxfId="117"/>
    <tableColumn id="2" name="Этот месяц" dataDxfId="116"/>
    <tableColumn id="3" name="Прошлый месяц" dataDxfId="115"/>
    <tableColumn id="4" name="Изменение" dataDxfId="114">
      <calculatedColumnFormula>Таблица13[[#This Row],[Этот месяц]]-Таблица13[[#This Row],[Прошлый месяц]]</calculatedColumnFormula>
    </tableColumn>
    <tableColumn id="5" name="Столбец1" dataDxfId="113">
      <calculatedColumnFormula>IF(G$8&gt;0, "плюсуем=)", "в минусе=(")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20" name="Таблица20" displayName="Таблица20" ref="G4:K11" totalsRowShown="0" headerRowDxfId="59">
  <autoFilter ref="G4:K11"/>
  <tableColumns count="5">
    <tableColumn id="1" name="Доход" dataDxfId="58"/>
    <tableColumn id="2" name="Планируемый" dataDxfId="57">
      <calculatedColumnFormula>130+178+15+150</calculatedColumnFormula>
    </tableColumn>
    <tableColumn id="3" name="Фактический" dataDxfId="56">
      <calculatedColumnFormula>130+178+15</calculatedColumnFormula>
    </tableColumn>
    <tableColumn id="4" name="Разница" dataDxfId="55">
      <calculatedColumnFormula>Таблица20[[#This Row],[Фактический]] - Таблица20[[#This Row],[Планируемый]]</calculatedColumnFormula>
    </tableColumn>
    <tableColumn id="5" name="Столбец1" dataDxfId="54">
      <calculatedColumnFormula>IF(Таблица20[[#This Row],[Разница]]&gt;=0, "Есть!","Нет=(")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24" name="Таблица24" displayName="Таблица24" ref="B4:E24" totalsRowShown="0" headerRowDxfId="53" tableBorderDxfId="52">
  <autoFilter ref="B4:E24"/>
  <tableColumns count="4">
    <tableColumn id="1" name="Расходы"/>
    <tableColumn id="2" name="Планируемые"/>
    <tableColumn id="3" name="Фактические"/>
    <tableColumn id="4" name="Разница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26" name="Таблица2427" displayName="Таблица2427" ref="N4:Q25" totalsRowShown="0" headerRowDxfId="51" dataDxfId="50" tableBorderDxfId="49">
  <autoFilter ref="N4:Q25"/>
  <tableColumns count="4">
    <tableColumn id="1" name="Расходы" dataDxfId="48"/>
    <tableColumn id="2" name="Планируемые" dataDxfId="47"/>
    <tableColumn id="3" name="Фактические" dataDxfId="46"/>
    <tableColumn id="4" name="Разница" dataDxfId="45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19" name="Таблица2020" displayName="Таблица2020" ref="S4:W11" totalsRowShown="0" headerRowDxfId="44">
  <autoFilter ref="S4:W11"/>
  <tableColumns count="5">
    <tableColumn id="1" name="Доход" dataDxfId="43"/>
    <tableColumn id="2" name="Планируемый" dataDxfId="42">
      <calculatedColumnFormula>130+178+15+150</calculatedColumnFormula>
    </tableColumn>
    <tableColumn id="3" name="Фактический" dataDxfId="41">
      <calculatedColumnFormula>130+178+15</calculatedColumnFormula>
    </tableColumn>
    <tableColumn id="4" name="Разница" dataDxfId="40">
      <calculatedColumnFormula>Таблица2020[[#This Row],[Фактический]] - Таблица2020[[#This Row],[Планируемый]]</calculatedColumnFormula>
    </tableColumn>
    <tableColumn id="5" name="Столбец1" dataDxfId="39">
      <calculatedColumnFormula>IF(Таблица2020[[#This Row],[Разница]]&gt;=0, "Есть!","Нет=(")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" name="Таблица24272" displayName="Таблица24272" ref="Z4:AC24" totalsRowShown="0" headerRowDxfId="38" dataDxfId="37" tableBorderDxfId="36">
  <autoFilter ref="Z4:AC24"/>
  <tableColumns count="4">
    <tableColumn id="1" name="Расходы" dataDxfId="35"/>
    <tableColumn id="2" name="Планируемые" dataDxfId="34"/>
    <tableColumn id="3" name="Фактические" dataDxfId="33"/>
    <tableColumn id="4" name="Разница" dataDxfId="32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id="2" name="Таблица20203" displayName="Таблица20203" ref="AE4:AI11" totalsRowShown="0" headerRowDxfId="31">
  <autoFilter ref="AE4:AI11"/>
  <tableColumns count="5">
    <tableColumn id="1" name="Доход" dataDxfId="30"/>
    <tableColumn id="2" name="Планируемый" dataDxfId="29">
      <calculatedColumnFormula>130+178+15+150</calculatedColumnFormula>
    </tableColumn>
    <tableColumn id="3" name="Фактический" dataDxfId="28">
      <calculatedColumnFormula>130+178+15</calculatedColumnFormula>
    </tableColumn>
    <tableColumn id="4" name="Разница" dataDxfId="27">
      <calculatedColumnFormula>Таблица20203[[#This Row],[Фактический]] - Таблица20203[[#This Row],[Планируемый]]</calculatedColumnFormula>
    </tableColumn>
    <tableColumn id="5" name="Столбец1" dataDxfId="26">
      <calculatedColumnFormula>IF(Таблица20203[[#This Row],[Разница]]&gt;=0, "Есть!","Нет=(")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3" name="Таблица242724" displayName="Таблица242724" ref="AL4:AO24" totalsRowShown="0" headerRowDxfId="25" dataDxfId="24" tableBorderDxfId="23">
  <autoFilter ref="AL4:AO24"/>
  <tableColumns count="4">
    <tableColumn id="1" name="Расходы" dataDxfId="22"/>
    <tableColumn id="2" name="Планируемые" dataDxfId="21"/>
    <tableColumn id="3" name="Фактические" dataDxfId="20"/>
    <tableColumn id="4" name="Разница" dataDxfId="19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id="4" name="Таблица202035" displayName="Таблица202035" ref="AQ4:AU11" totalsRowShown="0" headerRowDxfId="18">
  <autoFilter ref="AQ4:AU11"/>
  <tableColumns count="5">
    <tableColumn id="1" name="Доход" dataDxfId="17"/>
    <tableColumn id="2" name="Планируемый" dataDxfId="16">
      <calculatedColumnFormula>130+178+15+150</calculatedColumnFormula>
    </tableColumn>
    <tableColumn id="3" name="Фактический" dataDxfId="15">
      <calculatedColumnFormula>130+178+15</calculatedColumnFormula>
    </tableColumn>
    <tableColumn id="4" name="Разница" dataDxfId="14">
      <calculatedColumnFormula>Таблица202035[[#This Row],[Фактический]] - Таблица202035[[#This Row],[Планируемый]]</calculatedColumnFormula>
    </tableColumn>
    <tableColumn id="5" name="Столбец1" dataDxfId="13">
      <calculatedColumnFormula>IF(Таблица202035[[#This Row],[Разница]]&gt;=0, "Есть!","Нет=(")</calculatedColumnFormula>
    </tableColumn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6" name="Таблица2427247" displayName="Таблица2427247" ref="AX4:BA24" totalsRowShown="0" headerRowDxfId="12" dataDxfId="11" tableBorderDxfId="10">
  <autoFilter ref="AX4:BA24"/>
  <tableColumns count="4">
    <tableColumn id="1" name="Расходы" dataDxfId="9"/>
    <tableColumn id="2" name="Планируемые" dataDxfId="8"/>
    <tableColumn id="3" name="Фактические" dataDxfId="7"/>
    <tableColumn id="4" name="Разница" dataDxfId="6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id="7" name="Таблица2020358" displayName="Таблица2020358" ref="BC4:BG11" totalsRowShown="0" headerRowDxfId="5">
  <autoFilter ref="BC4:BG11"/>
  <tableColumns count="5">
    <tableColumn id="1" name="Доход" dataDxfId="4"/>
    <tableColumn id="2" name="Планируемый" dataDxfId="3">
      <calculatedColumnFormula>130+178+15+150</calculatedColumnFormula>
    </tableColumn>
    <tableColumn id="3" name="Фактический" dataDxfId="2">
      <calculatedColumnFormula>130+178+15</calculatedColumnFormula>
    </tableColumn>
    <tableColumn id="4" name="Разница" dataDxfId="1">
      <calculatedColumnFormula>Таблица2020358[[#This Row],[Фактический]] - Таблица2020358[[#This Row],[Планируемый]]</calculatedColumnFormula>
    </tableColumn>
    <tableColumn id="5" name="Столбец1" dataDxfId="0">
      <calculatedColumnFormula>IF(Таблица2020358[[#This Row],[Разница]]&gt;=0, "Есть!","Нет=(")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4" name="Таблица1315" displayName="Таблица1315" ref="M7:Q9" totalsRowShown="0" headerRowDxfId="112" dataDxfId="111">
  <autoFilter ref="M7:Q9"/>
  <tableColumns count="5">
    <tableColumn id="1" name="Депозиты " dataDxfId="110"/>
    <tableColumn id="2" name="Этот месяц" dataDxfId="109"/>
    <tableColumn id="3" name="Прошлый месяц" dataDxfId="108">
      <calculatedColumnFormula>E8</calculatedColumnFormula>
    </tableColumn>
    <tableColumn id="4" name="Изменение" dataDxfId="107">
      <calculatedColumnFormula>Таблица1315[[#This Row],[Этот месяц]]-Таблица1315[[#This Row],[Прошлый месяц]]</calculatedColumnFormula>
    </tableColumn>
    <tableColumn id="5" name="Столбец1" dataDxfId="106">
      <calculatedColumnFormula>IF(P$9&gt;0, "плюсуем=)", "в минусе=(")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5" name="Таблица131516" displayName="Таблица131516" ref="W7:AA9" totalsRowShown="0" headerRowDxfId="105" dataDxfId="104">
  <autoFilter ref="W7:AA9"/>
  <tableColumns count="5">
    <tableColumn id="1" name="Депозиты " dataDxfId="103"/>
    <tableColumn id="2" name="Этот месяц" dataDxfId="102"/>
    <tableColumn id="3" name="Прошлый месяц" dataDxfId="101">
      <calculatedColumnFormula>N8</calculatedColumnFormula>
    </tableColumn>
    <tableColumn id="4" name="Изменение" dataDxfId="100">
      <calculatedColumnFormula>Таблица131516[[#This Row],[Этот месяц]]-Таблица131516[[#This Row],[Прошлый месяц]]</calculatedColumnFormula>
    </tableColumn>
    <tableColumn id="5" name="Столбец1" dataDxfId="99">
      <calculatedColumnFormula>IF(Z$9&gt;0, "плюсуем=)", "в минусе=(")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6" name="Таблица13151617" displayName="Таблица13151617" ref="D34:H36" totalsRowShown="0" headerRowDxfId="98" dataDxfId="97">
  <autoFilter ref="D34:H36"/>
  <tableColumns count="5">
    <tableColumn id="1" name="Депозиты " dataDxfId="96"/>
    <tableColumn id="2" name="Этот месяц" dataDxfId="95"/>
    <tableColumn id="3" name="Прошлый месяц" dataDxfId="94">
      <calculatedColumnFormula>X8</calculatedColumnFormula>
    </tableColumn>
    <tableColumn id="4" name="Изменение" dataDxfId="93">
      <calculatedColumnFormula>Таблица13151617[[#This Row],[Этот месяц]]-Таблица13151617[[#This Row],[Прошлый месяц]]</calculatedColumnFormula>
    </tableColumn>
    <tableColumn id="5" name="Столбец1" dataDxfId="9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7" name="Таблица1315161718" displayName="Таблица1315161718" ref="M34:Q36" totalsRowShown="0" headerRowDxfId="91" dataDxfId="90">
  <autoFilter ref="M34:Q36"/>
  <tableColumns count="5">
    <tableColumn id="1" name="Депозиты " dataDxfId="89"/>
    <tableColumn id="2" name="Этот месяц" dataDxfId="88"/>
    <tableColumn id="3" name="Прошлый месяц" dataDxfId="87">
      <calculatedColumnFormula>E35</calculatedColumnFormula>
    </tableColumn>
    <tableColumn id="4" name="Изменение" dataDxfId="86">
      <calculatedColumnFormula>Таблица1315161718[[#This Row],[Этот месяц]]-Таблица1315161718[[#This Row],[Прошлый месяц]]</calculatedColumnFormula>
    </tableColumn>
    <tableColumn id="5" name="Столбец1" dataDxfId="8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8" name="Таблица131516171819" displayName="Таблица131516171819" ref="W34:AA36" totalsRowShown="0" headerRowDxfId="84" dataDxfId="83">
  <autoFilter ref="W34:AA36"/>
  <tableColumns count="5">
    <tableColumn id="1" name="Депозиты " dataDxfId="82"/>
    <tableColumn id="2" name="Этот месяц" dataDxfId="81"/>
    <tableColumn id="3" name="Прошлый месяц" dataDxfId="80">
      <calculatedColumnFormula>N35</calculatedColumnFormula>
    </tableColumn>
    <tableColumn id="4" name="Изменение" dataDxfId="79">
      <calculatedColumnFormula>Таблица131516171819[[#This Row],[Этот месяц]]-Таблица131516171819[[#This Row],[Прошлый месяц]]</calculatedColumnFormula>
    </tableColumn>
    <tableColumn id="5" name="Столбец1" dataDxfId="7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21" name="Таблица21" displayName="Таблица21" ref="D14:E17" totalsRowShown="0" headerRowDxfId="77" headerRowBorderDxfId="76" tableBorderDxfId="75" totalsRowBorderDxfId="74">
  <autoFilter ref="D14:E17"/>
  <tableColumns count="2">
    <tableColumn id="1" name="курс валют" dataDxfId="73"/>
    <tableColumn id="2" name="Значение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22" name="Таблица22" displayName="Таблица22" ref="G14:I19" totalsRowShown="0" headerRowDxfId="72" headerRowBorderDxfId="71" tableBorderDxfId="70" totalsRowBorderDxfId="69">
  <autoFilter ref="G14:I19"/>
  <tableColumns count="3">
    <tableColumn id="1" name="валюта" dataDxfId="68"/>
    <tableColumn id="2" name="кол-во"/>
    <tableColumn id="3" name="по курсу" dataDxfId="67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5" name="Таблица1315166" displayName="Таблица1315166" ref="AG7:AK9" totalsRowShown="0" headerRowDxfId="66" dataDxfId="65">
  <autoFilter ref="AG7:AK9"/>
  <tableColumns count="5">
    <tableColumn id="1" name="Депозиты " dataDxfId="64"/>
    <tableColumn id="2" name="Этот месяц" dataDxfId="63"/>
    <tableColumn id="3" name="Прошлый месяц" dataDxfId="62">
      <calculatedColumnFormula>X8</calculatedColumnFormula>
    </tableColumn>
    <tableColumn id="4" name="Изменение" dataDxfId="61">
      <calculatedColumnFormula>Таблица1315166[[#This Row],[Этот месяц]]-Таблица1315166[[#This Row],[Прошлый месяц]]</calculatedColumnFormula>
    </tableColumn>
    <tableColumn id="5" name="Столбец1" dataDxfId="60">
      <calculatedColumnFormula>IF(AJ$9&gt;0, "плюсуем=)", "в минусе=(")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drawing" Target="../drawings/drawing2.xml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M53"/>
  <sheetViews>
    <sheetView topLeftCell="AA4" zoomScale="70" zoomScaleNormal="70" workbookViewId="0">
      <selection activeCell="AK20" sqref="AK20"/>
    </sheetView>
  </sheetViews>
  <sheetFormatPr defaultRowHeight="12.75" x14ac:dyDescent="0.2"/>
  <cols>
    <col min="4" max="4" width="21.28515625" customWidth="1"/>
    <col min="5" max="5" width="17.5703125" customWidth="1"/>
    <col min="6" max="6" width="23" customWidth="1"/>
    <col min="7" max="7" width="17" customWidth="1"/>
    <col min="8" max="8" width="15.42578125" customWidth="1"/>
    <col min="9" max="9" width="18.140625" customWidth="1"/>
    <col min="10" max="10" width="17.7109375" customWidth="1"/>
    <col min="11" max="11" width="9.140625" customWidth="1"/>
    <col min="13" max="13" width="22.85546875" customWidth="1"/>
    <col min="14" max="14" width="16.42578125" customWidth="1"/>
    <col min="15" max="15" width="23.28515625" customWidth="1"/>
    <col min="16" max="16" width="17.42578125" customWidth="1"/>
    <col min="17" max="17" width="15.85546875" customWidth="1"/>
    <col min="18" max="18" width="18.28515625" customWidth="1"/>
    <col min="19" max="19" width="15.5703125" customWidth="1"/>
    <col min="23" max="23" width="18.5703125" customWidth="1"/>
    <col min="24" max="24" width="15.28515625" customWidth="1"/>
    <col min="25" max="25" width="24.42578125" customWidth="1"/>
    <col min="26" max="26" width="16.85546875" customWidth="1"/>
    <col min="27" max="27" width="15.5703125" customWidth="1"/>
    <col min="28" max="28" width="18.5703125" customWidth="1"/>
    <col min="29" max="29" width="15.42578125" customWidth="1"/>
    <col min="33" max="33" width="18.140625" customWidth="1"/>
    <col min="34" max="34" width="16.85546875" customWidth="1"/>
    <col min="35" max="35" width="16.5703125" customWidth="1"/>
    <col min="36" max="36" width="17.42578125" customWidth="1"/>
    <col min="37" max="37" width="17.5703125" customWidth="1"/>
    <col min="38" max="38" width="18.5703125" customWidth="1"/>
    <col min="39" max="39" width="19.5703125" customWidth="1"/>
  </cols>
  <sheetData>
    <row r="5" spans="1:39" ht="21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39" ht="22.5" x14ac:dyDescent="0.4">
      <c r="A6" s="1"/>
      <c r="B6" s="1"/>
      <c r="C6" s="1"/>
      <c r="D6" s="5"/>
      <c r="E6" s="18" t="s">
        <v>11</v>
      </c>
      <c r="F6" s="6"/>
      <c r="G6" s="6"/>
      <c r="H6" s="6"/>
      <c r="I6" s="7"/>
      <c r="M6" s="32"/>
      <c r="N6" s="33"/>
      <c r="O6" s="34" t="s">
        <v>12</v>
      </c>
      <c r="P6" s="33"/>
      <c r="Q6" s="6"/>
      <c r="R6" s="6"/>
      <c r="S6" s="7"/>
      <c r="W6" s="5"/>
      <c r="X6" s="41" t="s">
        <v>13</v>
      </c>
      <c r="Y6" s="6"/>
      <c r="Z6" s="6"/>
      <c r="AA6" s="33"/>
      <c r="AB6" s="33"/>
      <c r="AC6" s="42"/>
      <c r="AG6" s="5"/>
      <c r="AH6" s="41" t="s">
        <v>13</v>
      </c>
      <c r="AI6" s="6"/>
      <c r="AJ6" s="6"/>
      <c r="AK6" s="33"/>
      <c r="AL6" s="33"/>
      <c r="AM6" s="42"/>
    </row>
    <row r="7" spans="1:39" ht="21" x14ac:dyDescent="0.4">
      <c r="A7" s="1"/>
      <c r="B7" s="1"/>
      <c r="C7" s="1"/>
      <c r="D7" s="19" t="s">
        <v>4</v>
      </c>
      <c r="E7" s="20" t="s">
        <v>7</v>
      </c>
      <c r="F7" s="20" t="s">
        <v>8</v>
      </c>
      <c r="G7" s="20" t="s">
        <v>10</v>
      </c>
      <c r="H7" s="20" t="s">
        <v>68</v>
      </c>
      <c r="I7" s="9"/>
      <c r="M7" s="35" t="s">
        <v>4</v>
      </c>
      <c r="N7" s="36" t="s">
        <v>7</v>
      </c>
      <c r="O7" s="37" t="s">
        <v>8</v>
      </c>
      <c r="P7" s="36" t="s">
        <v>10</v>
      </c>
      <c r="Q7" s="36" t="s">
        <v>68</v>
      </c>
      <c r="R7" s="21"/>
      <c r="S7" s="9"/>
      <c r="W7" s="19" t="s">
        <v>4</v>
      </c>
      <c r="X7" s="20" t="s">
        <v>7</v>
      </c>
      <c r="Y7" s="20" t="s">
        <v>8</v>
      </c>
      <c r="Z7" s="20" t="s">
        <v>10</v>
      </c>
      <c r="AA7" s="20" t="s">
        <v>68</v>
      </c>
      <c r="AB7" s="26"/>
      <c r="AC7" s="27"/>
      <c r="AG7" s="19" t="s">
        <v>4</v>
      </c>
      <c r="AH7" s="20" t="s">
        <v>7</v>
      </c>
      <c r="AI7" s="20" t="s">
        <v>8</v>
      </c>
      <c r="AJ7" s="20" t="s">
        <v>10</v>
      </c>
      <c r="AK7" s="20" t="s">
        <v>68</v>
      </c>
      <c r="AL7" s="26"/>
      <c r="AM7" s="27"/>
    </row>
    <row r="8" spans="1:39" ht="21" x14ac:dyDescent="0.4">
      <c r="A8" s="1"/>
      <c r="B8" s="1"/>
      <c r="C8" s="1"/>
      <c r="D8" s="22" t="s">
        <v>6</v>
      </c>
      <c r="E8" s="23">
        <v>1115.72</v>
      </c>
      <c r="F8" s="23">
        <v>1061.03</v>
      </c>
      <c r="G8" s="23">
        <f>Таблица13[[#This Row],[Этот месяц]]-Таблица13[[#This Row],[Прошлый месяц]]</f>
        <v>54.690000000000055</v>
      </c>
      <c r="H8" s="23" t="str">
        <f>IF(G8&gt;0, "плюсуем=)", "в минусе=(")</f>
        <v>плюсуем=)</v>
      </c>
      <c r="I8" s="9"/>
      <c r="M8" s="38" t="s">
        <v>6</v>
      </c>
      <c r="N8" s="39">
        <v>1146.0999999999999</v>
      </c>
      <c r="O8" s="39">
        <f>E8</f>
        <v>1115.72</v>
      </c>
      <c r="P8" s="39">
        <f>Таблица1315[[#This Row],[Этот месяц]]-Таблица1315[[#This Row],[Прошлый месяц]]</f>
        <v>30.379999999999882</v>
      </c>
      <c r="Q8" s="39" t="str">
        <f>IF(P$8&gt;0, "плюсуем=)", "в минусе=(")</f>
        <v>плюсуем=)</v>
      </c>
      <c r="R8" s="21"/>
      <c r="S8" s="9"/>
      <c r="W8" s="22" t="s">
        <v>6</v>
      </c>
      <c r="X8" s="21">
        <v>0</v>
      </c>
      <c r="Y8" s="21">
        <f>N8</f>
        <v>1146.0999999999999</v>
      </c>
      <c r="Z8" s="21">
        <f>Таблица131516[[#This Row],[Этот месяц]]-Таблица131516[[#This Row],[Прошлый месяц]]</f>
        <v>-1146.0999999999999</v>
      </c>
      <c r="AA8" s="23" t="str">
        <f>IF(Z$8&gt;0, "плюсуем=)", "в минусе=(")</f>
        <v>в минусе=(</v>
      </c>
      <c r="AB8" s="26"/>
      <c r="AC8" s="27"/>
      <c r="AG8" s="22" t="s">
        <v>6</v>
      </c>
      <c r="AH8" s="21">
        <v>0</v>
      </c>
      <c r="AI8" s="21">
        <f>X8</f>
        <v>0</v>
      </c>
      <c r="AJ8" s="21">
        <f>Таблица1315166[[#This Row],[Этот месяц]]-Таблица1315166[[#This Row],[Прошлый месяц]]</f>
        <v>0</v>
      </c>
      <c r="AK8" s="23" t="str">
        <f>IF(AJ$8&gt;0, "плюсуем=)", "в минусе=(")</f>
        <v>в минусе=(</v>
      </c>
      <c r="AL8" s="26"/>
      <c r="AM8" s="27"/>
    </row>
    <row r="9" spans="1:39" ht="21" customHeight="1" x14ac:dyDescent="0.4">
      <c r="A9" s="1"/>
      <c r="B9" s="1"/>
      <c r="C9" s="1"/>
      <c r="D9" s="22" t="s">
        <v>5</v>
      </c>
      <c r="E9" s="23">
        <v>1664.23</v>
      </c>
      <c r="F9" s="23">
        <v>1638.5</v>
      </c>
      <c r="G9" s="23">
        <f>Таблица13[[#This Row],[Этот месяц]]-Таблица13[[#This Row],[Прошлый месяц]]</f>
        <v>25.730000000000018</v>
      </c>
      <c r="H9" s="23" t="str">
        <f>IF(G9&gt;0, "плюсуем=)", "в минусе=(")</f>
        <v>плюсуем=)</v>
      </c>
      <c r="I9" s="9"/>
      <c r="M9" s="38" t="s">
        <v>5</v>
      </c>
      <c r="N9" s="39">
        <v>1681.61</v>
      </c>
      <c r="O9" s="39">
        <f>E9</f>
        <v>1664.23</v>
      </c>
      <c r="P9" s="39">
        <f>Таблица1315[[#This Row],[Этот месяц]]-Таблица1315[[#This Row],[Прошлый месяц]]</f>
        <v>17.379999999999882</v>
      </c>
      <c r="Q9" s="39" t="str">
        <f>IF(P$9&gt;0, "плюсуем=)", "в минусе=(")</f>
        <v>плюсуем=)</v>
      </c>
      <c r="R9" s="21"/>
      <c r="S9" s="9"/>
      <c r="W9" s="22" t="s">
        <v>5</v>
      </c>
      <c r="X9" s="21">
        <v>1699.17</v>
      </c>
      <c r="Y9" s="21">
        <f>N9</f>
        <v>1681.61</v>
      </c>
      <c r="Z9" s="21">
        <f>Таблица131516[[#This Row],[Этот месяц]]-Таблица131516[[#This Row],[Прошлый месяц]]</f>
        <v>17.560000000000173</v>
      </c>
      <c r="AA9" s="23" t="str">
        <f>IF(Z$9&gt;0, "плюсуем=)", "в минусе=(")</f>
        <v>плюсуем=)</v>
      </c>
      <c r="AB9" s="26"/>
      <c r="AC9" s="27"/>
      <c r="AG9" s="22" t="s">
        <v>5</v>
      </c>
      <c r="AH9" s="21">
        <v>0</v>
      </c>
      <c r="AI9" s="21">
        <f>X9</f>
        <v>1699.17</v>
      </c>
      <c r="AJ9" s="21">
        <f>Таблица1315166[[#This Row],[Этот месяц]]-Таблица1315166[[#This Row],[Прошлый месяц]]</f>
        <v>-1699.17</v>
      </c>
      <c r="AK9" s="23" t="str">
        <f>IF(AJ$9&gt;0, "плюсуем=)", "в минусе=(")</f>
        <v>в минусе=(</v>
      </c>
      <c r="AL9" s="26"/>
      <c r="AM9" s="27"/>
    </row>
    <row r="10" spans="1:39" ht="21" x14ac:dyDescent="0.4">
      <c r="A10" s="2"/>
      <c r="B10" s="2"/>
      <c r="C10" s="2"/>
      <c r="D10" s="8"/>
      <c r="E10" s="3"/>
      <c r="F10" s="3"/>
      <c r="G10" s="3"/>
      <c r="H10" s="3"/>
      <c r="I10" s="24"/>
      <c r="M10" s="25"/>
      <c r="N10" s="26"/>
      <c r="O10" s="26"/>
      <c r="P10" s="26"/>
      <c r="Q10" s="21"/>
      <c r="R10" s="21"/>
      <c r="S10" s="9"/>
      <c r="W10" s="25"/>
      <c r="X10" s="26"/>
      <c r="Y10" s="26"/>
      <c r="Z10" s="26"/>
      <c r="AA10" s="26"/>
      <c r="AB10" s="26"/>
      <c r="AC10" s="27"/>
      <c r="AG10" s="25"/>
      <c r="AH10" s="26"/>
      <c r="AI10" s="26"/>
      <c r="AJ10" s="26"/>
      <c r="AK10" s="26"/>
      <c r="AL10" s="26"/>
      <c r="AM10" s="27"/>
    </row>
    <row r="11" spans="1:39" ht="21" x14ac:dyDescent="0.4">
      <c r="A11" s="2"/>
      <c r="B11" s="2"/>
      <c r="C11" s="2"/>
      <c r="D11" s="8"/>
      <c r="E11" s="3"/>
      <c r="F11" s="3"/>
      <c r="G11" s="3"/>
      <c r="H11" s="3"/>
      <c r="I11" s="24"/>
      <c r="M11" s="25"/>
      <c r="N11" s="26"/>
      <c r="O11" s="26"/>
      <c r="P11" s="26"/>
      <c r="Q11" s="21"/>
      <c r="R11" s="21"/>
      <c r="S11" s="9"/>
      <c r="W11" s="25"/>
      <c r="X11" s="26"/>
      <c r="Y11" s="26"/>
      <c r="Z11" s="26"/>
      <c r="AA11" s="97" t="s">
        <v>92</v>
      </c>
      <c r="AB11" s="98">
        <v>350</v>
      </c>
      <c r="AC11" s="27"/>
      <c r="AG11" s="25"/>
      <c r="AH11" s="26"/>
      <c r="AI11" s="26"/>
      <c r="AJ11" s="26"/>
      <c r="AK11" s="97" t="s">
        <v>92</v>
      </c>
      <c r="AL11" s="98">
        <v>350</v>
      </c>
      <c r="AM11" s="27"/>
    </row>
    <row r="12" spans="1:39" ht="21" x14ac:dyDescent="0.4">
      <c r="A12" s="1"/>
      <c r="B12" s="1"/>
      <c r="C12" s="1"/>
      <c r="D12" s="19"/>
      <c r="E12" s="21"/>
      <c r="F12" s="21"/>
      <c r="G12" s="21"/>
      <c r="H12" s="21"/>
      <c r="I12" s="9"/>
      <c r="M12" s="19"/>
      <c r="N12" s="21"/>
      <c r="O12" s="21"/>
      <c r="P12" s="21"/>
      <c r="Q12" s="21"/>
      <c r="R12" s="21"/>
      <c r="S12" s="9"/>
      <c r="W12" s="19"/>
      <c r="X12" s="21"/>
      <c r="Y12" s="21"/>
      <c r="Z12" s="21"/>
      <c r="AA12" s="21"/>
      <c r="AB12" s="21"/>
      <c r="AC12" s="9"/>
      <c r="AG12" s="19"/>
      <c r="AH12" s="21"/>
      <c r="AI12" s="21"/>
      <c r="AJ12" s="21"/>
      <c r="AK12" s="21"/>
      <c r="AL12" s="21"/>
      <c r="AM12" s="9"/>
    </row>
    <row r="13" spans="1:39" ht="21" x14ac:dyDescent="0.4">
      <c r="A13" s="1"/>
      <c r="B13" s="1"/>
      <c r="C13" s="1"/>
      <c r="D13" s="19"/>
      <c r="E13" s="21"/>
      <c r="F13" s="21"/>
      <c r="G13" s="21"/>
      <c r="H13" s="21"/>
      <c r="I13" s="9"/>
      <c r="M13" s="19"/>
      <c r="N13" s="21"/>
      <c r="O13" s="21"/>
      <c r="P13" s="21"/>
      <c r="Q13" s="21"/>
      <c r="R13" s="21"/>
      <c r="S13" s="9"/>
      <c r="W13" s="19"/>
      <c r="X13" s="21"/>
      <c r="Y13" s="21"/>
      <c r="Z13" s="21"/>
      <c r="AA13" s="21"/>
      <c r="AB13" s="21"/>
      <c r="AC13" s="9"/>
      <c r="AG13" s="19"/>
      <c r="AH13" s="21"/>
      <c r="AI13" s="21"/>
      <c r="AJ13" s="21"/>
      <c r="AK13" s="21"/>
      <c r="AL13" s="21"/>
      <c r="AM13" s="9"/>
    </row>
    <row r="14" spans="1:39" ht="21" x14ac:dyDescent="0.4">
      <c r="A14" s="1"/>
      <c r="B14" s="1"/>
      <c r="C14" s="1"/>
      <c r="D14" s="48" t="s">
        <v>20</v>
      </c>
      <c r="E14" s="48" t="s">
        <v>35</v>
      </c>
      <c r="F14" s="21"/>
      <c r="G14" s="53" t="s">
        <v>21</v>
      </c>
      <c r="H14" s="54" t="s">
        <v>22</v>
      </c>
      <c r="I14" s="28" t="s">
        <v>23</v>
      </c>
      <c r="J14" s="1"/>
      <c r="K14" s="1"/>
      <c r="L14" s="1"/>
      <c r="M14" s="101" t="s">
        <v>20</v>
      </c>
      <c r="N14" s="102"/>
      <c r="O14" s="21"/>
      <c r="P14" s="10" t="s">
        <v>21</v>
      </c>
      <c r="Q14" s="10" t="s">
        <v>22</v>
      </c>
      <c r="R14" s="10" t="s">
        <v>23</v>
      </c>
      <c r="S14" s="10" t="s">
        <v>9</v>
      </c>
      <c r="W14" s="101" t="s">
        <v>20</v>
      </c>
      <c r="X14" s="102"/>
      <c r="Y14" s="21"/>
      <c r="Z14" s="10" t="s">
        <v>21</v>
      </c>
      <c r="AA14" s="10" t="s">
        <v>22</v>
      </c>
      <c r="AB14" s="10" t="s">
        <v>23</v>
      </c>
      <c r="AC14" s="10" t="s">
        <v>9</v>
      </c>
      <c r="AG14" s="101" t="s">
        <v>20</v>
      </c>
      <c r="AH14" s="102"/>
      <c r="AI14" s="21"/>
      <c r="AJ14" s="10" t="s">
        <v>21</v>
      </c>
      <c r="AK14" s="10" t="s">
        <v>22</v>
      </c>
      <c r="AL14" s="10" t="s">
        <v>23</v>
      </c>
      <c r="AM14" s="10" t="s">
        <v>9</v>
      </c>
    </row>
    <row r="15" spans="1:39" ht="21" x14ac:dyDescent="0.4">
      <c r="A15" s="1"/>
      <c r="B15" s="1"/>
      <c r="C15" s="1"/>
      <c r="D15" s="45" t="s">
        <v>19</v>
      </c>
      <c r="E15" s="46">
        <v>2.74</v>
      </c>
      <c r="F15" s="3"/>
      <c r="G15" s="45" t="s">
        <v>19</v>
      </c>
      <c r="H15" s="12">
        <v>315</v>
      </c>
      <c r="I15" s="52">
        <f>H15*E15</f>
        <v>863.1</v>
      </c>
      <c r="J15" s="1"/>
      <c r="K15" s="1"/>
      <c r="L15" s="1"/>
      <c r="M15" s="4" t="s">
        <v>19</v>
      </c>
      <c r="N15" s="12">
        <v>2.98</v>
      </c>
      <c r="O15" s="3"/>
      <c r="P15" s="4" t="s">
        <v>19</v>
      </c>
      <c r="Q15" s="12">
        <v>315</v>
      </c>
      <c r="R15" s="10">
        <f>Q15*N15</f>
        <v>938.7</v>
      </c>
      <c r="S15" s="15">
        <f>Q15-H15</f>
        <v>0</v>
      </c>
      <c r="W15" s="4" t="s">
        <v>19</v>
      </c>
      <c r="X15" s="12">
        <v>3.0539999999999998</v>
      </c>
      <c r="Y15" s="3"/>
      <c r="Z15" s="4" t="s">
        <v>19</v>
      </c>
      <c r="AA15" s="12">
        <v>415</v>
      </c>
      <c r="AB15" s="10">
        <f>AA15*X15</f>
        <v>1267.4099999999999</v>
      </c>
      <c r="AC15" s="96">
        <f>AB15-R15</f>
        <v>328.70999999999981</v>
      </c>
      <c r="AG15" s="4" t="s">
        <v>19</v>
      </c>
      <c r="AH15" s="12">
        <v>0</v>
      </c>
      <c r="AI15" s="3"/>
      <c r="AJ15" s="4" t="s">
        <v>19</v>
      </c>
      <c r="AK15" s="12">
        <v>0</v>
      </c>
      <c r="AL15" s="10">
        <f>AK15*AH15</f>
        <v>0</v>
      </c>
      <c r="AM15" s="96">
        <f>AL15-AB15</f>
        <v>-1267.4099999999999</v>
      </c>
    </row>
    <row r="16" spans="1:39" ht="21" x14ac:dyDescent="0.4">
      <c r="A16" s="1"/>
      <c r="B16" s="1"/>
      <c r="C16" s="1"/>
      <c r="D16" s="45" t="s">
        <v>17</v>
      </c>
      <c r="E16" s="47">
        <v>2.39</v>
      </c>
      <c r="F16" s="3"/>
      <c r="G16" s="45" t="s">
        <v>17</v>
      </c>
      <c r="H16" s="13">
        <v>1060</v>
      </c>
      <c r="I16" s="52">
        <f>H16*E16</f>
        <v>2533.4</v>
      </c>
      <c r="L16" s="1"/>
      <c r="M16" s="4" t="s">
        <v>17</v>
      </c>
      <c r="N16" s="13">
        <v>2.54</v>
      </c>
      <c r="O16" s="3"/>
      <c r="P16" s="4" t="s">
        <v>17</v>
      </c>
      <c r="Q16" s="13">
        <v>1060</v>
      </c>
      <c r="R16" s="10">
        <f>Q16*N16</f>
        <v>2692.4</v>
      </c>
      <c r="S16" s="16">
        <f>Q16-H16</f>
        <v>0</v>
      </c>
      <c r="W16" s="4" t="s">
        <v>17</v>
      </c>
      <c r="X16" s="13">
        <v>2.601</v>
      </c>
      <c r="Y16" s="3"/>
      <c r="Z16" s="4" t="s">
        <v>17</v>
      </c>
      <c r="AA16" s="13">
        <v>1505</v>
      </c>
      <c r="AB16" s="10">
        <f>AA16*X16</f>
        <v>3914.5050000000001</v>
      </c>
      <c r="AC16" s="96">
        <f t="shared" ref="AC16:AC18" si="0">AB16-R16</f>
        <v>1222.105</v>
      </c>
      <c r="AG16" s="4" t="s">
        <v>17</v>
      </c>
      <c r="AH16" s="13">
        <v>0</v>
      </c>
      <c r="AI16" s="3"/>
      <c r="AJ16" s="4" t="s">
        <v>17</v>
      </c>
      <c r="AK16" s="13">
        <v>0</v>
      </c>
      <c r="AL16" s="10">
        <f>AK16*AH16</f>
        <v>0</v>
      </c>
      <c r="AM16" s="96">
        <f t="shared" ref="AM16:AM18" si="1">AL16-AB16</f>
        <v>-3914.5050000000001</v>
      </c>
    </row>
    <row r="17" spans="1:39" ht="21" x14ac:dyDescent="0.4">
      <c r="A17" s="1"/>
      <c r="B17" s="1"/>
      <c r="C17" s="1"/>
      <c r="D17" s="49" t="s">
        <v>18</v>
      </c>
      <c r="E17" s="50">
        <v>3.33</v>
      </c>
      <c r="F17" s="3"/>
      <c r="G17" s="45" t="s">
        <v>18</v>
      </c>
      <c r="H17" s="14">
        <v>2500</v>
      </c>
      <c r="I17" s="52">
        <f>H17/100*E17</f>
        <v>83.25</v>
      </c>
      <c r="L17" s="1"/>
      <c r="M17" s="4" t="s">
        <v>18</v>
      </c>
      <c r="N17" s="14">
        <v>3.42</v>
      </c>
      <c r="O17" s="3"/>
      <c r="P17" s="4" t="s">
        <v>18</v>
      </c>
      <c r="Q17" s="14">
        <v>2500</v>
      </c>
      <c r="R17" s="10">
        <f>Q17/100*N17</f>
        <v>85.5</v>
      </c>
      <c r="S17" s="17">
        <f>Q17-H17</f>
        <v>0</v>
      </c>
      <c r="W17" s="4" t="s">
        <v>18</v>
      </c>
      <c r="X17" s="14">
        <v>3.3650000000000002</v>
      </c>
      <c r="Y17" s="3"/>
      <c r="Z17" s="4" t="s">
        <v>18</v>
      </c>
      <c r="AA17" s="14">
        <v>2500</v>
      </c>
      <c r="AB17" s="10">
        <f>AA17/100*X17</f>
        <v>84.125</v>
      </c>
      <c r="AC17" s="96">
        <f t="shared" si="0"/>
        <v>-1.375</v>
      </c>
      <c r="AG17" s="4" t="s">
        <v>18</v>
      </c>
      <c r="AH17" s="14">
        <v>0</v>
      </c>
      <c r="AI17" s="3"/>
      <c r="AJ17" s="4" t="s">
        <v>18</v>
      </c>
      <c r="AK17" s="14">
        <v>0</v>
      </c>
      <c r="AL17" s="10">
        <f>AK17/100*AH17</f>
        <v>0</v>
      </c>
      <c r="AM17" s="96">
        <f t="shared" si="1"/>
        <v>-84.125</v>
      </c>
    </row>
    <row r="18" spans="1:39" ht="21" x14ac:dyDescent="0.4">
      <c r="A18" s="1"/>
      <c r="B18" s="1"/>
      <c r="C18" s="1"/>
      <c r="D18" s="19"/>
      <c r="E18" s="21"/>
      <c r="F18" s="21"/>
      <c r="G18" s="51" t="s">
        <v>24</v>
      </c>
      <c r="H18" s="10">
        <v>250</v>
      </c>
      <c r="I18" s="52">
        <f>H18</f>
        <v>250</v>
      </c>
      <c r="L18" s="1"/>
      <c r="M18" s="19"/>
      <c r="N18" s="21"/>
      <c r="O18" s="21"/>
      <c r="P18" s="11" t="s">
        <v>24</v>
      </c>
      <c r="Q18" s="10">
        <v>350</v>
      </c>
      <c r="R18" s="10">
        <f>Q18</f>
        <v>350</v>
      </c>
      <c r="S18" s="10">
        <f>Q18-H18</f>
        <v>100</v>
      </c>
      <c r="W18" s="19"/>
      <c r="X18" s="21"/>
      <c r="Y18" s="21"/>
      <c r="Z18" s="11" t="s">
        <v>24</v>
      </c>
      <c r="AA18" s="10">
        <v>50</v>
      </c>
      <c r="AB18" s="10">
        <f>AA18</f>
        <v>50</v>
      </c>
      <c r="AC18" s="96">
        <f t="shared" si="0"/>
        <v>-300</v>
      </c>
      <c r="AG18" s="19"/>
      <c r="AH18" s="21"/>
      <c r="AI18" s="21"/>
      <c r="AJ18" s="11" t="s">
        <v>24</v>
      </c>
      <c r="AK18" s="10">
        <v>0</v>
      </c>
      <c r="AL18" s="10">
        <f>AK18</f>
        <v>0</v>
      </c>
      <c r="AM18" s="96">
        <f t="shared" si="1"/>
        <v>-50</v>
      </c>
    </row>
    <row r="19" spans="1:39" ht="21" x14ac:dyDescent="0.4">
      <c r="A19" s="1"/>
      <c r="B19" s="1"/>
      <c r="C19" s="1"/>
      <c r="D19" s="19"/>
      <c r="E19" s="21"/>
      <c r="F19" s="21"/>
      <c r="G19" s="7" t="s">
        <v>3</v>
      </c>
      <c r="H19" s="55"/>
      <c r="I19" s="5">
        <f>SUM(I15:I18)</f>
        <v>3729.75</v>
      </c>
      <c r="L19" s="1"/>
      <c r="M19" s="19"/>
      <c r="N19" s="21"/>
      <c r="O19" s="21"/>
      <c r="P19" s="10" t="s">
        <v>3</v>
      </c>
      <c r="Q19" s="10"/>
      <c r="R19" s="10">
        <f>SUM(R15:R18)</f>
        <v>4066.6000000000004</v>
      </c>
      <c r="S19" s="10">
        <f>R19-I19</f>
        <v>336.85000000000036</v>
      </c>
      <c r="W19" s="19"/>
      <c r="X19" s="21"/>
      <c r="Y19" s="21"/>
      <c r="Z19" s="10" t="s">
        <v>3</v>
      </c>
      <c r="AA19" s="10"/>
      <c r="AB19" s="10">
        <f>SUM(AB15:AB18)</f>
        <v>5316.04</v>
      </c>
      <c r="AC19" s="10">
        <f>AB19-S19</f>
        <v>4979.1899999999996</v>
      </c>
      <c r="AG19" s="19"/>
      <c r="AH19" s="21"/>
      <c r="AI19" s="21"/>
      <c r="AJ19" s="10" t="s">
        <v>3</v>
      </c>
      <c r="AK19" s="10"/>
      <c r="AL19" s="10">
        <f>SUM(AL15:AL18)</f>
        <v>0</v>
      </c>
      <c r="AM19" s="10">
        <f>AL19-AC19</f>
        <v>-4979.1899999999996</v>
      </c>
    </row>
    <row r="20" spans="1:39" ht="21" x14ac:dyDescent="0.4">
      <c r="A20" s="1"/>
      <c r="B20" s="1"/>
      <c r="C20" s="1"/>
      <c r="D20" s="25"/>
      <c r="E20" s="26"/>
      <c r="F20" s="26"/>
      <c r="G20" s="26"/>
      <c r="H20" s="26"/>
      <c r="I20" s="27"/>
      <c r="L20" s="1"/>
      <c r="M20" s="19"/>
      <c r="N20" s="21"/>
      <c r="O20" s="21"/>
      <c r="P20" s="21"/>
      <c r="Q20" s="21"/>
      <c r="R20" s="21"/>
      <c r="S20" s="9"/>
      <c r="W20" s="19"/>
      <c r="X20" s="21"/>
      <c r="Y20" s="21"/>
      <c r="Z20" s="21"/>
      <c r="AA20" s="21"/>
      <c r="AB20" s="21"/>
      <c r="AC20" s="9"/>
      <c r="AG20" s="19"/>
      <c r="AH20" s="21"/>
      <c r="AI20" s="21"/>
      <c r="AJ20" s="21"/>
      <c r="AK20" s="21"/>
      <c r="AL20" s="21"/>
      <c r="AM20" s="9"/>
    </row>
    <row r="21" spans="1:39" ht="21" x14ac:dyDescent="0.4">
      <c r="D21" s="19"/>
      <c r="E21" s="21"/>
      <c r="F21" s="21"/>
      <c r="G21" s="26"/>
      <c r="H21" s="26"/>
      <c r="I21" s="27"/>
      <c r="M21" s="19"/>
      <c r="N21" s="21"/>
      <c r="O21" s="21"/>
      <c r="P21" s="26"/>
      <c r="Q21" s="26"/>
      <c r="R21" s="26"/>
      <c r="S21" s="27"/>
      <c r="W21" s="19"/>
      <c r="X21" s="21"/>
      <c r="Y21" s="21"/>
      <c r="Z21" s="26"/>
      <c r="AA21" s="26"/>
      <c r="AB21" s="26"/>
      <c r="AC21" s="27"/>
      <c r="AG21" s="19"/>
      <c r="AH21" s="21"/>
      <c r="AI21" s="21"/>
      <c r="AJ21" s="26"/>
      <c r="AK21" s="26"/>
      <c r="AL21" s="26"/>
      <c r="AM21" s="27"/>
    </row>
    <row r="22" spans="1:39" ht="21" x14ac:dyDescent="0.4">
      <c r="D22" s="19"/>
      <c r="E22" s="21"/>
      <c r="F22" s="21"/>
      <c r="G22" s="26"/>
      <c r="H22" s="26"/>
      <c r="I22" s="27"/>
      <c r="M22" s="19"/>
      <c r="N22" s="21"/>
      <c r="O22" s="21"/>
      <c r="P22" s="26"/>
      <c r="Q22" s="26"/>
      <c r="R22" s="26"/>
      <c r="S22" s="27"/>
      <c r="W22" s="19"/>
      <c r="X22" s="21"/>
      <c r="Y22" s="21"/>
      <c r="Z22" s="26"/>
      <c r="AA22" s="26"/>
      <c r="AB22" s="26"/>
      <c r="AC22" s="27"/>
      <c r="AG22" s="19"/>
      <c r="AH22" s="21"/>
      <c r="AI22" s="21"/>
      <c r="AJ22" s="26"/>
      <c r="AK22" s="26"/>
      <c r="AL22" s="26"/>
      <c r="AM22" s="27"/>
    </row>
    <row r="23" spans="1:39" ht="21" x14ac:dyDescent="0.4">
      <c r="D23" s="19" t="s">
        <v>25</v>
      </c>
      <c r="E23" s="21">
        <f>I15/(I$19+$E$8+$E$9)*100</f>
        <v>13.258675515000689</v>
      </c>
      <c r="F23" s="21" t="str">
        <f>IF(E23&gt;25,"умен.долю","увел.долю")</f>
        <v>увел.долю</v>
      </c>
      <c r="G23" s="21"/>
      <c r="H23" s="26"/>
      <c r="I23" s="27"/>
      <c r="M23" s="19" t="s">
        <v>25</v>
      </c>
      <c r="N23" s="88">
        <f>R15/(R$19+N$8+N$9)*100</f>
        <v>13.615575742895228</v>
      </c>
      <c r="O23" s="21" t="str">
        <f>IF(N23&gt;25,"умен.долю","увел.долю")</f>
        <v>увел.долю</v>
      </c>
      <c r="P23" s="21"/>
      <c r="Q23" s="26"/>
      <c r="R23" s="26"/>
      <c r="S23" s="9" t="s">
        <v>0</v>
      </c>
      <c r="W23" s="19" t="s">
        <v>25</v>
      </c>
      <c r="X23" s="88">
        <f>AB15/(AB$19+X$8+X$9)*100</f>
        <v>18.066600999827514</v>
      </c>
      <c r="Y23" s="21" t="str">
        <f>IF(X23&gt;25,"умен.долю","увел.долю")</f>
        <v>увел.долю</v>
      </c>
      <c r="Z23" s="21"/>
      <c r="AA23" s="26"/>
      <c r="AB23" s="26"/>
      <c r="AC23" s="9" t="s">
        <v>0</v>
      </c>
      <c r="AG23" s="19" t="s">
        <v>25</v>
      </c>
      <c r="AH23" s="88" t="e">
        <f>AL15/(AL$19+AH$8+AH$9)*100</f>
        <v>#DIV/0!</v>
      </c>
      <c r="AI23" s="21" t="e">
        <f>IF(AH23&gt;25,"умен.долю","увел.долю")</f>
        <v>#DIV/0!</v>
      </c>
      <c r="AJ23" s="21"/>
      <c r="AK23" s="26"/>
      <c r="AL23" s="26"/>
      <c r="AM23" s="9" t="s">
        <v>0</v>
      </c>
    </row>
    <row r="24" spans="1:39" ht="21" x14ac:dyDescent="0.4">
      <c r="D24" s="19" t="s">
        <v>26</v>
      </c>
      <c r="E24" s="21">
        <f t="shared" ref="E24:E25" si="2">I16/(I$19+$E$8+$E$9)*100</f>
        <v>38.917308017266535</v>
      </c>
      <c r="F24" s="21" t="str">
        <f t="shared" ref="F24:F26" si="3">IF(E24&gt;25,"умен.долю","увел.долю")</f>
        <v>умен.долю</v>
      </c>
      <c r="G24" s="21"/>
      <c r="H24" s="21" t="s">
        <v>3</v>
      </c>
      <c r="I24" s="78">
        <f>I19+E9+E8</f>
        <v>6509.7</v>
      </c>
      <c r="M24" s="19" t="s">
        <v>26</v>
      </c>
      <c r="N24" s="88">
        <f t="shared" ref="N24:N25" si="4">R16/(R$19+N$8+N$9)*100</f>
        <v>39.052494013178986</v>
      </c>
      <c r="O24" s="21" t="str">
        <f t="shared" ref="O24:O26" si="5">IF(N24&gt;25,"умен.долю","увел.долю")</f>
        <v>умен.долю</v>
      </c>
      <c r="P24" s="21"/>
      <c r="Q24" s="21" t="s">
        <v>3</v>
      </c>
      <c r="R24" s="78">
        <f>R19+N9+N8</f>
        <v>6894.3099999999995</v>
      </c>
      <c r="S24" s="77">
        <f>R24-I24</f>
        <v>384.60999999999967</v>
      </c>
      <c r="W24" s="19" t="s">
        <v>26</v>
      </c>
      <c r="X24" s="88">
        <f>AB16/(AB$19+X$8+X$9)*100</f>
        <v>55.800254019480533</v>
      </c>
      <c r="Y24" s="21" t="str">
        <f t="shared" ref="Y24:Y26" si="6">IF(X24&gt;25,"умен.долю","увел.долю")</f>
        <v>умен.долю</v>
      </c>
      <c r="Z24" s="21"/>
      <c r="AA24" s="21" t="s">
        <v>3</v>
      </c>
      <c r="AB24" s="78">
        <f>AB19+X9+X8</f>
        <v>7015.21</v>
      </c>
      <c r="AC24" s="77">
        <f>AB24-R24</f>
        <v>120.90000000000055</v>
      </c>
      <c r="AG24" s="19" t="s">
        <v>26</v>
      </c>
      <c r="AH24" s="88" t="e">
        <f>AL16/(AL$19+AH$8+AH$9)*100</f>
        <v>#DIV/0!</v>
      </c>
      <c r="AI24" s="21" t="e">
        <f t="shared" ref="AI24:AI26" si="7">IF(AH24&gt;25,"умен.долю","увел.долю")</f>
        <v>#DIV/0!</v>
      </c>
      <c r="AJ24" s="21"/>
      <c r="AK24" s="21" t="s">
        <v>3</v>
      </c>
      <c r="AL24" s="78">
        <f>AL19+AH9+AH8</f>
        <v>0</v>
      </c>
      <c r="AM24" s="77">
        <f>AL24-AB24</f>
        <v>-7015.21</v>
      </c>
    </row>
    <row r="25" spans="1:39" ht="21" x14ac:dyDescent="0.4">
      <c r="D25" s="19" t="s">
        <v>27</v>
      </c>
      <c r="E25" s="21">
        <f t="shared" si="2"/>
        <v>1.2788607769943314</v>
      </c>
      <c r="F25" s="21" t="str">
        <f t="shared" si="3"/>
        <v>увел.долю</v>
      </c>
      <c r="G25" s="21"/>
      <c r="H25" s="21"/>
      <c r="I25" s="27"/>
      <c r="M25" s="19" t="s">
        <v>27</v>
      </c>
      <c r="N25" s="88">
        <f t="shared" si="4"/>
        <v>1.2401531117689804</v>
      </c>
      <c r="O25" s="21" t="str">
        <f t="shared" si="5"/>
        <v>увел.долю</v>
      </c>
      <c r="P25" s="21"/>
      <c r="Q25" s="26"/>
      <c r="R25" s="26"/>
      <c r="S25" s="9" t="str">
        <f>IF(S24&gt;0, "в плюсе!", "В минусе=(")</f>
        <v>в плюсе!</v>
      </c>
      <c r="W25" s="19" t="s">
        <v>27</v>
      </c>
      <c r="X25" s="88">
        <f>AB17/(AB$19+X$8+X$9)*100</f>
        <v>1.1991800673108859</v>
      </c>
      <c r="Y25" s="21" t="str">
        <f t="shared" si="6"/>
        <v>увел.долю</v>
      </c>
      <c r="Z25" s="21"/>
      <c r="AA25" s="26"/>
      <c r="AB25" s="26"/>
      <c r="AC25" s="9" t="str">
        <f>IF(AC24&gt;0, "в плюсе!", "В минусе=(")</f>
        <v>в плюсе!</v>
      </c>
      <c r="AG25" s="19" t="s">
        <v>27</v>
      </c>
      <c r="AH25" s="88" t="e">
        <f>AL17/(AL$19+AH$8+AH$9)*100</f>
        <v>#DIV/0!</v>
      </c>
      <c r="AI25" s="21" t="e">
        <f t="shared" si="7"/>
        <v>#DIV/0!</v>
      </c>
      <c r="AJ25" s="21"/>
      <c r="AK25" s="26"/>
      <c r="AL25" s="26"/>
      <c r="AM25" s="9" t="str">
        <f>IF(AM24&gt;0, "в плюсе!", "В минусе=(")</f>
        <v>В минусе=(</v>
      </c>
    </row>
    <row r="26" spans="1:39" ht="22.5" x14ac:dyDescent="0.4">
      <c r="D26" s="28" t="s">
        <v>28</v>
      </c>
      <c r="E26" s="21">
        <f>(I18+E$8+E$9)/(I$19+E$8+E$9)*100</f>
        <v>46.545155690738426</v>
      </c>
      <c r="F26" s="21" t="str">
        <f t="shared" si="3"/>
        <v>умен.долю</v>
      </c>
      <c r="G26" s="29">
        <f>SUM(E23:E26)</f>
        <v>99.999999999999972</v>
      </c>
      <c r="H26" s="30"/>
      <c r="I26" s="31"/>
      <c r="M26" s="28" t="s">
        <v>28</v>
      </c>
      <c r="N26" s="88">
        <f>(R18+N$8+N$9)/(R$19+N$8+N$9)*100</f>
        <v>46.091777132156807</v>
      </c>
      <c r="O26" s="21" t="str">
        <f t="shared" si="5"/>
        <v>умен.долю</v>
      </c>
      <c r="P26" s="89">
        <f>SUM(N23:N26)</f>
        <v>100</v>
      </c>
      <c r="R26" s="80" t="s">
        <v>80</v>
      </c>
      <c r="S26" s="81">
        <f>(7000-R24)</f>
        <v>105.69000000000051</v>
      </c>
      <c r="W26" s="28" t="s">
        <v>28</v>
      </c>
      <c r="X26" s="88">
        <f>(AB18+X$8+X$9)/(AB$19+X$8+X$9)*100</f>
        <v>24.933964913381068</v>
      </c>
      <c r="Y26" s="21" t="str">
        <f t="shared" si="6"/>
        <v>увел.долю</v>
      </c>
      <c r="Z26" s="29">
        <f>SUM(X23:X26)</f>
        <v>100</v>
      </c>
      <c r="AA26" s="30"/>
      <c r="AB26" s="80" t="s">
        <v>93</v>
      </c>
      <c r="AC26" s="81">
        <f>((7500-AB24)/AC24)</f>
        <v>4.0098428453266983</v>
      </c>
      <c r="AG26" s="28" t="s">
        <v>28</v>
      </c>
      <c r="AH26" s="88" t="e">
        <f>(AL18+AH$8+AH$9)/(AL$19+AH$8+AH$9)*100</f>
        <v>#DIV/0!</v>
      </c>
      <c r="AI26" s="21" t="e">
        <f t="shared" si="7"/>
        <v>#DIV/0!</v>
      </c>
      <c r="AJ26" s="29" t="e">
        <f>SUM(AH23:AH26)</f>
        <v>#DIV/0!</v>
      </c>
      <c r="AK26" s="30"/>
      <c r="AL26" s="80" t="s">
        <v>93</v>
      </c>
      <c r="AM26" s="81">
        <f>((7500-AL24)/AM24)</f>
        <v>-1.069105557780879</v>
      </c>
    </row>
    <row r="33" spans="4:29" ht="22.5" x14ac:dyDescent="0.4">
      <c r="D33" s="5"/>
      <c r="E33" s="41" t="s">
        <v>14</v>
      </c>
      <c r="F33" s="6"/>
      <c r="G33" s="6"/>
      <c r="H33" s="33"/>
      <c r="I33" s="33"/>
      <c r="J33" s="42"/>
      <c r="M33" s="5"/>
      <c r="N33" s="41" t="s">
        <v>15</v>
      </c>
      <c r="O33" s="6"/>
      <c r="P33" s="6"/>
      <c r="Q33" s="33"/>
      <c r="R33" s="33"/>
      <c r="S33" s="42"/>
      <c r="W33" s="5"/>
      <c r="X33" s="41" t="s">
        <v>16</v>
      </c>
      <c r="Y33" s="6"/>
      <c r="Z33" s="6"/>
      <c r="AA33" s="33"/>
      <c r="AB33" s="33"/>
      <c r="AC33" s="42"/>
    </row>
    <row r="34" spans="4:29" ht="21" x14ac:dyDescent="0.4">
      <c r="D34" s="19" t="s">
        <v>4</v>
      </c>
      <c r="E34" s="20" t="s">
        <v>7</v>
      </c>
      <c r="F34" s="20" t="s">
        <v>8</v>
      </c>
      <c r="G34" s="20" t="s">
        <v>10</v>
      </c>
      <c r="H34" s="20" t="s">
        <v>68</v>
      </c>
      <c r="I34" s="26"/>
      <c r="J34" s="27"/>
      <c r="M34" s="19" t="s">
        <v>4</v>
      </c>
      <c r="N34" s="20" t="s">
        <v>7</v>
      </c>
      <c r="O34" s="20" t="s">
        <v>8</v>
      </c>
      <c r="P34" s="20" t="s">
        <v>10</v>
      </c>
      <c r="Q34" s="20" t="s">
        <v>68</v>
      </c>
      <c r="R34" s="26"/>
      <c r="S34" s="27"/>
      <c r="W34" s="19" t="s">
        <v>4</v>
      </c>
      <c r="X34" s="20" t="s">
        <v>7</v>
      </c>
      <c r="Y34" s="20" t="s">
        <v>8</v>
      </c>
      <c r="Z34" s="20" t="s">
        <v>10</v>
      </c>
      <c r="AA34" s="20" t="s">
        <v>68</v>
      </c>
      <c r="AB34" s="26"/>
      <c r="AC34" s="27"/>
    </row>
    <row r="35" spans="4:29" ht="21" x14ac:dyDescent="0.4">
      <c r="D35" s="22" t="s">
        <v>6</v>
      </c>
      <c r="E35" s="21"/>
      <c r="F35" s="21">
        <f>X8</f>
        <v>0</v>
      </c>
      <c r="G35" s="21">
        <f>Таблица13151617[[#This Row],[Этот месяц]]-Таблица13151617[[#This Row],[Прошлый месяц]]</f>
        <v>0</v>
      </c>
      <c r="H35" s="23" t="str">
        <f>IF(G$35&gt;0, "плюсуем=)", "в минусе=(")</f>
        <v>в минусе=(</v>
      </c>
      <c r="I35" s="26"/>
      <c r="J35" s="27"/>
      <c r="M35" s="22" t="s">
        <v>6</v>
      </c>
      <c r="N35" s="21"/>
      <c r="O35" s="21">
        <f>E35</f>
        <v>0</v>
      </c>
      <c r="P35" s="21">
        <f>Таблица1315161718[[#This Row],[Этот месяц]]-Таблица1315161718[[#This Row],[Прошлый месяц]]</f>
        <v>0</v>
      </c>
      <c r="Q35" s="23" t="str">
        <f>IF(P$35&gt;0, "плюсуем=)", "в минусе=(")</f>
        <v>в минусе=(</v>
      </c>
      <c r="R35" s="26"/>
      <c r="S35" s="27"/>
      <c r="W35" s="22" t="s">
        <v>6</v>
      </c>
      <c r="X35" s="21"/>
      <c r="Y35" s="21">
        <f>N35</f>
        <v>0</v>
      </c>
      <c r="Z35" s="21">
        <f>Таблица131516171819[[#This Row],[Этот месяц]]-Таблица131516171819[[#This Row],[Прошлый месяц]]</f>
        <v>0</v>
      </c>
      <c r="AA35" s="23" t="str">
        <f>IF(Z$35&gt;0, "плюсуем=)", "в минусе=(")</f>
        <v>в минусе=(</v>
      </c>
      <c r="AB35" s="26"/>
      <c r="AC35" s="27"/>
    </row>
    <row r="36" spans="4:29" ht="21" x14ac:dyDescent="0.4">
      <c r="D36" s="22" t="s">
        <v>5</v>
      </c>
      <c r="E36" s="21"/>
      <c r="F36" s="21">
        <f>X9</f>
        <v>1699.17</v>
      </c>
      <c r="G36" s="21">
        <f>Таблица13151617[[#This Row],[Этот месяц]]-Таблица13151617[[#This Row],[Прошлый месяц]]</f>
        <v>-1699.17</v>
      </c>
      <c r="H36" s="23" t="str">
        <f>IF(G$36&gt;0, "плюсуем=)", "в минусе=(")</f>
        <v>в минусе=(</v>
      </c>
      <c r="I36" s="26"/>
      <c r="J36" s="27"/>
      <c r="M36" s="22" t="s">
        <v>5</v>
      </c>
      <c r="N36" s="21"/>
      <c r="O36" s="21">
        <f>E36</f>
        <v>0</v>
      </c>
      <c r="P36" s="21">
        <f>Таблица1315161718[[#This Row],[Этот месяц]]-Таблица1315161718[[#This Row],[Прошлый месяц]]</f>
        <v>0</v>
      </c>
      <c r="Q36" s="23" t="str">
        <f>IF(P$36&gt;0, "плюсуем=)", "в минусе=(")</f>
        <v>в минусе=(</v>
      </c>
      <c r="R36" s="26"/>
      <c r="S36" s="27"/>
      <c r="W36" s="22" t="s">
        <v>5</v>
      </c>
      <c r="X36" s="21"/>
      <c r="Y36" s="21">
        <f>N36</f>
        <v>0</v>
      </c>
      <c r="Z36" s="21">
        <f>Таблица131516171819[[#This Row],[Этот месяц]]-Таблица131516171819[[#This Row],[Прошлый месяц]]</f>
        <v>0</v>
      </c>
      <c r="AA36" s="23" t="str">
        <f>IF(Z$36&gt;0, "плюсуем=)", "в минусе=(")</f>
        <v>в минусе=(</v>
      </c>
      <c r="AB36" s="26"/>
      <c r="AC36" s="27"/>
    </row>
    <row r="37" spans="4:29" x14ac:dyDescent="0.2">
      <c r="D37" s="25"/>
      <c r="E37" s="26"/>
      <c r="F37" s="26"/>
      <c r="G37" s="26"/>
      <c r="H37" s="26"/>
      <c r="I37" s="26"/>
      <c r="J37" s="27"/>
      <c r="M37" s="25"/>
      <c r="N37" s="26"/>
      <c r="O37" s="26"/>
      <c r="P37" s="26"/>
      <c r="Q37" s="26"/>
      <c r="R37" s="26"/>
      <c r="S37" s="27"/>
      <c r="W37" s="25"/>
      <c r="X37" s="26"/>
      <c r="Y37" s="26"/>
      <c r="Z37" s="26"/>
      <c r="AA37" s="26"/>
      <c r="AB37" s="26"/>
      <c r="AC37" s="27"/>
    </row>
    <row r="38" spans="4:29" x14ac:dyDescent="0.2">
      <c r="D38" s="25"/>
      <c r="E38" s="26"/>
      <c r="F38" s="26"/>
      <c r="G38" s="26"/>
      <c r="H38" s="26"/>
      <c r="I38" s="26"/>
      <c r="J38" s="27"/>
      <c r="M38" s="25"/>
      <c r="N38" s="26"/>
      <c r="O38" s="26"/>
      <c r="P38" s="26"/>
      <c r="Q38" s="26"/>
      <c r="R38" s="26"/>
      <c r="S38" s="27"/>
      <c r="W38" s="25"/>
      <c r="X38" s="26"/>
      <c r="Y38" s="26"/>
      <c r="Z38" s="26"/>
      <c r="AA38" s="26"/>
      <c r="AB38" s="26"/>
      <c r="AC38" s="27"/>
    </row>
    <row r="39" spans="4:29" ht="21" x14ac:dyDescent="0.4">
      <c r="D39" s="19"/>
      <c r="E39" s="21"/>
      <c r="F39" s="21"/>
      <c r="G39" s="21"/>
      <c r="H39" s="21"/>
      <c r="I39" s="21"/>
      <c r="J39" s="9"/>
      <c r="M39" s="19"/>
      <c r="N39" s="21"/>
      <c r="O39" s="21"/>
      <c r="P39" s="21"/>
      <c r="Q39" s="21"/>
      <c r="R39" s="21"/>
      <c r="S39" s="9"/>
      <c r="W39" s="19"/>
      <c r="X39" s="21"/>
      <c r="Y39" s="21"/>
      <c r="Z39" s="21"/>
      <c r="AA39" s="21"/>
      <c r="AB39" s="21"/>
      <c r="AC39" s="9"/>
    </row>
    <row r="40" spans="4:29" ht="21" x14ac:dyDescent="0.4">
      <c r="D40" s="19"/>
      <c r="E40" s="21"/>
      <c r="F40" s="21"/>
      <c r="G40" s="21"/>
      <c r="H40" s="21"/>
      <c r="I40" s="21"/>
      <c r="J40" s="9"/>
      <c r="M40" s="19"/>
      <c r="N40" s="21"/>
      <c r="O40" s="21"/>
      <c r="P40" s="21"/>
      <c r="Q40" s="21"/>
      <c r="R40" s="21"/>
      <c r="S40" s="9"/>
      <c r="W40" s="19"/>
      <c r="X40" s="21"/>
      <c r="Y40" s="21"/>
      <c r="Z40" s="21"/>
      <c r="AA40" s="21"/>
      <c r="AB40" s="21"/>
      <c r="AC40" s="9"/>
    </row>
    <row r="41" spans="4:29" ht="21" x14ac:dyDescent="0.4">
      <c r="D41" s="101" t="s">
        <v>20</v>
      </c>
      <c r="E41" s="102"/>
      <c r="F41" s="21"/>
      <c r="G41" s="10" t="s">
        <v>21</v>
      </c>
      <c r="H41" s="10" t="s">
        <v>22</v>
      </c>
      <c r="I41" s="10" t="s">
        <v>23</v>
      </c>
      <c r="J41" s="10" t="s">
        <v>9</v>
      </c>
      <c r="M41" s="101" t="s">
        <v>20</v>
      </c>
      <c r="N41" s="102"/>
      <c r="O41" s="21"/>
      <c r="P41" s="10" t="s">
        <v>21</v>
      </c>
      <c r="Q41" s="10" t="s">
        <v>22</v>
      </c>
      <c r="R41" s="10" t="s">
        <v>23</v>
      </c>
      <c r="S41" s="10" t="s">
        <v>9</v>
      </c>
      <c r="W41" s="101" t="s">
        <v>20</v>
      </c>
      <c r="X41" s="102"/>
      <c r="Y41" s="21"/>
      <c r="Z41" s="10" t="s">
        <v>21</v>
      </c>
      <c r="AA41" s="10" t="s">
        <v>22</v>
      </c>
      <c r="AB41" s="10" t="s">
        <v>23</v>
      </c>
      <c r="AC41" s="10" t="s">
        <v>9</v>
      </c>
    </row>
    <row r="42" spans="4:29" ht="21" x14ac:dyDescent="0.4">
      <c r="D42" s="4" t="s">
        <v>19</v>
      </c>
      <c r="E42" s="12"/>
      <c r="F42" s="3"/>
      <c r="G42" s="4" t="s">
        <v>19</v>
      </c>
      <c r="H42" s="12"/>
      <c r="I42" s="10">
        <f>H42*E42</f>
        <v>0</v>
      </c>
      <c r="J42" s="15">
        <f>H42-AA15</f>
        <v>-415</v>
      </c>
      <c r="M42" s="4" t="s">
        <v>19</v>
      </c>
      <c r="N42" s="12"/>
      <c r="O42" s="3"/>
      <c r="P42" s="4" t="s">
        <v>19</v>
      </c>
      <c r="Q42" s="12"/>
      <c r="R42" s="10">
        <f>Q42*N42</f>
        <v>0</v>
      </c>
      <c r="S42" s="15">
        <f>Q42-H42</f>
        <v>0</v>
      </c>
      <c r="W42" s="4" t="s">
        <v>19</v>
      </c>
      <c r="X42" s="12"/>
      <c r="Y42" s="3"/>
      <c r="Z42" s="4" t="s">
        <v>19</v>
      </c>
      <c r="AA42" s="12"/>
      <c r="AB42" s="10">
        <f>AA42*X42</f>
        <v>0</v>
      </c>
      <c r="AC42" s="15">
        <f>AA42-R42</f>
        <v>0</v>
      </c>
    </row>
    <row r="43" spans="4:29" ht="21" x14ac:dyDescent="0.4">
      <c r="D43" s="4" t="s">
        <v>17</v>
      </c>
      <c r="E43" s="13"/>
      <c r="F43" s="3"/>
      <c r="G43" s="4" t="s">
        <v>17</v>
      </c>
      <c r="H43" s="13"/>
      <c r="I43" s="10">
        <f>H43*E43</f>
        <v>0</v>
      </c>
      <c r="J43" s="16">
        <f>H43-AA16</f>
        <v>-1505</v>
      </c>
      <c r="M43" s="4" t="s">
        <v>17</v>
      </c>
      <c r="N43" s="13"/>
      <c r="O43" s="3"/>
      <c r="P43" s="4" t="s">
        <v>17</v>
      </c>
      <c r="Q43" s="13"/>
      <c r="R43" s="10">
        <f>Q43*N43</f>
        <v>0</v>
      </c>
      <c r="S43" s="16">
        <f>Q43-H43</f>
        <v>0</v>
      </c>
      <c r="W43" s="4" t="s">
        <v>17</v>
      </c>
      <c r="X43" s="13"/>
      <c r="Y43" s="3"/>
      <c r="Z43" s="4" t="s">
        <v>17</v>
      </c>
      <c r="AA43" s="13"/>
      <c r="AB43" s="10">
        <f>AA43*X43</f>
        <v>0</v>
      </c>
      <c r="AC43" s="16">
        <f>AA43-R43</f>
        <v>0</v>
      </c>
    </row>
    <row r="44" spans="4:29" ht="21" x14ac:dyDescent="0.4">
      <c r="D44" s="4" t="s">
        <v>18</v>
      </c>
      <c r="E44" s="14"/>
      <c r="F44" s="3"/>
      <c r="G44" s="4" t="s">
        <v>18</v>
      </c>
      <c r="H44" s="14"/>
      <c r="I44" s="10">
        <f>H44/100*E44</f>
        <v>0</v>
      </c>
      <c r="J44" s="17">
        <f>H44-AA17</f>
        <v>-2500</v>
      </c>
      <c r="M44" s="4" t="s">
        <v>18</v>
      </c>
      <c r="N44" s="14"/>
      <c r="O44" s="3"/>
      <c r="P44" s="4" t="s">
        <v>18</v>
      </c>
      <c r="Q44" s="14"/>
      <c r="R44" s="10">
        <f>Q44/100*N44</f>
        <v>0</v>
      </c>
      <c r="S44" s="17">
        <f>Q44-H44</f>
        <v>0</v>
      </c>
      <c r="W44" s="4" t="s">
        <v>18</v>
      </c>
      <c r="X44" s="14"/>
      <c r="Y44" s="3"/>
      <c r="Z44" s="4" t="s">
        <v>18</v>
      </c>
      <c r="AA44" s="14"/>
      <c r="AB44" s="10">
        <f>AA44/100*X44</f>
        <v>0</v>
      </c>
      <c r="AC44" s="17">
        <f>AA44-R44</f>
        <v>0</v>
      </c>
    </row>
    <row r="45" spans="4:29" ht="21" x14ac:dyDescent="0.4">
      <c r="D45" s="19"/>
      <c r="E45" s="21"/>
      <c r="F45" s="21"/>
      <c r="G45" s="11" t="s">
        <v>24</v>
      </c>
      <c r="H45" s="10"/>
      <c r="I45" s="10">
        <f>H45</f>
        <v>0</v>
      </c>
      <c r="J45" s="10">
        <f>H45-AA18</f>
        <v>-50</v>
      </c>
      <c r="M45" s="19"/>
      <c r="N45" s="21"/>
      <c r="O45" s="21"/>
      <c r="P45" s="11" t="s">
        <v>24</v>
      </c>
      <c r="Q45" s="10"/>
      <c r="R45" s="10">
        <f>Q45</f>
        <v>0</v>
      </c>
      <c r="S45" s="10">
        <f>Q45-H45</f>
        <v>0</v>
      </c>
      <c r="W45" s="19"/>
      <c r="X45" s="21"/>
      <c r="Y45" s="21"/>
      <c r="Z45" s="11" t="s">
        <v>24</v>
      </c>
      <c r="AA45" s="10"/>
      <c r="AB45" s="10">
        <f>AA45</f>
        <v>0</v>
      </c>
      <c r="AC45" s="10">
        <f>AA45-R45</f>
        <v>0</v>
      </c>
    </row>
    <row r="46" spans="4:29" ht="21" x14ac:dyDescent="0.4">
      <c r="D46" s="19"/>
      <c r="E46" s="21"/>
      <c r="F46" s="21"/>
      <c r="G46" s="10" t="s">
        <v>3</v>
      </c>
      <c r="H46" s="10"/>
      <c r="I46" s="10">
        <f>SUM(I42:I45)</f>
        <v>0</v>
      </c>
      <c r="J46" s="10">
        <f>I46-AA19</f>
        <v>0</v>
      </c>
      <c r="M46" s="19"/>
      <c r="N46" s="21"/>
      <c r="O46" s="21"/>
      <c r="P46" s="10" t="s">
        <v>3</v>
      </c>
      <c r="Q46" s="10"/>
      <c r="R46" s="10">
        <f>SUM(R42:R45)</f>
        <v>0</v>
      </c>
      <c r="S46" s="10">
        <f>R46-I46</f>
        <v>0</v>
      </c>
      <c r="W46" s="19"/>
      <c r="X46" s="21"/>
      <c r="Y46" s="21"/>
      <c r="Z46" s="10" t="s">
        <v>3</v>
      </c>
      <c r="AA46" s="10"/>
      <c r="AB46" s="10">
        <f>SUM(AB42:AB45)</f>
        <v>0</v>
      </c>
      <c r="AC46" s="10">
        <f>AB46-S46</f>
        <v>0</v>
      </c>
    </row>
    <row r="47" spans="4:29" ht="21" x14ac:dyDescent="0.4">
      <c r="D47" s="19"/>
      <c r="E47" s="21"/>
      <c r="F47" s="21"/>
      <c r="G47" s="21"/>
      <c r="H47" s="21"/>
      <c r="I47" s="21"/>
      <c r="J47" s="9"/>
      <c r="M47" s="19"/>
      <c r="N47" s="21"/>
      <c r="O47" s="21"/>
      <c r="P47" s="21"/>
      <c r="Q47" s="21"/>
      <c r="R47" s="21"/>
      <c r="S47" s="9"/>
      <c r="W47" s="19"/>
      <c r="X47" s="21"/>
      <c r="Y47" s="21"/>
      <c r="Z47" s="21"/>
      <c r="AA47" s="21"/>
      <c r="AB47" s="21"/>
      <c r="AC47" s="9"/>
    </row>
    <row r="48" spans="4:29" ht="21" x14ac:dyDescent="0.4">
      <c r="D48" s="19"/>
      <c r="E48" s="21"/>
      <c r="F48" s="21"/>
      <c r="G48" s="26"/>
      <c r="H48" s="26"/>
      <c r="I48" s="26"/>
      <c r="J48" s="27"/>
      <c r="M48" s="19"/>
      <c r="N48" s="21"/>
      <c r="O48" s="21"/>
      <c r="P48" s="26"/>
      <c r="Q48" s="26"/>
      <c r="R48" s="26"/>
      <c r="S48" s="27"/>
      <c r="W48" s="19"/>
      <c r="X48" s="21"/>
      <c r="Y48" s="21"/>
      <c r="Z48" s="26"/>
      <c r="AA48" s="26"/>
      <c r="AB48" s="26"/>
      <c r="AC48" s="27"/>
    </row>
    <row r="49" spans="4:29" ht="21" x14ac:dyDescent="0.4">
      <c r="D49" s="19"/>
      <c r="E49" s="21"/>
      <c r="F49" s="21"/>
      <c r="G49" s="26"/>
      <c r="H49" s="26"/>
      <c r="I49" s="26"/>
      <c r="J49" s="27"/>
      <c r="M49" s="19"/>
      <c r="N49" s="21"/>
      <c r="O49" s="21"/>
      <c r="P49" s="26"/>
      <c r="Q49" s="26"/>
      <c r="R49" s="26"/>
      <c r="S49" s="27"/>
      <c r="W49" s="19"/>
      <c r="X49" s="21"/>
      <c r="Y49" s="21"/>
      <c r="Z49" s="26"/>
      <c r="AA49" s="26"/>
      <c r="AB49" s="26"/>
      <c r="AC49" s="27"/>
    </row>
    <row r="50" spans="4:29" ht="21" x14ac:dyDescent="0.4">
      <c r="D50" s="19" t="s">
        <v>25</v>
      </c>
      <c r="E50" s="21" t="e">
        <f>I42/(I$46+E$35+E$36)*100</f>
        <v>#DIV/0!</v>
      </c>
      <c r="F50" s="21" t="e">
        <f>IF(E50&gt;25,"умен.долю","увел.долю")</f>
        <v>#DIV/0!</v>
      </c>
      <c r="G50" s="40"/>
      <c r="H50" s="26"/>
      <c r="I50" s="26"/>
      <c r="J50" s="9" t="s">
        <v>0</v>
      </c>
      <c r="M50" s="19" t="s">
        <v>25</v>
      </c>
      <c r="N50" s="21" t="e">
        <f>R42/(R$46+N$35+N$36)*100</f>
        <v>#DIV/0!</v>
      </c>
      <c r="O50" s="21" t="e">
        <f>IF(N50&gt;25,"умен.долю","увел.долю")</f>
        <v>#DIV/0!</v>
      </c>
      <c r="P50" s="40"/>
      <c r="Q50" s="26"/>
      <c r="R50" s="26"/>
      <c r="S50" s="9" t="s">
        <v>0</v>
      </c>
      <c r="W50" s="19" t="s">
        <v>25</v>
      </c>
      <c r="X50" s="21" t="e">
        <f>AB42/(AB$46+X$35+X$36)*100</f>
        <v>#DIV/0!</v>
      </c>
      <c r="Y50" s="21" t="e">
        <f>IF(X50&gt;25,"умен.долю","увел.долю")</f>
        <v>#DIV/0!</v>
      </c>
      <c r="Z50" s="40"/>
      <c r="AA50" s="26"/>
      <c r="AB50" s="26"/>
      <c r="AC50" s="9" t="s">
        <v>0</v>
      </c>
    </row>
    <row r="51" spans="4:29" ht="21" x14ac:dyDescent="0.4">
      <c r="D51" s="19" t="s">
        <v>26</v>
      </c>
      <c r="E51" s="21" t="e">
        <f t="shared" ref="E51:E52" si="8">I43/(I$46+E$35+E$36)*100</f>
        <v>#DIV/0!</v>
      </c>
      <c r="F51" s="21" t="e">
        <f t="shared" ref="F51:F53" si="9">IF(E51&gt;25,"умен.долю","увел.долю")</f>
        <v>#DIV/0!</v>
      </c>
      <c r="G51" s="21"/>
      <c r="H51" s="21" t="s">
        <v>3</v>
      </c>
      <c r="I51" s="78">
        <f>I46+E36+E35</f>
        <v>0</v>
      </c>
      <c r="J51" s="77">
        <f>I51-AB24</f>
        <v>-7015.21</v>
      </c>
      <c r="M51" s="19" t="s">
        <v>26</v>
      </c>
      <c r="N51" s="21" t="e">
        <f t="shared" ref="N51:N52" si="10">R43/(R$46+N$35+N$36)*100</f>
        <v>#DIV/0!</v>
      </c>
      <c r="O51" s="21" t="e">
        <f t="shared" ref="O51:O53" si="11">IF(N51&gt;25,"умен.долю","увел.долю")</f>
        <v>#DIV/0!</v>
      </c>
      <c r="P51" s="21"/>
      <c r="Q51" s="21" t="s">
        <v>3</v>
      </c>
      <c r="R51" s="78">
        <f>R46+N36+N35</f>
        <v>0</v>
      </c>
      <c r="S51" s="77">
        <f>R51-I51</f>
        <v>0</v>
      </c>
      <c r="W51" s="19" t="s">
        <v>26</v>
      </c>
      <c r="X51" s="21" t="e">
        <f t="shared" ref="X51:X52" si="12">AB43/(AB$46+X$35+X$36)*100</f>
        <v>#DIV/0!</v>
      </c>
      <c r="Y51" s="21" t="e">
        <f t="shared" ref="Y51:Y53" si="13">IF(X51&gt;25,"умен.долю","увел.долю")</f>
        <v>#DIV/0!</v>
      </c>
      <c r="Z51" s="21"/>
      <c r="AA51" s="21" t="s">
        <v>3</v>
      </c>
      <c r="AB51" s="78">
        <f>AB46+X36+X35</f>
        <v>0</v>
      </c>
      <c r="AC51" s="77">
        <f>AB51-S51</f>
        <v>0</v>
      </c>
    </row>
    <row r="52" spans="4:29" ht="21" x14ac:dyDescent="0.4">
      <c r="D52" s="19" t="s">
        <v>27</v>
      </c>
      <c r="E52" s="21" t="e">
        <f t="shared" si="8"/>
        <v>#DIV/0!</v>
      </c>
      <c r="F52" s="21" t="e">
        <f t="shared" si="9"/>
        <v>#DIV/0!</v>
      </c>
      <c r="G52" s="21"/>
      <c r="H52" s="26"/>
      <c r="I52" s="26"/>
      <c r="J52" s="9" t="str">
        <f>IF(J51&gt;0, "в плюсе!", "В минусе=(")</f>
        <v>В минусе=(</v>
      </c>
      <c r="M52" s="19" t="s">
        <v>27</v>
      </c>
      <c r="N52" s="21" t="e">
        <f t="shared" si="10"/>
        <v>#DIV/0!</v>
      </c>
      <c r="O52" s="21" t="e">
        <f t="shared" si="11"/>
        <v>#DIV/0!</v>
      </c>
      <c r="P52" s="21"/>
      <c r="Q52" s="26"/>
      <c r="R52" s="26"/>
      <c r="S52" s="9" t="str">
        <f>IF(S51&gt;0, "в плюсе!", "В минусе=(")</f>
        <v>В минусе=(</v>
      </c>
      <c r="W52" s="19" t="s">
        <v>27</v>
      </c>
      <c r="X52" s="21" t="e">
        <f t="shared" si="12"/>
        <v>#DIV/0!</v>
      </c>
      <c r="Y52" s="21" t="e">
        <f t="shared" si="13"/>
        <v>#DIV/0!</v>
      </c>
      <c r="Z52" s="21"/>
      <c r="AA52" s="26"/>
      <c r="AB52" s="26"/>
      <c r="AC52" s="9" t="str">
        <f>IF(AC51&gt;0, "в плюсе!", "В минусе=(")</f>
        <v>В минусе=(</v>
      </c>
    </row>
    <row r="53" spans="4:29" ht="22.5" x14ac:dyDescent="0.4">
      <c r="D53" s="28" t="s">
        <v>28</v>
      </c>
      <c r="E53" s="21" t="e">
        <f>(I45+E$35+E$36)/(I$46+E$35+E$36)*100</f>
        <v>#DIV/0!</v>
      </c>
      <c r="F53" s="21" t="e">
        <f t="shared" si="9"/>
        <v>#DIV/0!</v>
      </c>
      <c r="G53" s="29" t="e">
        <f>SUM(E50:E53)</f>
        <v>#DIV/0!</v>
      </c>
      <c r="H53" s="30"/>
      <c r="I53" s="80" t="s">
        <v>69</v>
      </c>
      <c r="J53" s="81">
        <f>((7000-I51)/J51)</f>
        <v>-0.99783185392882034</v>
      </c>
      <c r="M53" s="28" t="s">
        <v>28</v>
      </c>
      <c r="N53" s="21" t="e">
        <f>(R45+N$35+N$36)/(R$46+N$35+N$36)*100</f>
        <v>#DIV/0!</v>
      </c>
      <c r="O53" s="21" t="e">
        <f t="shared" si="11"/>
        <v>#DIV/0!</v>
      </c>
      <c r="P53" s="29" t="e">
        <f>SUM(N50:N53)</f>
        <v>#DIV/0!</v>
      </c>
      <c r="Q53" s="30"/>
      <c r="R53" s="80" t="s">
        <v>69</v>
      </c>
      <c r="S53" s="81" t="e">
        <f>((7000-R51)/S51)</f>
        <v>#DIV/0!</v>
      </c>
      <c r="W53" s="28" t="s">
        <v>28</v>
      </c>
      <c r="X53" s="21" t="e">
        <f>(AB45+X$35+X$36)/(AB$46+X$35+X$36)*100</f>
        <v>#DIV/0!</v>
      </c>
      <c r="Y53" s="21" t="e">
        <f t="shared" si="13"/>
        <v>#DIV/0!</v>
      </c>
      <c r="Z53" s="29" t="e">
        <f>SUM(X50:X53)</f>
        <v>#DIV/0!</v>
      </c>
      <c r="AA53" s="30"/>
      <c r="AB53" s="80" t="s">
        <v>69</v>
      </c>
      <c r="AC53" s="81" t="e">
        <f>(7000-AB51)/AC51</f>
        <v>#DIV/0!</v>
      </c>
    </row>
  </sheetData>
  <mergeCells count="6">
    <mergeCell ref="AG14:AH14"/>
    <mergeCell ref="M14:N14"/>
    <mergeCell ref="W14:X14"/>
    <mergeCell ref="D41:E41"/>
    <mergeCell ref="M41:N41"/>
    <mergeCell ref="W41:X41"/>
  </mergeCells>
  <pageMargins left="0.7" right="0.7" top="0.75" bottom="0.75" header="0.3" footer="0.3"/>
  <pageSetup paperSize="0" orientation="portrait" horizontalDpi="0" verticalDpi="0" copies="0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G98"/>
  <sheetViews>
    <sheetView tabSelected="1" topLeftCell="AT7" workbookViewId="0">
      <selection activeCell="AY17" sqref="AY17"/>
    </sheetView>
  </sheetViews>
  <sheetFormatPr defaultRowHeight="12.75" x14ac:dyDescent="0.2"/>
  <cols>
    <col min="2" max="2" width="18" customWidth="1"/>
    <col min="3" max="3" width="15" customWidth="1"/>
    <col min="4" max="4" width="14" customWidth="1"/>
    <col min="5" max="5" width="12.42578125" customWidth="1"/>
    <col min="7" max="7" width="21.7109375" customWidth="1"/>
    <col min="8" max="8" width="16.42578125" customWidth="1"/>
    <col min="9" max="9" width="13.85546875" customWidth="1"/>
    <col min="10" max="10" width="12.42578125" customWidth="1"/>
    <col min="14" max="14" width="17.85546875" customWidth="1"/>
    <col min="15" max="15" width="17.42578125" customWidth="1"/>
    <col min="16" max="16" width="17" customWidth="1"/>
    <col min="17" max="17" width="11.42578125" customWidth="1"/>
    <col min="19" max="19" width="22" customWidth="1"/>
    <col min="20" max="20" width="16.28515625" customWidth="1"/>
    <col min="21" max="21" width="15.7109375" customWidth="1"/>
    <col min="26" max="26" width="19.7109375" customWidth="1"/>
    <col min="27" max="27" width="12" customWidth="1"/>
    <col min="28" max="28" width="12.42578125" customWidth="1"/>
    <col min="29" max="29" width="11.5703125" customWidth="1"/>
    <col min="31" max="31" width="22" customWidth="1"/>
    <col min="38" max="38" width="19.140625" customWidth="1"/>
    <col min="39" max="39" width="16.85546875" customWidth="1"/>
    <col min="40" max="40" width="15.140625" customWidth="1"/>
    <col min="41" max="41" width="12.85546875" customWidth="1"/>
    <col min="43" max="43" width="23.7109375" customWidth="1"/>
    <col min="44" max="44" width="15" customWidth="1"/>
    <col min="45" max="45" width="14.7109375" customWidth="1"/>
    <col min="46" max="46" width="11.28515625" customWidth="1"/>
    <col min="50" max="50" width="20.140625" customWidth="1"/>
    <col min="51" max="51" width="19.5703125" customWidth="1"/>
    <col min="52" max="52" width="16.28515625" customWidth="1"/>
    <col min="53" max="53" width="12" customWidth="1"/>
    <col min="55" max="55" width="24.140625" customWidth="1"/>
    <col min="56" max="56" width="17.42578125" customWidth="1"/>
    <col min="57" max="57" width="15.42578125" customWidth="1"/>
    <col min="58" max="58" width="11.140625" customWidth="1"/>
  </cols>
  <sheetData>
    <row r="4" spans="2:59" ht="15.75" x14ac:dyDescent="0.25">
      <c r="B4" s="59" t="s">
        <v>29</v>
      </c>
      <c r="C4" s="43" t="s">
        <v>30</v>
      </c>
      <c r="D4" s="43" t="s">
        <v>32</v>
      </c>
      <c r="E4" s="43" t="s">
        <v>0</v>
      </c>
      <c r="F4" s="32"/>
      <c r="G4" s="66" t="s">
        <v>31</v>
      </c>
      <c r="H4" s="66" t="s">
        <v>33</v>
      </c>
      <c r="I4" s="66" t="s">
        <v>34</v>
      </c>
      <c r="J4" s="67" t="s">
        <v>0</v>
      </c>
      <c r="K4" s="79" t="s">
        <v>68</v>
      </c>
      <c r="N4" s="58" t="s">
        <v>29</v>
      </c>
      <c r="O4" s="58" t="s">
        <v>30</v>
      </c>
      <c r="P4" s="58" t="s">
        <v>32</v>
      </c>
      <c r="Q4" s="58" t="s">
        <v>0</v>
      </c>
      <c r="R4" s="33"/>
      <c r="S4" s="66" t="s">
        <v>31</v>
      </c>
      <c r="T4" s="66" t="s">
        <v>33</v>
      </c>
      <c r="U4" s="66" t="s">
        <v>34</v>
      </c>
      <c r="V4" s="67" t="s">
        <v>0</v>
      </c>
      <c r="W4" s="79" t="s">
        <v>68</v>
      </c>
      <c r="Z4" s="58" t="s">
        <v>29</v>
      </c>
      <c r="AA4" s="58" t="s">
        <v>30</v>
      </c>
      <c r="AB4" s="58" t="s">
        <v>32</v>
      </c>
      <c r="AC4" s="58" t="s">
        <v>0</v>
      </c>
      <c r="AD4" s="33"/>
      <c r="AE4" s="66" t="s">
        <v>31</v>
      </c>
      <c r="AF4" s="66" t="s">
        <v>33</v>
      </c>
      <c r="AG4" s="66" t="s">
        <v>34</v>
      </c>
      <c r="AH4" s="67" t="s">
        <v>0</v>
      </c>
      <c r="AI4" s="79" t="s">
        <v>68</v>
      </c>
      <c r="AL4" s="58" t="s">
        <v>29</v>
      </c>
      <c r="AM4" s="58" t="s">
        <v>30</v>
      </c>
      <c r="AN4" s="58" t="s">
        <v>32</v>
      </c>
      <c r="AO4" s="58" t="s">
        <v>0</v>
      </c>
      <c r="AP4" s="33"/>
      <c r="AQ4" s="66" t="s">
        <v>31</v>
      </c>
      <c r="AR4" s="66" t="s">
        <v>33</v>
      </c>
      <c r="AS4" s="66" t="s">
        <v>34</v>
      </c>
      <c r="AT4" s="67" t="s">
        <v>0</v>
      </c>
      <c r="AU4" s="79" t="s">
        <v>68</v>
      </c>
      <c r="AX4" s="58" t="s">
        <v>29</v>
      </c>
      <c r="AY4" s="58" t="s">
        <v>30</v>
      </c>
      <c r="AZ4" s="58" t="s">
        <v>32</v>
      </c>
      <c r="BA4" s="58" t="s">
        <v>0</v>
      </c>
      <c r="BB4" s="33"/>
      <c r="BC4" s="66" t="s">
        <v>31</v>
      </c>
      <c r="BD4" s="66" t="s">
        <v>33</v>
      </c>
      <c r="BE4" s="66" t="s">
        <v>34</v>
      </c>
      <c r="BF4" s="67" t="s">
        <v>0</v>
      </c>
      <c r="BG4" s="79" t="s">
        <v>68</v>
      </c>
    </row>
    <row r="5" spans="2:59" ht="15.75" x14ac:dyDescent="0.25">
      <c r="B5" s="59"/>
      <c r="C5" s="43" t="s">
        <v>43</v>
      </c>
      <c r="D5" s="43"/>
      <c r="E5" s="63"/>
      <c r="F5" s="25"/>
      <c r="G5" s="58" t="s">
        <v>57</v>
      </c>
      <c r="H5" s="26">
        <v>150</v>
      </c>
      <c r="I5" s="26">
        <v>156</v>
      </c>
      <c r="J5" s="27">
        <f>Таблица20[[#This Row],[Фактический]] - Таблица20[[#This Row],[Планируемый]]</f>
        <v>6</v>
      </c>
      <c r="K5" s="57" t="str">
        <f>IF(Таблица20[[#This Row],[Разница]]&gt;=0, "Есть!","Нет=(")</f>
        <v>Есть!</v>
      </c>
      <c r="N5" s="43"/>
      <c r="O5" s="43" t="s">
        <v>43</v>
      </c>
      <c r="P5" s="43"/>
      <c r="Q5" s="63"/>
      <c r="R5" s="26"/>
      <c r="S5" s="58" t="s">
        <v>57</v>
      </c>
      <c r="T5" s="26">
        <v>150</v>
      </c>
      <c r="U5" s="26">
        <v>156</v>
      </c>
      <c r="V5" s="27">
        <f>Таблица2020[[#This Row],[Фактический]] - Таблица2020[[#This Row],[Планируемый]]</f>
        <v>6</v>
      </c>
      <c r="W5" s="57" t="str">
        <f>IF(Таблица2020[[#This Row],[Разница]]&gt;=0, "Есть!","Нет=(")</f>
        <v>Есть!</v>
      </c>
      <c r="Z5" s="43"/>
      <c r="AA5" s="43" t="s">
        <v>43</v>
      </c>
      <c r="AB5" s="43"/>
      <c r="AC5" s="63"/>
      <c r="AD5" s="26"/>
      <c r="AE5" s="58" t="s">
        <v>57</v>
      </c>
      <c r="AF5" s="26">
        <v>150</v>
      </c>
      <c r="AG5" s="26">
        <v>155</v>
      </c>
      <c r="AH5" s="27">
        <f>Таблица20203[[#This Row],[Фактический]] - Таблица20203[[#This Row],[Планируемый]]</f>
        <v>5</v>
      </c>
      <c r="AI5" s="57" t="str">
        <f>IF(Таблица20203[[#This Row],[Разница]]&gt;=0, "Есть!","Нет=(")</f>
        <v>Есть!</v>
      </c>
      <c r="AL5" s="43"/>
      <c r="AM5" s="43" t="s">
        <v>43</v>
      </c>
      <c r="AN5" s="43"/>
      <c r="AO5" s="63"/>
      <c r="AP5" s="26"/>
      <c r="AQ5" s="58" t="s">
        <v>57</v>
      </c>
      <c r="AR5" s="26">
        <v>150</v>
      </c>
      <c r="AS5" s="26">
        <v>156</v>
      </c>
      <c r="AT5" s="27">
        <f>Таблица202035[[#This Row],[Фактический]] - Таблица202035[[#This Row],[Планируемый]]</f>
        <v>6</v>
      </c>
      <c r="AU5" s="57" t="str">
        <f>IF(Таблица202035[[#This Row],[Разница]]&gt;=0, "Есть!","Нет=(")</f>
        <v>Есть!</v>
      </c>
      <c r="AX5" s="43"/>
      <c r="AY5" s="43" t="s">
        <v>43</v>
      </c>
      <c r="AZ5" s="43"/>
      <c r="BA5" s="63"/>
      <c r="BB5" s="26"/>
      <c r="BC5" s="58" t="s">
        <v>57</v>
      </c>
      <c r="BD5" s="26">
        <v>150</v>
      </c>
      <c r="BE5" s="26">
        <v>0</v>
      </c>
      <c r="BF5" s="27">
        <f>Таблица2020358[[#This Row],[Фактический]] - Таблица2020358[[#This Row],[Планируемый]]</f>
        <v>-150</v>
      </c>
      <c r="BG5" s="57" t="str">
        <f>IF(Таблица2020358[[#This Row],[Разница]]&gt;=0, "Есть!","Нет=(")</f>
        <v>Нет=(</v>
      </c>
    </row>
    <row r="6" spans="2:59" ht="15.75" x14ac:dyDescent="0.25">
      <c r="B6" s="59" t="s">
        <v>37</v>
      </c>
      <c r="C6" s="43">
        <v>35</v>
      </c>
      <c r="D6" s="43">
        <v>24</v>
      </c>
      <c r="E6" s="58">
        <f>Таблица24[[#This Row],[Планируемые]]-Таблица24[[#This Row],[Фактические]]</f>
        <v>11</v>
      </c>
      <c r="F6" s="25"/>
      <c r="G6" s="71" t="s">
        <v>58</v>
      </c>
      <c r="H6" s="69">
        <v>130</v>
      </c>
      <c r="I6" s="69">
        <v>130</v>
      </c>
      <c r="J6" s="70">
        <f>Таблица20[[#This Row],[Фактический]] - Таблица20[[#This Row],[Планируемый]]</f>
        <v>0</v>
      </c>
      <c r="K6" s="57" t="str">
        <f>IF(Таблица20[[#This Row],[Разница]]&gt;=0, "Есть!","Нет=(")</f>
        <v>Есть!</v>
      </c>
      <c r="N6" s="87" t="s">
        <v>37</v>
      </c>
      <c r="O6" s="43">
        <v>35</v>
      </c>
      <c r="P6" s="43">
        <v>28</v>
      </c>
      <c r="Q6" s="58">
        <f>Таблица2427[[#This Row],[Планируемые]]-Таблица2427[[#This Row],[Фактические]]</f>
        <v>7</v>
      </c>
      <c r="R6" s="26"/>
      <c r="S6" s="71" t="s">
        <v>58</v>
      </c>
      <c r="T6" s="69">
        <v>300</v>
      </c>
      <c r="U6" s="69">
        <v>308</v>
      </c>
      <c r="V6" s="70">
        <f>Таблица2020[[#This Row],[Фактический]] - Таблица2020[[#This Row],[Планируемый]]</f>
        <v>8</v>
      </c>
      <c r="W6" s="57" t="str">
        <f>IF(Таблица2020[[#This Row],[Разница]]&gt;=0, "Есть!","Нет=(")</f>
        <v>Есть!</v>
      </c>
      <c r="Z6" s="87" t="s">
        <v>37</v>
      </c>
      <c r="AA6" s="43">
        <v>35</v>
      </c>
      <c r="AB6" s="43">
        <v>34</v>
      </c>
      <c r="AC6" s="58">
        <f>Таблица24272[[#This Row],[Планируемые]]-Таблица24272[[#This Row],[Фактические]]</f>
        <v>1</v>
      </c>
      <c r="AD6" s="26"/>
      <c r="AE6" s="71" t="s">
        <v>58</v>
      </c>
      <c r="AF6" s="69">
        <v>300</v>
      </c>
      <c r="AG6" s="69">
        <v>305</v>
      </c>
      <c r="AH6" s="70">
        <f>Таблица20203[[#This Row],[Фактический]] - Таблица20203[[#This Row],[Планируемый]]</f>
        <v>5</v>
      </c>
      <c r="AI6" s="57" t="str">
        <f>IF(Таблица20203[[#This Row],[Разница]]&gt;=0, "Есть!","Нет=(")</f>
        <v>Есть!</v>
      </c>
      <c r="AL6" s="87" t="s">
        <v>37</v>
      </c>
      <c r="AM6" s="43">
        <v>30</v>
      </c>
      <c r="AN6" s="43">
        <v>25</v>
      </c>
      <c r="AO6" s="58">
        <f>Таблица242724[[#This Row],[Планируемые]]-Таблица242724[[#This Row],[Фактические]]</f>
        <v>5</v>
      </c>
      <c r="AP6" s="26"/>
      <c r="AQ6" s="71" t="s">
        <v>58</v>
      </c>
      <c r="AR6" s="69">
        <v>190</v>
      </c>
      <c r="AS6" s="69">
        <v>199.24</v>
      </c>
      <c r="AT6" s="70">
        <f>Таблица202035[[#This Row],[Фактический]] - Таблица202035[[#This Row],[Планируемый]]</f>
        <v>9.2400000000000091</v>
      </c>
      <c r="AU6" s="57" t="str">
        <f>IF(Таблица202035[[#This Row],[Разница]]&gt;=0, "Есть!","Нет=(")</f>
        <v>Есть!</v>
      </c>
      <c r="AX6" s="92" t="s">
        <v>37</v>
      </c>
      <c r="AY6" s="43">
        <v>40</v>
      </c>
      <c r="AZ6" s="43">
        <v>0</v>
      </c>
      <c r="BA6" s="58">
        <f>Таблица2427247[[#This Row],[Планируемые]]-Таблица2427247[[#This Row],[Фактические]]</f>
        <v>40</v>
      </c>
      <c r="BB6" s="26"/>
      <c r="BC6" s="71" t="s">
        <v>58</v>
      </c>
      <c r="BD6" s="69">
        <v>300</v>
      </c>
      <c r="BE6" s="69">
        <v>0</v>
      </c>
      <c r="BF6" s="70">
        <f>Таблица2020358[[#This Row],[Фактический]] - Таблица2020358[[#This Row],[Планируемый]]</f>
        <v>-300</v>
      </c>
      <c r="BG6" s="57" t="str">
        <f>IF(Таблица2020358[[#This Row],[Разница]]&gt;=0, "Есть!","Нет=(")</f>
        <v>Нет=(</v>
      </c>
    </row>
    <row r="7" spans="2:59" ht="15.75" x14ac:dyDescent="0.25">
      <c r="B7" s="60" t="s">
        <v>38</v>
      </c>
      <c r="C7" s="58">
        <v>20</v>
      </c>
      <c r="D7" s="58">
        <v>17</v>
      </c>
      <c r="E7" s="58">
        <f>Таблица24[[#This Row],[Планируемые]]-Таблица24[[#This Row],[Фактические]]</f>
        <v>3</v>
      </c>
      <c r="F7" s="25"/>
      <c r="G7" s="58" t="s">
        <v>59</v>
      </c>
      <c r="H7" s="26">
        <v>50</v>
      </c>
      <c r="I7" s="26">
        <v>50</v>
      </c>
      <c r="J7" s="27">
        <f>Таблица20[[#This Row],[Фактический]] - Таблица20[[#This Row],[Планируемый]]</f>
        <v>0</v>
      </c>
      <c r="K7" s="57" t="str">
        <f>IF(Таблица20[[#This Row],[Разница]]&gt;=0, "Есть!","Нет=(")</f>
        <v>Есть!</v>
      </c>
      <c r="N7" s="86" t="s">
        <v>38</v>
      </c>
      <c r="O7" s="58">
        <v>20</v>
      </c>
      <c r="P7" s="58">
        <v>16</v>
      </c>
      <c r="Q7" s="58">
        <f>Таблица2427[[#This Row],[Планируемые]]-Таблица2427[[#This Row],[Фактические]]</f>
        <v>4</v>
      </c>
      <c r="R7" s="26"/>
      <c r="S7" s="58" t="s">
        <v>59</v>
      </c>
      <c r="T7" s="26">
        <v>50</v>
      </c>
      <c r="U7" s="26">
        <v>45</v>
      </c>
      <c r="V7" s="27">
        <f>Таблица2020[[#This Row],[Фактический]] - Таблица2020[[#This Row],[Планируемый]]</f>
        <v>-5</v>
      </c>
      <c r="W7" s="57" t="str">
        <f>IF(Таблица2020[[#This Row],[Разница]]&gt;=0, "Есть!","Нет=(")</f>
        <v>Нет=(</v>
      </c>
      <c r="Z7" s="86" t="s">
        <v>38</v>
      </c>
      <c r="AA7" s="58">
        <v>20</v>
      </c>
      <c r="AB7" s="58">
        <v>15</v>
      </c>
      <c r="AC7" s="58">
        <f>Таблица24272[[#This Row],[Планируемые]]-Таблица24272[[#This Row],[Фактические]]</f>
        <v>5</v>
      </c>
      <c r="AD7" s="26"/>
      <c r="AE7" s="58" t="s">
        <v>59</v>
      </c>
      <c r="AF7" s="26">
        <v>40</v>
      </c>
      <c r="AG7" s="26">
        <v>45</v>
      </c>
      <c r="AH7" s="27">
        <f>Таблица20203[[#This Row],[Фактический]] - Таблица20203[[#This Row],[Планируемый]]</f>
        <v>5</v>
      </c>
      <c r="AI7" s="57" t="str">
        <f>IF(Таблица20203[[#This Row],[Разница]]&gt;=0, "Есть!","Нет=(")</f>
        <v>Есть!</v>
      </c>
      <c r="AL7" s="86" t="s">
        <v>38</v>
      </c>
      <c r="AM7" s="58">
        <v>20</v>
      </c>
      <c r="AN7" s="58">
        <v>11.5</v>
      </c>
      <c r="AO7" s="58">
        <f>Таблица242724[[#This Row],[Планируемые]]-Таблица242724[[#This Row],[Фактические]]</f>
        <v>8.5</v>
      </c>
      <c r="AP7" s="26"/>
      <c r="AQ7" s="58" t="s">
        <v>59</v>
      </c>
      <c r="AR7" s="26">
        <v>0</v>
      </c>
      <c r="AS7" s="26">
        <v>0</v>
      </c>
      <c r="AT7" s="27">
        <f>Таблица202035[[#This Row],[Фактический]] - Таблица202035[[#This Row],[Планируемый]]</f>
        <v>0</v>
      </c>
      <c r="AU7" s="57" t="str">
        <f>IF(Таблица202035[[#This Row],[Разница]]&gt;=0, "Есть!","Нет=(")</f>
        <v>Есть!</v>
      </c>
      <c r="AX7" s="83" t="s">
        <v>38</v>
      </c>
      <c r="AY7" s="58">
        <v>20</v>
      </c>
      <c r="AZ7" s="58">
        <v>0</v>
      </c>
      <c r="BA7" s="58">
        <f>Таблица2427247[[#This Row],[Планируемые]]-Таблица2427247[[#This Row],[Фактические]]</f>
        <v>20</v>
      </c>
      <c r="BB7" s="26"/>
      <c r="BC7" s="58" t="s">
        <v>59</v>
      </c>
      <c r="BD7" s="26">
        <v>0</v>
      </c>
      <c r="BE7" s="26">
        <v>0</v>
      </c>
      <c r="BF7" s="27">
        <f>Таблица2020358[[#This Row],[Фактический]] - Таблица2020358[[#This Row],[Планируемый]]</f>
        <v>0</v>
      </c>
      <c r="BG7" s="57" t="str">
        <f>IF(Таблица2020358[[#This Row],[Разница]]&gt;=0, "Есть!","Нет=(")</f>
        <v>Есть!</v>
      </c>
    </row>
    <row r="8" spans="2:59" ht="15.75" x14ac:dyDescent="0.25">
      <c r="B8" s="60" t="s">
        <v>1</v>
      </c>
      <c r="C8" s="58">
        <v>11</v>
      </c>
      <c r="D8" s="58">
        <v>11</v>
      </c>
      <c r="E8" s="58">
        <f>Таблица24[[#This Row],[Планируемые]]-Таблица24[[#This Row],[Фактические]]</f>
        <v>0</v>
      </c>
      <c r="F8" s="25"/>
      <c r="G8" s="71" t="s">
        <v>60</v>
      </c>
      <c r="H8" s="69">
        <v>0</v>
      </c>
      <c r="I8" s="69">
        <v>50</v>
      </c>
      <c r="J8" s="70">
        <f>Таблица20[[#This Row],[Фактический]] - Таблица20[[#This Row],[Планируемый]]</f>
        <v>50</v>
      </c>
      <c r="K8" s="57" t="str">
        <f>IF(Таблица20[[#This Row],[Разница]]&gt;=0, "Есть!","Нет=(")</f>
        <v>Есть!</v>
      </c>
      <c r="N8" s="86" t="s">
        <v>1</v>
      </c>
      <c r="O8" s="58">
        <v>11</v>
      </c>
      <c r="P8" s="58">
        <v>10.11</v>
      </c>
      <c r="Q8" s="58">
        <f>Таблица2427[[#This Row],[Планируемые]]-Таблица2427[[#This Row],[Фактические]]</f>
        <v>0.89000000000000057</v>
      </c>
      <c r="R8" s="26"/>
      <c r="S8" s="71" t="s">
        <v>60</v>
      </c>
      <c r="T8" s="69">
        <v>0</v>
      </c>
      <c r="U8" s="69">
        <v>50</v>
      </c>
      <c r="V8" s="70">
        <f>Таблица2020[[#This Row],[Фактический]] - Таблица2020[[#This Row],[Планируемый]]</f>
        <v>50</v>
      </c>
      <c r="W8" s="57" t="str">
        <f>IF(Таблица2020[[#This Row],[Разница]]&gt;=0, "Есть!","Нет=(")</f>
        <v>Есть!</v>
      </c>
      <c r="Z8" s="86" t="s">
        <v>1</v>
      </c>
      <c r="AA8" s="58">
        <v>11</v>
      </c>
      <c r="AB8" s="58">
        <v>11</v>
      </c>
      <c r="AC8" s="58">
        <f>Таблица24272[[#This Row],[Планируемые]]-Таблица24272[[#This Row],[Фактические]]</f>
        <v>0</v>
      </c>
      <c r="AD8" s="26"/>
      <c r="AE8" s="71" t="s">
        <v>60</v>
      </c>
      <c r="AF8" s="69">
        <v>20</v>
      </c>
      <c r="AG8" s="69">
        <v>5</v>
      </c>
      <c r="AH8" s="70">
        <f>Таблица20203[[#This Row],[Фактический]] - Таблица20203[[#This Row],[Планируемый]]</f>
        <v>-15</v>
      </c>
      <c r="AI8" s="57" t="str">
        <f>IF(Таблица20203[[#This Row],[Разница]]&gt;=0, "Есть!","Нет=(")</f>
        <v>Нет=(</v>
      </c>
      <c r="AL8" s="86" t="s">
        <v>1</v>
      </c>
      <c r="AM8" s="58">
        <v>11</v>
      </c>
      <c r="AN8" s="58">
        <v>10.11</v>
      </c>
      <c r="AO8" s="58">
        <f>Таблица242724[[#This Row],[Планируемые]]-Таблица242724[[#This Row],[Фактические]]</f>
        <v>0.89000000000000057</v>
      </c>
      <c r="AP8" s="26"/>
      <c r="AQ8" s="71" t="s">
        <v>60</v>
      </c>
      <c r="AR8" s="69">
        <v>40</v>
      </c>
      <c r="AS8" s="69">
        <v>40</v>
      </c>
      <c r="AT8" s="70">
        <f>Таблица202035[[#This Row],[Фактический]] - Таблица202035[[#This Row],[Планируемый]]</f>
        <v>0</v>
      </c>
      <c r="AU8" s="57" t="str">
        <f>IF(Таблица202035[[#This Row],[Разница]]&gt;=0, "Есть!","Нет=(")</f>
        <v>Есть!</v>
      </c>
      <c r="AX8" s="83" t="s">
        <v>1</v>
      </c>
      <c r="AY8" s="58">
        <v>11</v>
      </c>
      <c r="AZ8" s="58">
        <v>0</v>
      </c>
      <c r="BA8" s="58">
        <f>Таблица2427247[[#This Row],[Планируемые]]-Таблица2427247[[#This Row],[Фактические]]</f>
        <v>11</v>
      </c>
      <c r="BB8" s="26"/>
      <c r="BC8" s="71" t="s">
        <v>60</v>
      </c>
      <c r="BD8" s="69">
        <v>0</v>
      </c>
      <c r="BE8" s="69">
        <v>0</v>
      </c>
      <c r="BF8" s="70">
        <f>Таблица2020358[[#This Row],[Фактический]] - Таблица2020358[[#This Row],[Планируемый]]</f>
        <v>0</v>
      </c>
      <c r="BG8" s="57" t="str">
        <f>IF(Таблица2020358[[#This Row],[Разница]]&gt;=0, "Есть!","Нет=(")</f>
        <v>Есть!</v>
      </c>
    </row>
    <row r="9" spans="2:59" ht="15.75" x14ac:dyDescent="0.25">
      <c r="B9" s="60" t="s">
        <v>39</v>
      </c>
      <c r="C9" s="58">
        <v>15</v>
      </c>
      <c r="D9" s="58">
        <v>15</v>
      </c>
      <c r="E9" s="58">
        <f>Таблица24[[#This Row],[Планируемые]]-Таблица24[[#This Row],[Фактические]]</f>
        <v>0</v>
      </c>
      <c r="F9" s="25"/>
      <c r="G9" s="71" t="s">
        <v>61</v>
      </c>
      <c r="H9" s="69">
        <v>200</v>
      </c>
      <c r="I9" s="69">
        <v>200</v>
      </c>
      <c r="J9" s="70">
        <f>Таблица20[[#This Row],[Фактический]] - Таблица20[[#This Row],[Планируемый]]</f>
        <v>0</v>
      </c>
      <c r="K9" s="57" t="str">
        <f>IF(Таблица20[[#This Row],[Разница]]&gt;=0, "Есть!","Нет=(")</f>
        <v>Есть!</v>
      </c>
      <c r="N9" s="86" t="s">
        <v>39</v>
      </c>
      <c r="O9" s="58">
        <v>15</v>
      </c>
      <c r="P9" s="58">
        <v>15</v>
      </c>
      <c r="Q9" s="58">
        <f>Таблица2427[[#This Row],[Планируемые]]-Таблица2427[[#This Row],[Фактические]]</f>
        <v>0</v>
      </c>
      <c r="R9" s="26"/>
      <c r="S9" s="71" t="s">
        <v>61</v>
      </c>
      <c r="T9" s="69">
        <v>200</v>
      </c>
      <c r="U9" s="69">
        <v>200</v>
      </c>
      <c r="V9" s="70">
        <f>Таблица2020[[#This Row],[Фактический]] - Таблица2020[[#This Row],[Планируемый]]</f>
        <v>0</v>
      </c>
      <c r="W9" s="57" t="str">
        <f>IF(Таблица2020[[#This Row],[Разница]]&gt;=0, "Есть!","Нет=(")</f>
        <v>Есть!</v>
      </c>
      <c r="Z9" s="86" t="s">
        <v>39</v>
      </c>
      <c r="AA9" s="58">
        <v>15</v>
      </c>
      <c r="AB9" s="58">
        <v>15</v>
      </c>
      <c r="AC9" s="58">
        <f>Таблица24272[[#This Row],[Планируемые]]-Таблица24272[[#This Row],[Фактические]]</f>
        <v>0</v>
      </c>
      <c r="AD9" s="26"/>
      <c r="AE9" s="71" t="s">
        <v>61</v>
      </c>
      <c r="AF9" s="69">
        <v>10</v>
      </c>
      <c r="AG9" s="69">
        <v>10</v>
      </c>
      <c r="AH9" s="70">
        <f>Таблица20203[[#This Row],[Фактический]] - Таблица20203[[#This Row],[Планируемый]]</f>
        <v>0</v>
      </c>
      <c r="AI9" s="57" t="str">
        <f>IF(Таблица20203[[#This Row],[Разница]]&gt;=0, "Есть!","Нет=(")</f>
        <v>Есть!</v>
      </c>
      <c r="AL9" s="86" t="s">
        <v>39</v>
      </c>
      <c r="AM9" s="58">
        <v>15</v>
      </c>
      <c r="AN9" s="58">
        <v>15</v>
      </c>
      <c r="AO9" s="58">
        <f>Таблица242724[[#This Row],[Планируемые]]-Таблица242724[[#This Row],[Фактические]]</f>
        <v>0</v>
      </c>
      <c r="AP9" s="26"/>
      <c r="AQ9" s="71" t="s">
        <v>61</v>
      </c>
      <c r="AR9" s="69">
        <v>0</v>
      </c>
      <c r="AS9" s="69">
        <v>0</v>
      </c>
      <c r="AT9" s="70">
        <f>Таблица202035[[#This Row],[Фактический]] - Таблица202035[[#This Row],[Планируемый]]</f>
        <v>0</v>
      </c>
      <c r="AU9" s="57" t="str">
        <f>IF(Таблица202035[[#This Row],[Разница]]&gt;=0, "Есть!","Нет=(")</f>
        <v>Есть!</v>
      </c>
      <c r="AX9" s="83" t="s">
        <v>39</v>
      </c>
      <c r="AY9" s="58">
        <v>15</v>
      </c>
      <c r="AZ9" s="58">
        <v>0</v>
      </c>
      <c r="BA9" s="58">
        <f>Таблица2427247[[#This Row],[Планируемые]]-Таблица2427247[[#This Row],[Фактические]]</f>
        <v>15</v>
      </c>
      <c r="BB9" s="26"/>
      <c r="BC9" s="71" t="s">
        <v>61</v>
      </c>
      <c r="BD9" s="69">
        <v>0</v>
      </c>
      <c r="BE9" s="69">
        <v>0</v>
      </c>
      <c r="BF9" s="70">
        <f>Таблица2020358[[#This Row],[Фактический]] - Таблица2020358[[#This Row],[Планируемый]]</f>
        <v>0</v>
      </c>
      <c r="BG9" s="57" t="str">
        <f>IF(Таблица2020358[[#This Row],[Разница]]&gt;=0, "Есть!","Нет=(")</f>
        <v>Есть!</v>
      </c>
    </row>
    <row r="10" spans="2:59" ht="15.75" x14ac:dyDescent="0.25">
      <c r="B10" s="60" t="s">
        <v>40</v>
      </c>
      <c r="C10" s="58">
        <v>125</v>
      </c>
      <c r="D10" s="58">
        <f>97.6+24.2</f>
        <v>121.8</v>
      </c>
      <c r="E10" s="58">
        <f>Таблица24[[#This Row],[Планируемые]]-Таблица24[[#This Row],[Фактические]]</f>
        <v>3.2000000000000028</v>
      </c>
      <c r="F10" s="25"/>
      <c r="G10" s="58" t="s">
        <v>2</v>
      </c>
      <c r="H10" s="26">
        <v>178</v>
      </c>
      <c r="I10" s="26">
        <v>193</v>
      </c>
      <c r="J10" s="27">
        <f>Таблица20[[#This Row],[Фактический]] - Таблица20[[#This Row],[Планируемый]]</f>
        <v>15</v>
      </c>
      <c r="K10" s="57" t="str">
        <f>IF(Таблица20[[#This Row],[Разница]]&gt;=0, "Есть!","Нет=(")</f>
        <v>Есть!</v>
      </c>
      <c r="N10" s="86" t="s">
        <v>40</v>
      </c>
      <c r="O10" s="58">
        <v>125</v>
      </c>
      <c r="P10" s="58">
        <v>130.65</v>
      </c>
      <c r="Q10" s="58">
        <f>Таблица2427[[#This Row],[Планируемые]]-Таблица2427[[#This Row],[Фактические]]</f>
        <v>-5.6500000000000057</v>
      </c>
      <c r="R10" s="26"/>
      <c r="S10" s="58" t="s">
        <v>2</v>
      </c>
      <c r="T10" s="26">
        <v>0</v>
      </c>
      <c r="U10" s="26">
        <v>20</v>
      </c>
      <c r="V10" s="27">
        <f>Таблица2020[[#This Row],[Фактический]] - Таблица2020[[#This Row],[Планируемый]]</f>
        <v>20</v>
      </c>
      <c r="W10" s="57" t="str">
        <f>IF(Таблица2020[[#This Row],[Разница]]&gt;=0, "Есть!","Нет=(")</f>
        <v>Есть!</v>
      </c>
      <c r="Z10" s="86" t="s">
        <v>40</v>
      </c>
      <c r="AA10" s="58">
        <v>140</v>
      </c>
      <c r="AB10" s="58">
        <v>137.44999999999999</v>
      </c>
      <c r="AC10" s="58">
        <f>Таблица24272[[#This Row],[Планируемые]]-Таблица24272[[#This Row],[Фактические]]</f>
        <v>2.5500000000000114</v>
      </c>
      <c r="AD10" s="26"/>
      <c r="AE10" s="58" t="s">
        <v>2</v>
      </c>
      <c r="AF10" s="26">
        <v>60</v>
      </c>
      <c r="AG10" s="26">
        <v>60</v>
      </c>
      <c r="AH10" s="27">
        <f>Таблица20203[[#This Row],[Фактический]] - Таблица20203[[#This Row],[Планируемый]]</f>
        <v>0</v>
      </c>
      <c r="AI10" s="57" t="str">
        <f>IF(Таблица20203[[#This Row],[Разница]]&gt;=0, "Есть!","Нет=(")</f>
        <v>Есть!</v>
      </c>
      <c r="AL10" s="86" t="s">
        <v>40</v>
      </c>
      <c r="AM10" s="58">
        <v>140</v>
      </c>
      <c r="AN10" s="58">
        <v>132</v>
      </c>
      <c r="AO10" s="58">
        <f>Таблица242724[[#This Row],[Планируемые]]-Таблица242724[[#This Row],[Фактические]]</f>
        <v>8</v>
      </c>
      <c r="AP10" s="26"/>
      <c r="AQ10" s="58" t="s">
        <v>2</v>
      </c>
      <c r="AR10" s="26">
        <v>165</v>
      </c>
      <c r="AS10" s="26">
        <v>172</v>
      </c>
      <c r="AT10" s="27">
        <f>Таблица202035[[#This Row],[Фактический]] - Таблица202035[[#This Row],[Планируемый]]</f>
        <v>7</v>
      </c>
      <c r="AU10" s="57" t="str">
        <f>IF(Таблица202035[[#This Row],[Разница]]&gt;=0, "Есть!","Нет=(")</f>
        <v>Есть!</v>
      </c>
      <c r="AX10" s="83" t="s">
        <v>40</v>
      </c>
      <c r="AY10" s="58">
        <v>30</v>
      </c>
      <c r="AZ10" s="58">
        <v>1.92</v>
      </c>
      <c r="BA10" s="58">
        <f>Таблица2427247[[#This Row],[Планируемые]]-Таблица2427247[[#This Row],[Фактические]]</f>
        <v>28.08</v>
      </c>
      <c r="BB10" s="26"/>
      <c r="BC10" s="58" t="s">
        <v>2</v>
      </c>
      <c r="BD10" s="26">
        <v>40</v>
      </c>
      <c r="BE10" s="26">
        <v>172</v>
      </c>
      <c r="BF10" s="27">
        <f>Таблица2020358[[#This Row],[Фактический]] - Таблица2020358[[#This Row],[Планируемый]]</f>
        <v>132</v>
      </c>
      <c r="BG10" s="57" t="str">
        <f>IF(Таблица2020358[[#This Row],[Разница]]&gt;=0, "Есть!","Нет=(")</f>
        <v>Есть!</v>
      </c>
    </row>
    <row r="11" spans="2:59" ht="15.75" x14ac:dyDescent="0.25">
      <c r="B11" s="60" t="s">
        <v>49</v>
      </c>
      <c r="C11" s="58">
        <v>18</v>
      </c>
      <c r="D11" s="58">
        <v>18</v>
      </c>
      <c r="E11" s="58">
        <f>Таблица24[[#This Row],[Планируемые]]-Таблица24[[#This Row],[Фактические]]</f>
        <v>0</v>
      </c>
      <c r="F11" s="25"/>
      <c r="G11" s="68" t="s">
        <v>36</v>
      </c>
      <c r="H11" s="69">
        <f>SUM(H5:H10)</f>
        <v>708</v>
      </c>
      <c r="I11" s="69">
        <f>SUM(I5:I10)</f>
        <v>779</v>
      </c>
      <c r="J11" s="70">
        <f>SUM(J5:J10)</f>
        <v>71</v>
      </c>
      <c r="K11" s="57" t="str">
        <f>IF(Таблица20[[#This Row],[Разница]]&gt;=0, "Есть!","Нет=(")</f>
        <v>Есть!</v>
      </c>
      <c r="N11" s="86" t="s">
        <v>49</v>
      </c>
      <c r="O11" s="58">
        <v>18</v>
      </c>
      <c r="P11" s="58">
        <v>20.3</v>
      </c>
      <c r="Q11" s="58">
        <f>Таблица2427[[#This Row],[Планируемые]]-Таблица2427[[#This Row],[Фактические]]</f>
        <v>-2.3000000000000007</v>
      </c>
      <c r="R11" s="26"/>
      <c r="S11" s="68" t="s">
        <v>36</v>
      </c>
      <c r="T11" s="69">
        <f>SUM(T5:T10)</f>
        <v>700</v>
      </c>
      <c r="U11" s="69">
        <f>SUM(U5:U10)</f>
        <v>779</v>
      </c>
      <c r="V11" s="70">
        <f>SUM(V5:V10)</f>
        <v>79</v>
      </c>
      <c r="W11" s="57" t="str">
        <f>IF(Таблица2020[[#This Row],[Разница]]&gt;=0, "Есть!","Нет=(")</f>
        <v>Есть!</v>
      </c>
      <c r="Z11" s="86" t="s">
        <v>49</v>
      </c>
      <c r="AA11" s="58">
        <v>18</v>
      </c>
      <c r="AB11" s="58">
        <v>18</v>
      </c>
      <c r="AC11" s="58">
        <f>Таблица24272[[#This Row],[Планируемые]]-Таблица24272[[#This Row],[Фактические]]</f>
        <v>0</v>
      </c>
      <c r="AD11" s="26"/>
      <c r="AE11" s="68" t="s">
        <v>36</v>
      </c>
      <c r="AF11" s="69">
        <f>SUM(AF5:AF10)</f>
        <v>580</v>
      </c>
      <c r="AG11" s="69">
        <f>SUM(AG5:AG10)</f>
        <v>580</v>
      </c>
      <c r="AH11" s="70">
        <f>SUM(AH5:AH10)</f>
        <v>0</v>
      </c>
      <c r="AI11" s="57" t="str">
        <f>IF(Таблица20203[[#This Row],[Разница]]&gt;=0, "Есть!","Нет=(")</f>
        <v>Есть!</v>
      </c>
      <c r="AL11" s="86"/>
      <c r="AM11" s="58">
        <v>0</v>
      </c>
      <c r="AN11" s="58">
        <v>0</v>
      </c>
      <c r="AO11" s="58">
        <f>Таблица242724[[#This Row],[Планируемые]]-Таблица242724[[#This Row],[Фактические]]</f>
        <v>0</v>
      </c>
      <c r="AP11" s="26"/>
      <c r="AQ11" s="68" t="s">
        <v>36</v>
      </c>
      <c r="AR11" s="69">
        <f>SUM(AR5:AR10)</f>
        <v>545</v>
      </c>
      <c r="AS11" s="69">
        <f>SUM(AS5:AS10)</f>
        <v>567.24</v>
      </c>
      <c r="AT11" s="70">
        <f>SUM(AT5:AT10)</f>
        <v>22.240000000000009</v>
      </c>
      <c r="AU11" s="57" t="str">
        <f>IF(Таблица202035[[#This Row],[Разница]]&gt;=0, "Есть!","Нет=(")</f>
        <v>Есть!</v>
      </c>
      <c r="AX11" s="86"/>
      <c r="AY11" s="58">
        <v>0</v>
      </c>
      <c r="AZ11" s="58">
        <v>0</v>
      </c>
      <c r="BA11" s="58">
        <f>Таблица2427247[[#This Row],[Планируемые]]-Таблица2427247[[#This Row],[Фактические]]</f>
        <v>0</v>
      </c>
      <c r="BB11" s="26"/>
      <c r="BC11" s="68" t="s">
        <v>36</v>
      </c>
      <c r="BD11" s="69">
        <f>SUM(BD5:BD10)</f>
        <v>490</v>
      </c>
      <c r="BE11" s="69">
        <f>SUM(BE5:BE10)</f>
        <v>172</v>
      </c>
      <c r="BF11" s="70">
        <f>SUM(BF5:BF10)</f>
        <v>-318</v>
      </c>
      <c r="BG11" s="57" t="str">
        <f>IF(Таблица2020358[[#This Row],[Разница]]&gt;=0, "Есть!","Нет=(")</f>
        <v>Нет=(</v>
      </c>
    </row>
    <row r="12" spans="2:59" ht="15.75" x14ac:dyDescent="0.25">
      <c r="B12" s="60" t="s">
        <v>41</v>
      </c>
      <c r="C12" s="58">
        <v>30</v>
      </c>
      <c r="D12" s="58">
        <v>30</v>
      </c>
      <c r="E12" s="58">
        <f>Таблица24[[#This Row],[Планируемые]]-Таблица24[[#This Row],[Фактические]]</f>
        <v>0</v>
      </c>
      <c r="F12" s="25"/>
      <c r="G12" s="58"/>
      <c r="H12" s="58"/>
      <c r="I12" s="26"/>
      <c r="J12" s="27"/>
      <c r="N12" s="86" t="s">
        <v>41</v>
      </c>
      <c r="O12" s="58">
        <v>30</v>
      </c>
      <c r="P12" s="58">
        <v>30</v>
      </c>
      <c r="Q12" s="58">
        <f>Таблица2427[[#This Row],[Планируемые]]-Таблица2427[[#This Row],[Фактические]]</f>
        <v>0</v>
      </c>
      <c r="R12" s="26"/>
      <c r="S12" s="58"/>
      <c r="T12" s="58"/>
      <c r="U12" s="26"/>
      <c r="V12" s="27"/>
      <c r="Z12" s="86" t="s">
        <v>41</v>
      </c>
      <c r="AA12" s="58">
        <v>0</v>
      </c>
      <c r="AB12" s="58">
        <v>10</v>
      </c>
      <c r="AC12" s="58">
        <f>Таблица24272[[#This Row],[Планируемые]]-Таблица24272[[#This Row],[Фактические]]</f>
        <v>-10</v>
      </c>
      <c r="AD12" s="26"/>
      <c r="AE12" s="58"/>
      <c r="AF12" s="58"/>
      <c r="AG12" s="26"/>
      <c r="AH12" s="27"/>
      <c r="AL12" s="86" t="s">
        <v>41</v>
      </c>
      <c r="AM12" s="58">
        <v>15</v>
      </c>
      <c r="AN12" s="58">
        <v>15</v>
      </c>
      <c r="AO12" s="58">
        <f>Таблица242724[[#This Row],[Планируемые]]-Таблица242724[[#This Row],[Фактические]]</f>
        <v>0</v>
      </c>
      <c r="AP12" s="26"/>
      <c r="AQ12" s="58"/>
      <c r="AR12" s="58"/>
      <c r="AS12" s="26"/>
      <c r="AT12" s="27"/>
      <c r="AX12" s="83" t="s">
        <v>41</v>
      </c>
      <c r="AY12" s="58">
        <v>27</v>
      </c>
      <c r="AZ12" s="58">
        <v>0</v>
      </c>
      <c r="BA12" s="58">
        <f>Таблица2427247[[#This Row],[Планируемые]]-Таблица2427247[[#This Row],[Фактические]]</f>
        <v>27</v>
      </c>
      <c r="BB12" s="26"/>
      <c r="BC12" s="58"/>
      <c r="BD12" s="58"/>
      <c r="BE12" s="26"/>
      <c r="BF12" s="27"/>
    </row>
    <row r="13" spans="2:59" ht="15.75" x14ac:dyDescent="0.25">
      <c r="B13" s="85" t="s">
        <v>42</v>
      </c>
      <c r="C13" s="58">
        <v>20</v>
      </c>
      <c r="D13" s="58">
        <v>20</v>
      </c>
      <c r="E13" s="58">
        <f>Таблица24[[#This Row],[Планируемые]]-Таблица24[[#This Row],[Фактические]]</f>
        <v>0</v>
      </c>
      <c r="F13" s="25"/>
      <c r="G13" s="58"/>
      <c r="H13" s="58"/>
      <c r="I13" s="58"/>
      <c r="J13" s="27"/>
      <c r="N13" s="86" t="s">
        <v>42</v>
      </c>
      <c r="O13" s="58">
        <v>20</v>
      </c>
      <c r="P13" s="58">
        <v>20</v>
      </c>
      <c r="Q13" s="58">
        <f>Таблица2427[[#This Row],[Планируемые]]-Таблица2427[[#This Row],[Фактические]]</f>
        <v>0</v>
      </c>
      <c r="R13" s="26"/>
      <c r="S13" s="58" t="s">
        <v>77</v>
      </c>
      <c r="T13" s="58" t="s">
        <v>78</v>
      </c>
      <c r="U13" s="58"/>
      <c r="V13" s="27"/>
      <c r="Z13" s="86" t="s">
        <v>42</v>
      </c>
      <c r="AA13" s="58">
        <v>0</v>
      </c>
      <c r="AB13" s="58">
        <v>0</v>
      </c>
      <c r="AC13" s="58">
        <f>Таблица24272[[#This Row],[Планируемые]]-Таблица24272[[#This Row],[Фактические]]</f>
        <v>0</v>
      </c>
      <c r="AD13" s="26"/>
      <c r="AE13" s="58" t="s">
        <v>77</v>
      </c>
      <c r="AF13" s="58"/>
      <c r="AG13" s="58"/>
      <c r="AH13" s="27"/>
      <c r="AL13" s="86"/>
      <c r="AM13" s="58">
        <v>0</v>
      </c>
      <c r="AN13" s="58">
        <v>0</v>
      </c>
      <c r="AO13" s="58">
        <f>Таблица242724[[#This Row],[Планируемые]]-Таблица242724[[#This Row],[Фактические]]</f>
        <v>0</v>
      </c>
      <c r="AP13" s="26"/>
      <c r="AQ13" s="58" t="s">
        <v>77</v>
      </c>
      <c r="AR13" s="58"/>
      <c r="AS13" s="58"/>
      <c r="AT13" s="27"/>
      <c r="AX13" s="86"/>
      <c r="AY13" s="58">
        <v>0</v>
      </c>
      <c r="AZ13" s="58">
        <v>0</v>
      </c>
      <c r="BA13" s="58">
        <f>Таблица2427247[[#This Row],[Планируемые]]-Таблица2427247[[#This Row],[Фактические]]</f>
        <v>0</v>
      </c>
      <c r="BB13" s="26"/>
      <c r="BC13" s="58" t="s">
        <v>77</v>
      </c>
      <c r="BD13" s="58"/>
      <c r="BE13" s="58"/>
      <c r="BF13" s="27"/>
    </row>
    <row r="14" spans="2:59" ht="15.75" x14ac:dyDescent="0.25">
      <c r="B14" s="60" t="s">
        <v>45</v>
      </c>
      <c r="C14" s="58">
        <v>15</v>
      </c>
      <c r="D14" s="73">
        <v>15</v>
      </c>
      <c r="E14" s="58">
        <f>Таблица24[[#This Row],[Планируемые]]-Таблица24[[#This Row],[Фактические]]</f>
        <v>0</v>
      </c>
      <c r="F14" s="25"/>
      <c r="G14" s="26"/>
      <c r="H14" s="58"/>
      <c r="I14" s="58"/>
      <c r="J14" s="27"/>
      <c r="N14" s="86" t="s">
        <v>45</v>
      </c>
      <c r="O14" s="58">
        <v>20</v>
      </c>
      <c r="P14" s="58">
        <v>15.1</v>
      </c>
      <c r="Q14" s="58">
        <f>Таблица2427[[#This Row],[Планируемые]]-Таблица2427[[#This Row],[Фактические]]</f>
        <v>4.9000000000000004</v>
      </c>
      <c r="R14" s="26"/>
      <c r="S14" s="26"/>
      <c r="T14" s="58"/>
      <c r="U14" s="58"/>
      <c r="V14" s="27"/>
      <c r="Z14" s="83" t="s">
        <v>45</v>
      </c>
      <c r="AA14" s="58">
        <v>20</v>
      </c>
      <c r="AB14" s="58">
        <v>16.45</v>
      </c>
      <c r="AC14" s="58">
        <f>Таблица24272[[#This Row],[Планируемые]]-Таблица24272[[#This Row],[Фактические]]</f>
        <v>3.5500000000000007</v>
      </c>
      <c r="AD14" s="26"/>
      <c r="AE14" s="26"/>
      <c r="AF14" s="58"/>
      <c r="AG14" s="58"/>
      <c r="AH14" s="27"/>
      <c r="AL14" s="83" t="s">
        <v>89</v>
      </c>
      <c r="AM14" s="58">
        <v>12</v>
      </c>
      <c r="AN14" s="58">
        <v>0</v>
      </c>
      <c r="AO14" s="58">
        <f>Таблица242724[[#This Row],[Планируемые]]-Таблица242724[[#This Row],[Фактические]]</f>
        <v>12</v>
      </c>
      <c r="AP14" s="26"/>
      <c r="AQ14" s="26"/>
      <c r="AR14" s="58"/>
      <c r="AS14" s="58"/>
      <c r="AT14" s="27"/>
      <c r="AX14" s="83" t="s">
        <v>89</v>
      </c>
      <c r="AY14" s="58">
        <v>12</v>
      </c>
      <c r="AZ14" s="58">
        <v>0</v>
      </c>
      <c r="BA14" s="58">
        <f>Таблица2427247[[#This Row],[Планируемые]]-Таблица2427247[[#This Row],[Фактические]]</f>
        <v>12</v>
      </c>
      <c r="BB14" s="26"/>
      <c r="BC14" s="26"/>
      <c r="BD14" s="58"/>
      <c r="BE14" s="58"/>
      <c r="BF14" s="27"/>
    </row>
    <row r="15" spans="2:59" ht="15.75" x14ac:dyDescent="0.25">
      <c r="B15" s="63"/>
      <c r="C15" s="64" t="s">
        <v>44</v>
      </c>
      <c r="D15" s="64"/>
      <c r="E15" s="64"/>
      <c r="F15" s="25"/>
      <c r="G15" s="71" t="s">
        <v>48</v>
      </c>
      <c r="H15" s="58">
        <v>31</v>
      </c>
      <c r="I15" s="58"/>
      <c r="J15" s="27"/>
      <c r="N15" s="64"/>
      <c r="O15" s="64" t="s">
        <v>44</v>
      </c>
      <c r="P15" s="64">
        <f>SUM(P6:P14)</f>
        <v>285.16000000000003</v>
      </c>
      <c r="Q15" s="64"/>
      <c r="R15" s="26"/>
      <c r="S15" s="71" t="s">
        <v>48</v>
      </c>
      <c r="T15" s="58">
        <v>31</v>
      </c>
      <c r="U15" s="58"/>
      <c r="V15" s="27"/>
      <c r="Z15" s="64"/>
      <c r="AA15" s="64" t="s">
        <v>44</v>
      </c>
      <c r="AB15" s="64">
        <f>SUM(AB6:AB14)</f>
        <v>256.89999999999998</v>
      </c>
      <c r="AC15" s="64"/>
      <c r="AD15" s="26"/>
      <c r="AE15" s="71" t="s">
        <v>48</v>
      </c>
      <c r="AF15" s="58">
        <v>30</v>
      </c>
      <c r="AG15" s="58"/>
      <c r="AH15" s="27"/>
      <c r="AL15" s="64"/>
      <c r="AM15" s="64" t="s">
        <v>44</v>
      </c>
      <c r="AN15" s="64">
        <f>SUM(AN6:AN14)</f>
        <v>208.61</v>
      </c>
      <c r="AO15" s="64"/>
      <c r="AP15" s="26"/>
      <c r="AQ15" s="71" t="s">
        <v>48</v>
      </c>
      <c r="AR15" s="58">
        <v>31</v>
      </c>
      <c r="AS15" s="58"/>
      <c r="AT15" s="27"/>
      <c r="AX15" s="64"/>
      <c r="AY15" s="64" t="s">
        <v>44</v>
      </c>
      <c r="AZ15" s="64">
        <f>SUM(AZ6:AZ14)</f>
        <v>1.92</v>
      </c>
      <c r="BA15" s="64"/>
      <c r="BB15" s="26"/>
      <c r="BC15" s="71" t="s">
        <v>48</v>
      </c>
      <c r="BD15" s="58">
        <v>30</v>
      </c>
      <c r="BE15" s="58"/>
      <c r="BF15" s="27"/>
    </row>
    <row r="16" spans="2:59" ht="15.75" x14ac:dyDescent="0.25">
      <c r="B16" s="59" t="s">
        <v>50</v>
      </c>
      <c r="C16" s="43">
        <v>100</v>
      </c>
      <c r="D16" s="43">
        <v>100</v>
      </c>
      <c r="E16" s="58">
        <f>Таблица24[[#This Row],[Планируемые]]-Таблица24[[#This Row],[Фактические]]</f>
        <v>0</v>
      </c>
      <c r="F16" s="25"/>
      <c r="G16" s="71" t="s">
        <v>67</v>
      </c>
      <c r="H16" s="58">
        <f>H11-C24</f>
        <v>209</v>
      </c>
      <c r="I16" s="58" t="str">
        <f>IF(H16&gt;200, "может хватит", "Голодать будете")</f>
        <v>может хватит</v>
      </c>
      <c r="J16" s="27"/>
      <c r="N16" s="87" t="s">
        <v>79</v>
      </c>
      <c r="O16" s="43">
        <v>20</v>
      </c>
      <c r="P16" s="43">
        <v>20</v>
      </c>
      <c r="Q16" s="58">
        <f>Таблица2427[[#This Row],[Планируемые]]-Таблица2427[[#This Row],[Фактические]]</f>
        <v>0</v>
      </c>
      <c r="R16" s="26"/>
      <c r="S16" s="71" t="s">
        <v>67</v>
      </c>
      <c r="T16" s="58">
        <f>T11-O25</f>
        <v>240</v>
      </c>
      <c r="U16" s="58" t="str">
        <f>IF(T16&gt;200, "может хватит", "Голодать будете")</f>
        <v>может хватит</v>
      </c>
      <c r="V16" s="27"/>
      <c r="Z16" s="87" t="s">
        <v>81</v>
      </c>
      <c r="AA16" s="43">
        <v>20</v>
      </c>
      <c r="AB16" s="43">
        <v>20</v>
      </c>
      <c r="AC16" s="58">
        <f>Таблица24272[[#This Row],[Планируемые]]-Таблица24272[[#This Row],[Фактические]]</f>
        <v>0</v>
      </c>
      <c r="AD16" s="26"/>
      <c r="AE16" s="71" t="s">
        <v>67</v>
      </c>
      <c r="AF16" s="58">
        <f>AF11-AA24</f>
        <v>251</v>
      </c>
      <c r="AG16" s="58" t="str">
        <f>IF(AF16&gt;200, "может хватит", "Голодать будете")</f>
        <v>может хватит</v>
      </c>
      <c r="AH16" s="27"/>
      <c r="AL16" s="92" t="s">
        <v>85</v>
      </c>
      <c r="AM16" s="43">
        <v>10</v>
      </c>
      <c r="AN16" s="43">
        <v>10</v>
      </c>
      <c r="AO16" s="58">
        <f>Таблица242724[[#This Row],[Планируемые]]-Таблица242724[[#This Row],[Фактические]]</f>
        <v>0</v>
      </c>
      <c r="AP16" s="26"/>
      <c r="AQ16" s="71" t="s">
        <v>67</v>
      </c>
      <c r="AR16" s="58">
        <f>AR11-AM24</f>
        <v>167.5</v>
      </c>
      <c r="AS16" s="58" t="str">
        <f>IF(AR16&gt;200, "может хватит", "Голодать будете")</f>
        <v>Голодать будете</v>
      </c>
      <c r="AT16" s="27"/>
      <c r="AX16" s="92" t="s">
        <v>85</v>
      </c>
      <c r="AY16" s="43">
        <v>15</v>
      </c>
      <c r="AZ16" s="43">
        <v>0</v>
      </c>
      <c r="BA16" s="58">
        <f>Таблица2427247[[#This Row],[Планируемые]]-Таблица2427247[[#This Row],[Фактические]]</f>
        <v>15</v>
      </c>
      <c r="BB16" s="26"/>
      <c r="BC16" s="71" t="s">
        <v>67</v>
      </c>
      <c r="BD16" s="58">
        <f>BD11-AY24</f>
        <v>203</v>
      </c>
      <c r="BE16" s="58" t="str">
        <f>IF(BD16&gt;200, "может хватит", "Голодать будете")</f>
        <v>может хватит</v>
      </c>
      <c r="BF16" s="27"/>
    </row>
    <row r="17" spans="2:58" ht="15.75" x14ac:dyDescent="0.25">
      <c r="B17" s="85" t="s">
        <v>51</v>
      </c>
      <c r="C17" s="58">
        <v>20</v>
      </c>
      <c r="D17" s="58">
        <v>20</v>
      </c>
      <c r="E17" s="58">
        <f>Таблица24[[#This Row],[Планируемые]]-Таблица24[[#This Row],[Фактические]]</f>
        <v>0</v>
      </c>
      <c r="F17" s="25"/>
      <c r="G17" s="71" t="s">
        <v>47</v>
      </c>
      <c r="H17" s="73">
        <f>(H16)/H15</f>
        <v>6.741935483870968</v>
      </c>
      <c r="I17" s="73">
        <f>(I11-D24)/H15</f>
        <v>8.7064516129032246</v>
      </c>
      <c r="J17" s="27"/>
      <c r="N17" s="86" t="s">
        <v>51</v>
      </c>
      <c r="O17" s="58">
        <v>20</v>
      </c>
      <c r="P17" s="58">
        <v>0</v>
      </c>
      <c r="Q17" s="58">
        <f>Таблица2427[[#This Row],[Планируемые]]-Таблица2427[[#This Row],[Фактические]]</f>
        <v>20</v>
      </c>
      <c r="R17" s="26"/>
      <c r="S17" s="71" t="s">
        <v>47</v>
      </c>
      <c r="T17" s="73">
        <f>(T16)/T15</f>
        <v>7.741935483870968</v>
      </c>
      <c r="U17" s="73">
        <f>(U11-P25)/T15</f>
        <v>11.517419354838706</v>
      </c>
      <c r="V17" s="27"/>
      <c r="Z17" s="86" t="s">
        <v>53</v>
      </c>
      <c r="AA17" s="58">
        <v>5</v>
      </c>
      <c r="AB17" s="58">
        <v>5</v>
      </c>
      <c r="AC17" s="58">
        <f>Таблица24272[[#This Row],[Планируемые]]-Таблица24272[[#This Row],[Фактические]]</f>
        <v>0</v>
      </c>
      <c r="AD17" s="26"/>
      <c r="AE17" s="71" t="s">
        <v>47</v>
      </c>
      <c r="AF17" s="73">
        <f>(AF16)/AF15</f>
        <v>8.3666666666666671</v>
      </c>
      <c r="AG17" s="73">
        <f>(AG11-AB24)/AF15</f>
        <v>8.4966666666666679</v>
      </c>
      <c r="AH17" s="27"/>
      <c r="AL17" s="86" t="s">
        <v>86</v>
      </c>
      <c r="AM17" s="58">
        <v>20</v>
      </c>
      <c r="AN17" s="58">
        <v>14.8</v>
      </c>
      <c r="AO17" s="58">
        <f>Таблица242724[[#This Row],[Планируемые]]-Таблица242724[[#This Row],[Фактические]]</f>
        <v>5.1999999999999993</v>
      </c>
      <c r="AP17" s="26"/>
      <c r="AQ17" s="71" t="s">
        <v>47</v>
      </c>
      <c r="AR17" s="73">
        <f>(AR16)/AR15</f>
        <v>5.403225806451613</v>
      </c>
      <c r="AS17" s="73">
        <f>(AS11-AN24)/AR15</f>
        <v>8.1396774193548378</v>
      </c>
      <c r="AT17" s="27"/>
      <c r="AX17" s="83" t="s">
        <v>64</v>
      </c>
      <c r="AY17" s="58">
        <v>10</v>
      </c>
      <c r="AZ17" s="58">
        <v>0</v>
      </c>
      <c r="BA17" s="58">
        <f>Таблица2427247[[#This Row],[Планируемые]]-Таблица2427247[[#This Row],[Фактические]]</f>
        <v>10</v>
      </c>
      <c r="BB17" s="26"/>
      <c r="BC17" s="71" t="s">
        <v>47</v>
      </c>
      <c r="BD17" s="73">
        <f>(BD16)/BD15</f>
        <v>6.7666666666666666</v>
      </c>
      <c r="BE17" s="73">
        <f>(BE11-AZ24)/BD15</f>
        <v>5.6693333333333333</v>
      </c>
      <c r="BF17" s="27"/>
    </row>
    <row r="18" spans="2:58" ht="15.75" x14ac:dyDescent="0.25">
      <c r="B18" s="91" t="s">
        <v>52</v>
      </c>
      <c r="C18" s="58">
        <v>40</v>
      </c>
      <c r="D18" s="58">
        <v>40</v>
      </c>
      <c r="E18" s="58">
        <f>Таблица24[[#This Row],[Планируемые]]-Таблица24[[#This Row],[Фактические]]</f>
        <v>0</v>
      </c>
      <c r="F18" s="25"/>
      <c r="G18" s="26"/>
      <c r="H18" s="26"/>
      <c r="I18" s="26"/>
      <c r="J18" s="27"/>
      <c r="N18" s="86" t="s">
        <v>62</v>
      </c>
      <c r="O18" s="58">
        <v>25</v>
      </c>
      <c r="P18" s="58">
        <v>18.3</v>
      </c>
      <c r="Q18" s="58">
        <f>Таблица2427[[#This Row],[Планируемые]]-Таблица2427[[#This Row],[Фактические]]</f>
        <v>6.6999999999999993</v>
      </c>
      <c r="R18" s="26"/>
      <c r="S18" s="26"/>
      <c r="T18" s="26"/>
      <c r="U18" s="26"/>
      <c r="V18" s="27"/>
      <c r="Z18" s="86" t="s">
        <v>82</v>
      </c>
      <c r="AA18" s="58">
        <v>25</v>
      </c>
      <c r="AB18" s="58">
        <v>25</v>
      </c>
      <c r="AC18" s="58">
        <f>Таблица24272[[#This Row],[Планируемые]]-Таблица24272[[#This Row],[Фактические]]</f>
        <v>0</v>
      </c>
      <c r="AD18" s="26"/>
      <c r="AE18" s="26"/>
      <c r="AF18" s="26"/>
      <c r="AG18" s="26"/>
      <c r="AH18" s="27"/>
      <c r="AL18" s="86" t="s">
        <v>87</v>
      </c>
      <c r="AM18" s="58">
        <v>20</v>
      </c>
      <c r="AN18" s="58">
        <v>20</v>
      </c>
      <c r="AO18" s="58">
        <f>Таблица242724[[#This Row],[Планируемые]]-Таблица242724[[#This Row],[Фактические]]</f>
        <v>0</v>
      </c>
      <c r="AP18" s="26"/>
      <c r="AQ18" s="26"/>
      <c r="AR18" s="26"/>
      <c r="AS18" s="26"/>
      <c r="AT18" s="27"/>
      <c r="AX18" s="83" t="s">
        <v>87</v>
      </c>
      <c r="AY18" s="58">
        <v>27</v>
      </c>
      <c r="AZ18" s="58">
        <v>0</v>
      </c>
      <c r="BA18" s="58">
        <f>Таблица2427247[[#This Row],[Планируемые]]-Таблица2427247[[#This Row],[Фактические]]</f>
        <v>27</v>
      </c>
      <c r="BB18" s="26"/>
      <c r="BC18" s="26"/>
      <c r="BD18" s="26"/>
      <c r="BE18" s="26"/>
      <c r="BF18" s="27"/>
    </row>
    <row r="19" spans="2:58" ht="15.75" x14ac:dyDescent="0.25">
      <c r="B19" s="60" t="s">
        <v>53</v>
      </c>
      <c r="C19" s="58">
        <v>50</v>
      </c>
      <c r="D19" s="58">
        <v>50</v>
      </c>
      <c r="E19" s="58">
        <f>Таблица24[[#This Row],[Планируемые]]-Таблица24[[#This Row],[Фактические]]</f>
        <v>0</v>
      </c>
      <c r="F19" s="25"/>
      <c r="G19" s="26"/>
      <c r="H19" s="26"/>
      <c r="I19" s="26"/>
      <c r="J19" s="27"/>
      <c r="N19" s="86" t="s">
        <v>53</v>
      </c>
      <c r="O19" s="58">
        <v>50</v>
      </c>
      <c r="P19" s="58">
        <v>50</v>
      </c>
      <c r="Q19" s="58">
        <f>Таблица2427[[#This Row],[Планируемые]]-Таблица2427[[#This Row],[Фактические]]</f>
        <v>0</v>
      </c>
      <c r="R19" s="26"/>
      <c r="S19" s="26"/>
      <c r="T19" s="26"/>
      <c r="U19" s="26"/>
      <c r="V19" s="27"/>
      <c r="Z19" s="94" t="s">
        <v>83</v>
      </c>
      <c r="AA19" s="82">
        <v>10</v>
      </c>
      <c r="AB19" s="82">
        <v>10.199999999999999</v>
      </c>
      <c r="AC19" s="58">
        <f>Таблица24272[[#This Row],[Планируемые]]-Таблица24272[[#This Row],[Фактические]]</f>
        <v>-0.19999999999999929</v>
      </c>
      <c r="AD19" s="26"/>
      <c r="AE19" s="26"/>
      <c r="AF19" s="26"/>
      <c r="AG19" s="26"/>
      <c r="AH19" s="27"/>
      <c r="AL19" s="94" t="s">
        <v>88</v>
      </c>
      <c r="AM19" s="82">
        <v>37.5</v>
      </c>
      <c r="AN19" s="82">
        <v>37.5</v>
      </c>
      <c r="AO19" s="58">
        <f>Таблица242724[[#This Row],[Планируемые]]-Таблица242724[[#This Row],[Фактические]]</f>
        <v>0</v>
      </c>
      <c r="AP19" s="26"/>
      <c r="AQ19" s="26"/>
      <c r="AR19" s="26"/>
      <c r="AS19" s="26"/>
      <c r="AT19" s="27"/>
      <c r="AX19" s="100" t="s">
        <v>94</v>
      </c>
      <c r="AY19" s="82">
        <v>20</v>
      </c>
      <c r="AZ19" s="82">
        <v>0</v>
      </c>
      <c r="BA19" s="58">
        <f>Таблица2427247[[#This Row],[Планируемые]]-Таблица2427247[[#This Row],[Фактические]]</f>
        <v>20</v>
      </c>
      <c r="BB19" s="26"/>
      <c r="BC19" s="26"/>
      <c r="BD19" s="26"/>
      <c r="BE19" s="26"/>
      <c r="BF19" s="27"/>
    </row>
    <row r="20" spans="2:58" ht="15.75" x14ac:dyDescent="0.25">
      <c r="B20" s="60" t="s">
        <v>70</v>
      </c>
      <c r="C20" s="58">
        <v>0</v>
      </c>
      <c r="D20" s="58">
        <v>10</v>
      </c>
      <c r="E20" s="58">
        <f>Таблица24[[#This Row],[Планируемые]]-Таблица24[[#This Row],[Фактические]]</f>
        <v>-10</v>
      </c>
      <c r="F20" s="25"/>
      <c r="G20" s="71" t="s">
        <v>55</v>
      </c>
      <c r="H20" s="26">
        <f>E24</f>
        <v>-10.099999999999998</v>
      </c>
      <c r="I20" s="26" t="str">
        <f>IF(H20&gt;0, "хорошо=)","Превысили!")</f>
        <v>Превысили!</v>
      </c>
      <c r="J20" s="27"/>
      <c r="N20" s="86" t="s">
        <v>63</v>
      </c>
      <c r="O20" s="58">
        <v>10</v>
      </c>
      <c r="P20" s="58">
        <v>10</v>
      </c>
      <c r="Q20" s="58">
        <f>Таблица2427[[#This Row],[Планируемые]]-Таблица2427[[#This Row],[Фактические]]</f>
        <v>0</v>
      </c>
      <c r="R20" s="26"/>
      <c r="S20" s="71" t="s">
        <v>55</v>
      </c>
      <c r="T20" s="26">
        <f>Q25</f>
        <v>38.04</v>
      </c>
      <c r="U20" s="26" t="str">
        <f>IF(T20&gt;0, "хорошо=)","Превысили!")</f>
        <v>хорошо=)</v>
      </c>
      <c r="V20" s="27"/>
      <c r="Z20" s="82" t="s">
        <v>84</v>
      </c>
      <c r="AA20" s="82">
        <v>10</v>
      </c>
      <c r="AB20" s="82">
        <v>8</v>
      </c>
      <c r="AC20" s="58">
        <f>Таблица24272[[#This Row],[Планируемые]]-Таблица24272[[#This Row],[Фактические]]</f>
        <v>2</v>
      </c>
      <c r="AD20" s="26"/>
      <c r="AE20" s="71" t="s">
        <v>55</v>
      </c>
      <c r="AF20" s="26">
        <f>AC24</f>
        <v>3.9000000000000128</v>
      </c>
      <c r="AG20" s="26" t="str">
        <f>IF(AF20&gt;0, "хорошо=)","Превысили!")</f>
        <v>хорошо=)</v>
      </c>
      <c r="AH20" s="27"/>
      <c r="AL20" s="99" t="s">
        <v>91</v>
      </c>
      <c r="AM20" s="82">
        <v>30</v>
      </c>
      <c r="AN20" s="82">
        <v>24</v>
      </c>
      <c r="AO20" s="58">
        <f>Таблица242724[[#This Row],[Планируемые]]-Таблица242724[[#This Row],[Фактические]]</f>
        <v>6</v>
      </c>
      <c r="AP20" s="26"/>
      <c r="AQ20" s="71" t="s">
        <v>55</v>
      </c>
      <c r="AR20" s="26">
        <f>AO24</f>
        <v>45.59</v>
      </c>
      <c r="AS20" s="26" t="str">
        <f>IF(AR20&gt;0, "хорошо=)","Превысили!")</f>
        <v>хорошо=)</v>
      </c>
      <c r="AT20" s="27"/>
      <c r="AX20" s="99" t="s">
        <v>91</v>
      </c>
      <c r="AY20" s="82">
        <v>40</v>
      </c>
      <c r="AZ20" s="82">
        <v>0</v>
      </c>
      <c r="BA20" s="58">
        <f>Таблица2427247[[#This Row],[Планируемые]]-Таблица2427247[[#This Row],[Фактические]]</f>
        <v>40</v>
      </c>
      <c r="BB20" s="26"/>
      <c r="BC20" s="71" t="s">
        <v>55</v>
      </c>
      <c r="BD20" s="26">
        <f>BA24</f>
        <v>285.08</v>
      </c>
      <c r="BE20" s="26" t="str">
        <f>IF(BD20&gt;0, "хорошо=)","Превысили!")</f>
        <v>хорошо=)</v>
      </c>
      <c r="BF20" s="27"/>
    </row>
    <row r="21" spans="2:58" ht="15.75" x14ac:dyDescent="0.25">
      <c r="B21" s="60" t="s">
        <v>71</v>
      </c>
      <c r="C21" s="58">
        <v>0</v>
      </c>
      <c r="D21" s="58">
        <v>4</v>
      </c>
      <c r="E21" s="58">
        <f>Таблица24[[#This Row],[Планируемые]]-Таблица24[[#This Row],[Фактические]]</f>
        <v>-4</v>
      </c>
      <c r="F21" s="25"/>
      <c r="G21" s="71" t="s">
        <v>56</v>
      </c>
      <c r="H21" s="26">
        <f>J11</f>
        <v>71</v>
      </c>
      <c r="I21" s="26" t="str">
        <f>IF(H21&gt;0, "хорошо=)","Превысили!")</f>
        <v>хорошо=)</v>
      </c>
      <c r="J21" s="27"/>
      <c r="N21" s="86" t="s">
        <v>64</v>
      </c>
      <c r="O21" s="58">
        <v>15</v>
      </c>
      <c r="P21" s="58">
        <v>15</v>
      </c>
      <c r="Q21" s="58">
        <f>Таблица2427[[#This Row],[Планируемые]]-Таблица2427[[#This Row],[Фактические]]</f>
        <v>0</v>
      </c>
      <c r="R21" s="26"/>
      <c r="S21" s="71" t="s">
        <v>56</v>
      </c>
      <c r="T21" s="26">
        <f>V11</f>
        <v>79</v>
      </c>
      <c r="U21" s="26" t="str">
        <f>IF(T21&gt;0, "хорошо=)","Превысили!")</f>
        <v>хорошо=)</v>
      </c>
      <c r="V21" s="27"/>
      <c r="Z21" s="82"/>
      <c r="AA21" s="82"/>
      <c r="AB21" s="82"/>
      <c r="AC21" s="95">
        <v>0</v>
      </c>
      <c r="AD21" s="26"/>
      <c r="AE21" s="71" t="s">
        <v>56</v>
      </c>
      <c r="AF21" s="26">
        <f>AH11</f>
        <v>0</v>
      </c>
      <c r="AG21" s="26" t="str">
        <f>IF(AF21&gt;0, "хорошо=)","Превысили!")</f>
        <v>Превысили!</v>
      </c>
      <c r="AH21" s="27"/>
      <c r="AL21" s="99" t="s">
        <v>90</v>
      </c>
      <c r="AM21" s="82">
        <v>17</v>
      </c>
      <c r="AN21" s="82">
        <v>0</v>
      </c>
      <c r="AO21" s="95">
        <v>0</v>
      </c>
      <c r="AP21" s="26"/>
      <c r="AQ21" s="71" t="s">
        <v>56</v>
      </c>
      <c r="AR21" s="26">
        <f>AT11</f>
        <v>22.240000000000009</v>
      </c>
      <c r="AS21" s="26" t="str">
        <f>IF(AR21&gt;0, "хорошо=)","Превысили!")</f>
        <v>хорошо=)</v>
      </c>
      <c r="AT21" s="27"/>
      <c r="AX21" s="99" t="s">
        <v>95</v>
      </c>
      <c r="AY21" s="82">
        <v>20</v>
      </c>
      <c r="AZ21" s="82">
        <v>0</v>
      </c>
      <c r="BA21" s="58">
        <f>Таблица2427247[[#This Row],[Планируемые]]-Таблица2427247[[#This Row],[Фактические]]</f>
        <v>20</v>
      </c>
      <c r="BB21" s="26"/>
      <c r="BC21" s="71" t="s">
        <v>56</v>
      </c>
      <c r="BD21" s="26">
        <f>BF11</f>
        <v>-318</v>
      </c>
      <c r="BE21" s="26" t="str">
        <f>IF(BD21&gt;0, "хорошо=)","Превысили!")</f>
        <v>Превысили!</v>
      </c>
      <c r="BF21" s="27"/>
    </row>
    <row r="22" spans="2:58" ht="15.75" x14ac:dyDescent="0.25">
      <c r="B22" s="60" t="s">
        <v>73</v>
      </c>
      <c r="C22" s="58">
        <v>0</v>
      </c>
      <c r="D22" s="58">
        <v>4</v>
      </c>
      <c r="E22" s="58">
        <f>Таблица24[[#This Row],[Планируемые]]-Таблица24[[#This Row],[Фактические]]</f>
        <v>-4</v>
      </c>
      <c r="F22" s="25"/>
      <c r="G22" s="71" t="s">
        <v>54</v>
      </c>
      <c r="H22" s="74">
        <f>H20+H21</f>
        <v>60.900000000000006</v>
      </c>
      <c r="I22" s="26" t="str">
        <f>IF(H22 &gt; 0,"В копилочку!", "Живёте в долг=(")</f>
        <v>В копилочку!</v>
      </c>
      <c r="J22" s="27"/>
      <c r="N22" s="86" t="s">
        <v>65</v>
      </c>
      <c r="O22" s="58">
        <v>9</v>
      </c>
      <c r="P22" s="58">
        <v>6</v>
      </c>
      <c r="Q22" s="58">
        <f>Таблица2427[[#This Row],[Планируемые]]-Таблица2427[[#This Row],[Фактические]]</f>
        <v>3</v>
      </c>
      <c r="R22" s="26"/>
      <c r="S22" s="71" t="s">
        <v>54</v>
      </c>
      <c r="T22" s="74">
        <f>T20+T21</f>
        <v>117.03999999999999</v>
      </c>
      <c r="U22" s="26" t="str">
        <f>IF(T22 &gt; 0,"В копилочку!", "Живёте в долг=(")</f>
        <v>В копилочку!</v>
      </c>
      <c r="V22" s="27"/>
      <c r="Z22" s="86"/>
      <c r="AA22" s="58">
        <v>0</v>
      </c>
      <c r="AB22" s="58">
        <v>0</v>
      </c>
      <c r="AC22" s="58">
        <f>Таблица24272[[#This Row],[Планируемые]]-Таблица24272[[#This Row],[Фактические]]</f>
        <v>0</v>
      </c>
      <c r="AD22" s="26"/>
      <c r="AE22" s="71" t="s">
        <v>54</v>
      </c>
      <c r="AF22" s="74">
        <f>AF20+AF21</f>
        <v>3.9000000000000128</v>
      </c>
      <c r="AG22" s="26" t="str">
        <f>IF(AF22 &gt; 0,"В копилочку!", "Живёте в долг=(")</f>
        <v>В копилочку!</v>
      </c>
      <c r="AH22" s="27"/>
      <c r="AL22" s="86"/>
      <c r="AM22" s="58">
        <v>0</v>
      </c>
      <c r="AN22" s="58">
        <v>0</v>
      </c>
      <c r="AO22" s="58">
        <f>Таблица242724[[#This Row],[Планируемые]]-Таблица242724[[#This Row],[Фактические]]</f>
        <v>0</v>
      </c>
      <c r="AP22" s="26"/>
      <c r="AQ22" s="71" t="s">
        <v>54</v>
      </c>
      <c r="AR22" s="74">
        <f>AR20+AR21</f>
        <v>67.830000000000013</v>
      </c>
      <c r="AS22" s="26" t="str">
        <f>IF(AR22 &gt; 0,"В копилочку!", "Живёте в долг=(")</f>
        <v>В копилочку!</v>
      </c>
      <c r="AT22" s="27"/>
      <c r="AX22" s="86"/>
      <c r="AY22" s="58">
        <v>0</v>
      </c>
      <c r="AZ22" s="58">
        <v>0</v>
      </c>
      <c r="BA22" s="58">
        <f>Таблица2427247[[#This Row],[Планируемые]]-Таблица2427247[[#This Row],[Фактические]]</f>
        <v>0</v>
      </c>
      <c r="BB22" s="26"/>
      <c r="BC22" s="71" t="s">
        <v>54</v>
      </c>
      <c r="BD22" s="74">
        <f>BD20+BD21</f>
        <v>-32.920000000000016</v>
      </c>
      <c r="BE22" s="26" t="str">
        <f>IF(BD22 &gt; 0,"В копилочку!", "Живёте в долг=(")</f>
        <v>Живёте в долг=(</v>
      </c>
      <c r="BF22" s="27"/>
    </row>
    <row r="23" spans="2:58" ht="15.75" x14ac:dyDescent="0.25">
      <c r="B23" s="61" t="s">
        <v>74</v>
      </c>
      <c r="C23" s="62">
        <v>0</v>
      </c>
      <c r="D23" s="84">
        <v>9.3000000000000007</v>
      </c>
      <c r="E23" s="58">
        <f>Таблица24[[#This Row],[Планируемые]]-Таблица24[[#This Row],[Фактические]]</f>
        <v>-9.3000000000000007</v>
      </c>
      <c r="F23" s="25"/>
      <c r="G23" s="26"/>
      <c r="H23" s="26"/>
      <c r="I23" s="26"/>
      <c r="J23" s="27"/>
      <c r="N23" s="93" t="s">
        <v>66</v>
      </c>
      <c r="O23" s="62">
        <v>7</v>
      </c>
      <c r="P23" s="62">
        <v>0</v>
      </c>
      <c r="Q23" s="58">
        <f>Таблица2427[[#This Row],[Планируемые]]-Таблица2427[[#This Row],[Фактические]]</f>
        <v>7</v>
      </c>
      <c r="R23" s="26"/>
      <c r="S23" s="26"/>
      <c r="T23" s="26"/>
      <c r="U23" s="26"/>
      <c r="V23" s="27"/>
      <c r="Z23" s="93"/>
      <c r="AA23" s="62">
        <v>0</v>
      </c>
      <c r="AB23" s="62">
        <v>0</v>
      </c>
      <c r="AC23" s="58">
        <f>Таблица24272[[#This Row],[Планируемые]]-Таблица24272[[#This Row],[Фактические]]</f>
        <v>0</v>
      </c>
      <c r="AD23" s="26"/>
      <c r="AE23" s="26"/>
      <c r="AF23" s="26"/>
      <c r="AG23" s="26"/>
      <c r="AH23" s="27"/>
      <c r="AL23" s="93"/>
      <c r="AM23" s="62">
        <v>0</v>
      </c>
      <c r="AN23" s="62">
        <v>0</v>
      </c>
      <c r="AO23" s="58">
        <f>Таблица242724[[#This Row],[Планируемые]]-Таблица242724[[#This Row],[Фактические]]</f>
        <v>0</v>
      </c>
      <c r="AP23" s="26"/>
      <c r="AQ23" s="26"/>
      <c r="AR23" s="26"/>
      <c r="AS23" s="26"/>
      <c r="AT23" s="27"/>
      <c r="AX23" s="93"/>
      <c r="AY23" s="62">
        <v>0</v>
      </c>
      <c r="AZ23" s="62">
        <v>0</v>
      </c>
      <c r="BA23" s="58">
        <f>Таблица2427247[[#This Row],[Планируемые]]-Таблица2427247[[#This Row],[Фактические]]</f>
        <v>0</v>
      </c>
      <c r="BB23" s="26"/>
      <c r="BC23" s="26"/>
      <c r="BD23" s="26"/>
      <c r="BE23" s="26"/>
      <c r="BF23" s="27"/>
    </row>
    <row r="24" spans="2:58" ht="15.75" x14ac:dyDescent="0.25">
      <c r="B24" s="61" t="s">
        <v>46</v>
      </c>
      <c r="C24" s="62">
        <f>SUM(C16:C23,C6:C14)</f>
        <v>499</v>
      </c>
      <c r="D24" s="62">
        <f>SUM(D16:D23,D6:D14)</f>
        <v>509.1</v>
      </c>
      <c r="E24" s="75">
        <f>SUM(E16:E23,E6:E14)</f>
        <v>-10.099999999999998</v>
      </c>
      <c r="F24" s="56"/>
      <c r="G24" s="30" t="s">
        <v>75</v>
      </c>
      <c r="H24" s="30" t="s">
        <v>76</v>
      </c>
      <c r="I24" s="30"/>
      <c r="J24" s="31"/>
      <c r="N24" s="90" t="s">
        <v>72</v>
      </c>
      <c r="O24" s="82">
        <v>10</v>
      </c>
      <c r="P24" s="82">
        <v>17.5</v>
      </c>
      <c r="Q24" s="58">
        <f>Таблица2427[[#This Row],[Планируемые]]-Таблица2427[[#This Row],[Фактические]]</f>
        <v>-7.5</v>
      </c>
      <c r="R24" s="30"/>
      <c r="S24" s="30"/>
      <c r="T24" s="30"/>
      <c r="U24" s="30"/>
      <c r="V24" s="31"/>
      <c r="Z24" s="58" t="s">
        <v>46</v>
      </c>
      <c r="AA24" s="58">
        <f>SUM(AA16:AA23,AA6:AA14)</f>
        <v>329</v>
      </c>
      <c r="AB24" s="58">
        <f>SUM(AB16:AB23,AB6:AB14)</f>
        <v>325.09999999999997</v>
      </c>
      <c r="AC24" s="76">
        <f>SUM(AC16:AC23,AC6:AC14)</f>
        <v>3.9000000000000128</v>
      </c>
      <c r="AD24" s="30"/>
      <c r="AE24" s="30"/>
      <c r="AF24" s="30"/>
      <c r="AG24" s="30"/>
      <c r="AH24" s="31"/>
      <c r="AL24" s="58" t="s">
        <v>46</v>
      </c>
      <c r="AM24" s="58">
        <f>SUM(AM16:AM23,AM6:AM14)</f>
        <v>377.5</v>
      </c>
      <c r="AN24" s="58">
        <f>SUM(AN16:AN23,AN6:AN14)</f>
        <v>314.91000000000003</v>
      </c>
      <c r="AO24" s="76">
        <f>SUM(AO16:AO23,AO6:AO14)</f>
        <v>45.59</v>
      </c>
      <c r="AP24" s="30"/>
      <c r="AQ24" s="30"/>
      <c r="AR24" s="30"/>
      <c r="AS24" s="30"/>
      <c r="AT24" s="31"/>
      <c r="AX24" s="58" t="s">
        <v>46</v>
      </c>
      <c r="AY24" s="58">
        <f>SUM(AY16:AY23,AY6:AY14)</f>
        <v>287</v>
      </c>
      <c r="AZ24" s="58">
        <f>SUM(AZ16:AZ23,AZ6:AZ14)</f>
        <v>1.92</v>
      </c>
      <c r="BA24" s="76">
        <f>SUM(BA16:BA23,BA6:BA14)</f>
        <v>285.08</v>
      </c>
      <c r="BB24" s="30"/>
      <c r="BC24" s="30"/>
      <c r="BD24" s="30"/>
      <c r="BE24" s="30"/>
      <c r="BF24" s="31"/>
    </row>
    <row r="25" spans="2:58" ht="15.75" x14ac:dyDescent="0.25">
      <c r="B25" s="26"/>
      <c r="C25" s="26"/>
      <c r="D25" s="26"/>
      <c r="E25" s="26"/>
      <c r="F25" s="26"/>
      <c r="K25" s="26"/>
      <c r="L25" s="26"/>
      <c r="M25" s="26"/>
      <c r="N25" s="58" t="s">
        <v>46</v>
      </c>
      <c r="O25" s="58">
        <f>SUM(O16:O24,O6:O14)</f>
        <v>460</v>
      </c>
      <c r="P25" s="58">
        <f>SUM(P16:P24,P6:P14)</f>
        <v>421.96000000000009</v>
      </c>
      <c r="Q25" s="76">
        <f>SUM(Q16:Q24,Q6:Q14)</f>
        <v>38.04</v>
      </c>
      <c r="R25" s="26"/>
      <c r="S25" s="44"/>
      <c r="T25" s="44"/>
      <c r="U25" s="44"/>
      <c r="V25" s="44"/>
      <c r="W25" s="26"/>
      <c r="AD25" s="26"/>
      <c r="AE25" s="44"/>
      <c r="AF25" s="44"/>
      <c r="AG25" s="44"/>
      <c r="AH25" s="44"/>
      <c r="AI25" s="26"/>
    </row>
    <row r="26" spans="2:58" ht="15.75" x14ac:dyDescent="0.25">
      <c r="B26" s="58"/>
      <c r="C26" s="58"/>
      <c r="D26" s="58"/>
      <c r="E26" s="58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58"/>
      <c r="T26" s="26"/>
      <c r="U26" s="26"/>
      <c r="V26" s="26"/>
      <c r="W26" s="26"/>
    </row>
    <row r="27" spans="2:58" ht="15.75" x14ac:dyDescent="0.25">
      <c r="B27" s="58"/>
      <c r="C27" s="58"/>
      <c r="D27" s="58"/>
      <c r="E27" s="58"/>
      <c r="F27" s="26"/>
      <c r="G27" s="44"/>
      <c r="H27" s="44"/>
      <c r="I27" s="44"/>
      <c r="J27" s="44"/>
      <c r="K27" s="26"/>
      <c r="L27" s="26"/>
      <c r="M27" s="26"/>
      <c r="N27" s="58"/>
      <c r="O27" s="58"/>
      <c r="P27" s="58"/>
      <c r="Q27" s="58"/>
      <c r="R27" s="26"/>
      <c r="S27" s="58"/>
      <c r="T27" s="26"/>
      <c r="U27" s="26"/>
      <c r="V27" s="26"/>
      <c r="W27" s="26"/>
    </row>
    <row r="28" spans="2:58" ht="15.75" x14ac:dyDescent="0.25">
      <c r="B28" s="58"/>
      <c r="C28" s="58"/>
      <c r="D28" s="58"/>
      <c r="E28" s="58"/>
      <c r="F28" s="26"/>
      <c r="G28" s="58"/>
      <c r="H28" s="26"/>
      <c r="I28" s="26"/>
      <c r="J28" s="26"/>
      <c r="K28" s="26"/>
      <c r="L28" s="26"/>
      <c r="M28" s="26"/>
      <c r="N28" s="58"/>
      <c r="O28" s="58"/>
      <c r="P28" s="58"/>
      <c r="Q28" s="58"/>
      <c r="R28" s="26"/>
      <c r="S28" s="58"/>
      <c r="T28" s="26"/>
      <c r="U28" s="26"/>
      <c r="V28" s="26"/>
      <c r="W28" s="26"/>
    </row>
    <row r="29" spans="2:58" ht="15.75" x14ac:dyDescent="0.25">
      <c r="B29" s="58"/>
      <c r="C29" s="58"/>
      <c r="D29" s="58"/>
      <c r="E29" s="58"/>
      <c r="F29" s="26"/>
      <c r="G29" s="58"/>
      <c r="H29" s="26"/>
      <c r="I29" s="26"/>
      <c r="J29" s="26"/>
      <c r="K29" s="26"/>
      <c r="L29" s="26"/>
      <c r="M29" s="26"/>
      <c r="N29" s="58"/>
      <c r="O29" s="58"/>
      <c r="P29" s="58"/>
      <c r="Q29" s="58"/>
      <c r="R29" s="26"/>
      <c r="S29" s="68"/>
      <c r="T29" s="69"/>
      <c r="U29" s="69"/>
      <c r="V29" s="69"/>
      <c r="W29" s="26"/>
    </row>
    <row r="30" spans="2:58" ht="15.75" x14ac:dyDescent="0.25">
      <c r="B30" s="58"/>
      <c r="C30" s="58"/>
      <c r="D30" s="58"/>
      <c r="E30" s="58"/>
      <c r="F30" s="26"/>
      <c r="G30" s="58"/>
      <c r="H30" s="26"/>
      <c r="I30" s="26"/>
      <c r="J30" s="26"/>
      <c r="K30" s="26"/>
      <c r="L30" s="26"/>
      <c r="M30" s="26"/>
      <c r="N30" s="58"/>
      <c r="O30" s="58"/>
      <c r="P30" s="58"/>
      <c r="Q30" s="58"/>
      <c r="R30" s="26"/>
      <c r="S30" s="71"/>
      <c r="T30" s="69"/>
      <c r="U30" s="69"/>
      <c r="V30" s="69"/>
      <c r="W30" s="26"/>
    </row>
    <row r="31" spans="2:58" ht="15.75" x14ac:dyDescent="0.25">
      <c r="B31" s="58"/>
      <c r="C31" s="58"/>
      <c r="D31" s="58"/>
      <c r="E31" s="58"/>
      <c r="F31" s="26"/>
      <c r="G31" s="68"/>
      <c r="H31" s="69"/>
      <c r="I31" s="69"/>
      <c r="J31" s="69"/>
      <c r="K31" s="26"/>
      <c r="L31" s="26"/>
      <c r="M31" s="26"/>
      <c r="N31" s="58"/>
      <c r="O31" s="58"/>
      <c r="P31" s="58"/>
      <c r="Q31" s="58"/>
      <c r="R31" s="26"/>
      <c r="S31" s="26"/>
      <c r="T31" s="26"/>
      <c r="U31" s="26"/>
      <c r="V31" s="26"/>
      <c r="W31" s="26"/>
    </row>
    <row r="32" spans="2:58" ht="15.75" x14ac:dyDescent="0.25">
      <c r="B32" s="58"/>
      <c r="C32" s="58"/>
      <c r="D32" s="58"/>
      <c r="E32" s="58"/>
      <c r="F32" s="26"/>
      <c r="G32" s="71"/>
      <c r="H32" s="69"/>
      <c r="I32" s="69"/>
      <c r="J32" s="69"/>
      <c r="K32" s="26"/>
      <c r="L32" s="26"/>
      <c r="M32" s="26"/>
      <c r="N32" s="58"/>
      <c r="O32" s="58"/>
      <c r="P32" s="58"/>
      <c r="Q32" s="58"/>
      <c r="R32" s="26"/>
      <c r="S32" s="26"/>
      <c r="T32" s="26"/>
      <c r="U32" s="26"/>
      <c r="V32" s="26"/>
      <c r="W32" s="26"/>
    </row>
    <row r="33" spans="2:23" ht="15.75" x14ac:dyDescent="0.25">
      <c r="B33" s="58"/>
      <c r="C33" s="58"/>
      <c r="D33" s="58"/>
      <c r="E33" s="58"/>
      <c r="F33" s="26"/>
      <c r="G33" s="26"/>
      <c r="H33" s="26"/>
      <c r="I33" s="26"/>
      <c r="J33" s="26"/>
      <c r="K33" s="26"/>
      <c r="L33" s="26"/>
      <c r="M33" s="26"/>
      <c r="N33" s="58"/>
      <c r="O33" s="58"/>
      <c r="P33" s="58"/>
      <c r="Q33" s="58"/>
      <c r="R33" s="26"/>
      <c r="S33" s="26"/>
      <c r="T33" s="26"/>
      <c r="U33" s="26"/>
      <c r="V33" s="26"/>
      <c r="W33" s="26"/>
    </row>
    <row r="34" spans="2:23" ht="15.75" x14ac:dyDescent="0.25">
      <c r="B34" s="58"/>
      <c r="C34" s="58"/>
      <c r="D34" s="58"/>
      <c r="E34" s="58"/>
      <c r="F34" s="26"/>
      <c r="G34" s="26"/>
      <c r="H34" s="26"/>
      <c r="I34" s="26"/>
      <c r="J34" s="26"/>
      <c r="K34" s="26"/>
      <c r="L34" s="26"/>
      <c r="M34" s="26"/>
      <c r="N34" s="58"/>
      <c r="O34" s="58"/>
      <c r="P34" s="58"/>
      <c r="Q34" s="58"/>
      <c r="R34" s="26"/>
      <c r="S34" s="71"/>
      <c r="T34" s="26"/>
      <c r="U34" s="26"/>
      <c r="V34" s="26"/>
      <c r="W34" s="26"/>
    </row>
    <row r="35" spans="2:23" ht="15.75" x14ac:dyDescent="0.25">
      <c r="B35" s="58"/>
      <c r="C35" s="58"/>
      <c r="D35" s="58"/>
      <c r="E35" s="58"/>
      <c r="F35" s="26"/>
      <c r="G35" s="26"/>
      <c r="H35" s="26"/>
      <c r="I35" s="26"/>
      <c r="J35" s="26"/>
      <c r="K35" s="26"/>
      <c r="L35" s="26"/>
      <c r="M35" s="26"/>
      <c r="N35" s="58"/>
      <c r="O35" s="58"/>
      <c r="P35" s="58"/>
      <c r="Q35" s="58"/>
      <c r="R35" s="26"/>
      <c r="S35" s="71"/>
      <c r="T35" s="26"/>
      <c r="U35" s="26"/>
      <c r="V35" s="26"/>
      <c r="W35" s="26"/>
    </row>
    <row r="36" spans="2:23" ht="15.75" x14ac:dyDescent="0.25">
      <c r="B36" s="58"/>
      <c r="C36" s="58"/>
      <c r="D36" s="58"/>
      <c r="E36" s="58"/>
      <c r="F36" s="26"/>
      <c r="G36" s="71"/>
      <c r="H36" s="26"/>
      <c r="I36" s="26"/>
      <c r="J36" s="26"/>
      <c r="K36" s="26"/>
      <c r="L36" s="26"/>
      <c r="M36" s="26"/>
      <c r="N36" s="58"/>
      <c r="O36" s="58"/>
      <c r="P36" s="58"/>
      <c r="Q36" s="58"/>
      <c r="R36" s="26"/>
      <c r="S36" s="71"/>
      <c r="T36" s="72"/>
      <c r="U36" s="72"/>
      <c r="V36" s="26"/>
      <c r="W36" s="26"/>
    </row>
    <row r="37" spans="2:23" ht="15.75" x14ac:dyDescent="0.25">
      <c r="B37" s="58"/>
      <c r="C37" s="58"/>
      <c r="D37" s="58"/>
      <c r="E37" s="58"/>
      <c r="F37" s="26"/>
      <c r="G37" s="71"/>
      <c r="H37" s="26"/>
      <c r="I37" s="26"/>
      <c r="J37" s="26"/>
      <c r="K37" s="26"/>
      <c r="L37" s="26"/>
      <c r="M37" s="26"/>
      <c r="N37" s="58"/>
      <c r="O37" s="58"/>
      <c r="P37" s="58"/>
      <c r="Q37" s="58"/>
      <c r="R37" s="26"/>
      <c r="S37" s="26"/>
      <c r="T37" s="26"/>
      <c r="U37" s="26"/>
      <c r="V37" s="26"/>
      <c r="W37" s="26"/>
    </row>
    <row r="38" spans="2:23" ht="15.75" x14ac:dyDescent="0.25">
      <c r="B38" s="58"/>
      <c r="C38" s="58"/>
      <c r="D38" s="58"/>
      <c r="E38" s="58"/>
      <c r="F38" s="26"/>
      <c r="G38" s="71"/>
      <c r="H38" s="72"/>
      <c r="I38" s="72"/>
      <c r="J38" s="26"/>
      <c r="K38" s="26"/>
      <c r="L38" s="26"/>
      <c r="M38" s="26"/>
      <c r="N38" s="58"/>
      <c r="O38" s="58"/>
      <c r="P38" s="58"/>
      <c r="Q38" s="58"/>
      <c r="R38" s="26"/>
      <c r="S38" s="26"/>
      <c r="T38" s="26"/>
      <c r="U38" s="26"/>
      <c r="V38" s="26"/>
      <c r="W38" s="26"/>
    </row>
    <row r="39" spans="2:23" ht="15.75" x14ac:dyDescent="0.25">
      <c r="B39" s="58"/>
      <c r="C39" s="58"/>
      <c r="D39" s="58"/>
      <c r="E39" s="58"/>
      <c r="F39" s="26"/>
      <c r="G39" s="26"/>
      <c r="H39" s="26"/>
      <c r="I39" s="26"/>
      <c r="J39" s="26"/>
      <c r="K39" s="26"/>
      <c r="L39" s="26"/>
      <c r="M39" s="26"/>
      <c r="N39" s="58"/>
      <c r="O39" s="58"/>
      <c r="P39" s="58"/>
      <c r="Q39" s="58"/>
      <c r="R39" s="26"/>
      <c r="S39" s="26"/>
      <c r="T39" s="26"/>
      <c r="U39" s="26"/>
      <c r="V39" s="26"/>
      <c r="W39" s="26"/>
    </row>
    <row r="40" spans="2:23" ht="15.75" x14ac:dyDescent="0.25">
      <c r="B40" s="58"/>
      <c r="C40" s="58"/>
      <c r="D40" s="58"/>
      <c r="E40" s="58"/>
      <c r="F40" s="26"/>
      <c r="G40" s="26"/>
      <c r="H40" s="26"/>
      <c r="I40" s="26"/>
      <c r="J40" s="26"/>
      <c r="K40" s="26"/>
      <c r="L40" s="26"/>
      <c r="M40" s="26"/>
      <c r="N40" s="58"/>
      <c r="O40" s="58"/>
      <c r="P40" s="58"/>
      <c r="Q40" s="58"/>
      <c r="R40" s="26"/>
      <c r="S40" s="26"/>
      <c r="T40" s="26"/>
      <c r="U40" s="26"/>
      <c r="V40" s="26"/>
      <c r="W40" s="26"/>
    </row>
    <row r="41" spans="2:23" ht="15.75" x14ac:dyDescent="0.25">
      <c r="B41" s="58"/>
      <c r="C41" s="58"/>
      <c r="D41" s="58"/>
      <c r="E41" s="58"/>
      <c r="F41" s="26"/>
      <c r="G41" s="26"/>
      <c r="H41" s="26"/>
      <c r="I41" s="26"/>
      <c r="J41" s="26"/>
      <c r="K41" s="26"/>
      <c r="L41" s="26"/>
      <c r="M41" s="26"/>
      <c r="N41" s="58"/>
      <c r="O41" s="58"/>
      <c r="P41" s="58"/>
      <c r="Q41" s="58"/>
      <c r="R41" s="26"/>
      <c r="S41" s="26"/>
      <c r="T41" s="26"/>
      <c r="U41" s="26"/>
      <c r="V41" s="26"/>
      <c r="W41" s="26"/>
    </row>
    <row r="42" spans="2:23" ht="15.75" x14ac:dyDescent="0.25">
      <c r="B42" s="58"/>
      <c r="C42" s="58"/>
      <c r="D42" s="58"/>
      <c r="E42" s="58"/>
      <c r="F42" s="26"/>
      <c r="G42" s="26"/>
      <c r="H42" s="26"/>
      <c r="I42" s="26"/>
      <c r="J42" s="26"/>
      <c r="K42" s="26"/>
      <c r="L42" s="26"/>
      <c r="M42" s="26"/>
      <c r="N42" s="58"/>
      <c r="O42" s="58"/>
      <c r="P42" s="58"/>
      <c r="Q42" s="58"/>
      <c r="R42" s="26"/>
      <c r="S42" s="26"/>
      <c r="T42" s="26"/>
      <c r="U42" s="26"/>
      <c r="V42" s="26"/>
      <c r="W42" s="26"/>
    </row>
    <row r="43" spans="2:23" ht="15.75" x14ac:dyDescent="0.25">
      <c r="B43" s="58"/>
      <c r="C43" s="58"/>
      <c r="D43" s="58"/>
      <c r="E43" s="58"/>
      <c r="F43" s="26"/>
      <c r="G43" s="26"/>
      <c r="H43" s="26"/>
      <c r="I43" s="26"/>
      <c r="J43" s="26"/>
      <c r="K43" s="26"/>
      <c r="L43" s="26"/>
      <c r="M43" s="26"/>
      <c r="N43" s="58"/>
      <c r="O43" s="58"/>
      <c r="P43" s="58"/>
      <c r="Q43" s="58"/>
      <c r="R43" s="26"/>
      <c r="S43" s="26"/>
      <c r="T43" s="26"/>
      <c r="U43" s="26"/>
      <c r="V43" s="26"/>
      <c r="W43" s="26"/>
    </row>
    <row r="44" spans="2:23" ht="15.75" x14ac:dyDescent="0.25">
      <c r="B44" s="58"/>
      <c r="C44" s="58"/>
      <c r="D44" s="58"/>
      <c r="E44" s="58"/>
      <c r="F44" s="26"/>
      <c r="G44" s="26"/>
      <c r="H44" s="26"/>
      <c r="I44" s="26"/>
      <c r="J44" s="26"/>
      <c r="K44" s="26"/>
      <c r="L44" s="26"/>
      <c r="M44" s="26"/>
      <c r="N44" s="58"/>
      <c r="O44" s="58"/>
      <c r="P44" s="58"/>
      <c r="Q44" s="58"/>
      <c r="R44" s="26"/>
      <c r="S44" s="26"/>
      <c r="T44" s="26"/>
      <c r="U44" s="26"/>
      <c r="V44" s="26"/>
      <c r="W44" s="26"/>
    </row>
    <row r="45" spans="2:23" ht="15.75" x14ac:dyDescent="0.25">
      <c r="B45" s="58"/>
      <c r="C45" s="58"/>
      <c r="D45" s="58"/>
      <c r="E45" s="58"/>
      <c r="F45" s="26"/>
      <c r="G45" s="26"/>
      <c r="H45" s="26"/>
      <c r="I45" s="26"/>
      <c r="J45" s="26"/>
      <c r="K45" s="26"/>
      <c r="L45" s="26"/>
      <c r="M45" s="26"/>
      <c r="N45" s="58"/>
      <c r="O45" s="58"/>
      <c r="P45" s="58"/>
      <c r="Q45" s="58"/>
      <c r="R45" s="26"/>
      <c r="S45" s="26"/>
      <c r="T45" s="26"/>
      <c r="U45" s="26"/>
      <c r="V45" s="26"/>
      <c r="W45" s="26"/>
    </row>
    <row r="46" spans="2:23" ht="15.75" x14ac:dyDescent="0.25">
      <c r="B46" s="58"/>
      <c r="C46" s="58"/>
      <c r="D46" s="58"/>
      <c r="E46" s="58"/>
      <c r="F46" s="26"/>
      <c r="G46" s="26"/>
      <c r="H46" s="26"/>
      <c r="I46" s="26"/>
      <c r="J46" s="26"/>
      <c r="K46" s="26"/>
      <c r="L46" s="26"/>
      <c r="M46" s="26"/>
      <c r="N46" s="58"/>
      <c r="O46" s="58"/>
      <c r="P46" s="58"/>
      <c r="Q46" s="58"/>
      <c r="R46" s="26"/>
      <c r="S46" s="26"/>
      <c r="T46" s="26"/>
      <c r="U46" s="26"/>
      <c r="V46" s="26"/>
      <c r="W46" s="26"/>
    </row>
    <row r="47" spans="2:23" ht="15.75" x14ac:dyDescent="0.25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58"/>
      <c r="O47" s="58"/>
      <c r="P47" s="58"/>
      <c r="Q47" s="58"/>
      <c r="R47" s="26"/>
      <c r="S47" s="26"/>
      <c r="T47" s="26"/>
      <c r="U47" s="26"/>
      <c r="V47" s="26"/>
      <c r="W47" s="26"/>
    </row>
    <row r="48" spans="2:23" x14ac:dyDescent="0.2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</row>
    <row r="49" spans="2:22" ht="15.75" x14ac:dyDescent="0.25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44"/>
      <c r="T49" s="44"/>
      <c r="U49" s="44"/>
      <c r="V49" s="44"/>
    </row>
    <row r="50" spans="2:22" ht="15.75" x14ac:dyDescent="0.25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58"/>
    </row>
    <row r="51" spans="2:22" ht="15.75" x14ac:dyDescent="0.25">
      <c r="B51" s="58"/>
      <c r="C51" s="58"/>
      <c r="D51" s="58"/>
      <c r="E51" s="58"/>
      <c r="F51" s="26"/>
      <c r="G51" s="44"/>
      <c r="H51" s="44"/>
      <c r="I51" s="44"/>
      <c r="J51" s="44"/>
      <c r="K51" s="26"/>
      <c r="L51" s="26"/>
      <c r="M51" s="26"/>
      <c r="N51" s="26"/>
      <c r="O51" s="26"/>
      <c r="P51" s="26"/>
      <c r="Q51" s="26"/>
      <c r="R51" s="26"/>
      <c r="S51" s="58"/>
    </row>
    <row r="52" spans="2:22" ht="15.75" x14ac:dyDescent="0.25">
      <c r="B52" s="58"/>
      <c r="C52" s="58"/>
      <c r="D52" s="58"/>
      <c r="E52" s="58"/>
      <c r="F52" s="26"/>
      <c r="G52" s="58"/>
      <c r="H52" s="26"/>
      <c r="I52" s="26"/>
      <c r="J52" s="26"/>
      <c r="K52" s="26"/>
      <c r="L52" s="26"/>
      <c r="M52" s="26"/>
      <c r="N52" s="58"/>
      <c r="O52" s="58"/>
      <c r="P52" s="58"/>
      <c r="Q52" s="58"/>
      <c r="R52" s="26"/>
      <c r="S52" s="58"/>
    </row>
    <row r="53" spans="2:22" ht="15.75" x14ac:dyDescent="0.25">
      <c r="B53" s="58"/>
      <c r="C53" s="58"/>
      <c r="D53" s="58"/>
      <c r="E53" s="58"/>
      <c r="F53" s="26"/>
      <c r="G53" s="58"/>
      <c r="H53" s="26"/>
      <c r="I53" s="26"/>
      <c r="J53" s="26"/>
      <c r="K53" s="26"/>
      <c r="L53" s="26"/>
      <c r="M53" s="26"/>
      <c r="N53" s="58"/>
      <c r="O53" s="58"/>
      <c r="P53" s="58"/>
      <c r="Q53" s="58"/>
      <c r="R53" s="26"/>
      <c r="S53" s="68"/>
      <c r="T53" s="57"/>
      <c r="U53" s="57"/>
      <c r="V53" s="57"/>
    </row>
    <row r="54" spans="2:22" ht="15.75" x14ac:dyDescent="0.25">
      <c r="B54" s="58"/>
      <c r="C54" s="58"/>
      <c r="D54" s="58"/>
      <c r="E54" s="58"/>
      <c r="F54" s="26"/>
      <c r="G54" s="58"/>
      <c r="H54" s="26"/>
      <c r="I54" s="26"/>
      <c r="J54" s="26"/>
      <c r="K54" s="26"/>
      <c r="L54" s="26"/>
      <c r="M54" s="26"/>
      <c r="N54" s="58"/>
      <c r="O54" s="58"/>
      <c r="P54" s="58"/>
      <c r="Q54" s="58"/>
      <c r="R54" s="26"/>
      <c r="S54" s="71"/>
      <c r="T54" s="57"/>
      <c r="U54" s="57"/>
      <c r="V54" s="57"/>
    </row>
    <row r="55" spans="2:22" ht="15.75" x14ac:dyDescent="0.25">
      <c r="B55" s="58"/>
      <c r="C55" s="58"/>
      <c r="D55" s="58"/>
      <c r="E55" s="58"/>
      <c r="F55" s="26"/>
      <c r="G55" s="68"/>
      <c r="H55" s="69"/>
      <c r="I55" s="69"/>
      <c r="J55" s="69"/>
      <c r="K55" s="26"/>
      <c r="L55" s="26"/>
      <c r="M55" s="26"/>
      <c r="N55" s="58"/>
      <c r="O55" s="58"/>
      <c r="P55" s="58"/>
      <c r="Q55" s="58"/>
      <c r="R55" s="26"/>
      <c r="S55" s="26"/>
    </row>
    <row r="56" spans="2:22" ht="15.75" x14ac:dyDescent="0.25">
      <c r="B56" s="58"/>
      <c r="C56" s="58"/>
      <c r="D56" s="58"/>
      <c r="E56" s="58"/>
      <c r="F56" s="26"/>
      <c r="G56" s="71"/>
      <c r="H56" s="69"/>
      <c r="I56" s="69"/>
      <c r="J56" s="69"/>
      <c r="K56" s="26"/>
      <c r="L56" s="26"/>
      <c r="M56" s="26"/>
      <c r="N56" s="58"/>
      <c r="O56" s="58"/>
      <c r="P56" s="58"/>
      <c r="Q56" s="58"/>
      <c r="R56" s="26"/>
      <c r="S56" s="26"/>
    </row>
    <row r="57" spans="2:22" ht="15.75" x14ac:dyDescent="0.25">
      <c r="B57" s="58"/>
      <c r="C57" s="58"/>
      <c r="D57" s="58"/>
      <c r="E57" s="58"/>
      <c r="F57" s="26"/>
      <c r="G57" s="26"/>
      <c r="H57" s="26"/>
      <c r="I57" s="26"/>
      <c r="J57" s="26"/>
      <c r="K57" s="26"/>
      <c r="L57" s="26"/>
      <c r="M57" s="26"/>
      <c r="N57" s="58"/>
      <c r="O57" s="58"/>
      <c r="P57" s="58"/>
      <c r="Q57" s="58"/>
      <c r="R57" s="26"/>
      <c r="S57" s="26"/>
    </row>
    <row r="58" spans="2:22" ht="15.75" x14ac:dyDescent="0.25">
      <c r="B58" s="58"/>
      <c r="C58" s="58"/>
      <c r="D58" s="58"/>
      <c r="E58" s="58"/>
      <c r="F58" s="26"/>
      <c r="G58" s="26"/>
      <c r="H58" s="26"/>
      <c r="I58" s="26"/>
      <c r="J58" s="26"/>
      <c r="K58" s="26"/>
      <c r="L58" s="26"/>
      <c r="M58" s="26"/>
      <c r="N58" s="58"/>
      <c r="O58" s="58"/>
      <c r="P58" s="58"/>
      <c r="Q58" s="58"/>
      <c r="R58" s="26"/>
      <c r="S58" s="71"/>
    </row>
    <row r="59" spans="2:22" ht="15.75" x14ac:dyDescent="0.25">
      <c r="B59" s="58"/>
      <c r="C59" s="58"/>
      <c r="D59" s="58"/>
      <c r="E59" s="58"/>
      <c r="F59" s="26"/>
      <c r="G59" s="26"/>
      <c r="H59" s="26"/>
      <c r="I59" s="26"/>
      <c r="J59" s="26"/>
      <c r="K59" s="26"/>
      <c r="L59" s="26"/>
      <c r="M59" s="26"/>
      <c r="N59" s="58"/>
      <c r="O59" s="58"/>
      <c r="P59" s="58"/>
      <c r="Q59" s="58"/>
      <c r="R59" s="26"/>
      <c r="S59" s="71"/>
    </row>
    <row r="60" spans="2:22" ht="15.75" x14ac:dyDescent="0.25">
      <c r="B60" s="58"/>
      <c r="C60" s="58"/>
      <c r="D60" s="58"/>
      <c r="E60" s="58"/>
      <c r="F60" s="26"/>
      <c r="G60" s="71"/>
      <c r="H60" s="26"/>
      <c r="I60" s="26"/>
      <c r="J60" s="26"/>
      <c r="K60" s="26"/>
      <c r="L60" s="26"/>
      <c r="M60" s="26"/>
      <c r="N60" s="58"/>
      <c r="O60" s="58"/>
      <c r="P60" s="58"/>
      <c r="Q60" s="58"/>
      <c r="R60" s="26"/>
      <c r="S60" s="71"/>
      <c r="T60" s="65"/>
      <c r="U60" s="65"/>
    </row>
    <row r="61" spans="2:22" ht="15.75" x14ac:dyDescent="0.25">
      <c r="B61" s="58"/>
      <c r="C61" s="58"/>
      <c r="D61" s="58"/>
      <c r="E61" s="58"/>
      <c r="F61" s="26"/>
      <c r="G61" s="71"/>
      <c r="H61" s="26"/>
      <c r="I61" s="26"/>
      <c r="J61" s="26"/>
      <c r="K61" s="26"/>
      <c r="L61" s="26"/>
      <c r="M61" s="26"/>
      <c r="N61" s="58"/>
      <c r="O61" s="58"/>
      <c r="P61" s="58"/>
      <c r="Q61" s="58"/>
      <c r="R61" s="26"/>
      <c r="S61" s="26"/>
    </row>
    <row r="62" spans="2:22" ht="15.75" x14ac:dyDescent="0.25">
      <c r="B62" s="58"/>
      <c r="C62" s="58"/>
      <c r="D62" s="58"/>
      <c r="E62" s="58"/>
      <c r="F62" s="26"/>
      <c r="G62" s="71"/>
      <c r="H62" s="72"/>
      <c r="I62" s="72"/>
      <c r="J62" s="26"/>
      <c r="K62" s="26"/>
      <c r="L62" s="26"/>
      <c r="M62" s="26"/>
      <c r="N62" s="58"/>
      <c r="O62" s="58"/>
      <c r="P62" s="58"/>
      <c r="Q62" s="58"/>
      <c r="R62" s="26"/>
      <c r="S62" s="26"/>
    </row>
    <row r="63" spans="2:22" ht="15.75" x14ac:dyDescent="0.25">
      <c r="B63" s="58"/>
      <c r="C63" s="58"/>
      <c r="D63" s="58"/>
      <c r="E63" s="58"/>
      <c r="F63" s="26"/>
      <c r="G63" s="26"/>
      <c r="H63" s="26"/>
      <c r="I63" s="26"/>
      <c r="J63" s="26"/>
      <c r="K63" s="26"/>
      <c r="L63" s="26"/>
      <c r="M63" s="26"/>
      <c r="N63" s="58"/>
      <c r="O63" s="58"/>
      <c r="P63" s="58"/>
      <c r="Q63" s="58"/>
      <c r="R63" s="26"/>
      <c r="S63" s="26"/>
    </row>
    <row r="64" spans="2:22" ht="15.75" x14ac:dyDescent="0.25">
      <c r="B64" s="58"/>
      <c r="C64" s="58"/>
      <c r="D64" s="58"/>
      <c r="E64" s="58"/>
      <c r="F64" s="26"/>
      <c r="G64" s="26"/>
      <c r="H64" s="26"/>
      <c r="I64" s="26"/>
      <c r="J64" s="26"/>
      <c r="K64" s="26"/>
      <c r="L64" s="26"/>
      <c r="M64" s="26"/>
      <c r="N64" s="58"/>
      <c r="O64" s="58"/>
      <c r="P64" s="58"/>
      <c r="Q64" s="58"/>
      <c r="R64" s="26"/>
      <c r="S64" s="26"/>
    </row>
    <row r="65" spans="2:22" ht="15.75" x14ac:dyDescent="0.25">
      <c r="B65" s="58"/>
      <c r="C65" s="58"/>
      <c r="D65" s="58"/>
      <c r="E65" s="58"/>
      <c r="F65" s="26"/>
      <c r="G65" s="26"/>
      <c r="H65" s="26"/>
      <c r="I65" s="26"/>
      <c r="J65" s="26"/>
      <c r="K65" s="26"/>
      <c r="L65" s="26"/>
      <c r="M65" s="26"/>
      <c r="N65" s="58"/>
      <c r="O65" s="58"/>
      <c r="P65" s="58"/>
      <c r="Q65" s="58"/>
      <c r="R65" s="26"/>
      <c r="S65" s="26"/>
    </row>
    <row r="66" spans="2:22" ht="15.75" x14ac:dyDescent="0.25">
      <c r="B66" s="58"/>
      <c r="C66" s="58"/>
      <c r="D66" s="58"/>
      <c r="E66" s="58"/>
      <c r="F66" s="26"/>
      <c r="G66" s="26"/>
      <c r="H66" s="26"/>
      <c r="I66" s="26"/>
      <c r="J66" s="26"/>
      <c r="K66" s="26"/>
      <c r="L66" s="26"/>
      <c r="M66" s="26"/>
      <c r="N66" s="58"/>
      <c r="O66" s="58"/>
      <c r="P66" s="58"/>
      <c r="Q66" s="58"/>
      <c r="R66" s="26"/>
      <c r="S66" s="26"/>
    </row>
    <row r="67" spans="2:22" ht="15.75" x14ac:dyDescent="0.25">
      <c r="B67" s="58"/>
      <c r="C67" s="58"/>
      <c r="D67" s="58"/>
      <c r="E67" s="58"/>
      <c r="F67" s="26"/>
      <c r="G67" s="26"/>
      <c r="H67" s="26"/>
      <c r="I67" s="26"/>
      <c r="J67" s="26"/>
      <c r="K67" s="26"/>
      <c r="L67" s="26"/>
      <c r="M67" s="26"/>
      <c r="N67" s="58"/>
      <c r="O67" s="58"/>
      <c r="P67" s="58"/>
      <c r="Q67" s="58"/>
      <c r="R67" s="26"/>
      <c r="S67" s="26"/>
    </row>
    <row r="68" spans="2:22" ht="15.75" x14ac:dyDescent="0.25">
      <c r="B68" s="58"/>
      <c r="C68" s="58"/>
      <c r="D68" s="58"/>
      <c r="E68" s="58"/>
      <c r="F68" s="26"/>
      <c r="G68" s="26"/>
      <c r="H68" s="26"/>
      <c r="I68" s="26"/>
      <c r="J68" s="26"/>
      <c r="K68" s="26"/>
      <c r="L68" s="26"/>
      <c r="M68" s="26"/>
      <c r="N68" s="58"/>
      <c r="O68" s="58"/>
      <c r="P68" s="58"/>
      <c r="Q68" s="58"/>
      <c r="R68" s="26"/>
      <c r="S68" s="26"/>
    </row>
    <row r="69" spans="2:22" ht="15.75" x14ac:dyDescent="0.25">
      <c r="B69" s="58"/>
      <c r="C69" s="58"/>
      <c r="D69" s="58"/>
      <c r="E69" s="58"/>
      <c r="F69" s="26"/>
      <c r="G69" s="26"/>
      <c r="H69" s="26"/>
      <c r="I69" s="26"/>
      <c r="J69" s="26"/>
      <c r="K69" s="26"/>
      <c r="L69" s="26"/>
      <c r="M69" s="26"/>
      <c r="N69" s="58"/>
      <c r="O69" s="58"/>
      <c r="P69" s="58"/>
      <c r="Q69" s="58"/>
      <c r="R69" s="26"/>
      <c r="S69" s="26"/>
    </row>
    <row r="70" spans="2:22" ht="15.75" x14ac:dyDescent="0.25">
      <c r="B70" s="58"/>
      <c r="C70" s="58"/>
      <c r="D70" s="58"/>
      <c r="E70" s="58"/>
      <c r="F70" s="26"/>
      <c r="G70" s="26"/>
      <c r="H70" s="26"/>
      <c r="I70" s="26"/>
      <c r="J70" s="26"/>
      <c r="K70" s="26"/>
      <c r="L70" s="26"/>
      <c r="M70" s="26"/>
      <c r="N70" s="58"/>
      <c r="O70" s="58"/>
      <c r="P70" s="58"/>
      <c r="Q70" s="58"/>
      <c r="R70" s="26"/>
      <c r="S70" s="26"/>
    </row>
    <row r="71" spans="2:22" ht="15.75" x14ac:dyDescent="0.25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58"/>
      <c r="O71" s="58"/>
      <c r="P71" s="58"/>
      <c r="Q71" s="58"/>
      <c r="R71" s="26"/>
      <c r="S71" s="26"/>
    </row>
    <row r="72" spans="2:22" x14ac:dyDescent="0.2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</row>
    <row r="73" spans="2:22" ht="15.75" x14ac:dyDescent="0.25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44"/>
      <c r="T73" s="44"/>
      <c r="U73" s="44"/>
      <c r="V73" s="44"/>
    </row>
    <row r="74" spans="2:22" ht="15.75" x14ac:dyDescent="0.25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58"/>
    </row>
    <row r="75" spans="2:22" ht="15.75" x14ac:dyDescent="0.25">
      <c r="B75" s="58"/>
      <c r="C75" s="58"/>
      <c r="D75" s="58"/>
      <c r="E75" s="58"/>
      <c r="F75" s="26"/>
      <c r="G75" s="44"/>
      <c r="H75" s="44"/>
      <c r="I75" s="44"/>
      <c r="J75" s="44"/>
      <c r="K75" s="26"/>
      <c r="L75" s="26"/>
      <c r="M75" s="26"/>
      <c r="N75" s="26"/>
      <c r="O75" s="26"/>
      <c r="P75" s="26"/>
      <c r="Q75" s="26"/>
      <c r="R75" s="26"/>
      <c r="S75" s="58"/>
    </row>
    <row r="76" spans="2:22" ht="15.75" x14ac:dyDescent="0.25">
      <c r="B76" s="58"/>
      <c r="C76" s="58"/>
      <c r="D76" s="58"/>
      <c r="E76" s="58"/>
      <c r="F76" s="26"/>
      <c r="G76" s="58"/>
      <c r="H76" s="26"/>
      <c r="I76" s="26"/>
      <c r="J76" s="26"/>
      <c r="K76" s="26"/>
      <c r="L76" s="26"/>
      <c r="M76" s="26"/>
      <c r="N76" s="58"/>
      <c r="O76" s="58"/>
      <c r="P76" s="58"/>
      <c r="Q76" s="58"/>
      <c r="R76" s="26"/>
      <c r="S76" s="58"/>
    </row>
    <row r="77" spans="2:22" ht="15.75" x14ac:dyDescent="0.25">
      <c r="B77" s="58"/>
      <c r="C77" s="58"/>
      <c r="D77" s="58"/>
      <c r="E77" s="58"/>
      <c r="F77" s="26"/>
      <c r="G77" s="58"/>
      <c r="H77" s="26"/>
      <c r="I77" s="26"/>
      <c r="J77" s="26"/>
      <c r="K77" s="26"/>
      <c r="L77" s="26"/>
      <c r="M77" s="26"/>
      <c r="N77" s="58"/>
      <c r="O77" s="58"/>
      <c r="P77" s="58"/>
      <c r="Q77" s="58"/>
      <c r="R77" s="26"/>
      <c r="S77" s="68"/>
      <c r="T77" s="57"/>
      <c r="U77" s="57"/>
      <c r="V77" s="57"/>
    </row>
    <row r="78" spans="2:22" ht="15.75" x14ac:dyDescent="0.25">
      <c r="B78" s="58"/>
      <c r="C78" s="58"/>
      <c r="D78" s="58"/>
      <c r="E78" s="58"/>
      <c r="F78" s="26"/>
      <c r="G78" s="58"/>
      <c r="H78" s="26"/>
      <c r="I78" s="26"/>
      <c r="J78" s="26"/>
      <c r="K78" s="26"/>
      <c r="L78" s="26"/>
      <c r="M78" s="26"/>
      <c r="N78" s="58"/>
      <c r="O78" s="58"/>
      <c r="P78" s="58"/>
      <c r="Q78" s="58"/>
      <c r="R78" s="26"/>
      <c r="S78" s="71"/>
      <c r="T78" s="57"/>
      <c r="U78" s="57"/>
      <c r="V78" s="57"/>
    </row>
    <row r="79" spans="2:22" ht="15.75" x14ac:dyDescent="0.25">
      <c r="B79" s="58"/>
      <c r="C79" s="58"/>
      <c r="D79" s="58"/>
      <c r="E79" s="58"/>
      <c r="F79" s="26"/>
      <c r="G79" s="68"/>
      <c r="H79" s="69"/>
      <c r="I79" s="69"/>
      <c r="J79" s="69"/>
      <c r="K79" s="26"/>
      <c r="L79" s="26"/>
      <c r="M79" s="26"/>
      <c r="N79" s="58"/>
      <c r="O79" s="58"/>
      <c r="P79" s="58"/>
      <c r="Q79" s="58"/>
      <c r="R79" s="26"/>
      <c r="S79" s="26"/>
    </row>
    <row r="80" spans="2:22" ht="15.75" x14ac:dyDescent="0.25">
      <c r="B80" s="58"/>
      <c r="C80" s="58"/>
      <c r="D80" s="58"/>
      <c r="E80" s="58"/>
      <c r="F80" s="26"/>
      <c r="G80" s="71"/>
      <c r="H80" s="69"/>
      <c r="I80" s="69"/>
      <c r="J80" s="69"/>
      <c r="K80" s="26"/>
      <c r="L80" s="26"/>
      <c r="M80" s="26"/>
      <c r="N80" s="58"/>
      <c r="O80" s="58"/>
      <c r="P80" s="58"/>
      <c r="Q80" s="58"/>
      <c r="R80" s="26"/>
      <c r="S80" s="26"/>
    </row>
    <row r="81" spans="2:21" ht="15.75" x14ac:dyDescent="0.25">
      <c r="B81" s="58"/>
      <c r="C81" s="58"/>
      <c r="D81" s="58"/>
      <c r="E81" s="58"/>
      <c r="F81" s="26"/>
      <c r="G81" s="26"/>
      <c r="H81" s="26"/>
      <c r="I81" s="26"/>
      <c r="J81" s="26"/>
      <c r="K81" s="26"/>
      <c r="L81" s="26"/>
      <c r="M81" s="26"/>
      <c r="N81" s="58"/>
      <c r="O81" s="58"/>
      <c r="P81" s="58"/>
      <c r="Q81" s="58"/>
      <c r="R81" s="26"/>
      <c r="S81" s="26"/>
    </row>
    <row r="82" spans="2:21" ht="15.75" x14ac:dyDescent="0.25">
      <c r="B82" s="58"/>
      <c r="C82" s="58"/>
      <c r="D82" s="58"/>
      <c r="E82" s="58"/>
      <c r="F82" s="26"/>
      <c r="G82" s="26"/>
      <c r="H82" s="26"/>
      <c r="I82" s="26"/>
      <c r="J82" s="26"/>
      <c r="K82" s="26"/>
      <c r="L82" s="26"/>
      <c r="M82" s="26"/>
      <c r="N82" s="58"/>
      <c r="O82" s="58"/>
      <c r="P82" s="58"/>
      <c r="Q82" s="58"/>
      <c r="R82" s="26"/>
      <c r="S82" s="71"/>
    </row>
    <row r="83" spans="2:21" ht="15.75" x14ac:dyDescent="0.25">
      <c r="B83" s="58"/>
      <c r="C83" s="58"/>
      <c r="D83" s="58"/>
      <c r="E83" s="58"/>
      <c r="F83" s="26"/>
      <c r="G83" s="26"/>
      <c r="H83" s="26"/>
      <c r="I83" s="26"/>
      <c r="J83" s="26"/>
      <c r="K83" s="26"/>
      <c r="L83" s="26"/>
      <c r="M83" s="26"/>
      <c r="N83" s="58"/>
      <c r="O83" s="58"/>
      <c r="P83" s="58"/>
      <c r="Q83" s="58"/>
      <c r="R83" s="26"/>
      <c r="S83" s="71"/>
    </row>
    <row r="84" spans="2:21" ht="15.75" x14ac:dyDescent="0.25">
      <c r="B84" s="58"/>
      <c r="C84" s="58"/>
      <c r="D84" s="58"/>
      <c r="E84" s="58"/>
      <c r="F84" s="26"/>
      <c r="G84" s="71"/>
      <c r="H84" s="26"/>
      <c r="I84" s="26"/>
      <c r="J84" s="26"/>
      <c r="K84" s="26"/>
      <c r="L84" s="26"/>
      <c r="M84" s="26"/>
      <c r="N84" s="58"/>
      <c r="O84" s="58"/>
      <c r="P84" s="58"/>
      <c r="Q84" s="58"/>
      <c r="R84" s="26"/>
      <c r="S84" s="71"/>
      <c r="T84" s="65"/>
      <c r="U84" s="65"/>
    </row>
    <row r="85" spans="2:21" ht="15.75" x14ac:dyDescent="0.25">
      <c r="B85" s="58"/>
      <c r="C85" s="58"/>
      <c r="D85" s="58"/>
      <c r="E85" s="58"/>
      <c r="F85" s="26"/>
      <c r="G85" s="71"/>
      <c r="H85" s="26"/>
      <c r="I85" s="26"/>
      <c r="J85" s="26"/>
      <c r="K85" s="26"/>
      <c r="L85" s="26"/>
      <c r="M85" s="26"/>
      <c r="N85" s="58"/>
      <c r="O85" s="58"/>
      <c r="P85" s="58"/>
      <c r="Q85" s="58"/>
      <c r="R85" s="26"/>
      <c r="S85" s="26"/>
    </row>
    <row r="86" spans="2:21" ht="15.75" x14ac:dyDescent="0.25">
      <c r="B86" s="58"/>
      <c r="C86" s="58"/>
      <c r="D86" s="58"/>
      <c r="E86" s="58"/>
      <c r="F86" s="26"/>
      <c r="G86" s="71"/>
      <c r="H86" s="72"/>
      <c r="I86" s="72"/>
      <c r="J86" s="26"/>
      <c r="K86" s="26"/>
      <c r="L86" s="26"/>
      <c r="M86" s="26"/>
      <c r="N86" s="58"/>
      <c r="O86" s="58"/>
      <c r="P86" s="58"/>
      <c r="Q86" s="58"/>
      <c r="R86" s="26"/>
      <c r="S86" s="26"/>
    </row>
    <row r="87" spans="2:21" ht="15.75" x14ac:dyDescent="0.25">
      <c r="B87" s="58"/>
      <c r="C87" s="58"/>
      <c r="D87" s="58"/>
      <c r="E87" s="58"/>
      <c r="F87" s="26"/>
      <c r="G87" s="26"/>
      <c r="H87" s="26"/>
      <c r="I87" s="26"/>
      <c r="J87" s="26"/>
      <c r="K87" s="26"/>
      <c r="L87" s="26"/>
      <c r="M87" s="26"/>
      <c r="N87" s="58"/>
      <c r="O87" s="58"/>
      <c r="P87" s="58"/>
      <c r="Q87" s="58"/>
      <c r="R87" s="26"/>
      <c r="S87" s="26"/>
    </row>
    <row r="88" spans="2:21" ht="15.75" x14ac:dyDescent="0.25">
      <c r="B88" s="58"/>
      <c r="C88" s="58"/>
      <c r="D88" s="58"/>
      <c r="E88" s="58"/>
      <c r="F88" s="26"/>
      <c r="G88" s="26"/>
      <c r="H88" s="26"/>
      <c r="I88" s="26"/>
      <c r="J88" s="26"/>
      <c r="K88" s="26"/>
      <c r="L88" s="26"/>
      <c r="M88" s="26"/>
      <c r="N88" s="58"/>
      <c r="O88" s="58"/>
      <c r="P88" s="58"/>
      <c r="Q88" s="58"/>
      <c r="R88" s="26"/>
      <c r="S88" s="26"/>
    </row>
    <row r="89" spans="2:21" ht="15.75" x14ac:dyDescent="0.25">
      <c r="B89" s="58"/>
      <c r="C89" s="58"/>
      <c r="D89" s="58"/>
      <c r="E89" s="58"/>
      <c r="F89" s="26"/>
      <c r="G89" s="26"/>
      <c r="H89" s="26"/>
      <c r="I89" s="26"/>
      <c r="J89" s="26"/>
      <c r="K89" s="26"/>
      <c r="L89" s="26"/>
      <c r="M89" s="26"/>
      <c r="N89" s="58"/>
      <c r="O89" s="58"/>
      <c r="P89" s="58"/>
      <c r="Q89" s="58"/>
      <c r="R89" s="26"/>
      <c r="S89" s="26"/>
    </row>
    <row r="90" spans="2:21" ht="15.75" x14ac:dyDescent="0.25">
      <c r="B90" s="58"/>
      <c r="C90" s="58"/>
      <c r="D90" s="58"/>
      <c r="E90" s="58"/>
      <c r="F90" s="26"/>
      <c r="G90" s="26"/>
      <c r="H90" s="26"/>
      <c r="I90" s="26"/>
      <c r="J90" s="26"/>
      <c r="K90" s="26"/>
      <c r="L90" s="26"/>
      <c r="M90" s="26"/>
      <c r="N90" s="58"/>
      <c r="O90" s="58"/>
      <c r="P90" s="58"/>
      <c r="Q90" s="58"/>
      <c r="R90" s="26"/>
      <c r="S90" s="26"/>
    </row>
    <row r="91" spans="2:21" ht="15.75" x14ac:dyDescent="0.25">
      <c r="B91" s="58"/>
      <c r="C91" s="58"/>
      <c r="D91" s="58"/>
      <c r="E91" s="58"/>
      <c r="F91" s="26"/>
      <c r="G91" s="26"/>
      <c r="H91" s="26"/>
      <c r="I91" s="26"/>
      <c r="J91" s="26"/>
      <c r="K91" s="26"/>
      <c r="L91" s="26"/>
      <c r="M91" s="26"/>
      <c r="N91" s="58"/>
      <c r="O91" s="58"/>
      <c r="P91" s="58"/>
      <c r="Q91" s="58"/>
      <c r="R91" s="26"/>
      <c r="S91" s="26"/>
    </row>
    <row r="92" spans="2:21" ht="15.75" x14ac:dyDescent="0.25">
      <c r="B92" s="58"/>
      <c r="C92" s="58"/>
      <c r="D92" s="58"/>
      <c r="E92" s="58"/>
      <c r="F92" s="26"/>
      <c r="G92" s="26"/>
      <c r="H92" s="26"/>
      <c r="I92" s="26"/>
      <c r="J92" s="26"/>
      <c r="K92" s="26"/>
      <c r="L92" s="26"/>
      <c r="M92" s="26"/>
      <c r="N92" s="58"/>
      <c r="O92" s="58"/>
      <c r="P92" s="58"/>
      <c r="Q92" s="58"/>
      <c r="R92" s="26"/>
      <c r="S92" s="26"/>
    </row>
    <row r="93" spans="2:21" ht="15.75" x14ac:dyDescent="0.25">
      <c r="B93" s="58"/>
      <c r="C93" s="58"/>
      <c r="D93" s="58"/>
      <c r="E93" s="58"/>
      <c r="F93" s="26"/>
      <c r="G93" s="26"/>
      <c r="H93" s="26"/>
      <c r="I93" s="26"/>
      <c r="J93" s="26"/>
      <c r="K93" s="26"/>
      <c r="L93" s="26"/>
      <c r="M93" s="26"/>
      <c r="N93" s="58"/>
      <c r="O93" s="58"/>
      <c r="P93" s="58"/>
      <c r="Q93" s="58"/>
      <c r="R93" s="26"/>
      <c r="S93" s="26"/>
    </row>
    <row r="94" spans="2:21" ht="15.75" x14ac:dyDescent="0.25">
      <c r="B94" s="58"/>
      <c r="C94" s="58"/>
      <c r="D94" s="58"/>
      <c r="E94" s="58"/>
      <c r="F94" s="26"/>
      <c r="G94" s="26"/>
      <c r="H94" s="26"/>
      <c r="I94" s="26"/>
      <c r="J94" s="26"/>
      <c r="K94" s="26"/>
      <c r="L94" s="26"/>
      <c r="M94" s="26"/>
      <c r="N94" s="58"/>
      <c r="O94" s="58"/>
      <c r="P94" s="58"/>
      <c r="Q94" s="58"/>
      <c r="R94" s="26"/>
      <c r="S94" s="26"/>
    </row>
    <row r="95" spans="2:21" ht="15.75" x14ac:dyDescent="0.25"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58"/>
      <c r="O95" s="58"/>
      <c r="P95" s="58"/>
      <c r="Q95" s="58"/>
      <c r="R95" s="26"/>
      <c r="S95" s="26"/>
    </row>
    <row r="96" spans="2:21" x14ac:dyDescent="0.2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</row>
    <row r="97" spans="7:17" x14ac:dyDescent="0.2">
      <c r="G97" s="26"/>
      <c r="H97" s="26"/>
      <c r="I97" s="26"/>
      <c r="J97" s="26"/>
      <c r="N97" s="26"/>
      <c r="O97" s="26"/>
      <c r="P97" s="26"/>
      <c r="Q97" s="26"/>
    </row>
    <row r="98" spans="7:17" x14ac:dyDescent="0.2">
      <c r="G98" s="26"/>
      <c r="H98" s="26"/>
      <c r="I98" s="26"/>
      <c r="J98" s="26"/>
    </row>
  </sheetData>
  <conditionalFormatting sqref="H17:I17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{763B759F-1577-49A2-85E0-79D872D4A6E2}</x14:id>
        </ext>
      </extLst>
    </cfRule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8:I38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{409E4199-C0E5-4059-B1C3-CF8E405A2071}</x14:id>
        </ext>
      </extLst>
    </cfRule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6:U36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{ECFD4B23-1464-4FD9-8188-A08D6CFC517A}</x14:id>
        </ext>
      </extLst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2:I62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{2C8A2F3D-1648-4117-974E-1D6ECD631C16}</x14:id>
        </ext>
      </extLst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60:U60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{1529B271-269C-42B9-884C-CF597389AC80}</x14:id>
        </ext>
      </extLst>
    </cfRule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6:I8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{89856A5E-3D3D-4FF5-8AEC-51D36B5DC9F5}</x14:id>
        </ext>
      </extLst>
    </cfRule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4:U84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{0301EA31-C3E7-4801-9CC1-B2642275D53D}</x14:id>
        </ext>
      </extLst>
    </cfRule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{28C052F6-5054-421C-A397-919B77EE1FE5}</x14:id>
        </ext>
      </extLst>
    </cfRule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{5ADEA16F-BB6E-49EA-B9A4-D136304DD109}</x14:id>
        </ext>
      </extLst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7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{E0B9D81A-EEE1-4A7F-A1E5-6E69E3C6B9FD}</x14:id>
        </ext>
      </extLst>
    </cfRule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{B9F20976-74D5-4ED4-A8DB-38E8A51922F9}</x14:id>
        </ext>
      </extLst>
    </cfRule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S1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{69A44D63-07AE-4B36-81F0-D3D82A8A91EA}</x14:id>
        </ext>
      </extLst>
    </cfRule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1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{97636C3F-A5C0-4DB8-8398-8B33C868824B}</x14:id>
        </ext>
      </extLs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{C94EF464-FF0A-42B5-997E-D6100FD1D1D3}</x14:id>
        </ext>
      </extLst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{25AA9D98-A023-4DEE-9759-981D542749C1}</x14:id>
        </ext>
      </extLs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0" orientation="portrait" horizontalDpi="0" verticalDpi="0" copies="0"/>
  <ignoredErrors>
    <ignoredError sqref="J11" calculatedColumn="1"/>
  </ignoredErrors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3B759F-1577-49A2-85E0-79D872D4A6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H17:I17</xm:sqref>
        </x14:conditionalFormatting>
        <x14:conditionalFormatting xmlns:xm="http://schemas.microsoft.com/office/excel/2006/main">
          <x14:cfRule type="dataBar" id="{409E4199-C0E5-4059-B1C3-CF8E405A20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H38:I38</xm:sqref>
        </x14:conditionalFormatting>
        <x14:conditionalFormatting xmlns:xm="http://schemas.microsoft.com/office/excel/2006/main">
          <x14:cfRule type="dataBar" id="{ECFD4B23-1464-4FD9-8188-A08D6CFC51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T36:U36</xm:sqref>
        </x14:conditionalFormatting>
        <x14:conditionalFormatting xmlns:xm="http://schemas.microsoft.com/office/excel/2006/main">
          <x14:cfRule type="dataBar" id="{2C8A2F3D-1648-4117-974E-1D6ECD631C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H62:I62</xm:sqref>
        </x14:conditionalFormatting>
        <x14:conditionalFormatting xmlns:xm="http://schemas.microsoft.com/office/excel/2006/main">
          <x14:cfRule type="dataBar" id="{1529B271-269C-42B9-884C-CF597389A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T60:U60</xm:sqref>
        </x14:conditionalFormatting>
        <x14:conditionalFormatting xmlns:xm="http://schemas.microsoft.com/office/excel/2006/main">
          <x14:cfRule type="dataBar" id="{89856A5E-3D3D-4FF5-8AEC-51D36B5DC9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H86:I86</xm:sqref>
        </x14:conditionalFormatting>
        <x14:conditionalFormatting xmlns:xm="http://schemas.microsoft.com/office/excel/2006/main">
          <x14:cfRule type="dataBar" id="{0301EA31-C3E7-4801-9CC1-B2642275D5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T84:U84</xm:sqref>
        </x14:conditionalFormatting>
        <x14:conditionalFormatting xmlns:xm="http://schemas.microsoft.com/office/excel/2006/main">
          <x14:cfRule type="dataBar" id="{28C052F6-5054-421C-A397-919B77EE1F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U17</xm:sqref>
        </x14:conditionalFormatting>
        <x14:conditionalFormatting xmlns:xm="http://schemas.microsoft.com/office/excel/2006/main">
          <x14:cfRule type="dataBar" id="{5ADEA16F-BB6E-49EA-B9A4-D136304DD1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T17</xm:sqref>
        </x14:conditionalFormatting>
        <x14:conditionalFormatting xmlns:xm="http://schemas.microsoft.com/office/excel/2006/main">
          <x14:cfRule type="dataBar" id="{E0B9D81A-EEE1-4A7F-A1E5-6E69E3C6B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AG17</xm:sqref>
        </x14:conditionalFormatting>
        <x14:conditionalFormatting xmlns:xm="http://schemas.microsoft.com/office/excel/2006/main">
          <x14:cfRule type="dataBar" id="{B9F20976-74D5-4ED4-A8DB-38E8A51922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AF17</xm:sqref>
        </x14:conditionalFormatting>
        <x14:conditionalFormatting xmlns:xm="http://schemas.microsoft.com/office/excel/2006/main">
          <x14:cfRule type="dataBar" id="{69A44D63-07AE-4B36-81F0-D3D82A8A91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AS17</xm:sqref>
        </x14:conditionalFormatting>
        <x14:conditionalFormatting xmlns:xm="http://schemas.microsoft.com/office/excel/2006/main">
          <x14:cfRule type="dataBar" id="{97636C3F-A5C0-4DB8-8398-8B33C86882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AR17</xm:sqref>
        </x14:conditionalFormatting>
        <x14:conditionalFormatting xmlns:xm="http://schemas.microsoft.com/office/excel/2006/main">
          <x14:cfRule type="dataBar" id="{C94EF464-FF0A-42B5-997E-D6100FD1D1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BE17</xm:sqref>
        </x14:conditionalFormatting>
        <x14:conditionalFormatting xmlns:xm="http://schemas.microsoft.com/office/excel/2006/main">
          <x14:cfRule type="dataBar" id="{25AA9D98-A023-4DEE-9759-981D542749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Накопления - 2020 год</vt:lpstr>
      <vt:lpstr>БЮджет по месяцам - 2020 год</vt:lpstr>
      <vt:lpstr>Июль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</dc:creator>
  <cp:keywords/>
  <dc:description/>
  <cp:lastModifiedBy>Пользователь</cp:lastModifiedBy>
  <dcterms:created xsi:type="dcterms:W3CDTF">2002-11-14T18:47:55Z</dcterms:created>
  <dcterms:modified xsi:type="dcterms:W3CDTF">2020-10-21T18:16:34Z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1049</vt:i4>
  </property>
  <property fmtid="{D5CDD505-2E9C-101B-9397-08002B2CF9AE}" pid="3" name="_Version">
    <vt:lpwstr>0908</vt:lpwstr>
  </property>
</Properties>
</file>