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6d2e27841fd4b7ba/Skrivebord/inv-fin/"/>
    </mc:Choice>
  </mc:AlternateContent>
  <xr:revisionPtr revIDLastSave="19" documentId="8_{706E03F2-AA8D-42C2-823B-C4A85C71F868}" xr6:coauthVersionLast="47" xr6:coauthVersionMax="47" xr10:uidLastSave="{8C5EADEC-F0F3-4978-BCE8-D24F1B374A3D}"/>
  <bookViews>
    <workbookView xWindow="-120" yWindow="-120" windowWidth="29040" windowHeight="15720" tabRatio="772" activeTab="3" xr2:uid="{00000000-000D-0000-FFFF-FFFF00000000}"/>
  </bookViews>
  <sheets>
    <sheet name="Instruktioner" sheetId="42" r:id="rId1"/>
    <sheet name="Portefølge" sheetId="17" r:id="rId2"/>
    <sheet name="APT" sheetId="37" r:id="rId3"/>
    <sheet name="Option pricing unraveling" sheetId="38" r:id="rId4"/>
    <sheet name="Black-Scholes Optioner" sheetId="33" r:id="rId5"/>
    <sheet name="Interest rate structur" sheetId="40" r:id="rId6"/>
    <sheet name="Nelson-Siegel" sheetId="39" r:id="rId7"/>
  </sheets>
  <externalReferences>
    <externalReference r:id="rId8"/>
  </externalReferences>
  <definedNames>
    <definedName name="A">[1]Porteføljeteori!$J$12:$K$13</definedName>
    <definedName name="b">#REF!</definedName>
    <definedName name="c_">#REF!</definedName>
    <definedName name="INV_S">[1]Porteføljeteori!$Q$7:$S$9</definedName>
    <definedName name="rate">#REF!</definedName>
    <definedName name="S">[1]Porteføljeteori!$M$7:$O$9</definedName>
    <definedName name="solver_adj" localSheetId="6" hidden="1">'Nelson-Siegel'!$B$3:$B$7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100</definedName>
    <definedName name="solver_lhs1" localSheetId="6" hidden="1">'Nelson-Siegel'!$B$3</definedName>
    <definedName name="solver_lhs2" localSheetId="6" hidden="1">'Nelson-Siegel'!$B$4</definedName>
    <definedName name="solver_lin" localSheetId="6" hidden="1">2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2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'Nelson-Siegel'!$E$5</definedName>
    <definedName name="solver_pre" localSheetId="6" hidden="1">0.000001</definedName>
    <definedName name="solver_rbv" localSheetId="6" hidden="1">1</definedName>
    <definedName name="solver_rel1" localSheetId="6" hidden="1">3</definedName>
    <definedName name="solver_rel2" localSheetId="6" hidden="1">3</definedName>
    <definedName name="solver_rhs1" localSheetId="6" hidden="1">0</definedName>
    <definedName name="solver_rhs2" localSheetId="6" hidden="1">-'Nelson-Siegel'!$B$3</definedName>
    <definedName name="solver_rlx" localSheetId="6" hidden="1">1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100</definedName>
    <definedName name="solver_tol" localSheetId="6" hidden="1">0.05</definedName>
    <definedName name="solver_typ" localSheetId="6" hidden="1">2</definedName>
    <definedName name="solver_val" localSheetId="6" hidden="1">0</definedName>
    <definedName name="solver_ver" localSheetId="6" hidden="1">3</definedName>
    <definedName name="u">[1]Porteføljeteori!$K$7:$K$9</definedName>
    <definedName name="w">[1]Porteføljeteori!$J$18:$J$20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2" i="40" l="1"/>
  <c r="E31" i="37"/>
  <c r="D32" i="37"/>
  <c r="F12" i="38"/>
  <c r="F126" i="17"/>
  <c r="I134" i="17"/>
  <c r="G126" i="17"/>
  <c r="K123" i="17"/>
  <c r="D20" i="40"/>
  <c r="E14" i="37"/>
  <c r="H7" i="17"/>
  <c r="H8" i="17"/>
  <c r="G7" i="17"/>
  <c r="H18" i="17" s="1"/>
  <c r="C20" i="37"/>
  <c r="N5" i="33"/>
  <c r="R11" i="38"/>
  <c r="R9" i="38"/>
  <c r="F10" i="38"/>
  <c r="E26" i="40"/>
  <c r="E25" i="40"/>
  <c r="H57" i="40"/>
  <c r="I58" i="40" s="1"/>
  <c r="J59" i="40" s="1"/>
  <c r="H55" i="40"/>
  <c r="I56" i="40" s="1"/>
  <c r="E44" i="40"/>
  <c r="E42" i="40"/>
  <c r="E40" i="40"/>
  <c r="C21" i="37"/>
  <c r="G12" i="38"/>
  <c r="C82" i="38" s="1"/>
  <c r="I10" i="38" l="1"/>
  <c r="D40" i="38"/>
  <c r="J57" i="40"/>
  <c r="I54" i="40"/>
  <c r="H62" i="40"/>
  <c r="H65" i="40" s="1"/>
  <c r="D41" i="40"/>
  <c r="D43" i="40"/>
  <c r="N98" i="38"/>
  <c r="Q98" i="38" s="1"/>
  <c r="N97" i="38"/>
  <c r="Q97" i="38" s="1"/>
  <c r="N96" i="38"/>
  <c r="Q96" i="38" s="1"/>
  <c r="N95" i="38"/>
  <c r="C91" i="38"/>
  <c r="C90" i="38"/>
  <c r="F90" i="38" s="1"/>
  <c r="C89" i="38"/>
  <c r="F89" i="38" s="1"/>
  <c r="D66" i="17"/>
  <c r="D64" i="17"/>
  <c r="F79" i="17"/>
  <c r="N78" i="17"/>
  <c r="N79" i="17"/>
  <c r="N77" i="17"/>
  <c r="E20" i="40"/>
  <c r="E29" i="40"/>
  <c r="D30" i="40"/>
  <c r="C31" i="40"/>
  <c r="E31" i="40"/>
  <c r="D32" i="40"/>
  <c r="E33" i="40"/>
  <c r="E15" i="39"/>
  <c r="F15" i="39"/>
  <c r="G15" i="39"/>
  <c r="H15" i="39"/>
  <c r="I15" i="39"/>
  <c r="J15" i="39"/>
  <c r="K15" i="39"/>
  <c r="L15" i="39"/>
  <c r="M15" i="39"/>
  <c r="N15" i="39"/>
  <c r="P15" i="39"/>
  <c r="Q15" i="39" s="1"/>
  <c r="T15" i="39"/>
  <c r="U15" i="39" s="1"/>
  <c r="A16" i="39"/>
  <c r="P16" i="39" s="1"/>
  <c r="Q16" i="39" s="1"/>
  <c r="F16" i="39"/>
  <c r="G16" i="39"/>
  <c r="H16" i="39"/>
  <c r="I16" i="39"/>
  <c r="J16" i="39"/>
  <c r="K16" i="39"/>
  <c r="L16" i="39"/>
  <c r="M16" i="39"/>
  <c r="N16" i="39"/>
  <c r="R16" i="39"/>
  <c r="T16" i="39"/>
  <c r="U16" i="39" s="1"/>
  <c r="A17" i="39"/>
  <c r="P17" i="39" s="1"/>
  <c r="Q17" i="39" s="1"/>
  <c r="G17" i="39"/>
  <c r="H17" i="39"/>
  <c r="I17" i="39"/>
  <c r="J17" i="39"/>
  <c r="K17" i="39"/>
  <c r="L17" i="39"/>
  <c r="M17" i="39"/>
  <c r="N17" i="39"/>
  <c r="R17" i="39"/>
  <c r="T17" i="39"/>
  <c r="U17" i="39" s="1"/>
  <c r="A18" i="39"/>
  <c r="A19" i="39" s="1"/>
  <c r="H18" i="39"/>
  <c r="I18" i="39"/>
  <c r="J18" i="39"/>
  <c r="K18" i="39"/>
  <c r="L18" i="39"/>
  <c r="M18" i="39"/>
  <c r="N18" i="39"/>
  <c r="P18" i="39"/>
  <c r="Q18" i="39" s="1"/>
  <c r="R18" i="39"/>
  <c r="T18" i="39" s="1"/>
  <c r="U18" i="39" s="1"/>
  <c r="I19" i="39"/>
  <c r="J19" i="39"/>
  <c r="K19" i="39"/>
  <c r="L19" i="39"/>
  <c r="M19" i="39"/>
  <c r="N19" i="39"/>
  <c r="R19" i="39"/>
  <c r="T19" i="39" s="1"/>
  <c r="U19" i="39" s="1"/>
  <c r="J20" i="39"/>
  <c r="K20" i="39"/>
  <c r="L20" i="39"/>
  <c r="M20" i="39"/>
  <c r="N20" i="39"/>
  <c r="J21" i="39"/>
  <c r="K21" i="39"/>
  <c r="L21" i="39"/>
  <c r="M21" i="39"/>
  <c r="N21" i="39"/>
  <c r="K22" i="39"/>
  <c r="L22" i="39"/>
  <c r="M22" i="39"/>
  <c r="N22" i="39"/>
  <c r="K23" i="39"/>
  <c r="L23" i="39"/>
  <c r="M23" i="39"/>
  <c r="N23" i="39"/>
  <c r="K24" i="39"/>
  <c r="L24" i="39"/>
  <c r="M24" i="39"/>
  <c r="N24" i="39"/>
  <c r="L25" i="39"/>
  <c r="M25" i="39"/>
  <c r="N25" i="39"/>
  <c r="L26" i="39"/>
  <c r="M26" i="39"/>
  <c r="N26" i="39"/>
  <c r="L27" i="39"/>
  <c r="M27" i="39"/>
  <c r="N27" i="39"/>
  <c r="L28" i="39"/>
  <c r="M28" i="39"/>
  <c r="N28" i="39"/>
  <c r="L29" i="39"/>
  <c r="M29" i="39"/>
  <c r="N29" i="39"/>
  <c r="M30" i="39"/>
  <c r="N30" i="39"/>
  <c r="M31" i="39"/>
  <c r="N31" i="39"/>
  <c r="M32" i="39"/>
  <c r="N32" i="39"/>
  <c r="M33" i="39"/>
  <c r="N33" i="39"/>
  <c r="M34" i="39"/>
  <c r="N34" i="39"/>
  <c r="N35" i="39"/>
  <c r="N36" i="39"/>
  <c r="N37" i="39"/>
  <c r="N38" i="39"/>
  <c r="N39" i="39"/>
  <c r="N40" i="39"/>
  <c r="N41" i="39"/>
  <c r="N42" i="39"/>
  <c r="N43" i="39"/>
  <c r="N44" i="39"/>
  <c r="J62" i="40" l="1"/>
  <c r="J65" i="40" s="1"/>
  <c r="J53" i="40"/>
  <c r="J55" i="40"/>
  <c r="I62" i="40"/>
  <c r="I65" i="40" s="1"/>
  <c r="C42" i="40"/>
  <c r="Q95" i="38"/>
  <c r="F91" i="38"/>
  <c r="A20" i="39"/>
  <c r="P19" i="39"/>
  <c r="Q19" i="39" s="1"/>
  <c r="R20" i="39"/>
  <c r="R10" i="38"/>
  <c r="R6" i="38" s="1"/>
  <c r="F11" i="38"/>
  <c r="H10" i="38" s="1"/>
  <c r="S11" i="38"/>
  <c r="P17" i="38"/>
  <c r="U17" i="38"/>
  <c r="D18" i="38"/>
  <c r="I18" i="38"/>
  <c r="P19" i="38"/>
  <c r="U19" i="38"/>
  <c r="D20" i="38"/>
  <c r="I20" i="38"/>
  <c r="P21" i="38"/>
  <c r="U59" i="38" s="1"/>
  <c r="U21" i="38"/>
  <c r="D22" i="38"/>
  <c r="I22" i="38"/>
  <c r="P23" i="38"/>
  <c r="U23" i="38"/>
  <c r="P26" i="38"/>
  <c r="U26" i="38"/>
  <c r="D27" i="38"/>
  <c r="I27" i="38"/>
  <c r="P28" i="38"/>
  <c r="U28" i="38"/>
  <c r="D29" i="38"/>
  <c r="I29" i="38"/>
  <c r="P30" i="38"/>
  <c r="U30" i="38"/>
  <c r="D31" i="38"/>
  <c r="I31" i="38"/>
  <c r="P32" i="38"/>
  <c r="U32" i="38"/>
  <c r="P37" i="38"/>
  <c r="U37" i="38"/>
  <c r="D38" i="38"/>
  <c r="I38" i="38"/>
  <c r="P39" i="38"/>
  <c r="U39" i="38"/>
  <c r="I40" i="38"/>
  <c r="P41" i="38"/>
  <c r="U41" i="38"/>
  <c r="D42" i="38"/>
  <c r="I42" i="38"/>
  <c r="P43" i="38"/>
  <c r="U43" i="38"/>
  <c r="P46" i="38"/>
  <c r="U46" i="38"/>
  <c r="D47" i="38"/>
  <c r="I47" i="38"/>
  <c r="P48" i="38"/>
  <c r="U48" i="38"/>
  <c r="D49" i="38"/>
  <c r="I49" i="38"/>
  <c r="P50" i="38"/>
  <c r="U50" i="38"/>
  <c r="D51" i="38"/>
  <c r="I51" i="38"/>
  <c r="P52" i="38"/>
  <c r="U52" i="38"/>
  <c r="S59" i="38" l="1"/>
  <c r="R7" i="38"/>
  <c r="O18" i="38" s="1"/>
  <c r="J10" i="38"/>
  <c r="Q91" i="38"/>
  <c r="Q117" i="38" s="1"/>
  <c r="Q90" i="38"/>
  <c r="Q114" i="38" s="1"/>
  <c r="Q89" i="38"/>
  <c r="Q113" i="38" s="1"/>
  <c r="N91" i="38"/>
  <c r="N90" i="38"/>
  <c r="N89" i="38"/>
  <c r="N82" i="38"/>
  <c r="N85" i="38"/>
  <c r="N86" i="38"/>
  <c r="Q82" i="38"/>
  <c r="Q86" i="38"/>
  <c r="Q85" i="38"/>
  <c r="C86" i="38"/>
  <c r="C85" i="38"/>
  <c r="C95" i="38" s="1"/>
  <c r="F82" i="38"/>
  <c r="F85" i="38"/>
  <c r="F86" i="38"/>
  <c r="F101" i="38" s="1"/>
  <c r="F6" i="38"/>
  <c r="F7" i="38" s="1"/>
  <c r="B24" i="38" s="1"/>
  <c r="D24" i="38" s="1"/>
  <c r="B33" i="38" s="1"/>
  <c r="T20" i="39"/>
  <c r="U20" i="39" s="1"/>
  <c r="R21" i="39"/>
  <c r="P20" i="39"/>
  <c r="Q20" i="39" s="1"/>
  <c r="A21" i="39"/>
  <c r="S6" i="38"/>
  <c r="G6" i="38"/>
  <c r="I26" i="37"/>
  <c r="I25" i="37"/>
  <c r="D33" i="37"/>
  <c r="D31" i="37"/>
  <c r="I24" i="37"/>
  <c r="D21" i="37"/>
  <c r="E21" i="37"/>
  <c r="E33" i="37" s="1"/>
  <c r="D20" i="37"/>
  <c r="E32" i="37" s="1"/>
  <c r="E19" i="37"/>
  <c r="D19" i="37"/>
  <c r="E13" i="37"/>
  <c r="E12" i="37"/>
  <c r="D13" i="37"/>
  <c r="D14" i="37"/>
  <c r="D12" i="37"/>
  <c r="Z13" i="33"/>
  <c r="Z12" i="33"/>
  <c r="T49" i="17"/>
  <c r="S66" i="17"/>
  <c r="S67" i="17"/>
  <c r="S69" i="17" s="1"/>
  <c r="R18" i="17"/>
  <c r="R20" i="17"/>
  <c r="Q24" i="17"/>
  <c r="L126" i="17"/>
  <c r="Q52" i="17"/>
  <c r="R74" i="17" a="1"/>
  <c r="R74" i="17" s="1"/>
  <c r="U55" i="17"/>
  <c r="L127" i="17"/>
  <c r="M126" i="17"/>
  <c r="M127" i="17"/>
  <c r="W66" i="17"/>
  <c r="W56" i="17"/>
  <c r="W55" i="17"/>
  <c r="U56" i="17"/>
  <c r="T56" i="17"/>
  <c r="T55" i="17"/>
  <c r="S49" i="17"/>
  <c r="V49" i="17"/>
  <c r="W49" i="17"/>
  <c r="K134" i="17"/>
  <c r="M136" i="17"/>
  <c r="L136" i="17"/>
  <c r="K136" i="17"/>
  <c r="L135" i="17"/>
  <c r="K135" i="17"/>
  <c r="V66" i="17"/>
  <c r="W69" i="17" s="1"/>
  <c r="H71" i="33"/>
  <c r="H72" i="33" s="1"/>
  <c r="H69" i="33"/>
  <c r="H70" i="33" s="1"/>
  <c r="H59" i="33"/>
  <c r="H58" i="33"/>
  <c r="H57" i="33"/>
  <c r="Z14" i="33" s="1"/>
  <c r="Z19" i="33" s="1"/>
  <c r="Z15" i="33"/>
  <c r="M135" i="17"/>
  <c r="M134" i="17"/>
  <c r="L134" i="17"/>
  <c r="S31" i="17"/>
  <c r="S30" i="17"/>
  <c r="S29" i="17"/>
  <c r="Q31" i="17"/>
  <c r="Q30" i="17"/>
  <c r="Q29" i="17"/>
  <c r="L108" i="17"/>
  <c r="L64" i="17"/>
  <c r="H108" i="17"/>
  <c r="C48" i="17"/>
  <c r="H12" i="17"/>
  <c r="G12" i="17"/>
  <c r="F12" i="17"/>
  <c r="K129" i="17"/>
  <c r="K126" i="17"/>
  <c r="L111" i="17"/>
  <c r="N108" i="17"/>
  <c r="N111" i="17" s="1"/>
  <c r="M108" i="17"/>
  <c r="M111" i="17" s="1"/>
  <c r="J109" i="17"/>
  <c r="J110" i="17"/>
  <c r="J111" i="17"/>
  <c r="J108" i="17"/>
  <c r="I111" i="17"/>
  <c r="I109" i="17"/>
  <c r="I110" i="17"/>
  <c r="I108" i="17"/>
  <c r="H111" i="17"/>
  <c r="H110" i="17"/>
  <c r="H109" i="17"/>
  <c r="L72" i="17" a="1"/>
  <c r="N72" i="17" s="1"/>
  <c r="D42" i="17" a="1"/>
  <c r="D43" i="17" s="1"/>
  <c r="D12" i="17"/>
  <c r="C12" i="17"/>
  <c r="B12" i="17"/>
  <c r="U9" i="17"/>
  <c r="U8" i="17"/>
  <c r="U7" i="17"/>
  <c r="J7" i="17" a="1"/>
  <c r="L9" i="17" s="1"/>
  <c r="L72" i="17"/>
  <c r="M72" i="17"/>
  <c r="D18" i="17" a="1"/>
  <c r="E18" i="17" s="1"/>
  <c r="G12" i="37" l="1" a="1"/>
  <c r="G12" i="37" s="1"/>
  <c r="D24" i="37" s="1" a="1"/>
  <c r="D24" i="37" s="1"/>
  <c r="C19" i="37"/>
  <c r="E20" i="37"/>
  <c r="J22" i="37"/>
  <c r="J20" i="37"/>
  <c r="J18" i="37"/>
  <c r="Q103" i="38"/>
  <c r="D18" i="17"/>
  <c r="G42" i="17"/>
  <c r="F65" i="17"/>
  <c r="Q112" i="38"/>
  <c r="Q107" i="38"/>
  <c r="Q115" i="38"/>
  <c r="F96" i="38"/>
  <c r="N115" i="38"/>
  <c r="N114" i="38"/>
  <c r="Q116" i="38"/>
  <c r="N117" i="38"/>
  <c r="N116" i="38"/>
  <c r="N113" i="38"/>
  <c r="N112" i="38"/>
  <c r="C96" i="38"/>
  <c r="N107" i="38"/>
  <c r="N106" i="38"/>
  <c r="Q108" i="38"/>
  <c r="N108" i="38"/>
  <c r="N109" i="38"/>
  <c r="Q102" i="38"/>
  <c r="Q106" i="38"/>
  <c r="Q109" i="38"/>
  <c r="N103" i="38"/>
  <c r="N102" i="38"/>
  <c r="C100" i="38"/>
  <c r="C99" i="38"/>
  <c r="F95" i="38"/>
  <c r="F99" i="38"/>
  <c r="F100" i="38"/>
  <c r="C102" i="38"/>
  <c r="C101" i="38"/>
  <c r="F102" i="38"/>
  <c r="C21" i="38"/>
  <c r="O31" i="38"/>
  <c r="O51" i="38" s="1"/>
  <c r="O27" i="38"/>
  <c r="C19" i="38"/>
  <c r="O22" i="38"/>
  <c r="O29" i="38"/>
  <c r="O40" i="38"/>
  <c r="O42" i="38"/>
  <c r="O38" i="38"/>
  <c r="O20" i="38"/>
  <c r="A22" i="39"/>
  <c r="P21" i="39"/>
  <c r="Q21" i="39" s="1"/>
  <c r="R22" i="39"/>
  <c r="T21" i="39"/>
  <c r="U21" i="39" s="1"/>
  <c r="S7" i="38"/>
  <c r="T40" i="38" s="1"/>
  <c r="C41" i="38"/>
  <c r="C39" i="38"/>
  <c r="C28" i="38"/>
  <c r="G7" i="38"/>
  <c r="H19" i="38" s="1"/>
  <c r="C30" i="38"/>
  <c r="C50" i="38" s="1"/>
  <c r="J9" i="17"/>
  <c r="L8" i="17"/>
  <c r="J7" i="17"/>
  <c r="Q22" i="17"/>
  <c r="Q25" i="17" s="1"/>
  <c r="S74" i="17"/>
  <c r="D42" i="17"/>
  <c r="K7" i="17"/>
  <c r="K9" i="17"/>
  <c r="N114" i="17"/>
  <c r="K127" i="17"/>
  <c r="Z17" i="33"/>
  <c r="N6" i="33" s="1"/>
  <c r="N13" i="33" s="1"/>
  <c r="K124" i="17"/>
  <c r="F127" i="17" s="1"/>
  <c r="K8" i="17"/>
  <c r="F128" i="17"/>
  <c r="H126" i="17"/>
  <c r="L114" i="17"/>
  <c r="M114" i="17"/>
  <c r="G127" i="17" s="1"/>
  <c r="F18" i="17"/>
  <c r="G18" i="17" s="1"/>
  <c r="J8" i="17"/>
  <c r="L7" i="17"/>
  <c r="H61" i="33"/>
  <c r="H62" i="33" s="1"/>
  <c r="D44" i="17"/>
  <c r="F66" i="17" s="1"/>
  <c r="L117" i="17"/>
  <c r="M117" i="17"/>
  <c r="H128" i="17"/>
  <c r="N117" i="17"/>
  <c r="K130" i="17"/>
  <c r="H64" i="33"/>
  <c r="H65" i="33"/>
  <c r="O35" i="17"/>
  <c r="O36" i="17" s="1"/>
  <c r="O33" i="17"/>
  <c r="H73" i="33"/>
  <c r="I5" i="33" s="1"/>
  <c r="I12" i="33" s="1"/>
  <c r="Z18" i="33"/>
  <c r="N10" i="33"/>
  <c r="Z20" i="33"/>
  <c r="N12" i="33" s="1"/>
  <c r="N8" i="33"/>
  <c r="N7" i="33"/>
  <c r="N9" i="33"/>
  <c r="I18" i="17" l="1"/>
  <c r="F42" i="17"/>
  <c r="F64" i="17"/>
  <c r="O47" i="38"/>
  <c r="N28" i="38"/>
  <c r="B40" i="38"/>
  <c r="B20" i="38"/>
  <c r="H60" i="38"/>
  <c r="H72" i="38"/>
  <c r="J60" i="38"/>
  <c r="N21" i="38"/>
  <c r="T27" i="38"/>
  <c r="T47" i="38" s="1"/>
  <c r="T22" i="38"/>
  <c r="N39" i="38"/>
  <c r="N41" i="38"/>
  <c r="T29" i="38"/>
  <c r="T49" i="38" s="1"/>
  <c r="T20" i="38"/>
  <c r="O49" i="38"/>
  <c r="N30" i="38"/>
  <c r="N19" i="38"/>
  <c r="T31" i="38"/>
  <c r="T51" i="38" s="1"/>
  <c r="T22" i="39"/>
  <c r="U22" i="39" s="1"/>
  <c r="R23" i="39"/>
  <c r="A23" i="39"/>
  <c r="P22" i="39"/>
  <c r="Q22" i="39" s="1"/>
  <c r="H21" i="38"/>
  <c r="B60" i="38" s="1"/>
  <c r="T18" i="38"/>
  <c r="H41" i="38"/>
  <c r="T42" i="38"/>
  <c r="S41" i="38" s="1"/>
  <c r="T38" i="38"/>
  <c r="S39" i="38" s="1"/>
  <c r="H39" i="38"/>
  <c r="H28" i="38"/>
  <c r="H30" i="38"/>
  <c r="C48" i="38"/>
  <c r="H76" i="38" s="1"/>
  <c r="B29" i="38"/>
  <c r="O8" i="17" a="1"/>
  <c r="O8" i="17" s="1"/>
  <c r="K34" i="17" s="1"/>
  <c r="G136" i="17"/>
  <c r="O7" i="17" a="1"/>
  <c r="O7" i="17" s="1"/>
  <c r="I34" i="17" s="1"/>
  <c r="V74" i="17" a="1"/>
  <c r="V74" i="17" s="1"/>
  <c r="W74" i="17" s="1"/>
  <c r="U74" i="17" a="1"/>
  <c r="U74" i="17" s="1"/>
  <c r="R79" i="17" a="1"/>
  <c r="N7" i="17"/>
  <c r="H134" i="17"/>
  <c r="G135" i="17" s="1"/>
  <c r="I7" i="33"/>
  <c r="I14" i="33" s="1"/>
  <c r="H42" i="17"/>
  <c r="H127" i="17"/>
  <c r="I135" i="17" s="1"/>
  <c r="H136" i="17" s="1"/>
  <c r="G128" i="17"/>
  <c r="B61" i="17" a="1"/>
  <c r="H66" i="33"/>
  <c r="I3" i="33" s="1"/>
  <c r="H67" i="33"/>
  <c r="I11" i="33"/>
  <c r="I4" i="33"/>
  <c r="G134" i="17"/>
  <c r="D64" i="38" l="1"/>
  <c r="M20" i="38"/>
  <c r="S19" i="38"/>
  <c r="S71" i="38"/>
  <c r="M71" i="38"/>
  <c r="N48" i="38"/>
  <c r="S63" i="38"/>
  <c r="O71" i="38"/>
  <c r="U71" i="38"/>
  <c r="O59" i="38"/>
  <c r="J72" i="38"/>
  <c r="N50" i="38"/>
  <c r="O63" i="38"/>
  <c r="B72" i="38"/>
  <c r="D72" i="38"/>
  <c r="H50" i="38"/>
  <c r="B64" i="38"/>
  <c r="S21" i="38"/>
  <c r="B49" i="38"/>
  <c r="H64" i="38"/>
  <c r="G20" i="38"/>
  <c r="D60" i="38"/>
  <c r="M29" i="38"/>
  <c r="M40" i="38"/>
  <c r="S30" i="38"/>
  <c r="S50" i="38" s="1"/>
  <c r="S28" i="38"/>
  <c r="P23" i="39"/>
  <c r="Q23" i="39" s="1"/>
  <c r="A24" i="39"/>
  <c r="T23" i="39"/>
  <c r="U23" i="39" s="1"/>
  <c r="R24" i="39"/>
  <c r="G40" i="38"/>
  <c r="H48" i="38"/>
  <c r="G29" i="38"/>
  <c r="R40" i="38"/>
  <c r="R11" i="17"/>
  <c r="P11" i="17"/>
  <c r="N8" i="17"/>
  <c r="Q7" i="17" s="1"/>
  <c r="L67" i="17" s="1"/>
  <c r="R79" i="17"/>
  <c r="X85" i="17" s="1"/>
  <c r="R80" i="17"/>
  <c r="X86" i="17" s="1"/>
  <c r="E48" i="17" a="1"/>
  <c r="E48" i="17" s="1"/>
  <c r="G34" i="17"/>
  <c r="N11" i="17"/>
  <c r="I15" i="33"/>
  <c r="I10" i="33"/>
  <c r="I8" i="33"/>
  <c r="B63" i="17"/>
  <c r="B61" i="17"/>
  <c r="B62" i="17"/>
  <c r="D34" i="17" a="1"/>
  <c r="I6" i="33"/>
  <c r="I13" i="33"/>
  <c r="C34" i="17" l="1"/>
  <c r="J67" i="17"/>
  <c r="D34" i="17"/>
  <c r="E34" i="17" s="1"/>
  <c r="R20" i="38"/>
  <c r="M49" i="38"/>
  <c r="O75" i="38"/>
  <c r="M75" i="38"/>
  <c r="J76" i="38"/>
  <c r="S48" i="38"/>
  <c r="S75" i="38" s="1"/>
  <c r="M63" i="38"/>
  <c r="M59" i="38"/>
  <c r="G49" i="38"/>
  <c r="B76" i="38"/>
  <c r="J64" i="38"/>
  <c r="D76" i="38"/>
  <c r="R29" i="38"/>
  <c r="T24" i="39"/>
  <c r="U24" i="39" s="1"/>
  <c r="R25" i="39"/>
  <c r="P24" i="39"/>
  <c r="Q24" i="39" s="1"/>
  <c r="A25" i="39"/>
  <c r="N67" i="17"/>
  <c r="D25" i="17" a="1"/>
  <c r="D26" i="17" s="1"/>
  <c r="G25" i="17" s="1"/>
  <c r="E50" i="17"/>
  <c r="I48" i="17" s="1"/>
  <c r="E49" i="17"/>
  <c r="H48" i="17" s="1"/>
  <c r="J92" i="17"/>
  <c r="K93" i="17" s="1"/>
  <c r="F61" i="17"/>
  <c r="B74" i="17"/>
  <c r="I92" i="17"/>
  <c r="K92" i="17" s="1"/>
  <c r="E61" i="17"/>
  <c r="B73" i="17"/>
  <c r="G48" i="17"/>
  <c r="B34" i="17" a="1"/>
  <c r="H92" i="17"/>
  <c r="D61" i="17"/>
  <c r="B72" i="17"/>
  <c r="H61" i="17"/>
  <c r="E53" i="17" l="1"/>
  <c r="J48" i="17" s="1"/>
  <c r="L48" i="17" s="1"/>
  <c r="J61" i="17"/>
  <c r="R49" i="38"/>
  <c r="U63" i="38"/>
  <c r="U75" i="38"/>
  <c r="P25" i="39"/>
  <c r="Q25" i="39" s="1"/>
  <c r="A26" i="39"/>
  <c r="R26" i="39"/>
  <c r="T25" i="39"/>
  <c r="U25" i="39" s="1"/>
  <c r="M48" i="17" a="1"/>
  <c r="M48" i="17" s="1"/>
  <c r="N48" i="17" s="1"/>
  <c r="D25" i="17"/>
  <c r="F25" i="17" s="1"/>
  <c r="D27" i="17"/>
  <c r="H25" i="17" s="1"/>
  <c r="B36" i="17"/>
  <c r="L93" i="17" s="1"/>
  <c r="B34" i="17"/>
  <c r="L91" i="17" s="1"/>
  <c r="B35" i="17"/>
  <c r="L92" i="17" s="1"/>
  <c r="K91" i="17"/>
  <c r="C100" i="17"/>
  <c r="C102" i="17"/>
  <c r="D72" i="17" a="1"/>
  <c r="B77" i="17"/>
  <c r="L61" i="17"/>
  <c r="K61" i="17"/>
  <c r="I79" i="17" l="1"/>
  <c r="T26" i="39"/>
  <c r="U26" i="39" s="1"/>
  <c r="R27" i="39"/>
  <c r="A27" i="39"/>
  <c r="P26" i="39"/>
  <c r="Q26" i="39" s="1"/>
  <c r="I25" i="17"/>
  <c r="J25" i="17" s="1"/>
  <c r="D101" i="17"/>
  <c r="M61" i="17"/>
  <c r="N61" i="17" s="1"/>
  <c r="N64" i="17" s="1"/>
  <c r="H72" i="17"/>
  <c r="D72" i="17"/>
  <c r="E72" i="17"/>
  <c r="F72" i="17"/>
  <c r="N92" i="17"/>
  <c r="F96" i="17"/>
  <c r="M92" i="17"/>
  <c r="F95" i="17"/>
  <c r="O92" i="17"/>
  <c r="F97" i="17"/>
  <c r="B80" i="17" l="1"/>
  <c r="J78" i="17" s="1"/>
  <c r="A28" i="39"/>
  <c r="P27" i="39"/>
  <c r="Q27" i="39" s="1"/>
  <c r="R28" i="39"/>
  <c r="T27" i="39"/>
  <c r="U27" i="39" s="1"/>
  <c r="C95" i="17"/>
  <c r="C96" i="17" s="1"/>
  <c r="C97" i="17" s="1"/>
  <c r="B85" i="17" l="1"/>
  <c r="T28" i="39"/>
  <c r="U28" i="39" s="1"/>
  <c r="R29" i="39"/>
  <c r="A29" i="39"/>
  <c r="P28" i="39"/>
  <c r="Q28" i="39" s="1"/>
  <c r="K97" i="17"/>
  <c r="K95" i="17"/>
  <c r="K96" i="17"/>
  <c r="C85" i="17" l="1"/>
  <c r="E85" i="17" s="1"/>
  <c r="D85" i="17"/>
  <c r="A30" i="39"/>
  <c r="P29" i="39"/>
  <c r="Q29" i="39" s="1"/>
  <c r="R30" i="39"/>
  <c r="T29" i="39"/>
  <c r="U29" i="39" s="1"/>
  <c r="F91" i="17" a="1"/>
  <c r="F92" i="17"/>
  <c r="G101" i="17" s="1"/>
  <c r="F91" i="17"/>
  <c r="F101" i="17" s="1"/>
  <c r="F93" i="17"/>
  <c r="H101" i="17" s="1"/>
  <c r="R31" i="39" l="1"/>
  <c r="T30" i="39"/>
  <c r="U30" i="39" s="1"/>
  <c r="A31" i="39"/>
  <c r="P30" i="39"/>
  <c r="Q30" i="39" s="1"/>
  <c r="G103" i="17"/>
  <c r="A32" i="39" l="1"/>
  <c r="P31" i="39"/>
  <c r="Q31" i="39" s="1"/>
  <c r="R32" i="39"/>
  <c r="T31" i="39"/>
  <c r="U31" i="39" s="1"/>
  <c r="R33" i="39" l="1"/>
  <c r="T32" i="39"/>
  <c r="U32" i="39" s="1"/>
  <c r="A33" i="39"/>
  <c r="P32" i="39"/>
  <c r="Q32" i="39" s="1"/>
  <c r="A34" i="39" l="1"/>
  <c r="P33" i="39"/>
  <c r="Q33" i="39" s="1"/>
  <c r="R34" i="39"/>
  <c r="T33" i="39"/>
  <c r="U33" i="39" s="1"/>
  <c r="T34" i="39" l="1"/>
  <c r="U34" i="39" s="1"/>
  <c r="R35" i="39"/>
  <c r="A35" i="39"/>
  <c r="P34" i="39"/>
  <c r="Q34" i="39" s="1"/>
  <c r="A36" i="39" l="1"/>
  <c r="P35" i="39"/>
  <c r="Q35" i="39" s="1"/>
  <c r="T35" i="39"/>
  <c r="U35" i="39" s="1"/>
  <c r="R36" i="39"/>
  <c r="T36" i="39" l="1"/>
  <c r="U36" i="39" s="1"/>
  <c r="R37" i="39"/>
  <c r="A37" i="39"/>
  <c r="P36" i="39"/>
  <c r="Q36" i="39" s="1"/>
  <c r="A38" i="39" l="1"/>
  <c r="P37" i="39"/>
  <c r="Q37" i="39" s="1"/>
  <c r="R38" i="39"/>
  <c r="T38" i="39" s="1"/>
  <c r="U38" i="39" s="1"/>
  <c r="T37" i="39"/>
  <c r="U37" i="39" s="1"/>
  <c r="U40" i="39" l="1"/>
  <c r="P38" i="39"/>
  <c r="Q38" i="39" s="1"/>
  <c r="A39" i="39"/>
  <c r="A40" i="39" l="1"/>
  <c r="P39" i="39"/>
  <c r="Q39" i="39" s="1"/>
  <c r="A41" i="39" l="1"/>
  <c r="P40" i="39"/>
  <c r="Q40" i="39" s="1"/>
  <c r="P41" i="39" l="1"/>
  <c r="Q41" i="39" s="1"/>
  <c r="A42" i="39"/>
  <c r="A43" i="39" l="1"/>
  <c r="P42" i="39"/>
  <c r="Q42" i="39" s="1"/>
  <c r="P43" i="39" l="1"/>
  <c r="Q43" i="39" s="1"/>
  <c r="A44" i="39"/>
  <c r="P44" i="39" s="1"/>
  <c r="Q44" i="39" s="1"/>
  <c r="J3" i="39" l="1" a="1"/>
  <c r="J3" i="39" s="1"/>
  <c r="J4" i="39" s="1"/>
  <c r="L3" i="39" a="1"/>
  <c r="L3" i="39" s="1"/>
  <c r="L4" i="39" s="1"/>
  <c r="E3" i="39" a="1"/>
  <c r="E3" i="39" s="1"/>
  <c r="E4" i="39" s="1"/>
  <c r="K3" i="39" a="1"/>
  <c r="K3" i="39" s="1"/>
  <c r="K4" i="39" s="1"/>
  <c r="G3" i="39" a="1"/>
  <c r="G3" i="39" s="1"/>
  <c r="G4" i="39" s="1"/>
  <c r="N3" i="39" a="1"/>
  <c r="N3" i="39" s="1"/>
  <c r="N4" i="39" s="1"/>
  <c r="M3" i="39" a="1"/>
  <c r="M3" i="39" s="1"/>
  <c r="M4" i="39" s="1"/>
  <c r="F3" i="39" a="1"/>
  <c r="F3" i="39" s="1"/>
  <c r="F4" i="39" s="1"/>
  <c r="H3" i="39" a="1"/>
  <c r="H3" i="39" s="1"/>
  <c r="H4" i="39" s="1"/>
  <c r="I3" i="39" a="1"/>
  <c r="I3" i="39" s="1"/>
  <c r="I4" i="39" s="1"/>
  <c r="E5" i="3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<sst xmlns="http://schemas.openxmlformats.org/spreadsheetml/2006/main" count="437" uniqueCount="302">
  <si>
    <t>d_1</t>
  </si>
  <si>
    <t>d_2</t>
  </si>
  <si>
    <t>Diskret</t>
  </si>
  <si>
    <t>Kontinuert</t>
  </si>
  <si>
    <t>Aktie 1</t>
  </si>
  <si>
    <t>=</t>
  </si>
  <si>
    <t>r</t>
  </si>
  <si>
    <t>d</t>
  </si>
  <si>
    <t>T</t>
  </si>
  <si>
    <t>t</t>
  </si>
  <si>
    <t>b</t>
  </si>
  <si>
    <t>APT</t>
  </si>
  <si>
    <t>μ</t>
  </si>
  <si>
    <t>*</t>
  </si>
  <si>
    <t>Forventet afkast</t>
  </si>
  <si>
    <t>+</t>
  </si>
  <si>
    <t>Korrelation</t>
  </si>
  <si>
    <t>q</t>
  </si>
  <si>
    <t>X</t>
  </si>
  <si>
    <t>Portefølje teori</t>
  </si>
  <si>
    <t>Udregning af Mvp</t>
  </si>
  <si>
    <t>d=|A|</t>
  </si>
  <si>
    <t>Aktiv</t>
  </si>
  <si>
    <t>1/100?</t>
  </si>
  <si>
    <t>a</t>
  </si>
  <si>
    <t>c</t>
  </si>
  <si>
    <t>(Kovariansmatrix)</t>
  </si>
  <si>
    <t>Porteføjle givet vægte</t>
  </si>
  <si>
    <t>Portfølgeteori uden givet Sigma</t>
  </si>
  <si>
    <t>σ^2</t>
  </si>
  <si>
    <t>aktiv</t>
  </si>
  <si>
    <t>Varians</t>
  </si>
  <si>
    <t>Forv. Værdi</t>
  </si>
  <si>
    <t>Std. Afvigelse</t>
  </si>
  <si>
    <t>Portefølje givet afkastkrav (MVP)</t>
  </si>
  <si>
    <t>vægte A</t>
  </si>
  <si>
    <t>Vægte B</t>
  </si>
  <si>
    <t>køb aktiv</t>
  </si>
  <si>
    <t>Sælg aktiv</t>
  </si>
  <si>
    <t>Risiko</t>
  </si>
  <si>
    <t>---&gt;</t>
  </si>
  <si>
    <t>&lt;----</t>
  </si>
  <si>
    <t xml:space="preserve">μ_p = </t>
  </si>
  <si>
    <t>-</t>
  </si>
  <si>
    <t>α</t>
  </si>
  <si>
    <t xml:space="preserve">σ_p^2 = </t>
  </si>
  <si>
    <t>α^2</t>
  </si>
  <si>
    <t>Porteføljgevægtene</t>
  </si>
  <si>
    <t>ω =</t>
  </si>
  <si>
    <t>forventet afkast</t>
  </si>
  <si>
    <t>(1-α)</t>
  </si>
  <si>
    <t>Løs Cas:</t>
  </si>
  <si>
    <t xml:space="preserve">ω'μ    = </t>
  </si>
  <si>
    <t>= svaret</t>
  </si>
  <si>
    <t xml:space="preserve">Løs cas: </t>
  </si>
  <si>
    <t xml:space="preserve">σ_p^2 = ω'Σω = (α, (1-α))  *    </t>
  </si>
  <si>
    <t>=svaret</t>
  </si>
  <si>
    <t>Find α som minimere (μ_p og σ_p^2)</t>
  </si>
  <si>
    <t>At minimere standardafvigelse er ækvivalent med at minimere variansen, sa 1. ordens betingelsen er:</t>
  </si>
  <si>
    <t>d σ_p^2</t>
  </si>
  <si>
    <t xml:space="preserve"> = 0 =&gt; α*=</t>
  </si>
  <si>
    <t xml:space="preserve">Løs cas: differentier og isoler </t>
  </si>
  <si>
    <t>Sharpe Ratio</t>
  </si>
  <si>
    <t>dα</t>
  </si>
  <si>
    <t>Kapitalmarkedslinjen: CML</t>
  </si>
  <si>
    <t>Beregn µ_p og σ_p med dette valg af α*</t>
  </si>
  <si>
    <t>CML når man fjerner risikofrit aktiv</t>
  </si>
  <si>
    <t xml:space="preserve">ω' = </t>
  </si>
  <si>
    <t xml:space="preserve">                  -</t>
  </si>
  <si>
    <t>µ_p = ω'µ =</t>
  </si>
  <si>
    <t xml:space="preserve">σ_p = √(ω'Σω) = </t>
  </si>
  <si>
    <t>(Se eksamen 2012 opgave 1. spm 5.)</t>
  </si>
  <si>
    <t xml:space="preserve">Portefølge givet vægte </t>
  </si>
  <si>
    <t>Tjekke om den opfylder, (hvor t.r_e er merafkastet:</t>
  </si>
  <si>
    <t>Bestem aktiernes beta</t>
  </si>
  <si>
    <t>=\beta_1</t>
  </si>
  <si>
    <t>=\beta_2</t>
  </si>
  <si>
    <t>var</t>
  </si>
  <si>
    <t>std afv</t>
  </si>
  <si>
    <t xml:space="preserve">Aktiernes pris til tiden 0 </t>
  </si>
  <si>
    <t>system</t>
  </si>
  <si>
    <t>usystem</t>
  </si>
  <si>
    <t>Pris tid 1</t>
  </si>
  <si>
    <t xml:space="preserve">P_1,0 = </t>
  </si>
  <si>
    <t>Aktie 2</t>
  </si>
  <si>
    <t xml:space="preserve">P_2,0 = </t>
  </si>
  <si>
    <t>Risikofyldte Zero-beta (ortogonale) portefølje</t>
  </si>
  <si>
    <t>Hvis de spørg efter ω_tan, så indsæt ω_tan ind på ω plads. Se Katrine svar eksamen 2012 opgave 1 spm 6</t>
  </si>
  <si>
    <t>ω</t>
  </si>
  <si>
    <t>ω_GMVP</t>
  </si>
  <si>
    <t>ω'</t>
  </si>
  <si>
    <t>ω'_GMVP</t>
  </si>
  <si>
    <t>ω'_⊥</t>
  </si>
  <si>
    <t>-----------------</t>
  </si>
  <si>
    <t xml:space="preserve">ω'_⊥*∑*ω_⊥ = </t>
  </si>
  <si>
    <t>Find my og sigma</t>
  </si>
  <si>
    <t xml:space="preserve">X </t>
  </si>
  <si>
    <t>Y</t>
  </si>
  <si>
    <t>Z</t>
  </si>
  <si>
    <t>ss</t>
  </si>
  <si>
    <t>X eller afkastrate</t>
  </si>
  <si>
    <t>X^2</t>
  </si>
  <si>
    <t>E(μ)' = EX'</t>
  </si>
  <si>
    <t>EX^2'</t>
  </si>
  <si>
    <t>σ^2' = VarX'</t>
  </si>
  <si>
    <t>VarX=EX^2-(EX)^2</t>
  </si>
  <si>
    <t>σ'</t>
  </si>
  <si>
    <t>Sigma matrix (Kovarians)</t>
  </si>
  <si>
    <t>σ</t>
  </si>
  <si>
    <t>ρ =</t>
  </si>
  <si>
    <t>E(XY)</t>
  </si>
  <si>
    <t>Givet ovenstående</t>
  </si>
  <si>
    <t>COV(X,Y)=E(XY)-EXEY=σ_12=σ_21</t>
  </si>
  <si>
    <t>E(XZ)</t>
  </si>
  <si>
    <t xml:space="preserve">Prøv lige at </t>
  </si>
  <si>
    <t>COV(X,Z)</t>
  </si>
  <si>
    <t>isolere σ_12</t>
  </si>
  <si>
    <t>E(YZ)</t>
  </si>
  <si>
    <t>Diagonalen kendes fra oven over</t>
  </si>
  <si>
    <t>COV(Y,Z)</t>
  </si>
  <si>
    <t>Korreltaionmatrix</t>
  </si>
  <si>
    <t>Eller givet store sigma</t>
  </si>
  <si>
    <t xml:space="preserve">Hvis korrelationskoefficienten er langt
mindre end 1 (svarende til tilfældet, hvor der ikke kan opnas diversifikationsgevinst), kan vi derfor
konkludere, at der bør være en vis diversifikationsgevinst ved at sprede sin risiko ud pa aktierne. </t>
  </si>
  <si>
    <t>ρ_11</t>
  </si>
  <si>
    <t>ρ_12</t>
  </si>
  <si>
    <t>ρ_13</t>
  </si>
  <si>
    <t>ρ_21</t>
  </si>
  <si>
    <t>ρ_22</t>
  </si>
  <si>
    <t>ρ_23</t>
  </si>
  <si>
    <t>ρ_31</t>
  </si>
  <si>
    <t>ρ_32</t>
  </si>
  <si>
    <t>ρ_33</t>
  </si>
  <si>
    <t>Korralation mellem aktiv 1 og 2 er \ro_12</t>
  </si>
  <si>
    <t>u</t>
  </si>
  <si>
    <t>Call</t>
  </si>
  <si>
    <t>Put</t>
  </si>
  <si>
    <t>S_0</t>
  </si>
  <si>
    <t>C_0</t>
  </si>
  <si>
    <t>Prisfastsættelse af optioner</t>
  </si>
  <si>
    <t>Amerikansk option</t>
  </si>
  <si>
    <t>Europæisk option</t>
  </si>
  <si>
    <t>Pris på underliggende aktiv</t>
  </si>
  <si>
    <t>Price</t>
  </si>
  <si>
    <t>Perioder til udløb</t>
  </si>
  <si>
    <t xml:space="preserve">&lt;--- </t>
  </si>
  <si>
    <t>Hvis 3 måneder er det 3/12</t>
  </si>
  <si>
    <t>Strike</t>
  </si>
  <si>
    <t>Greeks</t>
  </si>
  <si>
    <t>Delta</t>
  </si>
  <si>
    <t>(Bruger S_0, X osv. fra Amerikansk option)</t>
  </si>
  <si>
    <t>I slides bruger han "T - t" i stedet for T.</t>
  </si>
  <si>
    <t>Volatilitet, std. Afvigelse</t>
  </si>
  <si>
    <t>sigma</t>
  </si>
  <si>
    <t>Gamma</t>
  </si>
  <si>
    <t>Dvs. det her store T er ikke nødvendigvis</t>
  </si>
  <si>
    <t>Risikofri rente</t>
  </si>
  <si>
    <t>Theta</t>
  </si>
  <si>
    <t>det samme som store T i opgaven.</t>
  </si>
  <si>
    <t>afkast/udbytte p.a. (typisk 0)</t>
  </si>
  <si>
    <t>Vega</t>
  </si>
  <si>
    <t>tid til udløb (i %)</t>
  </si>
  <si>
    <t>Rho</t>
  </si>
  <si>
    <t>Antal dage pr. år</t>
  </si>
  <si>
    <t xml:space="preserve">t og T bruges kun til </t>
  </si>
  <si>
    <t>Mellemregninger. Ignorer.</t>
  </si>
  <si>
    <t>amerikansk</t>
  </si>
  <si>
    <t>e^-rT</t>
  </si>
  <si>
    <t>e^-qT</t>
  </si>
  <si>
    <t>N(d_1)</t>
  </si>
  <si>
    <t>Amerikanske formler nedenfor</t>
  </si>
  <si>
    <t>Europæiske formler:</t>
  </si>
  <si>
    <t>N(d_2)</t>
  </si>
  <si>
    <t>N = Std. Norm. Ford.</t>
  </si>
  <si>
    <t>N(-d_1)</t>
  </si>
  <si>
    <t>N(-d_2)</t>
  </si>
  <si>
    <t>Pris på en Call</t>
  </si>
  <si>
    <t>Pris på en Put</t>
  </si>
  <si>
    <t>Stjernen: europæisk i stedet for amerikansk..</t>
  </si>
  <si>
    <t>For Call:</t>
  </si>
  <si>
    <t>Formler for "Greeks"</t>
  </si>
  <si>
    <t>(Gamma og Vega</t>
  </si>
  <si>
    <t>er ens for Call/Put)</t>
  </si>
  <si>
    <t>Put-call paritet</t>
  </si>
  <si>
    <t>For Put:</t>
  </si>
  <si>
    <t>Ln(S_0/X)</t>
  </si>
  <si>
    <t>t(r-q+sigma^2/2)</t>
  </si>
  <si>
    <t>sigma*kvrod(t)</t>
  </si>
  <si>
    <t>e^-rt</t>
  </si>
  <si>
    <t>X*e^-rt</t>
  </si>
  <si>
    <t>e^-qt</t>
  </si>
  <si>
    <t>S_0*e^-qt</t>
  </si>
  <si>
    <t>1/kvrod(2*pi) * e^(-d_1^2/2)</t>
  </si>
  <si>
    <t>Spørgsmål 4.4: Hvordan kan du sammensætte en position af call- og put optioner, som vil give en gevinst med dine forventninger? Skitsér den samlede udbetaling og profit for denne strategi</t>
  </si>
  <si>
    <t>Shorter vi et butterfly spread, fx ved følgende strategi:</t>
  </si>
  <si>
    <t>-          Short 1 call med strike S_0-c</t>
  </si>
  <si>
    <t>-          Short 1 call med strike S_0+c</t>
  </si>
  <si>
    <t>-          Gå lang i 2 calls med strike S_0</t>
  </si>
  <si>
    <t>Hvor S_0 er prisen på det underliggende aktiv til tid 0, og c er et reelt tal. Så giver det en payoff funktion til tid T, der kommer til at se ud som følger (skitse):</t>
  </si>
  <si>
    <t>r=</t>
  </si>
  <si>
    <t>r+</t>
  </si>
  <si>
    <t>r^2</t>
  </si>
  <si>
    <t>CAPM</t>
  </si>
  <si>
    <t>Find r_M og σ_M givet markedsporteføljen (M)</t>
  </si>
  <si>
    <t xml:space="preserve">Skriv i de røde felter </t>
  </si>
  <si>
    <t>B-matrice</t>
  </si>
  <si>
    <t>Indsæt fordeling af F</t>
  </si>
  <si>
    <t>Find ƛ</t>
  </si>
  <si>
    <t>Find 𝛼</t>
  </si>
  <si>
    <t>Fordelinger</t>
  </si>
  <si>
    <t>Put:</t>
  </si>
  <si>
    <t>Call:</t>
  </si>
  <si>
    <t>Med diskret forrentning</t>
  </si>
  <si>
    <t>Med kontinuert forrentning</t>
  </si>
  <si>
    <t>Amerikansk</t>
  </si>
  <si>
    <t>&lt;- put call paritet</t>
  </si>
  <si>
    <t>P_0:</t>
  </si>
  <si>
    <t>E^Q[C_T]</t>
  </si>
  <si>
    <t>Med diskret forrentning:</t>
  </si>
  <si>
    <t>Med kontinuert forrentning:</t>
  </si>
  <si>
    <t>Europæisk</t>
  </si>
  <si>
    <t>Strike (X):</t>
  </si>
  <si>
    <t>Fremskrivningsfaktor:</t>
  </si>
  <si>
    <t>delta t:</t>
  </si>
  <si>
    <t>r_f:</t>
  </si>
  <si>
    <t>1-q</t>
  </si>
  <si>
    <t>Risikoneutrale ssh'er</t>
  </si>
  <si>
    <t>Givet binomialtræ:</t>
  </si>
  <si>
    <t>Option pricing</t>
  </si>
  <si>
    <t>PV(CF)</t>
  </si>
  <si>
    <t>Spot rate</t>
  </si>
  <si>
    <t>CF</t>
  </si>
  <si>
    <t>Discount factor</t>
  </si>
  <si>
    <t>Time in years</t>
  </si>
  <si>
    <t>New Bond</t>
  </si>
  <si>
    <t>Nelson-Siegel</t>
  </si>
  <si>
    <t>Transpose of Bond Payment Matrix</t>
  </si>
  <si>
    <t>Market information</t>
  </si>
  <si>
    <t>Par Rates</t>
  </si>
  <si>
    <t>Maturity</t>
  </si>
  <si>
    <t>SSE</t>
  </si>
  <si>
    <t>phi4</t>
  </si>
  <si>
    <t>phi3</t>
  </si>
  <si>
    <t>phi2</t>
  </si>
  <si>
    <t>Squared Erros</t>
  </si>
  <si>
    <t>phi1</t>
  </si>
  <si>
    <t>NS price of coupon bond</t>
  </si>
  <si>
    <t>phi0</t>
  </si>
  <si>
    <t>Par bond price</t>
  </si>
  <si>
    <t>Optimal</t>
  </si>
  <si>
    <t>Nelson-Siegel exercise</t>
  </si>
  <si>
    <t>Tilstandspriser</t>
  </si>
  <si>
    <t>Nulkuponerne prisfastsættes vha. Det givne rentetræ øverst i dokumentet</t>
  </si>
  <si>
    <t>Prisfastsættelse af nulkuponobligationer</t>
  </si>
  <si>
    <t>Indsættes disse a'er i Ho-Lee modellen fås rentetræet:</t>
  </si>
  <si>
    <t>E cellen skal være lig forward renten, ved at ændre på D cellen</t>
  </si>
  <si>
    <t>a2</t>
  </si>
  <si>
    <t>&lt;- Brug goal seek for at finde a'erne</t>
  </si>
  <si>
    <t>a1</t>
  </si>
  <si>
    <t>Løs ligninger for at finde a'erne:</t>
  </si>
  <si>
    <t>Forwardrenter</t>
  </si>
  <si>
    <t>2--3</t>
  </si>
  <si>
    <t>1--2</t>
  </si>
  <si>
    <t>Spotrenter</t>
  </si>
  <si>
    <t>tid</t>
  </si>
  <si>
    <t>b:</t>
  </si>
  <si>
    <t>Find rentetræ</t>
  </si>
  <si>
    <t>Ho-Lee modellen</t>
  </si>
  <si>
    <t>Risikoneutrale sandsynligheder:</t>
  </si>
  <si>
    <t>Givet rentetræ:</t>
  </si>
  <si>
    <t>Plot</t>
  </si>
  <si>
    <t>Tangensportefølje (Markedsportefølje) CML</t>
  </si>
  <si>
    <t>Global minimum varians portefølje (GMVP)</t>
  </si>
  <si>
    <t>α og 1-α: Hvis forventet værdi og varians (μ_p og σ_p^2) er givet ved</t>
  </si>
  <si>
    <t>Gave til Laura og Caro</t>
  </si>
  <si>
    <t>Interest rate structur</t>
  </si>
  <si>
    <t>Afkast krav</t>
  </si>
  <si>
    <t>BETA, Security Market Line (SML)</t>
  </si>
  <si>
    <t xml:space="preserve">Optimal portefølje med risikofrit aktiv </t>
  </si>
  <si>
    <t xml:space="preserve">Replikerende portefolio Europæisk </t>
  </si>
  <si>
    <r>
      <t xml:space="preserve">Celler markeret med </t>
    </r>
    <r>
      <rPr>
        <sz val="16"/>
        <color rgb="FFFF0000"/>
        <rFont val="Calibri (Tekst)"/>
      </rPr>
      <t>rød</t>
    </r>
    <r>
      <rPr>
        <sz val="16"/>
        <color theme="1"/>
        <rFont val="Calibri"/>
        <family val="2"/>
        <scheme val="minor"/>
      </rPr>
      <t xml:space="preserve">, er celler, der kræver at brugeren ændrer i dem. </t>
    </r>
  </si>
  <si>
    <r>
      <t xml:space="preserve">Celler markeret med </t>
    </r>
    <r>
      <rPr>
        <sz val="16"/>
        <color rgb="FF00B050"/>
        <rFont val="Calibri (Tekst)"/>
      </rPr>
      <t>grøn</t>
    </r>
    <r>
      <rPr>
        <sz val="16"/>
        <color theme="1"/>
        <rFont val="Calibri"/>
        <family val="2"/>
        <scheme val="minor"/>
      </rPr>
      <t>, er celler, der returnerer en (ønsket) værdi, ud fra de røde felter.</t>
    </r>
  </si>
  <si>
    <t xml:space="preserve">Replikerende portefolio amerikansk </t>
  </si>
  <si>
    <r>
      <t xml:space="preserve">Celler markeret med </t>
    </r>
    <r>
      <rPr>
        <sz val="16"/>
        <color rgb="FF00B0F0"/>
        <rFont val="Calibri (Tekst)"/>
      </rPr>
      <t>blå</t>
    </r>
    <r>
      <rPr>
        <sz val="16"/>
        <color theme="1"/>
        <rFont val="Calibri"/>
        <family val="2"/>
        <scheme val="minor"/>
      </rPr>
      <t>, er celler, der returnerer en mellemregning (ikke ønsket værdi), ud fra de røde felter</t>
    </r>
  </si>
  <si>
    <t>Futureprisen på t=0 for diskret</t>
  </si>
  <si>
    <t>Futureprisen på t=0 for kontinuert</t>
  </si>
  <si>
    <t>Futureprisen på t=1 for diskret</t>
  </si>
  <si>
    <t>Futureprisen på t=1 for kontinuert</t>
  </si>
  <si>
    <t>Futureprisen på t=2 for diskret</t>
  </si>
  <si>
    <t>Futureprisen på t=2 for kontinuert</t>
  </si>
  <si>
    <t>Betaling futures kontrakt t=1 diskret</t>
  </si>
  <si>
    <t>Betaling futures kontrakt t=1 kontinuert</t>
  </si>
  <si>
    <t>Betaling futures kontrakt t=2 diskret</t>
  </si>
  <si>
    <t>Betaling futures kontrakt t=2 kontinuert</t>
  </si>
  <si>
    <t>Futures</t>
  </si>
  <si>
    <t>Futureprisen på t=3 for diskret</t>
  </si>
  <si>
    <t>Futureprisen på t=3 for kontinuert</t>
  </si>
  <si>
    <t>Betaling futures kontrakt t=3 diskret</t>
  </si>
  <si>
    <t>Betaling futures kontrakt t=3 kontinuert</t>
  </si>
  <si>
    <t>1+r</t>
  </si>
  <si>
    <t>Tilstandspriserne regnes vha. Det givne rentetræ øverst i dokumentet (sidste 'state' passer kun, hvis q ikke ændrer sig)</t>
  </si>
  <si>
    <t xml:space="preserve">SUTTE og FEDE (Sådan Udregnes Ting Temmelig Effektivt med Forhåbentlig Ekstremt Detaljerede Emner) </t>
  </si>
  <si>
    <t>arbitrgaetjek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</si>
</sst>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 ;_ * \-#,##0.00_ ;_ * &quot;-&quot;??_ ;_ @_ "/>
    <numFmt numFmtId="165" formatCode="0.000"/>
    <numFmt numFmtId="166" formatCode="0.0000"/>
    <numFmt numFmtId="167" formatCode="0.00000"/>
    <numFmt numFmtId="168" formatCode="0.0%"/>
    <numFmt numFmtId="169" formatCode="_ * #,##0.000_ ;_ * \-#,##0.000_ ;_ * &quot;-&quot;??_ ;_ @_ "/>
    <numFmt numFmtId="170" formatCode="_ * #,##0.0000_ ;_ * \-#,##0.0000_ ;_ * &quot;-&quot;????_ ;_ @_ "/>
    <numFmt numFmtId="171" formatCode="0.0000000000"/>
    <numFmt numFmtId="172" formatCode="0.00000000000"/>
    <numFmt numFmtId="173" formatCode="0.0"/>
  </numFmts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mbria Math"/>
      <family val="1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rgb="FFFF0000"/>
      <name val="Calibri (Tekst)"/>
    </font>
    <font>
      <sz val="16"/>
      <color rgb="FF00B050"/>
      <name val="Calibri (Tekst)"/>
    </font>
    <font>
      <sz val="16"/>
      <color rgb="FF00B0F0"/>
      <name val="Calibri (Tekst)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7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6" fillId="0" borderId="0"/>
  </cellStyleXfs>
  <cellXfs count="355">
    <xf numFmtId="0" fontId="0" fillId="0" borderId="0" xfId="0"/>
    <xf numFmtId="0" fontId="8" fillId="0" borderId="0" xfId="0" applyFont="1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10" fontId="0" fillId="2" borderId="0" xfId="0" applyNumberFormat="1" applyFill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4" borderId="0" xfId="0" applyFill="1"/>
    <xf numFmtId="166" fontId="0" fillId="0" borderId="0" xfId="0" applyNumberFormat="1"/>
    <xf numFmtId="10" fontId="0" fillId="0" borderId="0" xfId="0" applyNumberFormat="1"/>
    <xf numFmtId="0" fontId="0" fillId="0" borderId="3" xfId="0" applyBorder="1"/>
    <xf numFmtId="0" fontId="0" fillId="0" borderId="0" xfId="0" applyAlignment="1">
      <alignment horizontal="center" vertical="center"/>
    </xf>
    <xf numFmtId="166" fontId="0" fillId="5" borderId="0" xfId="0" applyNumberForma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0" fillId="0" borderId="8" xfId="0" applyBorder="1"/>
    <xf numFmtId="0" fontId="0" fillId="0" borderId="7" xfId="0" applyBorder="1"/>
    <xf numFmtId="0" fontId="0" fillId="2" borderId="9" xfId="0" applyFill="1" applyBorder="1"/>
    <xf numFmtId="0" fontId="0" fillId="2" borderId="11" xfId="0" applyFill="1" applyBorder="1"/>
    <xf numFmtId="0" fontId="0" fillId="0" borderId="19" xfId="0" applyBorder="1"/>
    <xf numFmtId="0" fontId="0" fillId="2" borderId="20" xfId="0" applyFill="1" applyBorder="1"/>
    <xf numFmtId="0" fontId="0" fillId="2" borderId="21" xfId="0" applyFill="1" applyBorder="1"/>
    <xf numFmtId="166" fontId="0" fillId="7" borderId="21" xfId="0" applyNumberFormat="1" applyFill="1" applyBorder="1"/>
    <xf numFmtId="166" fontId="0" fillId="7" borderId="22" xfId="0" applyNumberFormat="1" applyFill="1" applyBorder="1"/>
    <xf numFmtId="166" fontId="0" fillId="7" borderId="4" xfId="0" applyNumberFormat="1" applyFill="1" applyBorder="1"/>
    <xf numFmtId="0" fontId="0" fillId="7" borderId="0" xfId="0" applyFill="1"/>
    <xf numFmtId="0" fontId="0" fillId="2" borderId="16" xfId="0" applyFill="1" applyBorder="1"/>
    <xf numFmtId="0" fontId="0" fillId="2" borderId="3" xfId="0" applyFill="1" applyBorder="1"/>
    <xf numFmtId="166" fontId="0" fillId="7" borderId="23" xfId="0" applyNumberFormat="1" applyFill="1" applyBorder="1"/>
    <xf numFmtId="166" fontId="0" fillId="7" borderId="25" xfId="0" applyNumberFormat="1" applyFill="1" applyBorder="1"/>
    <xf numFmtId="0" fontId="0" fillId="2" borderId="26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5" borderId="27" xfId="0" applyFill="1" applyBorder="1"/>
    <xf numFmtId="0" fontId="0" fillId="5" borderId="28" xfId="0" applyFill="1" applyBorder="1"/>
    <xf numFmtId="0" fontId="0" fillId="5" borderId="29" xfId="0" applyFill="1" applyBorder="1"/>
    <xf numFmtId="0" fontId="0" fillId="6" borderId="9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0" xfId="0" applyFill="1" applyBorder="1" applyAlignment="1">
      <alignment horizontal="center"/>
    </xf>
    <xf numFmtId="166" fontId="0" fillId="2" borderId="20" xfId="0" applyNumberFormat="1" applyFill="1" applyBorder="1"/>
    <xf numFmtId="166" fontId="0" fillId="5" borderId="28" xfId="0" applyNumberFormat="1" applyFill="1" applyBorder="1"/>
    <xf numFmtId="166" fontId="0" fillId="5" borderId="29" xfId="0" applyNumberFormat="1" applyFill="1" applyBorder="1"/>
    <xf numFmtId="166" fontId="0" fillId="7" borderId="27" xfId="0" applyNumberFormat="1" applyFill="1" applyBorder="1"/>
    <xf numFmtId="166" fontId="0" fillId="7" borderId="29" xfId="0" applyNumberFormat="1" applyFill="1" applyBorder="1"/>
    <xf numFmtId="0" fontId="0" fillId="6" borderId="14" xfId="0" applyFill="1" applyBorder="1"/>
    <xf numFmtId="166" fontId="0" fillId="7" borderId="20" xfId="0" applyNumberFormat="1" applyFill="1" applyBorder="1"/>
    <xf numFmtId="166" fontId="0" fillId="7" borderId="16" xfId="0" applyNumberFormat="1" applyFill="1" applyBorder="1"/>
    <xf numFmtId="166" fontId="0" fillId="7" borderId="26" xfId="0" applyNumberFormat="1" applyFill="1" applyBorder="1"/>
    <xf numFmtId="166" fontId="0" fillId="5" borderId="27" xfId="0" applyNumberFormat="1" applyFill="1" applyBorder="1"/>
    <xf numFmtId="166" fontId="0" fillId="0" borderId="4" xfId="0" applyNumberFormat="1" applyBorder="1"/>
    <xf numFmtId="166" fontId="0" fillId="0" borderId="14" xfId="0" applyNumberFormat="1" applyBorder="1"/>
    <xf numFmtId="0" fontId="0" fillId="7" borderId="20" xfId="0" applyFill="1" applyBorder="1"/>
    <xf numFmtId="0" fontId="0" fillId="7" borderId="16" xfId="0" applyFill="1" applyBorder="1"/>
    <xf numFmtId="0" fontId="0" fillId="7" borderId="4" xfId="0" applyFill="1" applyBorder="1"/>
    <xf numFmtId="166" fontId="0" fillId="7" borderId="20" xfId="0" applyNumberFormat="1" applyFill="1" applyBorder="1" applyAlignment="1">
      <alignment horizontal="center"/>
    </xf>
    <xf numFmtId="166" fontId="0" fillId="7" borderId="0" xfId="0" applyNumberFormat="1" applyFill="1"/>
    <xf numFmtId="0" fontId="0" fillId="0" borderId="0" xfId="0" applyAlignment="1">
      <alignment horizontal="right"/>
    </xf>
    <xf numFmtId="0" fontId="0" fillId="0" borderId="9" xfId="0" applyBorder="1" applyAlignment="1">
      <alignment horizontal="center"/>
    </xf>
    <xf numFmtId="0" fontId="0" fillId="0" borderId="17" xfId="0" applyBorder="1"/>
    <xf numFmtId="0" fontId="0" fillId="0" borderId="24" xfId="0" applyBorder="1"/>
    <xf numFmtId="0" fontId="0" fillId="0" borderId="30" xfId="0" applyBorder="1"/>
    <xf numFmtId="0" fontId="0" fillId="0" borderId="32" xfId="0" applyBorder="1"/>
    <xf numFmtId="0" fontId="0" fillId="0" borderId="0" xfId="0" quotePrefix="1" applyAlignment="1">
      <alignment horizontal="right"/>
    </xf>
    <xf numFmtId="0" fontId="0" fillId="0" borderId="9" xfId="0" applyBorder="1" applyAlignment="1">
      <alignment vertical="center"/>
    </xf>
    <xf numFmtId="10" fontId="0" fillId="0" borderId="0" xfId="1" applyNumberFormat="1" applyFont="1"/>
    <xf numFmtId="0" fontId="12" fillId="9" borderId="0" xfId="3"/>
    <xf numFmtId="164" fontId="0" fillId="2" borderId="4" xfId="2" applyFont="1" applyFill="1" applyBorder="1"/>
    <xf numFmtId="2" fontId="0" fillId="7" borderId="0" xfId="0" applyNumberFormat="1" applyFill="1"/>
    <xf numFmtId="0" fontId="0" fillId="0" borderId="10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7" borderId="0" xfId="0" applyFill="1" applyAlignment="1">
      <alignment horizontal="center"/>
    </xf>
    <xf numFmtId="0" fontId="0" fillId="0" borderId="16" xfId="0" applyBorder="1"/>
    <xf numFmtId="0" fontId="0" fillId="2" borderId="0" xfId="0" applyFill="1" applyAlignment="1">
      <alignment horizontal="center"/>
    </xf>
    <xf numFmtId="0" fontId="0" fillId="0" borderId="17" xfId="0" applyBorder="1" applyAlignment="1">
      <alignment horizontal="right"/>
    </xf>
    <xf numFmtId="164" fontId="0" fillId="7" borderId="0" xfId="2" applyFont="1" applyFill="1"/>
    <xf numFmtId="0" fontId="0" fillId="7" borderId="0" xfId="0" applyFill="1" applyAlignment="1">
      <alignment horizontal="right"/>
    </xf>
    <xf numFmtId="164" fontId="0" fillId="7" borderId="0" xfId="0" applyNumberFormat="1" applyFill="1" applyAlignment="1">
      <alignment horizontal="center"/>
    </xf>
    <xf numFmtId="0" fontId="0" fillId="0" borderId="0" xfId="0" quotePrefix="1"/>
    <xf numFmtId="0" fontId="0" fillId="7" borderId="10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2" borderId="26" xfId="2" applyFont="1" applyFill="1" applyBorder="1"/>
    <xf numFmtId="0" fontId="14" fillId="4" borderId="13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164" fontId="11" fillId="2" borderId="0" xfId="2" applyFont="1" applyFill="1"/>
    <xf numFmtId="166" fontId="0" fillId="0" borderId="0" xfId="0" applyNumberFormat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67" fontId="0" fillId="7" borderId="0" xfId="0" applyNumberFormat="1" applyFill="1"/>
    <xf numFmtId="0" fontId="13" fillId="10" borderId="24" xfId="4" applyBorder="1"/>
    <xf numFmtId="0" fontId="0" fillId="4" borderId="24" xfId="0" applyFill="1" applyBorder="1"/>
    <xf numFmtId="0" fontId="12" fillId="9" borderId="9" xfId="3" applyBorder="1"/>
    <xf numFmtId="0" fontId="0" fillId="0" borderId="1" xfId="0" applyBorder="1"/>
    <xf numFmtId="0" fontId="0" fillId="0" borderId="16" xfId="0" quotePrefix="1" applyBorder="1" applyAlignment="1">
      <alignment horizontal="center"/>
    </xf>
    <xf numFmtId="0" fontId="0" fillId="0" borderId="33" xfId="0" applyBorder="1"/>
    <xf numFmtId="0" fontId="0" fillId="13" borderId="0" xfId="0" applyFill="1"/>
    <xf numFmtId="0" fontId="0" fillId="2" borderId="0" xfId="0" quotePrefix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4" xfId="0" applyBorder="1" applyAlignment="1">
      <alignment horizontal="center"/>
    </xf>
    <xf numFmtId="0" fontId="0" fillId="11" borderId="0" xfId="0" applyFill="1" applyAlignment="1">
      <alignment horizontal="center"/>
    </xf>
    <xf numFmtId="0" fontId="17" fillId="8" borderId="0" xfId="0" applyFont="1" applyFill="1"/>
    <xf numFmtId="9" fontId="0" fillId="2" borderId="20" xfId="2" applyNumberFormat="1" applyFont="1" applyFill="1" applyBorder="1"/>
    <xf numFmtId="0" fontId="0" fillId="0" borderId="3" xfId="0" applyBorder="1" applyAlignment="1">
      <alignment horizontal="center"/>
    </xf>
    <xf numFmtId="0" fontId="0" fillId="2" borderId="10" xfId="0" applyFill="1" applyBorder="1" applyAlignment="1">
      <alignment horizontal="center"/>
    </xf>
    <xf numFmtId="9" fontId="0" fillId="2" borderId="16" xfId="2" applyNumberFormat="1" applyFont="1" applyFill="1" applyBorder="1"/>
    <xf numFmtId="0" fontId="0" fillId="2" borderId="7" xfId="0" applyFill="1" applyBorder="1"/>
    <xf numFmtId="0" fontId="0" fillId="2" borderId="12" xfId="0" applyFill="1" applyBorder="1"/>
    <xf numFmtId="166" fontId="0" fillId="2" borderId="4" xfId="0" applyNumberFormat="1" applyFill="1" applyBorder="1"/>
    <xf numFmtId="168" fontId="0" fillId="2" borderId="3" xfId="0" applyNumberFormat="1" applyFill="1" applyBorder="1" applyAlignment="1">
      <alignment horizontal="center"/>
    </xf>
    <xf numFmtId="0" fontId="8" fillId="7" borderId="0" xfId="0" applyFont="1" applyFill="1"/>
    <xf numFmtId="0" fontId="8" fillId="7" borderId="0" xfId="0" applyFont="1" applyFill="1" applyAlignment="1">
      <alignment horizontal="right"/>
    </xf>
    <xf numFmtId="0" fontId="8" fillId="7" borderId="10" xfId="0" applyFont="1" applyFill="1" applyBorder="1"/>
    <xf numFmtId="164" fontId="0" fillId="2" borderId="20" xfId="2" applyFont="1" applyFill="1" applyBorder="1"/>
    <xf numFmtId="164" fontId="0" fillId="2" borderId="16" xfId="2" applyFont="1" applyFill="1" applyBorder="1"/>
    <xf numFmtId="0" fontId="0" fillId="3" borderId="21" xfId="0" applyFill="1" applyBorder="1"/>
    <xf numFmtId="0" fontId="0" fillId="3" borderId="22" xfId="0" applyFill="1" applyBorder="1"/>
    <xf numFmtId="9" fontId="0" fillId="0" borderId="0" xfId="2" applyNumberFormat="1" applyFont="1" applyAlignment="1">
      <alignment horizontal="center"/>
    </xf>
    <xf numFmtId="0" fontId="18" fillId="0" borderId="0" xfId="0" applyFont="1"/>
    <xf numFmtId="0" fontId="0" fillId="2" borderId="1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/>
    <xf numFmtId="0" fontId="0" fillId="2" borderId="5" xfId="0" applyFill="1" applyBorder="1"/>
    <xf numFmtId="0" fontId="0" fillId="2" borderId="6" xfId="0" applyFill="1" applyBorder="1"/>
    <xf numFmtId="0" fontId="0" fillId="6" borderId="7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2" borderId="48" xfId="0" applyFill="1" applyBorder="1"/>
    <xf numFmtId="0" fontId="0" fillId="2" borderId="49" xfId="0" applyFill="1" applyBorder="1"/>
    <xf numFmtId="0" fontId="0" fillId="2" borderId="52" xfId="0" applyFill="1" applyBorder="1"/>
    <xf numFmtId="0" fontId="0" fillId="2" borderId="53" xfId="0" applyFill="1" applyBorder="1"/>
    <xf numFmtId="0" fontId="0" fillId="2" borderId="36" xfId="0" applyFill="1" applyBorder="1"/>
    <xf numFmtId="0" fontId="6" fillId="0" borderId="0" xfId="6"/>
    <xf numFmtId="0" fontId="6" fillId="0" borderId="17" xfId="6" applyBorder="1"/>
    <xf numFmtId="0" fontId="6" fillId="6" borderId="0" xfId="6" applyFill="1"/>
    <xf numFmtId="0" fontId="16" fillId="0" borderId="0" xfId="6" applyFont="1"/>
    <xf numFmtId="0" fontId="6" fillId="0" borderId="17" xfId="6" applyBorder="1" applyAlignment="1">
      <alignment horizontal="center"/>
    </xf>
    <xf numFmtId="0" fontId="6" fillId="0" borderId="0" xfId="6" applyAlignment="1">
      <alignment horizontal="center"/>
    </xf>
    <xf numFmtId="166" fontId="6" fillId="0" borderId="0" xfId="6" applyNumberFormat="1"/>
    <xf numFmtId="0" fontId="9" fillId="0" borderId="0" xfId="6" applyFont="1"/>
    <xf numFmtId="166" fontId="6" fillId="0" borderId="0" xfId="6" applyNumberFormat="1" applyAlignment="1">
      <alignment horizontal="center"/>
    </xf>
    <xf numFmtId="0" fontId="6" fillId="0" borderId="0" xfId="6" applyAlignment="1">
      <alignment horizontal="left"/>
    </xf>
    <xf numFmtId="0" fontId="20" fillId="0" borderId="0" xfId="6" applyFont="1"/>
    <xf numFmtId="0" fontId="6" fillId="0" borderId="25" xfId="6" applyBorder="1"/>
    <xf numFmtId="0" fontId="6" fillId="0" borderId="24" xfId="6" applyBorder="1"/>
    <xf numFmtId="0" fontId="6" fillId="0" borderId="23" xfId="6" applyBorder="1"/>
    <xf numFmtId="0" fontId="6" fillId="0" borderId="3" xfId="6" applyBorder="1"/>
    <xf numFmtId="0" fontId="6" fillId="0" borderId="22" xfId="6" applyBorder="1"/>
    <xf numFmtId="0" fontId="6" fillId="0" borderId="2" xfId="6" applyBorder="1"/>
    <xf numFmtId="0" fontId="21" fillId="0" borderId="21" xfId="6" applyFont="1" applyBorder="1"/>
    <xf numFmtId="0" fontId="6" fillId="0" borderId="24" xfId="6" applyBorder="1" applyAlignment="1">
      <alignment horizontal="center"/>
    </xf>
    <xf numFmtId="0" fontId="6" fillId="0" borderId="4" xfId="6" applyBorder="1"/>
    <xf numFmtId="0" fontId="6" fillId="0" borderId="4" xfId="6" applyBorder="1" applyAlignment="1">
      <alignment horizontal="center"/>
    </xf>
    <xf numFmtId="0" fontId="6" fillId="2" borderId="0" xfId="6" applyFill="1" applyAlignment="1">
      <alignment horizontal="center"/>
    </xf>
    <xf numFmtId="0" fontId="6" fillId="2" borderId="0" xfId="6" applyFill="1"/>
    <xf numFmtId="0" fontId="6" fillId="2" borderId="4" xfId="6" applyFill="1" applyBorder="1" applyAlignment="1">
      <alignment horizontal="center"/>
    </xf>
    <xf numFmtId="0" fontId="0" fillId="0" borderId="54" xfId="0" applyBorder="1"/>
    <xf numFmtId="0" fontId="0" fillId="0" borderId="55" xfId="0" applyBorder="1"/>
    <xf numFmtId="0" fontId="0" fillId="6" borderId="34" xfId="0" applyFill="1" applyBorder="1"/>
    <xf numFmtId="0" fontId="0" fillId="6" borderId="55" xfId="0" applyFill="1" applyBorder="1"/>
    <xf numFmtId="0" fontId="0" fillId="6" borderId="56" xfId="0" applyFill="1" applyBorder="1"/>
    <xf numFmtId="0" fontId="0" fillId="0" borderId="57" xfId="0" applyBorder="1"/>
    <xf numFmtId="164" fontId="0" fillId="5" borderId="58" xfId="0" applyNumberFormat="1" applyFill="1" applyBorder="1"/>
    <xf numFmtId="164" fontId="0" fillId="5" borderId="59" xfId="0" applyNumberFormat="1" applyFill="1" applyBorder="1"/>
    <xf numFmtId="164" fontId="0" fillId="5" borderId="60" xfId="0" applyNumberFormat="1" applyFill="1" applyBorder="1"/>
    <xf numFmtId="170" fontId="0" fillId="7" borderId="0" xfId="0" applyNumberFormat="1" applyFill="1"/>
    <xf numFmtId="169" fontId="0" fillId="7" borderId="0" xfId="0" applyNumberFormat="1" applyFill="1"/>
    <xf numFmtId="10" fontId="0" fillId="7" borderId="0" xfId="1" applyNumberFormat="1" applyFont="1" applyFill="1"/>
    <xf numFmtId="10" fontId="0" fillId="7" borderId="0" xfId="0" applyNumberFormat="1" applyFill="1"/>
    <xf numFmtId="0" fontId="0" fillId="0" borderId="61" xfId="0" applyBorder="1"/>
    <xf numFmtId="0" fontId="0" fillId="0" borderId="62" xfId="0" applyBorder="1"/>
    <xf numFmtId="0" fontId="0" fillId="7" borderId="3" xfId="0" applyFill="1" applyBorder="1" applyAlignment="1">
      <alignment horizontal="center"/>
    </xf>
    <xf numFmtId="0" fontId="0" fillId="7" borderId="48" xfId="0" applyFill="1" applyBorder="1"/>
    <xf numFmtId="0" fontId="0" fillId="7" borderId="50" xfId="0" applyFill="1" applyBorder="1"/>
    <xf numFmtId="0" fontId="0" fillId="7" borderId="51" xfId="0" applyFill="1" applyBorder="1"/>
    <xf numFmtId="0" fontId="0" fillId="7" borderId="52" xfId="0" applyFill="1" applyBorder="1"/>
    <xf numFmtId="0" fontId="0" fillId="7" borderId="53" xfId="0" applyFill="1" applyBorder="1"/>
    <xf numFmtId="0" fontId="0" fillId="7" borderId="15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13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4" xfId="0" applyFill="1" applyBorder="1"/>
    <xf numFmtId="0" fontId="0" fillId="7" borderId="12" xfId="0" applyFill="1" applyBorder="1"/>
    <xf numFmtId="0" fontId="0" fillId="7" borderId="7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166" fontId="6" fillId="7" borderId="17" xfId="6" applyNumberFormat="1" applyFill="1" applyBorder="1" applyAlignment="1">
      <alignment horizontal="center"/>
    </xf>
    <xf numFmtId="166" fontId="19" fillId="7" borderId="0" xfId="6" applyNumberFormat="1" applyFont="1" applyFill="1" applyAlignment="1">
      <alignment horizontal="center"/>
    </xf>
    <xf numFmtId="0" fontId="6" fillId="7" borderId="0" xfId="6" applyFill="1" applyAlignment="1">
      <alignment horizontal="center"/>
    </xf>
    <xf numFmtId="166" fontId="6" fillId="7" borderId="0" xfId="6" applyNumberFormat="1" applyFill="1" applyAlignment="1">
      <alignment horizontal="center"/>
    </xf>
    <xf numFmtId="166" fontId="6" fillId="7" borderId="4" xfId="6" applyNumberFormat="1" applyFill="1" applyBorder="1" applyAlignment="1">
      <alignment horizontal="center"/>
    </xf>
    <xf numFmtId="0" fontId="6" fillId="7" borderId="4" xfId="6" applyFill="1" applyBorder="1"/>
    <xf numFmtId="0" fontId="6" fillId="7" borderId="24" xfId="6" applyFill="1" applyBorder="1" applyAlignment="1">
      <alignment horizontal="center"/>
    </xf>
    <xf numFmtId="0" fontId="0" fillId="7" borderId="24" xfId="0" applyFill="1" applyBorder="1"/>
    <xf numFmtId="0" fontId="0" fillId="5" borderId="17" xfId="0" applyFill="1" applyBorder="1"/>
    <xf numFmtId="0" fontId="0" fillId="5" borderId="2" xfId="0" applyFill="1" applyBorder="1"/>
    <xf numFmtId="0" fontId="0" fillId="5" borderId="22" xfId="0" applyFill="1" applyBorder="1"/>
    <xf numFmtId="171" fontId="0" fillId="5" borderId="21" xfId="0" applyNumberFormat="1" applyFill="1" applyBorder="1"/>
    <xf numFmtId="171" fontId="0" fillId="5" borderId="2" xfId="0" applyNumberFormat="1" applyFill="1" applyBorder="1"/>
    <xf numFmtId="172" fontId="0" fillId="5" borderId="22" xfId="0" applyNumberFormat="1" applyFill="1" applyBorder="1"/>
    <xf numFmtId="171" fontId="0" fillId="5" borderId="3" xfId="0" applyNumberFormat="1" applyFill="1" applyBorder="1"/>
    <xf numFmtId="171" fontId="0" fillId="5" borderId="0" xfId="0" applyNumberFormat="1" applyFill="1"/>
    <xf numFmtId="171" fontId="0" fillId="5" borderId="17" xfId="0" applyNumberFormat="1" applyFill="1" applyBorder="1"/>
    <xf numFmtId="171" fontId="0" fillId="5" borderId="23" xfId="0" applyNumberFormat="1" applyFill="1" applyBorder="1"/>
    <xf numFmtId="171" fontId="0" fillId="5" borderId="24" xfId="0" applyNumberFormat="1" applyFill="1" applyBorder="1"/>
    <xf numFmtId="171" fontId="0" fillId="5" borderId="25" xfId="0" applyNumberFormat="1" applyFill="1" applyBorder="1"/>
    <xf numFmtId="166" fontId="0" fillId="5" borderId="4" xfId="0" applyNumberFormat="1" applyFill="1" applyBorder="1"/>
    <xf numFmtId="0" fontId="0" fillId="5" borderId="0" xfId="0" applyFill="1"/>
    <xf numFmtId="0" fontId="0" fillId="5" borderId="8" xfId="0" applyFill="1" applyBorder="1"/>
    <xf numFmtId="0" fontId="10" fillId="6" borderId="0" xfId="6" applyFont="1" applyFill="1"/>
    <xf numFmtId="164" fontId="0" fillId="14" borderId="0" xfId="0" applyNumberFormat="1" applyFill="1"/>
    <xf numFmtId="0" fontId="0" fillId="14" borderId="0" xfId="0" applyFill="1"/>
    <xf numFmtId="173" fontId="0" fillId="14" borderId="0" xfId="0" applyNumberFormat="1" applyFill="1"/>
    <xf numFmtId="0" fontId="6" fillId="0" borderId="65" xfId="6" applyBorder="1"/>
    <xf numFmtId="0" fontId="6" fillId="0" borderId="66" xfId="6" applyBorder="1"/>
    <xf numFmtId="0" fontId="6" fillId="7" borderId="0" xfId="6" applyFill="1"/>
    <xf numFmtId="0" fontId="6" fillId="0" borderId="65" xfId="6" applyBorder="1" applyAlignment="1">
      <alignment horizontal="center"/>
    </xf>
    <xf numFmtId="0" fontId="6" fillId="0" borderId="67" xfId="6" applyBorder="1"/>
    <xf numFmtId="0" fontId="6" fillId="0" borderId="67" xfId="6" applyBorder="1" applyAlignment="1">
      <alignment horizontal="center"/>
    </xf>
    <xf numFmtId="0" fontId="6" fillId="6" borderId="65" xfId="6" applyFill="1" applyBorder="1"/>
    <xf numFmtId="0" fontId="6" fillId="0" borderId="68" xfId="6" applyBorder="1"/>
    <xf numFmtId="0" fontId="6" fillId="0" borderId="68" xfId="6" applyBorder="1" applyAlignment="1">
      <alignment horizontal="center"/>
    </xf>
    <xf numFmtId="0" fontId="6" fillId="7" borderId="67" xfId="6" applyFill="1" applyBorder="1"/>
    <xf numFmtId="0" fontId="5" fillId="0" borderId="0" xfId="6" applyFont="1"/>
    <xf numFmtId="165" fontId="6" fillId="7" borderId="0" xfId="6" applyNumberFormat="1" applyFill="1"/>
    <xf numFmtId="0" fontId="6" fillId="0" borderId="69" xfId="6" applyBorder="1"/>
    <xf numFmtId="0" fontId="6" fillId="0" borderId="70" xfId="6" applyBorder="1"/>
    <xf numFmtId="0" fontId="6" fillId="0" borderId="62" xfId="6" applyBorder="1"/>
    <xf numFmtId="0" fontId="6" fillId="6" borderId="62" xfId="6" applyFill="1" applyBorder="1"/>
    <xf numFmtId="0" fontId="6" fillId="6" borderId="64" xfId="6" applyFill="1" applyBorder="1"/>
    <xf numFmtId="0" fontId="6" fillId="6" borderId="63" xfId="6" applyFill="1" applyBorder="1"/>
    <xf numFmtId="0" fontId="6" fillId="6" borderId="63" xfId="6" applyFill="1" applyBorder="1" applyAlignment="1">
      <alignment horizontal="center"/>
    </xf>
    <xf numFmtId="2" fontId="6" fillId="7" borderId="0" xfId="6" applyNumberFormat="1" applyFill="1"/>
    <xf numFmtId="0" fontId="6" fillId="0" borderId="71" xfId="6" applyBorder="1"/>
    <xf numFmtId="0" fontId="6" fillId="0" borderId="72" xfId="6" applyBorder="1"/>
    <xf numFmtId="0" fontId="6" fillId="0" borderId="73" xfId="6" applyBorder="1"/>
    <xf numFmtId="0" fontId="6" fillId="0" borderId="74" xfId="6" applyBorder="1"/>
    <xf numFmtId="0" fontId="9" fillId="0" borderId="72" xfId="6" applyFont="1" applyBorder="1"/>
    <xf numFmtId="0" fontId="5" fillId="0" borderId="72" xfId="6" applyFont="1" applyBorder="1"/>
    <xf numFmtId="2" fontId="6" fillId="7" borderId="65" xfId="6" applyNumberFormat="1" applyFill="1" applyBorder="1"/>
    <xf numFmtId="0" fontId="6" fillId="7" borderId="65" xfId="6" applyFill="1" applyBorder="1"/>
    <xf numFmtId="0" fontId="6" fillId="7" borderId="70" xfId="6" applyFill="1" applyBorder="1"/>
    <xf numFmtId="0" fontId="4" fillId="0" borderId="0" xfId="6" applyFont="1" applyAlignment="1">
      <alignment horizontal="center"/>
    </xf>
    <xf numFmtId="0" fontId="4" fillId="0" borderId="70" xfId="6" applyFont="1" applyBorder="1" applyAlignment="1">
      <alignment horizontal="center"/>
    </xf>
    <xf numFmtId="0" fontId="6" fillId="7" borderId="4" xfId="6" applyFill="1" applyBorder="1" applyAlignment="1">
      <alignment horizontal="center"/>
    </xf>
    <xf numFmtId="0" fontId="6" fillId="0" borderId="21" xfId="6" applyBorder="1"/>
    <xf numFmtId="0" fontId="6" fillId="7" borderId="17" xfId="6" applyFill="1" applyBorder="1" applyAlignment="1">
      <alignment horizontal="center"/>
    </xf>
    <xf numFmtId="0" fontId="6" fillId="0" borderId="23" xfId="6" applyBorder="1" applyAlignment="1">
      <alignment horizontal="center"/>
    </xf>
    <xf numFmtId="166" fontId="6" fillId="7" borderId="24" xfId="6" applyNumberFormat="1" applyFill="1" applyBorder="1"/>
    <xf numFmtId="166" fontId="6" fillId="7" borderId="25" xfId="6" applyNumberFormat="1" applyFill="1" applyBorder="1"/>
    <xf numFmtId="0" fontId="6" fillId="0" borderId="3" xfId="6" applyBorder="1" applyAlignment="1">
      <alignment horizontal="center"/>
    </xf>
    <xf numFmtId="166" fontId="6" fillId="7" borderId="3" xfId="6" applyNumberFormat="1" applyFill="1" applyBorder="1" applyAlignment="1">
      <alignment horizontal="center"/>
    </xf>
    <xf numFmtId="0" fontId="6" fillId="7" borderId="25" xfId="6" applyFill="1" applyBorder="1" applyAlignment="1">
      <alignment horizontal="center"/>
    </xf>
    <xf numFmtId="0" fontId="6" fillId="0" borderId="2" xfId="6" applyBorder="1" applyAlignment="1">
      <alignment horizontal="center"/>
    </xf>
    <xf numFmtId="0" fontId="6" fillId="7" borderId="22" xfId="6" applyFill="1" applyBorder="1" applyAlignment="1">
      <alignment horizontal="center"/>
    </xf>
    <xf numFmtId="0" fontId="6" fillId="0" borderId="21" xfId="6" applyBorder="1" applyAlignment="1">
      <alignment horizontal="left"/>
    </xf>
    <xf numFmtId="0" fontId="6" fillId="0" borderId="75" xfId="6" applyBorder="1" applyAlignment="1">
      <alignment horizontal="center"/>
    </xf>
    <xf numFmtId="0" fontId="6" fillId="0" borderId="76" xfId="6" applyBorder="1"/>
    <xf numFmtId="0" fontId="6" fillId="0" borderId="77" xfId="6" applyBorder="1"/>
    <xf numFmtId="165" fontId="6" fillId="7" borderId="0" xfId="6" applyNumberFormat="1" applyFill="1" applyAlignment="1">
      <alignment horizontal="center"/>
    </xf>
    <xf numFmtId="166" fontId="6" fillId="7" borderId="25" xfId="6" applyNumberFormat="1" applyFill="1" applyBorder="1" applyAlignment="1">
      <alignment horizontal="center"/>
    </xf>
    <xf numFmtId="166" fontId="6" fillId="7" borderId="22" xfId="6" applyNumberFormat="1" applyFill="1" applyBorder="1" applyAlignment="1">
      <alignment horizontal="center"/>
    </xf>
    <xf numFmtId="0" fontId="3" fillId="7" borderId="24" xfId="6" applyFont="1" applyFill="1" applyBorder="1"/>
    <xf numFmtId="0" fontId="3" fillId="7" borderId="25" xfId="6" applyFont="1" applyFill="1" applyBorder="1"/>
    <xf numFmtId="0" fontId="3" fillId="6" borderId="78" xfId="6" applyFont="1" applyFill="1" applyBorder="1"/>
    <xf numFmtId="0" fontId="6" fillId="13" borderId="0" xfId="6" applyFill="1"/>
    <xf numFmtId="0" fontId="6" fillId="0" borderId="79" xfId="6" applyBorder="1"/>
    <xf numFmtId="0" fontId="2" fillId="0" borderId="0" xfId="6" applyFont="1"/>
    <xf numFmtId="0" fontId="2" fillId="0" borderId="72" xfId="6" applyFont="1" applyBorder="1"/>
    <xf numFmtId="9" fontId="6" fillId="0" borderId="0" xfId="1" applyFont="1" applyAlignment="1">
      <alignment horizontal="center"/>
    </xf>
    <xf numFmtId="9" fontId="6" fillId="2" borderId="0" xfId="1" applyFont="1" applyFill="1" applyAlignment="1">
      <alignment horizontal="center"/>
    </xf>
    <xf numFmtId="9" fontId="6" fillId="0" borderId="0" xfId="1" applyFont="1"/>
    <xf numFmtId="166" fontId="0" fillId="7" borderId="0" xfId="0" applyNumberFormat="1" applyFill="1" applyAlignment="1">
      <alignment horizontal="center"/>
    </xf>
    <xf numFmtId="166" fontId="0" fillId="7" borderId="7" xfId="0" applyNumberFormat="1" applyFill="1" applyBorder="1" applyAlignment="1">
      <alignment horizontal="center"/>
    </xf>
    <xf numFmtId="166" fontId="0" fillId="7" borderId="13" xfId="0" applyNumberFormat="1" applyFill="1" applyBorder="1" applyAlignment="1">
      <alignment horizontal="center"/>
    </xf>
    <xf numFmtId="166" fontId="0" fillId="7" borderId="8" xfId="0" applyNumberFormat="1" applyFill="1" applyBorder="1" applyAlignment="1">
      <alignment horizontal="center"/>
    </xf>
    <xf numFmtId="166" fontId="0" fillId="7" borderId="9" xfId="0" applyNumberFormat="1" applyFill="1" applyBorder="1" applyAlignment="1">
      <alignment horizontal="center"/>
    </xf>
    <xf numFmtId="166" fontId="0" fillId="7" borderId="10" xfId="0" applyNumberFormat="1" applyFill="1" applyBorder="1" applyAlignment="1">
      <alignment horizontal="center"/>
    </xf>
    <xf numFmtId="166" fontId="0" fillId="7" borderId="11" xfId="0" applyNumberFormat="1" applyFill="1" applyBorder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166" fontId="0" fillId="7" borderId="12" xfId="0" applyNumberFormat="1" applyFill="1" applyBorder="1" applyAlignment="1">
      <alignment horizontal="center"/>
    </xf>
    <xf numFmtId="166" fontId="0" fillId="7" borderId="49" xfId="0" applyNumberFormat="1" applyFill="1" applyBorder="1"/>
    <xf numFmtId="0" fontId="1" fillId="0" borderId="0" xfId="6" applyFont="1" applyAlignment="1">
      <alignment horizontal="center"/>
    </xf>
    <xf numFmtId="0" fontId="14" fillId="4" borderId="7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166" fontId="0" fillId="0" borderId="0" xfId="0" applyNumberFormat="1" applyAlignment="1">
      <alignment horizontal="right"/>
    </xf>
    <xf numFmtId="166" fontId="0" fillId="3" borderId="0" xfId="0" applyNumberFormat="1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0" xfId="0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5" fillId="7" borderId="9" xfId="0" applyFont="1" applyFill="1" applyBorder="1" applyAlignment="1">
      <alignment horizontal="center"/>
    </xf>
    <xf numFmtId="0" fontId="7" fillId="12" borderId="0" xfId="5" applyAlignment="1">
      <alignment horizontal="center"/>
    </xf>
    <xf numFmtId="0" fontId="1" fillId="0" borderId="0" xfId="6" applyFont="1"/>
    <xf numFmtId="0" fontId="1" fillId="2" borderId="0" xfId="6" applyFont="1" applyFill="1" applyAlignment="1">
      <alignment horizontal="center"/>
    </xf>
  </cellXfs>
  <cellStyles count="7">
    <cellStyle name="20 % - Farve1" xfId="5" builtinId="30"/>
    <cellStyle name="God" xfId="3" builtinId="26"/>
    <cellStyle name="Komma" xfId="2" builtinId="3"/>
    <cellStyle name="Neutral" xfId="4" builtinId="28"/>
    <cellStyle name="Normal" xfId="0" builtinId="0"/>
    <cellStyle name="Normal 2" xfId="6" xr:uid="{E05C741B-4E1D-E34E-B910-ED1800C0423D}"/>
    <cellStyle name="Procent" xfId="1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Nelson-Siegel spot rate</c:v>
          </c:tx>
          <c:marker>
            <c:symbol val="none"/>
          </c:marker>
          <c:val>
            <c:numRef>
              <c:f>'Nelson-Siegel'!$P$15:$P$44</c:f>
              <c:numCache>
                <c:formatCode>General</c:formatCode>
                <c:ptCount val="30"/>
                <c:pt idx="0">
                  <c:v>2.1547157097146899E-2</c:v>
                </c:pt>
                <c:pt idx="1">
                  <c:v>2.2301672730513988E-2</c:v>
                </c:pt>
                <c:pt idx="2">
                  <c:v>2.2414610333168307E-2</c:v>
                </c:pt>
                <c:pt idx="3">
                  <c:v>2.2014913790159255E-2</c:v>
                </c:pt>
                <c:pt idx="4">
                  <c:v>2.1212275514648545E-2</c:v>
                </c:pt>
                <c:pt idx="5">
                  <c:v>2.0099657538079553E-2</c:v>
                </c:pt>
                <c:pt idx="6">
                  <c:v>1.8755505766994786E-2</c:v>
                </c:pt>
                <c:pt idx="7">
                  <c:v>1.724569305389298E-2</c:v>
                </c:pt>
                <c:pt idx="8">
                  <c:v>1.5625222718499608E-2</c:v>
                </c:pt>
                <c:pt idx="9">
                  <c:v>1.3939720585721165E-2</c:v>
                </c:pt>
                <c:pt idx="10">
                  <c:v>1.2226740429753569E-2</c:v>
                </c:pt>
                <c:pt idx="11">
                  <c:v>1.051690488776277E-2</c:v>
                </c:pt>
                <c:pt idx="12">
                  <c:v>8.8349013932511947E-3</c:v>
                </c:pt>
                <c:pt idx="13">
                  <c:v>7.2003504447135415E-3</c:v>
                </c:pt>
                <c:pt idx="14">
                  <c:v>5.6285615391498921E-3</c:v>
                </c:pt>
                <c:pt idx="15">
                  <c:v>4.1311903353757999E-3</c:v>
                </c:pt>
                <c:pt idx="16">
                  <c:v>2.716809044673283E-3</c:v>
                </c:pt>
                <c:pt idx="17">
                  <c:v>1.3914006545963052E-3</c:v>
                </c:pt>
                <c:pt idx="18">
                  <c:v>1.5878635642455063E-4</c:v>
                </c:pt>
                <c:pt idx="19">
                  <c:v>-9.7900554932751904E-4</c:v>
                </c:pt>
                <c:pt idx="20">
                  <c:v>-2.0214219671154041E-3</c:v>
                </c:pt>
                <c:pt idx="21">
                  <c:v>-2.9691120999868689E-3</c:v>
                </c:pt>
                <c:pt idx="22">
                  <c:v>-3.8236936462063206E-3</c:v>
                </c:pt>
                <c:pt idx="23">
                  <c:v>-4.5875530991556918E-3</c:v>
                </c:pt>
                <c:pt idx="24">
                  <c:v>-5.2636757499751538E-3</c:v>
                </c:pt>
                <c:pt idx="25">
                  <c:v>-5.8555015227206193E-3</c:v>
                </c:pt>
                <c:pt idx="26">
                  <c:v>-6.3668032409455837E-3</c:v>
                </c:pt>
                <c:pt idx="27">
                  <c:v>-6.8015843394116059E-3</c:v>
                </c:pt>
                <c:pt idx="28">
                  <c:v>-7.1639934011916706E-3</c:v>
                </c:pt>
                <c:pt idx="29">
                  <c:v>-7.4582532241864868E-3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F-2941-A819-AE2DBABBC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70496"/>
        <c:axId val="121704448"/>
      </c:lineChart>
      <c:catAx>
        <c:axId val="1177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704448"/>
        <c:crosses val="autoZero"/>
        <c:auto val="1"/>
        <c:lblAlgn val="ctr"/>
        <c:lblOffset val="100"/>
        <c:noMultiLvlLbl val="0"/>
      </c:catAx>
      <c:valAx>
        <c:axId val="12170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770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tiff"/><Relationship Id="rId7" Type="http://schemas.openxmlformats.org/officeDocument/2006/relationships/image" Target="../media/image31.png"/><Relationship Id="rId2" Type="http://schemas.openxmlformats.org/officeDocument/2006/relationships/image" Target="../media/image26.tiff"/><Relationship Id="rId1" Type="http://schemas.openxmlformats.org/officeDocument/2006/relationships/image" Target="../media/image25.tiff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6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12" Type="http://schemas.openxmlformats.org/officeDocument/2006/relationships/image" Target="../media/image45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44.png"/><Relationship Id="rId5" Type="http://schemas.openxmlformats.org/officeDocument/2006/relationships/image" Target="../media/image38.png"/><Relationship Id="rId10" Type="http://schemas.openxmlformats.org/officeDocument/2006/relationships/image" Target="../media/image43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tiff"/><Relationship Id="rId2" Type="http://schemas.openxmlformats.org/officeDocument/2006/relationships/image" Target="../media/image48.tiff"/><Relationship Id="rId1" Type="http://schemas.openxmlformats.org/officeDocument/2006/relationships/image" Target="../media/image47.tiff"/><Relationship Id="rId6" Type="http://schemas.openxmlformats.org/officeDocument/2006/relationships/image" Target="../media/image52.tiff"/><Relationship Id="rId5" Type="http://schemas.openxmlformats.org/officeDocument/2006/relationships/image" Target="../media/image51.tiff"/><Relationship Id="rId4" Type="http://schemas.openxmlformats.org/officeDocument/2006/relationships/image" Target="../media/image50.tif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165100</xdr:rowOff>
    </xdr:from>
    <xdr:to>
      <xdr:col>12</xdr:col>
      <xdr:colOff>16932</xdr:colOff>
      <xdr:row>45</xdr:row>
      <xdr:rowOff>5308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B54895FD-D9A1-0543-A5D3-E3249B2D5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1633"/>
          <a:ext cx="10176932" cy="75618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438150</xdr:colOff>
      <xdr:row>3</xdr:row>
      <xdr:rowOff>114300</xdr:rowOff>
    </xdr:from>
    <xdr:to>
      <xdr:col>17</xdr:col>
      <xdr:colOff>67924</xdr:colOff>
      <xdr:row>5</xdr:row>
      <xdr:rowOff>9525</xdr:rowOff>
    </xdr:to>
    <xdr:pic>
      <xdr:nvPicPr>
        <xdr:cNvPr id="7" name="Picture 1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96850" y="685800"/>
          <a:ext cx="1019175" cy="276225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247650</xdr:colOff>
      <xdr:row>4</xdr:row>
      <xdr:rowOff>171450</xdr:rowOff>
    </xdr:from>
    <xdr:to>
      <xdr:col>20</xdr:col>
      <xdr:colOff>428625</xdr:colOff>
      <xdr:row>5</xdr:row>
      <xdr:rowOff>142875</xdr:rowOff>
    </xdr:to>
    <xdr:pic>
      <xdr:nvPicPr>
        <xdr:cNvPr id="22" name="Picture 46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754350" y="933450"/>
          <a:ext cx="180975" cy="1619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85</xdr:row>
      <xdr:rowOff>28575</xdr:rowOff>
    </xdr:from>
    <xdr:to>
      <xdr:col>1</xdr:col>
      <xdr:colOff>885825</xdr:colOff>
      <xdr:row>86</xdr:row>
      <xdr:rowOff>133350</xdr:rowOff>
    </xdr:to>
    <xdr:pic>
      <xdr:nvPicPr>
        <xdr:cNvPr id="47" name="Picture 9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95275" y="15897225"/>
          <a:ext cx="828675" cy="2952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952500</xdr:colOff>
      <xdr:row>85</xdr:row>
      <xdr:rowOff>38100</xdr:rowOff>
    </xdr:from>
    <xdr:to>
      <xdr:col>3</xdr:col>
      <xdr:colOff>169769</xdr:colOff>
      <xdr:row>86</xdr:row>
      <xdr:rowOff>104775</xdr:rowOff>
    </xdr:to>
    <xdr:pic>
      <xdr:nvPicPr>
        <xdr:cNvPr id="48" name="Picture 98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25" y="15906750"/>
          <a:ext cx="1095375" cy="257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90</xdr:row>
      <xdr:rowOff>47625</xdr:rowOff>
    </xdr:from>
    <xdr:to>
      <xdr:col>4</xdr:col>
      <xdr:colOff>586775</xdr:colOff>
      <xdr:row>93</xdr:row>
      <xdr:rowOff>57077</xdr:rowOff>
    </xdr:to>
    <xdr:pic>
      <xdr:nvPicPr>
        <xdr:cNvPr id="49" name="Billede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17278350"/>
          <a:ext cx="3310925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109</xdr:row>
      <xdr:rowOff>1</xdr:rowOff>
    </xdr:from>
    <xdr:to>
      <xdr:col>14</xdr:col>
      <xdr:colOff>695326</xdr:colOff>
      <xdr:row>110</xdr:row>
      <xdr:rowOff>31670</xdr:rowOff>
    </xdr:to>
    <xdr:pic>
      <xdr:nvPicPr>
        <xdr:cNvPr id="60" name="Billede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68853" y="18579354"/>
          <a:ext cx="1882589" cy="2221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6</xdr:col>
      <xdr:colOff>683676</xdr:colOff>
      <xdr:row>122</xdr:row>
      <xdr:rowOff>142833</xdr:rowOff>
    </xdr:to>
    <xdr:pic>
      <xdr:nvPicPr>
        <xdr:cNvPr id="61" name="Billede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5324" y="19733559"/>
          <a:ext cx="4847619" cy="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123</xdr:row>
      <xdr:rowOff>123264</xdr:rowOff>
    </xdr:from>
    <xdr:to>
      <xdr:col>3</xdr:col>
      <xdr:colOff>700073</xdr:colOff>
      <xdr:row>129</xdr:row>
      <xdr:rowOff>56454</xdr:rowOff>
    </xdr:to>
    <xdr:pic>
      <xdr:nvPicPr>
        <xdr:cNvPr id="62" name="Billede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9442" y="20237823"/>
          <a:ext cx="2361905" cy="1076190"/>
        </a:xfrm>
        <a:prstGeom prst="rect">
          <a:avLst/>
        </a:prstGeom>
      </xdr:spPr>
    </xdr:pic>
    <xdr:clientData/>
  </xdr:twoCellAnchor>
  <xdr:twoCellAnchor>
    <xdr:from>
      <xdr:col>13</xdr:col>
      <xdr:colOff>371475</xdr:colOff>
      <xdr:row>133</xdr:row>
      <xdr:rowOff>95250</xdr:rowOff>
    </xdr:from>
    <xdr:to>
      <xdr:col>13</xdr:col>
      <xdr:colOff>1019175</xdr:colOff>
      <xdr:row>135</xdr:row>
      <xdr:rowOff>38100</xdr:rowOff>
    </xdr:to>
    <xdr:pic>
      <xdr:nvPicPr>
        <xdr:cNvPr id="65" name="Billede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0925" y="25546050"/>
          <a:ext cx="6477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352339</xdr:colOff>
      <xdr:row>94</xdr:row>
      <xdr:rowOff>0</xdr:rowOff>
    </xdr:from>
    <xdr:to>
      <xdr:col>2</xdr:col>
      <xdr:colOff>18963</xdr:colOff>
      <xdr:row>95</xdr:row>
      <xdr:rowOff>19050</xdr:rowOff>
    </xdr:to>
    <xdr:pic>
      <xdr:nvPicPr>
        <xdr:cNvPr id="74" name="Billede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464" y="17992725"/>
          <a:ext cx="695324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95</xdr:row>
      <xdr:rowOff>19050</xdr:rowOff>
    </xdr:from>
    <xdr:to>
      <xdr:col>2</xdr:col>
      <xdr:colOff>2076</xdr:colOff>
      <xdr:row>95</xdr:row>
      <xdr:rowOff>180955</xdr:rowOff>
    </xdr:to>
    <xdr:pic>
      <xdr:nvPicPr>
        <xdr:cNvPr id="75" name="Billede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" y="18202275"/>
          <a:ext cx="1152381" cy="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96</xdr:row>
      <xdr:rowOff>0</xdr:rowOff>
    </xdr:from>
    <xdr:to>
      <xdr:col>1</xdr:col>
      <xdr:colOff>1000125</xdr:colOff>
      <xdr:row>97</xdr:row>
      <xdr:rowOff>170423</xdr:rowOff>
    </xdr:to>
    <xdr:pic>
      <xdr:nvPicPr>
        <xdr:cNvPr id="76" name="Billede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1925" y="18373725"/>
          <a:ext cx="1076325" cy="3609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28476</xdr:colOff>
      <xdr:row>96</xdr:row>
      <xdr:rowOff>47595</xdr:rowOff>
    </xdr:to>
    <xdr:pic>
      <xdr:nvPicPr>
        <xdr:cNvPr id="77" name="Billede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76550" y="18183225"/>
          <a:ext cx="790476" cy="23809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94</xdr:row>
      <xdr:rowOff>161925</xdr:rowOff>
    </xdr:from>
    <xdr:to>
      <xdr:col>9</xdr:col>
      <xdr:colOff>922111</xdr:colOff>
      <xdr:row>97</xdr:row>
      <xdr:rowOff>57092</xdr:rowOff>
    </xdr:to>
    <xdr:pic>
      <xdr:nvPicPr>
        <xdr:cNvPr id="78" name="Billede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72075" y="18154650"/>
          <a:ext cx="2361905" cy="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99</xdr:row>
      <xdr:rowOff>38100</xdr:rowOff>
    </xdr:from>
    <xdr:to>
      <xdr:col>2</xdr:col>
      <xdr:colOff>9376</xdr:colOff>
      <xdr:row>102</xdr:row>
      <xdr:rowOff>9457</xdr:rowOff>
    </xdr:to>
    <xdr:pic>
      <xdr:nvPicPr>
        <xdr:cNvPr id="80" name="Billede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725" y="18983325"/>
          <a:ext cx="1190476" cy="542857"/>
        </a:xfrm>
        <a:prstGeom prst="rect">
          <a:avLst/>
        </a:prstGeom>
      </xdr:spPr>
    </xdr:pic>
    <xdr:clientData/>
  </xdr:twoCellAnchor>
  <xdr:oneCellAnchor>
    <xdr:from>
      <xdr:col>19</xdr:col>
      <xdr:colOff>409575</xdr:colOff>
      <xdr:row>45</xdr:row>
      <xdr:rowOff>123825</xdr:rowOff>
    </xdr:from>
    <xdr:ext cx="190500" cy="171450"/>
    <xdr:pic>
      <xdr:nvPicPr>
        <xdr:cNvPr id="82" name="Picture 2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5830550" y="8753475"/>
          <a:ext cx="190500" cy="171450"/>
        </a:xfrm>
        <a:prstGeom prst="rect">
          <a:avLst/>
        </a:prstGeom>
        <a:noFill/>
      </xdr:spPr>
    </xdr:pic>
    <xdr:clientData/>
  </xdr:oneCellAnchor>
  <xdr:oneCellAnchor>
    <xdr:from>
      <xdr:col>15</xdr:col>
      <xdr:colOff>533400</xdr:colOff>
      <xdr:row>49</xdr:row>
      <xdr:rowOff>180975</xdr:rowOff>
    </xdr:from>
    <xdr:ext cx="180975" cy="180975"/>
    <xdr:pic>
      <xdr:nvPicPr>
        <xdr:cNvPr id="83" name="Picture 6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8392775" y="9382125"/>
          <a:ext cx="180975" cy="180975"/>
        </a:xfrm>
        <a:prstGeom prst="rect">
          <a:avLst/>
        </a:prstGeom>
        <a:noFill/>
      </xdr:spPr>
    </xdr:pic>
    <xdr:clientData/>
  </xdr:oneCellAnchor>
  <xdr:twoCellAnchor editAs="oneCell">
    <xdr:from>
      <xdr:col>11</xdr:col>
      <xdr:colOff>1038225</xdr:colOff>
      <xdr:row>124</xdr:row>
      <xdr:rowOff>0</xdr:rowOff>
    </xdr:from>
    <xdr:to>
      <xdr:col>12</xdr:col>
      <xdr:colOff>50939</xdr:colOff>
      <xdr:row>124</xdr:row>
      <xdr:rowOff>180975</xdr:rowOff>
    </xdr:to>
    <xdr:pic>
      <xdr:nvPicPr>
        <xdr:cNvPr id="87" name="Picture 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9725025" y="23726775"/>
          <a:ext cx="180975" cy="180975"/>
        </a:xfrm>
        <a:prstGeom prst="rect">
          <a:avLst/>
        </a:prstGeom>
        <a:noFill/>
      </xdr:spPr>
    </xdr:pic>
    <xdr:clientData/>
  </xdr:twoCellAnchor>
  <xdr:twoCellAnchor>
    <xdr:from>
      <xdr:col>13</xdr:col>
      <xdr:colOff>409575</xdr:colOff>
      <xdr:row>125</xdr:row>
      <xdr:rowOff>9525</xdr:rowOff>
    </xdr:from>
    <xdr:to>
      <xdr:col>13</xdr:col>
      <xdr:colOff>1057275</xdr:colOff>
      <xdr:row>126</xdr:row>
      <xdr:rowOff>142875</xdr:rowOff>
    </xdr:to>
    <xdr:pic>
      <xdr:nvPicPr>
        <xdr:cNvPr id="88" name="Billede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6175" y="23926800"/>
          <a:ext cx="6477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238125</xdr:colOff>
      <xdr:row>71</xdr:row>
      <xdr:rowOff>142876</xdr:rowOff>
    </xdr:from>
    <xdr:ext cx="168153" cy="230104"/>
    <xdr:pic>
      <xdr:nvPicPr>
        <xdr:cNvPr id="89" name="Picture 24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1504950" y="3019426"/>
          <a:ext cx="168153" cy="230104"/>
        </a:xfrm>
        <a:prstGeom prst="rect">
          <a:avLst/>
        </a:prstGeom>
        <a:noFill/>
      </xdr:spPr>
    </xdr:pic>
    <xdr:clientData/>
  </xdr:oneCellAnchor>
  <xdr:oneCellAnchor>
    <xdr:from>
      <xdr:col>17</xdr:col>
      <xdr:colOff>571500</xdr:colOff>
      <xdr:row>71</xdr:row>
      <xdr:rowOff>152400</xdr:rowOff>
    </xdr:from>
    <xdr:ext cx="190500" cy="209550"/>
    <xdr:pic>
      <xdr:nvPicPr>
        <xdr:cNvPr id="90" name="Picture 26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4801850" y="13782675"/>
          <a:ext cx="190500" cy="209550"/>
        </a:xfrm>
        <a:prstGeom prst="rect">
          <a:avLst/>
        </a:prstGeom>
        <a:noFill/>
      </xdr:spPr>
    </xdr:pic>
    <xdr:clientData/>
  </xdr:oneCellAnchor>
  <xdr:oneCellAnchor>
    <xdr:from>
      <xdr:col>22</xdr:col>
      <xdr:colOff>0</xdr:colOff>
      <xdr:row>71</xdr:row>
      <xdr:rowOff>114300</xdr:rowOff>
    </xdr:from>
    <xdr:ext cx="859491" cy="219075"/>
    <xdr:pic>
      <xdr:nvPicPr>
        <xdr:cNvPr id="91" name="Picture 34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5810250" y="2990850"/>
          <a:ext cx="859491" cy="219075"/>
        </a:xfrm>
        <a:prstGeom prst="rect">
          <a:avLst/>
        </a:prstGeom>
        <a:noFill/>
      </xdr:spPr>
    </xdr:pic>
    <xdr:clientData/>
  </xdr:oneCellAnchor>
  <xdr:oneCellAnchor>
    <xdr:from>
      <xdr:col>19</xdr:col>
      <xdr:colOff>600075</xdr:colOff>
      <xdr:row>71</xdr:row>
      <xdr:rowOff>114300</xdr:rowOff>
    </xdr:from>
    <xdr:ext cx="629770" cy="247650"/>
    <xdr:pic>
      <xdr:nvPicPr>
        <xdr:cNvPr id="92" name="Picture 36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238625" y="2990850"/>
          <a:ext cx="629770" cy="247650"/>
        </a:xfrm>
        <a:prstGeom prst="rect">
          <a:avLst/>
        </a:prstGeom>
        <a:noFill/>
      </xdr:spPr>
    </xdr:pic>
    <xdr:clientData/>
  </xdr:oneCellAnchor>
  <xdr:twoCellAnchor editAs="oneCell">
    <xdr:from>
      <xdr:col>15</xdr:col>
      <xdr:colOff>295275</xdr:colOff>
      <xdr:row>77</xdr:row>
      <xdr:rowOff>85725</xdr:rowOff>
    </xdr:from>
    <xdr:to>
      <xdr:col>16</xdr:col>
      <xdr:colOff>433355</xdr:colOff>
      <xdr:row>80</xdr:row>
      <xdr:rowOff>142160</xdr:rowOff>
    </xdr:to>
    <xdr:pic>
      <xdr:nvPicPr>
        <xdr:cNvPr id="55" name="Billede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306425" y="14868525"/>
          <a:ext cx="809524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</xdr:colOff>
      <xdr:row>9</xdr:row>
      <xdr:rowOff>129540</xdr:rowOff>
    </xdr:from>
    <xdr:to>
      <xdr:col>10</xdr:col>
      <xdr:colOff>883920</xdr:colOff>
      <xdr:row>13</xdr:row>
      <xdr:rowOff>76330</xdr:rowOff>
    </xdr:to>
    <xdr:pic>
      <xdr:nvPicPr>
        <xdr:cNvPr id="59" name="Billede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91400" y="1798320"/>
          <a:ext cx="1440180" cy="678310"/>
        </a:xfrm>
        <a:prstGeom prst="rect">
          <a:avLst/>
        </a:prstGeom>
      </xdr:spPr>
    </xdr:pic>
    <xdr:clientData/>
  </xdr:twoCellAnchor>
  <xdr:oneCellAnchor>
    <xdr:from>
      <xdr:col>1</xdr:col>
      <xdr:colOff>541203</xdr:colOff>
      <xdr:row>5</xdr:row>
      <xdr:rowOff>20963</xdr:rowOff>
    </xdr:from>
    <xdr:ext cx="10201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kstfelt 62">
              <a:extLst>
                <a:ext uri="{FF2B5EF4-FFF2-40B4-BE49-F238E27FC236}">
                  <a16:creationId xmlns:a16="http://schemas.microsoft.com/office/drawing/2014/main" id="{00000000-0008-0000-0600-00003F000000}"/>
                </a:ext>
              </a:extLst>
            </xdr:cNvPr>
            <xdr:cNvSpPr txBox="1"/>
          </xdr:nvSpPr>
          <xdr:spPr>
            <a:xfrm>
              <a:off x="808974" y="977288"/>
              <a:ext cx="1020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63" name="Tekstfelt 62">
              <a:extLst>
                <a:ext uri="{FF2B5EF4-FFF2-40B4-BE49-F238E27FC236}">
                  <a16:creationId xmlns:a16="http://schemas.microsoft.com/office/drawing/2014/main" id="{5B95A2B2-D959-454D-B8B2-A7A7A86CEE3A}"/>
                </a:ext>
              </a:extLst>
            </xdr:cNvPr>
            <xdr:cNvSpPr txBox="1"/>
          </xdr:nvSpPr>
          <xdr:spPr>
            <a:xfrm>
              <a:off x="808974" y="977288"/>
              <a:ext cx="1020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425832</xdr:colOff>
      <xdr:row>9</xdr:row>
      <xdr:rowOff>188663</xdr:rowOff>
    </xdr:from>
    <xdr:ext cx="177934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kstfelt 84">
              <a:extLst>
                <a:ext uri="{FF2B5EF4-FFF2-40B4-BE49-F238E27FC236}">
                  <a16:creationId xmlns:a16="http://schemas.microsoft.com/office/drawing/2014/main" id="{00000000-0008-0000-0600-000055000000}"/>
                </a:ext>
              </a:extLst>
            </xdr:cNvPr>
            <xdr:cNvSpPr txBox="1"/>
          </xdr:nvSpPr>
          <xdr:spPr>
            <a:xfrm>
              <a:off x="1871796" y="1910049"/>
              <a:ext cx="177934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85" name="Tekstfelt 84">
              <a:extLst>
                <a:ext uri="{FF2B5EF4-FFF2-40B4-BE49-F238E27FC236}">
                  <a16:creationId xmlns:a16="http://schemas.microsoft.com/office/drawing/2014/main" id="{29F829CC-F560-8B44-BDFD-878FC26ECA0E}"/>
                </a:ext>
              </a:extLst>
            </xdr:cNvPr>
            <xdr:cNvSpPr txBox="1"/>
          </xdr:nvSpPr>
          <xdr:spPr>
            <a:xfrm>
              <a:off x="1871796" y="1910049"/>
              <a:ext cx="177934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𝑟^𝑇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273432</xdr:colOff>
      <xdr:row>10</xdr:row>
      <xdr:rowOff>5661</xdr:rowOff>
    </xdr:from>
    <xdr:ext cx="232371" cy="3510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kstfelt 63">
              <a:extLst>
                <a:ext uri="{FF2B5EF4-FFF2-40B4-BE49-F238E27FC236}">
                  <a16:creationId xmlns:a16="http://schemas.microsoft.com/office/drawing/2014/main" id="{00000000-0008-0000-0600-000040000000}"/>
                </a:ext>
              </a:extLst>
            </xdr:cNvPr>
            <xdr:cNvSpPr txBox="1"/>
          </xdr:nvSpPr>
          <xdr:spPr>
            <a:xfrm>
              <a:off x="5338131" y="1918312"/>
              <a:ext cx="232371" cy="351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da-DK" sz="1100" b="1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𝟙</m:t>
                        </m:r>
                      </m:e>
                      <m:sup>
                        <m: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𝑻</m:t>
                        </m:r>
                      </m:sup>
                    </m:sSup>
                  </m:oMath>
                </m:oMathPara>
              </a14:m>
              <a:endParaRPr lang="da-DK" sz="1100" b="0"/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64" name="Tekstfelt 63">
              <a:extLst>
                <a:ext uri="{FF2B5EF4-FFF2-40B4-BE49-F238E27FC236}">
                  <a16:creationId xmlns:a16="http://schemas.microsoft.com/office/drawing/2014/main" id="{52C2A572-8236-ED46-BCCC-AAD5A5F5797B}"/>
                </a:ext>
              </a:extLst>
            </xdr:cNvPr>
            <xdr:cNvSpPr txBox="1"/>
          </xdr:nvSpPr>
          <xdr:spPr>
            <a:xfrm>
              <a:off x="5338131" y="1918312"/>
              <a:ext cx="232371" cy="351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^𝑻</a:t>
              </a:r>
              <a:endParaRPr lang="da-DK" sz="1100" b="0"/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318723</xdr:colOff>
      <xdr:row>5</xdr:row>
      <xdr:rowOff>5050</xdr:rowOff>
    </xdr:from>
    <xdr:ext cx="26597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kstfelt 85">
              <a:extLst>
                <a:ext uri="{FF2B5EF4-FFF2-40B4-BE49-F238E27FC236}">
                  <a16:creationId xmlns:a16="http://schemas.microsoft.com/office/drawing/2014/main" id="{00000000-0008-0000-0600-000056000000}"/>
                </a:ext>
              </a:extLst>
            </xdr:cNvPr>
            <xdr:cNvSpPr txBox="1"/>
          </xdr:nvSpPr>
          <xdr:spPr>
            <a:xfrm>
              <a:off x="2743964" y="961375"/>
              <a:ext cx="26597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𝟙</m:t>
                    </m:r>
                  </m:oMath>
                </m:oMathPara>
              </a14:m>
              <a:endParaRPr lang="da-DK" sz="1100" b="0"/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86" name="Tekstfelt 85">
              <a:extLst>
                <a:ext uri="{FF2B5EF4-FFF2-40B4-BE49-F238E27FC236}">
                  <a16:creationId xmlns:a16="http://schemas.microsoft.com/office/drawing/2014/main" id="{48796968-C8FB-C246-90A5-13AAE31D040F}"/>
                </a:ext>
              </a:extLst>
            </xdr:cNvPr>
            <xdr:cNvSpPr txBox="1"/>
          </xdr:nvSpPr>
          <xdr:spPr>
            <a:xfrm>
              <a:off x="2743964" y="961375"/>
              <a:ext cx="26597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da-DK" sz="1100" b="0"/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334636</xdr:colOff>
      <xdr:row>5</xdr:row>
      <xdr:rowOff>5662</xdr:rowOff>
    </xdr:from>
    <xdr:ext cx="1091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kstfelt 66">
              <a:extLst>
                <a:ext uri="{FF2B5EF4-FFF2-40B4-BE49-F238E27FC236}">
                  <a16:creationId xmlns:a16="http://schemas.microsoft.com/office/drawing/2014/main" id="{00000000-0008-0000-0600-000043000000}"/>
                </a:ext>
              </a:extLst>
            </xdr:cNvPr>
            <xdr:cNvSpPr txBox="1"/>
          </xdr:nvSpPr>
          <xdr:spPr>
            <a:xfrm>
              <a:off x="5399335" y="961987"/>
              <a:ext cx="109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da-DK" sz="1100" b="0" i="0">
                        <a:latin typeface="Cambria Math" panose="02040503050406030204" pitchFamily="18" charset="0"/>
                      </a:rPr>
                      <m:t>Σ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67" name="Tekstfelt 66">
              <a:extLst>
                <a:ext uri="{FF2B5EF4-FFF2-40B4-BE49-F238E27FC236}">
                  <a16:creationId xmlns:a16="http://schemas.microsoft.com/office/drawing/2014/main" id="{8B55A036-637E-5747-AE3F-4C6997C80473}"/>
                </a:ext>
              </a:extLst>
            </xdr:cNvPr>
            <xdr:cNvSpPr txBox="1"/>
          </xdr:nvSpPr>
          <xdr:spPr>
            <a:xfrm>
              <a:off x="5399335" y="961987"/>
              <a:ext cx="109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Σ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10</xdr:col>
      <xdr:colOff>517639</xdr:colOff>
      <xdr:row>5</xdr:row>
      <xdr:rowOff>20350</xdr:rowOff>
    </xdr:from>
    <xdr:ext cx="253916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kstfelt 92">
              <a:extLst>
                <a:ext uri="{FF2B5EF4-FFF2-40B4-BE49-F238E27FC236}">
                  <a16:creationId xmlns:a16="http://schemas.microsoft.com/office/drawing/2014/main" id="{00000000-0008-0000-0600-00005D000000}"/>
                </a:ext>
              </a:extLst>
            </xdr:cNvPr>
            <xdr:cNvSpPr txBox="1"/>
          </xdr:nvSpPr>
          <xdr:spPr>
            <a:xfrm>
              <a:off x="9399988" y="976675"/>
              <a:ext cx="253916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3" name="Tekstfelt 92">
              <a:extLst>
                <a:ext uri="{FF2B5EF4-FFF2-40B4-BE49-F238E27FC236}">
                  <a16:creationId xmlns:a16="http://schemas.microsoft.com/office/drawing/2014/main" id="{86719D95-1388-4F48-BA86-C5EFE96F0245}"/>
                </a:ext>
              </a:extLst>
            </xdr:cNvPr>
            <xdr:cNvSpPr txBox="1"/>
          </xdr:nvSpPr>
          <xdr:spPr>
            <a:xfrm>
              <a:off x="9399988" y="976675"/>
              <a:ext cx="253916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Σ^(−1)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13</xdr:col>
      <xdr:colOff>448170</xdr:colOff>
      <xdr:row>11</xdr:row>
      <xdr:rowOff>19737</xdr:rowOff>
    </xdr:from>
    <xdr:ext cx="460062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kstfelt 93">
              <a:extLst>
                <a:ext uri="{FF2B5EF4-FFF2-40B4-BE49-F238E27FC236}">
                  <a16:creationId xmlns:a16="http://schemas.microsoft.com/office/drawing/2014/main" id="{00000000-0008-0000-0600-00005E000000}"/>
                </a:ext>
              </a:extLst>
            </xdr:cNvPr>
            <xdr:cNvSpPr txBox="1"/>
          </xdr:nvSpPr>
          <xdr:spPr>
            <a:xfrm>
              <a:off x="12941604" y="2123653"/>
              <a:ext cx="460062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p>
                          <m:sSup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da-DK" sz="1100" b="0" i="0">
                                <a:latin typeface="Cambria Math" panose="02040503050406030204" pitchFamily="18" charset="0"/>
                              </a:rPr>
                              <m:t>r</m:t>
                            </m:r>
                          </m:e>
                          <m:sup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4" name="Tekstfelt 93">
              <a:extLst>
                <a:ext uri="{FF2B5EF4-FFF2-40B4-BE49-F238E27FC236}">
                  <a16:creationId xmlns:a16="http://schemas.microsoft.com/office/drawing/2014/main" id="{93B835C2-DF37-8B41-A261-C52FFC8FB1BF}"/>
                </a:ext>
              </a:extLst>
            </xdr:cNvPr>
            <xdr:cNvSpPr txBox="1"/>
          </xdr:nvSpPr>
          <xdr:spPr>
            <a:xfrm>
              <a:off x="12941604" y="2123653"/>
              <a:ext cx="460062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〖r^𝑇 Σ〗^(−1) 𝑟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15</xdr:col>
      <xdr:colOff>72680</xdr:colOff>
      <xdr:row>11</xdr:row>
      <xdr:rowOff>19125</xdr:rowOff>
    </xdr:from>
    <xdr:ext cx="455189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kstfelt 94">
              <a:extLst>
                <a:ext uri="{FF2B5EF4-FFF2-40B4-BE49-F238E27FC236}">
                  <a16:creationId xmlns:a16="http://schemas.microsoft.com/office/drawing/2014/main" id="{00000000-0008-0000-0600-00005F000000}"/>
                </a:ext>
              </a:extLst>
            </xdr:cNvPr>
            <xdr:cNvSpPr txBox="1"/>
          </xdr:nvSpPr>
          <xdr:spPr>
            <a:xfrm>
              <a:off x="14976053" y="2123041"/>
              <a:ext cx="45518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p>
                          <m:sSup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da-DK" sz="1100" b="0" i="0">
                                <a:latin typeface="Cambria Math" panose="02040503050406030204" pitchFamily="18" charset="0"/>
                              </a:rPr>
                              <m:t>r</m:t>
                            </m:r>
                          </m:e>
                          <m:sup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𝟙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5" name="Tekstfelt 94">
              <a:extLst>
                <a:ext uri="{FF2B5EF4-FFF2-40B4-BE49-F238E27FC236}">
                  <a16:creationId xmlns:a16="http://schemas.microsoft.com/office/drawing/2014/main" id="{FFDD54EC-1700-BF4C-A781-625DC8B7D5D0}"/>
                </a:ext>
              </a:extLst>
            </xdr:cNvPr>
            <xdr:cNvSpPr txBox="1"/>
          </xdr:nvSpPr>
          <xdr:spPr>
            <a:xfrm>
              <a:off x="14976053" y="2123041"/>
              <a:ext cx="455189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〖r^𝑇 Σ〗^(−1)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17</xdr:col>
      <xdr:colOff>125621</xdr:colOff>
      <xdr:row>11</xdr:row>
      <xdr:rowOff>33814</xdr:rowOff>
    </xdr:from>
    <xdr:ext cx="456600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kstfelt 95">
              <a:extLst>
                <a:ext uri="{FF2B5EF4-FFF2-40B4-BE49-F238E27FC236}">
                  <a16:creationId xmlns:a16="http://schemas.microsoft.com/office/drawing/2014/main" id="{00000000-0008-0000-0600-000060000000}"/>
                </a:ext>
              </a:extLst>
            </xdr:cNvPr>
            <xdr:cNvSpPr txBox="1"/>
          </xdr:nvSpPr>
          <xdr:spPr>
            <a:xfrm>
              <a:off x="16375501" y="2137730"/>
              <a:ext cx="456600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p>
                          <m:sSup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nor/>
                              </m:rPr>
                              <a:rPr lang="da-DK" sz="1100" b="1" i="0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𝟙</m:t>
                            </m:r>
                          </m:e>
                          <m:sup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𝟙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6" name="Tekstfelt 95">
              <a:extLst>
                <a:ext uri="{FF2B5EF4-FFF2-40B4-BE49-F238E27FC236}">
                  <a16:creationId xmlns:a16="http://schemas.microsoft.com/office/drawing/2014/main" id="{12547165-1FDC-7D47-8F4A-ACEF2911AF54}"/>
                </a:ext>
              </a:extLst>
            </xdr:cNvPr>
            <xdr:cNvSpPr txBox="1"/>
          </xdr:nvSpPr>
          <xdr:spPr>
            <a:xfrm>
              <a:off x="16375501" y="2137730"/>
              <a:ext cx="456600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"𝟙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^</a:t>
              </a:r>
              <a:r>
                <a:rPr lang="da-DK" sz="1100" b="0" i="0">
                  <a:latin typeface="Cambria Math" panose="02040503050406030204" pitchFamily="18" charset="0"/>
                </a:rPr>
                <a:t>𝑇 Σ〗^(−1)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13</xdr:col>
      <xdr:colOff>211517</xdr:colOff>
      <xdr:row>3</xdr:row>
      <xdr:rowOff>166561</xdr:rowOff>
    </xdr:from>
    <xdr:ext cx="2153218" cy="307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kstfelt 69">
              <a:extLst>
                <a:ext uri="{FF2B5EF4-FFF2-40B4-BE49-F238E27FC236}">
                  <a16:creationId xmlns:a16="http://schemas.microsoft.com/office/drawing/2014/main" id="{00000000-0008-0000-0600-000046000000}"/>
                </a:ext>
              </a:extLst>
            </xdr:cNvPr>
            <xdr:cNvSpPr txBox="1"/>
          </xdr:nvSpPr>
          <xdr:spPr>
            <a:xfrm>
              <a:off x="12697977" y="739747"/>
              <a:ext cx="2153218" cy="307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2"/>
                                  <m:mcJc m:val="center"/>
                                </m:mcPr>
                              </m:mc>
                            </m:mcs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sSup>
                                <m:sSupPr>
                                  <m:ctrlP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sSup>
                                    <m:sSupPr>
                                      <m:ctrlP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𝑟</m:t>
                                      </m:r>
                                    </m:e>
                                    <m:sup>
                                      <m: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𝑇</m:t>
                                      </m:r>
                                    </m:sup>
                                  </m:sSup>
                                  <m: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𝛴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p>
                              </m:sSup>
                              <m:r>
                                <a:rPr lang="da-DK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𝑟</m:t>
                              </m:r>
                            </m:e>
                            <m:e>
                              <m:sSup>
                                <m:sSupPr>
                                  <m:ctrlP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sSup>
                                    <m:sSupPr>
                                      <m:ctrlP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𝑟</m:t>
                                      </m:r>
                                    </m:e>
                                    <m:sup>
                                      <m: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𝑇</m:t>
                                      </m:r>
                                    </m:sup>
                                  </m:sSup>
                                  <m: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𝛴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p>
                              </m:sSup>
                              <m:r>
                                <m:rPr>
                                  <m:nor/>
                                </m:rPr>
                                <a:rPr lang="da-DK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𝟙</m:t>
                              </m:r>
                            </m:e>
                          </m:mr>
                          <m:mr>
                            <m:e>
                              <m:sSup>
                                <m:sSupPr>
                                  <m:ctrlP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sSup>
                                    <m:sSupPr>
                                      <m:ctrlP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𝑟</m:t>
                                      </m:r>
                                    </m:e>
                                    <m:sup>
                                      <m: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𝑇</m:t>
                                      </m:r>
                                    </m:sup>
                                  </m:sSup>
                                  <m: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𝛴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p>
                              </m:sSup>
                              <m:r>
                                <m:rPr>
                                  <m:nor/>
                                </m:rPr>
                                <a:rPr lang="da-DK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𝟙</m:t>
                              </m:r>
                            </m:e>
                            <m:e>
                              <m:sSup>
                                <m:sSupPr>
                                  <m:ctrlP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pPr>
                                <m:e>
                                  <m:sSup>
                                    <m:sSupPr>
                                      <m:ctrlP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</m:ctrlPr>
                                    </m:sSupPr>
                                    <m:e>
                                      <m:r>
                                        <m:rPr>
                                          <m:nor/>
                                        </m:rPr>
                                        <a:rPr lang="da-DK" sz="1100" b="1" i="0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+mn-lt"/>
                                          <a:ea typeface="+mn-ea"/>
                                          <a:cs typeface="+mn-cs"/>
                                        </a:rPr>
                                        <m:t>𝟙</m:t>
                                      </m:r>
                                    </m:e>
                                    <m:sup>
                                      <m:r>
                                        <a:rPr lang="da-DK" sz="1100" i="1">
                                          <a:solidFill>
                                            <a:schemeClr val="tx1"/>
                                          </a:solidFill>
                                          <a:effectLst/>
                                          <a:latin typeface="Cambria Math" panose="02040503050406030204" pitchFamily="18" charset="0"/>
                                          <a:ea typeface="+mn-ea"/>
                                          <a:cs typeface="+mn-cs"/>
                                        </a:rPr>
                                        <m:t>𝑇</m:t>
                                      </m:r>
                                    </m:sup>
                                  </m:sSup>
                                  <m:r>
                                    <a:rPr lang="da-DK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𝛴</m:t>
                                  </m:r>
                                </m:e>
                                <m:sup>
                                  <m:r>
                                    <a:rPr lang="en-US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−1</m:t>
                                  </m:r>
                                </m:sup>
                              </m:sSup>
                              <m:r>
                                <m:rPr>
                                  <m:nor/>
                                </m:rPr>
                                <a:rPr lang="da-DK" sz="1100" b="1" i="0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𝟙</m:t>
                              </m:r>
                            </m:e>
                          </m:mr>
                        </m:m>
                      </m:e>
                    </m:d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2"/>
                                  <m:mcJc m:val="center"/>
                                </m:mcPr>
                              </m:mc>
                            </m:mcs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da-DK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𝑐</m:t>
                              </m:r>
                            </m:e>
                            <m:e>
                              <m:r>
                                <a:rPr lang="da-DK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𝑏</m:t>
                              </m:r>
                            </m:e>
                          </m:mr>
                          <m:mr>
                            <m:e>
                              <m:r>
                                <a:rPr lang="da-DK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𝑏</m:t>
                              </m:r>
                            </m:e>
                            <m:e>
                              <m:r>
                                <m:rPr>
                                  <m:nor/>
                                </m:rP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a</m:t>
                              </m:r>
                            </m:e>
                          </m:mr>
                        </m:m>
                      </m:e>
                    </m:d>
                    <m:r>
                      <m:rPr>
                        <m:nor/>
                      </m:rPr>
                      <a:rPr lang="da-DK">
                        <a:effectLst/>
                      </a:rPr>
                      <m:t>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0" name="Tekstfelt 69">
              <a:extLst>
                <a:ext uri="{FF2B5EF4-FFF2-40B4-BE49-F238E27FC236}">
                  <a16:creationId xmlns:a16="http://schemas.microsoft.com/office/drawing/2014/main" id="{6328CB88-EFB8-2D4F-A128-A5D091550543}"/>
                </a:ext>
              </a:extLst>
            </xdr:cNvPr>
            <xdr:cNvSpPr txBox="1"/>
          </xdr:nvSpPr>
          <xdr:spPr>
            <a:xfrm>
              <a:off x="12697977" y="739747"/>
              <a:ext cx="2153218" cy="3078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(■8(〖𝑟^𝑇 𝛴〗^(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𝑟&amp;〖𝑟^𝑇 𝛴〗^(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"𝟙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@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𝑟^𝑇 𝛴〗^(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"𝟙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&amp;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〖"𝟙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 𝛴〗^(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"𝟙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))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(■8(𝑐&amp;𝑏@𝑏&amp;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"a" ))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da-DK" i="0">
                  <a:effectLst/>
                  <a:latin typeface="Cambria Math" panose="02040503050406030204" pitchFamily="18" charset="0"/>
                </a:rPr>
                <a:t> </a:t>
              </a:r>
              <a:r>
                <a:rPr lang="da-DK" i="0">
                  <a:effectLst/>
                </a:rPr>
                <a:t>"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495300</xdr:colOff>
      <xdr:row>15</xdr:row>
      <xdr:rowOff>127289</xdr:rowOff>
    </xdr:from>
    <xdr:ext cx="14016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kstfelt 71">
              <a:extLst>
                <a:ext uri="{FF2B5EF4-FFF2-40B4-BE49-F238E27FC236}">
                  <a16:creationId xmlns:a16="http://schemas.microsoft.com/office/drawing/2014/main" id="{00000000-0008-0000-0600-000048000000}"/>
                </a:ext>
              </a:extLst>
            </xdr:cNvPr>
            <xdr:cNvSpPr txBox="1"/>
          </xdr:nvSpPr>
          <xdr:spPr>
            <a:xfrm>
              <a:off x="1938482" y="2955925"/>
              <a:ext cx="14016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𝑤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2" name="Tekstfelt 71">
              <a:extLst>
                <a:ext uri="{FF2B5EF4-FFF2-40B4-BE49-F238E27FC236}">
                  <a16:creationId xmlns:a16="http://schemas.microsoft.com/office/drawing/2014/main" id="{C4CD62EC-7DC8-794C-B32B-66616D16EF49}"/>
                </a:ext>
              </a:extLst>
            </xdr:cNvPr>
            <xdr:cNvSpPr txBox="1"/>
          </xdr:nvSpPr>
          <xdr:spPr>
            <a:xfrm>
              <a:off x="1938482" y="2955925"/>
              <a:ext cx="14016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359064</xdr:colOff>
      <xdr:row>15</xdr:row>
      <xdr:rowOff>135371</xdr:rowOff>
    </xdr:from>
    <xdr:ext cx="21679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kstfelt 96">
              <a:extLst>
                <a:ext uri="{FF2B5EF4-FFF2-40B4-BE49-F238E27FC236}">
                  <a16:creationId xmlns:a16="http://schemas.microsoft.com/office/drawing/2014/main" id="{00000000-0008-0000-0600-000061000000}"/>
                </a:ext>
              </a:extLst>
            </xdr:cNvPr>
            <xdr:cNvSpPr txBox="1"/>
          </xdr:nvSpPr>
          <xdr:spPr>
            <a:xfrm>
              <a:off x="3663950" y="2964007"/>
              <a:ext cx="21679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7" name="Tekstfelt 96">
              <a:extLst>
                <a:ext uri="{FF2B5EF4-FFF2-40B4-BE49-F238E27FC236}">
                  <a16:creationId xmlns:a16="http://schemas.microsoft.com/office/drawing/2014/main" id="{8B7B7F5A-F55B-7B4F-BEA5-155FDCE02285}"/>
                </a:ext>
              </a:extLst>
            </xdr:cNvPr>
            <xdr:cNvSpPr txBox="1"/>
          </xdr:nvSpPr>
          <xdr:spPr>
            <a:xfrm>
              <a:off x="3663950" y="2964007"/>
              <a:ext cx="21679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𝑤^𝑇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43012</xdr:colOff>
      <xdr:row>15</xdr:row>
      <xdr:rowOff>114899</xdr:rowOff>
    </xdr:from>
    <xdr:ext cx="586314" cy="185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kstfelt 78">
              <a:extLst>
                <a:ext uri="{FF2B5EF4-FFF2-40B4-BE49-F238E27FC236}">
                  <a16:creationId xmlns:a16="http://schemas.microsoft.com/office/drawing/2014/main" id="{00000000-0008-0000-0600-00004F000000}"/>
                </a:ext>
              </a:extLst>
            </xdr:cNvPr>
            <xdr:cNvSpPr txBox="1"/>
          </xdr:nvSpPr>
          <xdr:spPr>
            <a:xfrm>
              <a:off x="5093059" y="3002352"/>
              <a:ext cx="586314" cy="185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9" name="Tekstfelt 78">
              <a:extLst>
                <a:ext uri="{FF2B5EF4-FFF2-40B4-BE49-F238E27FC236}">
                  <a16:creationId xmlns:a16="http://schemas.microsoft.com/office/drawing/2014/main" id="{9725A4C7-D199-7E4C-A3F7-BC3E7C2EB7CC}"/>
                </a:ext>
              </a:extLst>
            </xdr:cNvPr>
            <xdr:cNvSpPr txBox="1"/>
          </xdr:nvSpPr>
          <xdr:spPr>
            <a:xfrm>
              <a:off x="5093059" y="3002352"/>
              <a:ext cx="586314" cy="185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𝑟_𝑝=𝑤^𝑇 𝑟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270653</xdr:colOff>
      <xdr:row>15</xdr:row>
      <xdr:rowOff>120890</xdr:rowOff>
    </xdr:from>
    <xdr:ext cx="188064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kstfelt 80">
              <a:extLst>
                <a:ext uri="{FF2B5EF4-FFF2-40B4-BE49-F238E27FC236}">
                  <a16:creationId xmlns:a16="http://schemas.microsoft.com/office/drawing/2014/main" id="{00000000-0008-0000-0600-000051000000}"/>
                </a:ext>
              </a:extLst>
            </xdr:cNvPr>
            <xdr:cNvSpPr txBox="1"/>
          </xdr:nvSpPr>
          <xdr:spPr>
            <a:xfrm>
              <a:off x="6123436" y="3008343"/>
              <a:ext cx="188064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81" name="Tekstfelt 80">
              <a:extLst>
                <a:ext uri="{FF2B5EF4-FFF2-40B4-BE49-F238E27FC236}">
                  <a16:creationId xmlns:a16="http://schemas.microsoft.com/office/drawing/2014/main" id="{CD28F54B-19E8-EB4F-A482-61AC1F41AF61}"/>
                </a:ext>
              </a:extLst>
            </xdr:cNvPr>
            <xdr:cNvSpPr txBox="1"/>
          </xdr:nvSpPr>
          <xdr:spPr>
            <a:xfrm>
              <a:off x="6123436" y="3008343"/>
              <a:ext cx="188064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𝜎_𝑝^2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8</xdr:col>
      <xdr:colOff>120890</xdr:colOff>
      <xdr:row>15</xdr:row>
      <xdr:rowOff>96928</xdr:rowOff>
    </xdr:from>
    <xdr:ext cx="835805" cy="2280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kstfelt 97">
              <a:extLst>
                <a:ext uri="{FF2B5EF4-FFF2-40B4-BE49-F238E27FC236}">
                  <a16:creationId xmlns:a16="http://schemas.microsoft.com/office/drawing/2014/main" id="{00000000-0008-0000-0600-000062000000}"/>
                </a:ext>
              </a:extLst>
            </xdr:cNvPr>
            <xdr:cNvSpPr txBox="1"/>
          </xdr:nvSpPr>
          <xdr:spPr>
            <a:xfrm>
              <a:off x="6800371" y="2984381"/>
              <a:ext cx="835805" cy="2280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p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</m:rad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8" name="Tekstfelt 97">
              <a:extLst>
                <a:ext uri="{FF2B5EF4-FFF2-40B4-BE49-F238E27FC236}">
                  <a16:creationId xmlns:a16="http://schemas.microsoft.com/office/drawing/2014/main" id="{5A6A69BA-68F3-3748-947A-FC07A9E0D00D}"/>
                </a:ext>
              </a:extLst>
            </xdr:cNvPr>
            <xdr:cNvSpPr txBox="1"/>
          </xdr:nvSpPr>
          <xdr:spPr>
            <a:xfrm>
              <a:off x="6800371" y="2984381"/>
              <a:ext cx="835805" cy="2280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𝜎_𝑝=√(𝑤^𝑇 Σ𝑤)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8</xdr:col>
      <xdr:colOff>329481</xdr:colOff>
      <xdr:row>22</xdr:row>
      <xdr:rowOff>167736</xdr:rowOff>
    </xdr:from>
    <xdr:ext cx="188064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kstfelt 99">
              <a:extLst>
                <a:ext uri="{FF2B5EF4-FFF2-40B4-BE49-F238E27FC236}">
                  <a16:creationId xmlns:a16="http://schemas.microsoft.com/office/drawing/2014/main" id="{00000000-0008-0000-0600-000064000000}"/>
                </a:ext>
              </a:extLst>
            </xdr:cNvPr>
            <xdr:cNvSpPr txBox="1"/>
          </xdr:nvSpPr>
          <xdr:spPr>
            <a:xfrm>
              <a:off x="7008962" y="4409057"/>
              <a:ext cx="188064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0" name="Tekstfelt 99">
              <a:extLst>
                <a:ext uri="{FF2B5EF4-FFF2-40B4-BE49-F238E27FC236}">
                  <a16:creationId xmlns:a16="http://schemas.microsoft.com/office/drawing/2014/main" id="{22E8293C-44AB-634E-BBC9-17513C24EB9F}"/>
                </a:ext>
              </a:extLst>
            </xdr:cNvPr>
            <xdr:cNvSpPr txBox="1"/>
          </xdr:nvSpPr>
          <xdr:spPr>
            <a:xfrm>
              <a:off x="7008962" y="4409057"/>
              <a:ext cx="188064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𝜎_𝑝^2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9</xdr:col>
      <xdr:colOff>69851</xdr:colOff>
      <xdr:row>22</xdr:row>
      <xdr:rowOff>113821</xdr:rowOff>
    </xdr:from>
    <xdr:ext cx="963644" cy="2280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kstfelt 100">
              <a:extLst>
                <a:ext uri="{FF2B5EF4-FFF2-40B4-BE49-F238E27FC236}">
                  <a16:creationId xmlns:a16="http://schemas.microsoft.com/office/drawing/2014/main" id="{00000000-0008-0000-0600-000065000000}"/>
                </a:ext>
              </a:extLst>
            </xdr:cNvPr>
            <xdr:cNvSpPr txBox="1"/>
          </xdr:nvSpPr>
          <xdr:spPr>
            <a:xfrm>
              <a:off x="7702551" y="4330221"/>
              <a:ext cx="963644" cy="2280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p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</m:rad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1" name="Tekstfelt 100">
              <a:extLst>
                <a:ext uri="{FF2B5EF4-FFF2-40B4-BE49-F238E27FC236}">
                  <a16:creationId xmlns:a16="http://schemas.microsoft.com/office/drawing/2014/main" id="{FB853B21-EF68-9442-8393-496C3CC43264}"/>
                </a:ext>
              </a:extLst>
            </xdr:cNvPr>
            <xdr:cNvSpPr txBox="1"/>
          </xdr:nvSpPr>
          <xdr:spPr>
            <a:xfrm>
              <a:off x="7702551" y="4330221"/>
              <a:ext cx="963644" cy="2280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𝜎_𝑝=√(𝑤^𝑇 Σ𝑤)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488556</xdr:colOff>
      <xdr:row>22</xdr:row>
      <xdr:rowOff>167423</xdr:rowOff>
    </xdr:from>
    <xdr:ext cx="147476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kstfelt 101">
              <a:extLst>
                <a:ext uri="{FF2B5EF4-FFF2-40B4-BE49-F238E27FC236}">
                  <a16:creationId xmlns:a16="http://schemas.microsoft.com/office/drawing/2014/main" id="{00000000-0008-0000-0600-000066000000}"/>
                </a:ext>
              </a:extLst>
            </xdr:cNvPr>
            <xdr:cNvSpPr txBox="1"/>
          </xdr:nvSpPr>
          <xdr:spPr>
            <a:xfrm>
              <a:off x="753390" y="4428845"/>
              <a:ext cx="147476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2" name="Tekstfelt 101">
              <a:extLst>
                <a:ext uri="{FF2B5EF4-FFF2-40B4-BE49-F238E27FC236}">
                  <a16:creationId xmlns:a16="http://schemas.microsoft.com/office/drawing/2014/main" id="{65584E4C-5744-F44D-9D51-73F8A22BD29E}"/>
                </a:ext>
              </a:extLst>
            </xdr:cNvPr>
            <xdr:cNvSpPr txBox="1"/>
          </xdr:nvSpPr>
          <xdr:spPr>
            <a:xfrm>
              <a:off x="753390" y="4428845"/>
              <a:ext cx="147476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𝑟_𝑝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64524</xdr:colOff>
      <xdr:row>22</xdr:row>
      <xdr:rowOff>17334</xdr:rowOff>
    </xdr:from>
    <xdr:ext cx="3021105" cy="2530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kstfelt 98">
              <a:extLst>
                <a:ext uri="{FF2B5EF4-FFF2-40B4-BE49-F238E27FC236}">
                  <a16:creationId xmlns:a16="http://schemas.microsoft.com/office/drawing/2014/main" id="{00000000-0008-0000-0600-000063000000}"/>
                </a:ext>
              </a:extLst>
            </xdr:cNvPr>
            <xdr:cNvSpPr txBox="1"/>
          </xdr:nvSpPr>
          <xdr:spPr>
            <a:xfrm>
              <a:off x="1513265" y="4194223"/>
              <a:ext cx="3021105" cy="2530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𝑀𝑉𝑃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m>
                      <m:mPr>
                        <m:mcs>
                          <m:mc>
                            <m:mcPr>
                              <m:count m:val="2"/>
                              <m:mcJc m:val="center"/>
                            </m:mcPr>
                          </m:mc>
                        </m:mcs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mPr>
                      <m:mr>
                        <m:e>
                          <m:r>
                            <m:rPr>
                              <m:brk m:alnAt="7"/>
                            </m:rPr>
                            <a:rPr lang="da-DK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𝑟</m:t>
                          </m:r>
                        </m:e>
                        <m:e>
                          <m:r>
                            <m:rPr>
                              <m:nor/>
                            </m:rPr>
                            <a:rPr lang="da-DK" sz="1100" b="1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𝟙</m:t>
                          </m:r>
                        </m:e>
                      </m:mr>
                    </m:m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(</m:t>
                    </m:r>
                    <m:m>
                      <m:mPr>
                        <m:mcs>
                          <m:mc>
                            <m:mcPr>
                              <m:count m:val="1"/>
                              <m:mcJc m:val="center"/>
                            </m:mcPr>
                          </m:mc>
                        </m:mcs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mPr>
                      <m:mr>
                        <m:e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𝑟</m:t>
                          </m:r>
                        </m:e>
                      </m:mr>
                      <m:mr>
                        <m:e>
                          <m:r>
                            <m:rPr>
                              <m:nor/>
                            </m:rPr>
                            <a:rPr lang="da-DK" sz="1100" b="1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𝟙</m:t>
                          </m:r>
                        </m:e>
                      </m:mr>
                    </m:m>
                    <m:r>
                      <a:rPr lang="da-DK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9" name="Tekstfelt 98">
              <a:extLst>
                <a:ext uri="{FF2B5EF4-FFF2-40B4-BE49-F238E27FC236}">
                  <a16:creationId xmlns:a16="http://schemas.microsoft.com/office/drawing/2014/main" id="{AC1AE1B8-CC69-CD45-96BF-FFEE4EDACCDE}"/>
                </a:ext>
              </a:extLst>
            </xdr:cNvPr>
            <xdr:cNvSpPr txBox="1"/>
          </xdr:nvSpPr>
          <xdr:spPr>
            <a:xfrm>
              <a:off x="1513265" y="4194223"/>
              <a:ext cx="3021105" cy="2530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100" b="0" i="0">
                  <a:latin typeface="Cambria Math" panose="02040503050406030204" pitchFamily="18" charset="0"/>
                </a:rPr>
                <a:t>𝑤_𝑀𝑉𝑃=Σ^(−1)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■8(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𝑟&amp;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"𝟙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)</a:t>
              </a:r>
              <a:r>
                <a:rPr lang="da-DK" sz="1100" b="0" i="0">
                  <a:latin typeface="Cambria Math" panose="02040503050406030204" pitchFamily="18" charset="0"/>
                </a:rPr>
                <a:t>〖)𝐴〗^(−1) (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■8(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𝑟@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))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6</xdr:col>
      <xdr:colOff>182503</xdr:colOff>
      <xdr:row>22</xdr:row>
      <xdr:rowOff>126059</xdr:rowOff>
    </xdr:from>
    <xdr:ext cx="379655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kstfelt 102">
              <a:extLst>
                <a:ext uri="{FF2B5EF4-FFF2-40B4-BE49-F238E27FC236}">
                  <a16:creationId xmlns:a16="http://schemas.microsoft.com/office/drawing/2014/main" id="{00000000-0008-0000-0600-000067000000}"/>
                </a:ext>
              </a:extLst>
            </xdr:cNvPr>
            <xdr:cNvSpPr txBox="1"/>
          </xdr:nvSpPr>
          <xdr:spPr>
            <a:xfrm>
              <a:off x="5234281" y="4302948"/>
              <a:ext cx="379655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𝑀𝑉𝑃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3" name="Tekstfelt 102">
              <a:extLst>
                <a:ext uri="{FF2B5EF4-FFF2-40B4-BE49-F238E27FC236}">
                  <a16:creationId xmlns:a16="http://schemas.microsoft.com/office/drawing/2014/main" id="{A88FB194-BE4B-5C40-A1C9-3E7DB48F2CB3}"/>
                </a:ext>
              </a:extLst>
            </xdr:cNvPr>
            <xdr:cNvSpPr txBox="1"/>
          </xdr:nvSpPr>
          <xdr:spPr>
            <a:xfrm>
              <a:off x="5234281" y="4302948"/>
              <a:ext cx="379655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𝑊_𝑀𝑉𝑃^𝑇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241300</xdr:colOff>
      <xdr:row>30</xdr:row>
      <xdr:rowOff>184150</xdr:rowOff>
    </xdr:from>
    <xdr:ext cx="964751" cy="4900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kstfelt 103">
              <a:extLst>
                <a:ext uri="{FF2B5EF4-FFF2-40B4-BE49-F238E27FC236}">
                  <a16:creationId xmlns:a16="http://schemas.microsoft.com/office/drawing/2014/main" id="{00000000-0008-0000-0600-000068000000}"/>
                </a:ext>
              </a:extLst>
            </xdr:cNvPr>
            <xdr:cNvSpPr txBox="1"/>
          </xdr:nvSpPr>
          <xdr:spPr>
            <a:xfrm>
              <a:off x="508000" y="5949950"/>
              <a:ext cx="964751" cy="490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𝑔𝑚𝑝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da-DK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𝟙</m:t>
                    </m:r>
                  </m:oMath>
                </m:oMathPara>
              </a14:m>
              <a:endParaRPr lang="da-DK" sz="1100" b="0"/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104" name="Tekstfelt 103">
              <a:extLst>
                <a:ext uri="{FF2B5EF4-FFF2-40B4-BE49-F238E27FC236}">
                  <a16:creationId xmlns:a16="http://schemas.microsoft.com/office/drawing/2014/main" id="{6EBD24FC-8A1D-844B-960E-2FAB4E8219E1}"/>
                </a:ext>
              </a:extLst>
            </xdr:cNvPr>
            <xdr:cNvSpPr txBox="1"/>
          </xdr:nvSpPr>
          <xdr:spPr>
            <a:xfrm>
              <a:off x="508000" y="5949950"/>
              <a:ext cx="964751" cy="4900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100" b="0" i="0">
                  <a:latin typeface="Cambria Math" panose="02040503050406030204" pitchFamily="18" charset="0"/>
                </a:rPr>
                <a:t>𝑤_𝑔𝑚𝑝=1/𝑎 Σ^(−1)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da-DK" sz="1100" b="0"/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234950</xdr:colOff>
      <xdr:row>31</xdr:row>
      <xdr:rowOff>0</xdr:rowOff>
    </xdr:from>
    <xdr:ext cx="683392" cy="321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kstfelt 104">
              <a:extLst>
                <a:ext uri="{FF2B5EF4-FFF2-40B4-BE49-F238E27FC236}">
                  <a16:creationId xmlns:a16="http://schemas.microsoft.com/office/drawing/2014/main" id="{00000000-0008-0000-0600-000069000000}"/>
                </a:ext>
              </a:extLst>
            </xdr:cNvPr>
            <xdr:cNvSpPr txBox="1"/>
          </xdr:nvSpPr>
          <xdr:spPr>
            <a:xfrm>
              <a:off x="1682750" y="5956300"/>
              <a:ext cx="683392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𝑔𝑚𝑣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=(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num>
                      <m:den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  <m:r>
                      <a:rPr lang="da-DK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5" name="Tekstfelt 104">
              <a:extLst>
                <a:ext uri="{FF2B5EF4-FFF2-40B4-BE49-F238E27FC236}">
                  <a16:creationId xmlns:a16="http://schemas.microsoft.com/office/drawing/2014/main" id="{44B481D1-3EAE-6B49-B538-E81A0A83FDE1}"/>
                </a:ext>
              </a:extLst>
            </xdr:cNvPr>
            <xdr:cNvSpPr txBox="1"/>
          </xdr:nvSpPr>
          <xdr:spPr>
            <a:xfrm>
              <a:off x="1682750" y="5956300"/>
              <a:ext cx="683392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𝑟_𝑔𝑚𝑣=(𝑏/𝑎)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341462</xdr:colOff>
      <xdr:row>32</xdr:row>
      <xdr:rowOff>2157</xdr:rowOff>
    </xdr:from>
    <xdr:ext cx="329706" cy="1864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kstfelt 106">
              <a:extLst>
                <a:ext uri="{FF2B5EF4-FFF2-40B4-BE49-F238E27FC236}">
                  <a16:creationId xmlns:a16="http://schemas.microsoft.com/office/drawing/2014/main" id="{00000000-0008-0000-0600-00006B000000}"/>
                </a:ext>
              </a:extLst>
            </xdr:cNvPr>
            <xdr:cNvSpPr txBox="1"/>
          </xdr:nvSpPr>
          <xdr:spPr>
            <a:xfrm>
              <a:off x="2767162" y="5958457"/>
              <a:ext cx="329706" cy="1864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𝑔𝑚𝑣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7" name="Tekstfelt 106">
              <a:extLst>
                <a:ext uri="{FF2B5EF4-FFF2-40B4-BE49-F238E27FC236}">
                  <a16:creationId xmlns:a16="http://schemas.microsoft.com/office/drawing/2014/main" id="{5B4EC7D8-E44C-D844-801A-D76C7A299F89}"/>
                </a:ext>
              </a:extLst>
            </xdr:cNvPr>
            <xdr:cNvSpPr txBox="1"/>
          </xdr:nvSpPr>
          <xdr:spPr>
            <a:xfrm>
              <a:off x="2767162" y="5958457"/>
              <a:ext cx="329706" cy="1864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𝜎_𝑔𝑚𝑣^2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831851</xdr:colOff>
      <xdr:row>30</xdr:row>
      <xdr:rowOff>56671</xdr:rowOff>
    </xdr:from>
    <xdr:ext cx="963644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kstfelt 108">
              <a:extLst>
                <a:ext uri="{FF2B5EF4-FFF2-40B4-BE49-F238E27FC236}">
                  <a16:creationId xmlns:a16="http://schemas.microsoft.com/office/drawing/2014/main" id="{00000000-0008-0000-0600-00006D000000}"/>
                </a:ext>
              </a:extLst>
            </xdr:cNvPr>
            <xdr:cNvSpPr txBox="1"/>
          </xdr:nvSpPr>
          <xdr:spPr>
            <a:xfrm>
              <a:off x="3257551" y="5822471"/>
              <a:ext cx="96364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𝑔𝑚𝑣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9" name="Tekstfelt 108">
              <a:extLst>
                <a:ext uri="{FF2B5EF4-FFF2-40B4-BE49-F238E27FC236}">
                  <a16:creationId xmlns:a16="http://schemas.microsoft.com/office/drawing/2014/main" id="{1134DA3E-C454-FC4E-93D2-89FFB5F6BF48}"/>
                </a:ext>
              </a:extLst>
            </xdr:cNvPr>
            <xdr:cNvSpPr txBox="1"/>
          </xdr:nvSpPr>
          <xdr:spPr>
            <a:xfrm>
              <a:off x="3257551" y="5822471"/>
              <a:ext cx="96364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𝜎_𝑔𝑚𝑣=√(1/𝑎)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30480</xdr:colOff>
      <xdr:row>39</xdr:row>
      <xdr:rowOff>172720</xdr:rowOff>
    </xdr:from>
    <xdr:ext cx="848630" cy="183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kstfelt 105">
              <a:extLst>
                <a:ext uri="{FF2B5EF4-FFF2-40B4-BE49-F238E27FC236}">
                  <a16:creationId xmlns:a16="http://schemas.microsoft.com/office/drawing/2014/main" id="{00000000-0008-0000-0600-00006A000000}"/>
                </a:ext>
              </a:extLst>
            </xdr:cNvPr>
            <xdr:cNvSpPr txBox="1"/>
          </xdr:nvSpPr>
          <xdr:spPr>
            <a:xfrm>
              <a:off x="2448560" y="7752080"/>
              <a:ext cx="848630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𝟙</m:t>
                    </m:r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6" name="Tekstfelt 105">
              <a:extLst>
                <a:ext uri="{FF2B5EF4-FFF2-40B4-BE49-F238E27FC236}">
                  <a16:creationId xmlns:a16="http://schemas.microsoft.com/office/drawing/2014/main" id="{F739D203-BF0A-C641-B933-72EAFD4FFFA8}"/>
                </a:ext>
              </a:extLst>
            </xdr:cNvPr>
            <xdr:cNvSpPr txBox="1"/>
          </xdr:nvSpPr>
          <xdr:spPr>
            <a:xfrm>
              <a:off x="2448560" y="7752080"/>
              <a:ext cx="848630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𝑟^𝑒=𝑟_𝑝−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"𝟙 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da-DK" sz="1100" b="0" i="0">
                  <a:latin typeface="Cambria Math" panose="02040503050406030204" pitchFamily="18" charset="0"/>
                </a:rPr>
                <a:t>𝑟_𝑓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606870</xdr:colOff>
      <xdr:row>39</xdr:row>
      <xdr:rowOff>182198</xdr:rowOff>
    </xdr:from>
    <xdr:ext cx="145296" cy="183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kstfelt 109">
              <a:extLst>
                <a:ext uri="{FF2B5EF4-FFF2-40B4-BE49-F238E27FC236}">
                  <a16:creationId xmlns:a16="http://schemas.microsoft.com/office/drawing/2014/main" id="{00000000-0008-0000-0600-00006E000000}"/>
                </a:ext>
              </a:extLst>
            </xdr:cNvPr>
            <xdr:cNvSpPr txBox="1"/>
          </xdr:nvSpPr>
          <xdr:spPr>
            <a:xfrm>
              <a:off x="872243" y="7622123"/>
              <a:ext cx="145296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0" name="Tekstfelt 109">
              <a:extLst>
                <a:ext uri="{FF2B5EF4-FFF2-40B4-BE49-F238E27FC236}">
                  <a16:creationId xmlns:a16="http://schemas.microsoft.com/office/drawing/2014/main" id="{9DE6AD7A-BE59-AB45-96BD-DA49C02F373C}"/>
                </a:ext>
              </a:extLst>
            </xdr:cNvPr>
            <xdr:cNvSpPr txBox="1"/>
          </xdr:nvSpPr>
          <xdr:spPr>
            <a:xfrm>
              <a:off x="872243" y="7622123"/>
              <a:ext cx="145296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𝑟_𝑓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361209</xdr:colOff>
      <xdr:row>44</xdr:row>
      <xdr:rowOff>2881</xdr:rowOff>
    </xdr:from>
    <xdr:ext cx="65" cy="172098"/>
    <xdr:sp macro="" textlink="">
      <xdr:nvSpPr>
        <xdr:cNvPr id="112" name="Tekstfelt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1812638" y="8377624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2</xdr:col>
      <xdr:colOff>453570</xdr:colOff>
      <xdr:row>45</xdr:row>
      <xdr:rowOff>163285</xdr:rowOff>
    </xdr:from>
    <xdr:ext cx="170560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kstfelt 110">
              <a:extLst>
                <a:ext uri="{FF2B5EF4-FFF2-40B4-BE49-F238E27FC236}">
                  <a16:creationId xmlns:a16="http://schemas.microsoft.com/office/drawing/2014/main" id="{00000000-0008-0000-0600-00006F000000}"/>
                </a:ext>
              </a:extLst>
            </xdr:cNvPr>
            <xdr:cNvSpPr txBox="1"/>
          </xdr:nvSpPr>
          <xdr:spPr>
            <a:xfrm>
              <a:off x="1904999" y="8726714"/>
              <a:ext cx="170560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1" name="Tekstfelt 110">
              <a:extLst>
                <a:ext uri="{FF2B5EF4-FFF2-40B4-BE49-F238E27FC236}">
                  <a16:creationId xmlns:a16="http://schemas.microsoft.com/office/drawing/2014/main" id="{94AE539C-BD33-AA44-B96C-F626D5FBBA87}"/>
                </a:ext>
              </a:extLst>
            </xdr:cNvPr>
            <xdr:cNvSpPr txBox="1"/>
          </xdr:nvSpPr>
          <xdr:spPr>
            <a:xfrm>
              <a:off x="1904999" y="8726714"/>
              <a:ext cx="170560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𝑟_𝑝^𝑒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722004</xdr:colOff>
      <xdr:row>44</xdr:row>
      <xdr:rowOff>126755</xdr:rowOff>
    </xdr:from>
    <xdr:ext cx="1096519" cy="5464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kstfelt 113">
              <a:extLst>
                <a:ext uri="{FF2B5EF4-FFF2-40B4-BE49-F238E27FC236}">
                  <a16:creationId xmlns:a16="http://schemas.microsoft.com/office/drawing/2014/main" id="{00000000-0008-0000-0600-000072000000}"/>
                </a:ext>
              </a:extLst>
            </xdr:cNvPr>
            <xdr:cNvSpPr txBox="1"/>
          </xdr:nvSpPr>
          <xdr:spPr>
            <a:xfrm>
              <a:off x="3147847" y="8638609"/>
              <a:ext cx="1096519" cy="546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𝑤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</m:t>
                            </m:r>
                          </m:sub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p>
                        </m:sSubSup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Σ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da-DK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da-DK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</m:sSup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Σ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114" name="Tekstfelt 113">
              <a:extLst>
                <a:ext uri="{FF2B5EF4-FFF2-40B4-BE49-F238E27FC236}">
                  <a16:creationId xmlns:a16="http://schemas.microsoft.com/office/drawing/2014/main" id="{481D8B03-131C-DF4C-BD82-6F873FBC903F}"/>
                </a:ext>
              </a:extLst>
            </xdr:cNvPr>
            <xdr:cNvSpPr txBox="1"/>
          </xdr:nvSpPr>
          <xdr:spPr>
            <a:xfrm>
              <a:off x="3147847" y="8638609"/>
              <a:ext cx="1096519" cy="546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𝑤=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𝑝^𝑒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Σ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 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Σ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 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238486</xdr:colOff>
      <xdr:row>39</xdr:row>
      <xdr:rowOff>188663</xdr:rowOff>
    </xdr:from>
    <xdr:ext cx="35977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kstfelt 114">
              <a:extLst>
                <a:ext uri="{FF2B5EF4-FFF2-40B4-BE49-F238E27FC236}">
                  <a16:creationId xmlns:a16="http://schemas.microsoft.com/office/drawing/2014/main" id="{00000000-0008-0000-0600-000073000000}"/>
                </a:ext>
              </a:extLst>
            </xdr:cNvPr>
            <xdr:cNvSpPr txBox="1"/>
          </xdr:nvSpPr>
          <xdr:spPr>
            <a:xfrm>
              <a:off x="5289785" y="7779962"/>
              <a:ext cx="35977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p>
                          <m:sSupPr>
                            <m:ctrlPr>
                              <a:rPr lang="da-DK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p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p>
                        </m:s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5" name="Tekstfelt 114">
              <a:extLst>
                <a:ext uri="{FF2B5EF4-FFF2-40B4-BE49-F238E27FC236}">
                  <a16:creationId xmlns:a16="http://schemas.microsoft.com/office/drawing/2014/main" id="{B79568F6-BD76-4749-89B9-563A132FF4E2}"/>
                </a:ext>
              </a:extLst>
            </xdr:cNvPr>
            <xdr:cNvSpPr txBox="1"/>
          </xdr:nvSpPr>
          <xdr:spPr>
            <a:xfrm>
              <a:off x="5289785" y="7779962"/>
              <a:ext cx="35977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〖(𝑟^𝑒)〗^𝑇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486596</xdr:colOff>
      <xdr:row>45</xdr:row>
      <xdr:rowOff>144159</xdr:rowOff>
    </xdr:from>
    <xdr:ext cx="170560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kstfelt 116">
              <a:extLst>
                <a:ext uri="{FF2B5EF4-FFF2-40B4-BE49-F238E27FC236}">
                  <a16:creationId xmlns:a16="http://schemas.microsoft.com/office/drawing/2014/main" id="{00000000-0008-0000-0600-000075000000}"/>
                </a:ext>
              </a:extLst>
            </xdr:cNvPr>
            <xdr:cNvSpPr txBox="1"/>
          </xdr:nvSpPr>
          <xdr:spPr>
            <a:xfrm>
              <a:off x="10468225" y="8848653"/>
              <a:ext cx="170560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7" name="Tekstfelt 116">
              <a:extLst>
                <a:ext uri="{FF2B5EF4-FFF2-40B4-BE49-F238E27FC236}">
                  <a16:creationId xmlns:a16="http://schemas.microsoft.com/office/drawing/2014/main" id="{D23BB055-7119-684C-ABBC-2FE80EB9F58A}"/>
                </a:ext>
              </a:extLst>
            </xdr:cNvPr>
            <xdr:cNvSpPr txBox="1"/>
          </xdr:nvSpPr>
          <xdr:spPr>
            <a:xfrm>
              <a:off x="10468225" y="8848653"/>
              <a:ext cx="170560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𝑟_𝑝^𝑒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88614</xdr:colOff>
      <xdr:row>44</xdr:row>
      <xdr:rowOff>124289</xdr:rowOff>
    </xdr:from>
    <xdr:ext cx="1138325" cy="5464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kstfelt 115">
              <a:extLst>
                <a:ext uri="{FF2B5EF4-FFF2-40B4-BE49-F238E27FC236}">
                  <a16:creationId xmlns:a16="http://schemas.microsoft.com/office/drawing/2014/main" id="{00000000-0008-0000-0600-000074000000}"/>
                </a:ext>
              </a:extLst>
            </xdr:cNvPr>
            <xdr:cNvSpPr txBox="1"/>
          </xdr:nvSpPr>
          <xdr:spPr>
            <a:xfrm>
              <a:off x="11325974" y="8636143"/>
              <a:ext cx="1138325" cy="546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Sup>
                              <m:sSubSupPr>
                                <m:ctrlPr>
                                  <a:rPr lang="da-DK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Sup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sub>
                              <m:sup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sup>
                            </m:sSub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da-DK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da-DK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e>
                                  <m:sup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𝑒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</m:sSup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Σ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116" name="Tekstfelt 115">
              <a:extLst>
                <a:ext uri="{FF2B5EF4-FFF2-40B4-BE49-F238E27FC236}">
                  <a16:creationId xmlns:a16="http://schemas.microsoft.com/office/drawing/2014/main" id="{5A61F024-E864-314D-B183-B4933A80EAC0}"/>
                </a:ext>
              </a:extLst>
            </xdr:cNvPr>
            <xdr:cNvSpPr txBox="1"/>
          </xdr:nvSpPr>
          <xdr:spPr>
            <a:xfrm>
              <a:off x="11325974" y="8636143"/>
              <a:ext cx="1138325" cy="546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𝑝^2=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𝑝^𝑒)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/((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 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Σ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𝑒 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13</xdr:col>
      <xdr:colOff>580917</xdr:colOff>
      <xdr:row>45</xdr:row>
      <xdr:rowOff>117154</xdr:rowOff>
    </xdr:from>
    <xdr:ext cx="176715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kstfelt 117">
              <a:extLst>
                <a:ext uri="{FF2B5EF4-FFF2-40B4-BE49-F238E27FC236}">
                  <a16:creationId xmlns:a16="http://schemas.microsoft.com/office/drawing/2014/main" id="{00000000-0008-0000-0600-000076000000}"/>
                </a:ext>
              </a:extLst>
            </xdr:cNvPr>
            <xdr:cNvSpPr txBox="1"/>
          </xdr:nvSpPr>
          <xdr:spPr>
            <a:xfrm>
              <a:off x="13074007" y="8821648"/>
              <a:ext cx="176715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8" name="Tekstfelt 117">
              <a:extLst>
                <a:ext uri="{FF2B5EF4-FFF2-40B4-BE49-F238E27FC236}">
                  <a16:creationId xmlns:a16="http://schemas.microsoft.com/office/drawing/2014/main" id="{FF595DA5-5213-B347-8399-BCA5F6A72443}"/>
                </a:ext>
              </a:extLst>
            </xdr:cNvPr>
            <xdr:cNvSpPr txBox="1"/>
          </xdr:nvSpPr>
          <xdr:spPr>
            <a:xfrm>
              <a:off x="13074007" y="8821648"/>
              <a:ext cx="176715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𝜎_𝑝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556777</xdr:colOff>
      <xdr:row>35</xdr:row>
      <xdr:rowOff>150467</xdr:rowOff>
    </xdr:from>
    <xdr:ext cx="799385" cy="2857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kstfelt 120">
              <a:extLst>
                <a:ext uri="{FF2B5EF4-FFF2-40B4-BE49-F238E27FC236}">
                  <a16:creationId xmlns:a16="http://schemas.microsoft.com/office/drawing/2014/main" id="{00000000-0008-0000-0600-000079000000}"/>
                </a:ext>
              </a:extLst>
            </xdr:cNvPr>
            <xdr:cNvSpPr txBox="1"/>
          </xdr:nvSpPr>
          <xdr:spPr>
            <a:xfrm>
              <a:off x="5596137" y="6947507"/>
              <a:ext cx="799385" cy="2857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2"/>
                                  <m:mcJc m:val="center"/>
                                </m:mcPr>
                              </m:mc>
                            </m:mcs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mPr>
                          <m:mr>
                            <m:e>
                              <m:r>
                                <a:rPr lang="da-DK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𝑐</m:t>
                              </m:r>
                            </m:e>
                            <m:e>
                              <m:r>
                                <a:rPr lang="da-DK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𝑏</m:t>
                              </m:r>
                            </m:e>
                          </m:mr>
                          <m:mr>
                            <m:e>
                              <m:r>
                                <a:rPr lang="da-DK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𝑏</m:t>
                              </m:r>
                            </m:e>
                            <m:e>
                              <m:r>
                                <m:rPr>
                                  <m:nor/>
                                </m:rP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a</m:t>
                              </m:r>
                            </m:e>
                          </m:mr>
                        </m:m>
                      </m:e>
                    </m:d>
                    <m:r>
                      <m:rPr>
                        <m:nor/>
                      </m:rPr>
                      <a:rPr lang="da-DK">
                        <a:effectLst/>
                      </a:rPr>
                      <m:t>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1" name="Tekstfelt 120">
              <a:extLst>
                <a:ext uri="{FF2B5EF4-FFF2-40B4-BE49-F238E27FC236}">
                  <a16:creationId xmlns:a16="http://schemas.microsoft.com/office/drawing/2014/main" id="{7E958AEB-FA22-0546-8020-681A3E3B1C95}"/>
                </a:ext>
              </a:extLst>
            </xdr:cNvPr>
            <xdr:cNvSpPr txBox="1"/>
          </xdr:nvSpPr>
          <xdr:spPr>
            <a:xfrm>
              <a:off x="5596137" y="6947507"/>
              <a:ext cx="799385" cy="2857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(■8(𝑐&amp;𝑏@𝑏&amp;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"a" ))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da-DK" i="0">
                  <a:effectLst/>
                  <a:latin typeface="Cambria Math" panose="02040503050406030204" pitchFamily="18" charset="0"/>
                </a:rPr>
                <a:t> </a:t>
              </a:r>
              <a:r>
                <a:rPr lang="da-DK" i="0">
                  <a:effectLst/>
                </a:rPr>
                <a:t>"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175836</xdr:colOff>
      <xdr:row>58</xdr:row>
      <xdr:rowOff>22929</xdr:rowOff>
    </xdr:from>
    <xdr:ext cx="867866" cy="4570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kstfelt 121">
              <a:extLst>
                <a:ext uri="{FF2B5EF4-FFF2-40B4-BE49-F238E27FC236}">
                  <a16:creationId xmlns:a16="http://schemas.microsoft.com/office/drawing/2014/main" id="{00000000-0008-0000-0600-00007A000000}"/>
                </a:ext>
              </a:extLst>
            </xdr:cNvPr>
            <xdr:cNvSpPr txBox="1"/>
          </xdr:nvSpPr>
          <xdr:spPr>
            <a:xfrm>
              <a:off x="438854" y="11039615"/>
              <a:ext cx="867866" cy="4570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b>
                    <m:sSubPr>
                      <m:ctrlPr>
                        <a:rPr lang="da-DK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𝑤</m:t>
                      </m:r>
                    </m:e>
                    <m:sub>
                      <m: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𝑡𝑎𝑛</m:t>
                      </m:r>
                    </m:sub>
                  </m:sSub>
                </m:oMath>
              </a14:m>
              <a:r>
                <a:rPr lang="da-DK">
                  <a:effectLst/>
                </a:rPr>
                <a:t> </a:t>
              </a:r>
              <a14:m>
                <m:oMath xmlns:m="http://schemas.openxmlformats.org/officeDocument/2006/math">
                  <m:r>
                    <a:rPr lang="en-US" sz="110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da-DK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sSup>
                        <m:sSupPr>
                          <m:ctrlP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m:rPr>
                              <m:sty m:val="p"/>
                            </m:rPr>
                            <a:rPr lang="en-US" sz="11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Σ</m:t>
                          </m:r>
                        </m:e>
                        <m:sup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−1</m:t>
                          </m:r>
                        </m:sup>
                      </m:sSup>
                      <m:sSup>
                        <m:sSupPr>
                          <m:ctrlP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𝑟</m:t>
                          </m:r>
                        </m:e>
                        <m:sup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𝑒</m:t>
                          </m:r>
                        </m:sup>
                      </m:sSup>
                    </m:num>
                    <m:den>
                      <m:sSup>
                        <m:sSupPr>
                          <m:ctrlP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m:rPr>
                              <m:nor/>
                            </m:rPr>
                            <a:rPr lang="da-DK" sz="1100" b="1" i="0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𝟙</m:t>
                          </m:r>
                        </m:e>
                        <m:sup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</m:t>
                          </m:r>
                        </m:sup>
                      </m:sSup>
                      <m:sSup>
                        <m:sSupPr>
                          <m:ctrlP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m:rPr>
                              <m:sty m:val="p"/>
                            </m:rPr>
                            <a:rPr lang="en-US" sz="11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Σ</m:t>
                          </m:r>
                        </m:e>
                        <m:sup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−1</m:t>
                          </m:r>
                        </m:sup>
                      </m:sSup>
                      <m:sSup>
                        <m:sSupPr>
                          <m:ctrlP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𝑟</m:t>
                          </m:r>
                        </m:e>
                        <m:sup>
                          <m:r>
                            <a:rPr lang="en-US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𝑒</m:t>
                          </m:r>
                        </m:sup>
                      </m:sSup>
                    </m:den>
                  </m:f>
                </m:oMath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122" name="Tekstfelt 121">
              <a:extLst>
                <a:ext uri="{FF2B5EF4-FFF2-40B4-BE49-F238E27FC236}">
                  <a16:creationId xmlns:a16="http://schemas.microsoft.com/office/drawing/2014/main" id="{00000000-0008-0000-0600-00007A000000}"/>
                </a:ext>
              </a:extLst>
            </xdr:cNvPr>
            <xdr:cNvSpPr txBox="1"/>
          </xdr:nvSpPr>
          <xdr:spPr>
            <a:xfrm>
              <a:off x="438854" y="11039615"/>
              <a:ext cx="867866" cy="4570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𝑡𝑎𝑛</a:t>
              </a:r>
              <a:r>
                <a:rPr lang="da-DK">
                  <a:effectLst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Σ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Σ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 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172720</xdr:colOff>
      <xdr:row>58</xdr:row>
      <xdr:rowOff>162560</xdr:rowOff>
    </xdr:from>
    <xdr:ext cx="466281" cy="1787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kstfelt 118">
              <a:extLst>
                <a:ext uri="{FF2B5EF4-FFF2-40B4-BE49-F238E27FC236}">
                  <a16:creationId xmlns:a16="http://schemas.microsoft.com/office/drawing/2014/main" id="{00000000-0008-0000-0600-000077000000}"/>
                </a:ext>
              </a:extLst>
            </xdr:cNvPr>
            <xdr:cNvSpPr txBox="1"/>
          </xdr:nvSpPr>
          <xdr:spPr>
            <a:xfrm>
              <a:off x="3464560" y="11440160"/>
              <a:ext cx="466281" cy="178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tan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9" name="Tekstfelt 118">
              <a:extLst>
                <a:ext uri="{FF2B5EF4-FFF2-40B4-BE49-F238E27FC236}">
                  <a16:creationId xmlns:a16="http://schemas.microsoft.com/office/drawing/2014/main" id="{FFCFC68F-098C-EA4F-800D-1F1E1ADCCAD9}"/>
                </a:ext>
              </a:extLst>
            </xdr:cNvPr>
            <xdr:cNvSpPr txBox="1"/>
          </xdr:nvSpPr>
          <xdr:spPr>
            <a:xfrm>
              <a:off x="3464560" y="11440160"/>
              <a:ext cx="466281" cy="178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tan)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9</xdr:col>
      <xdr:colOff>260350</xdr:colOff>
      <xdr:row>58</xdr:row>
      <xdr:rowOff>152400</xdr:rowOff>
    </xdr:from>
    <xdr:ext cx="97783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kstfelt 122">
              <a:extLst>
                <a:ext uri="{FF2B5EF4-FFF2-40B4-BE49-F238E27FC236}">
                  <a16:creationId xmlns:a16="http://schemas.microsoft.com/office/drawing/2014/main" id="{00000000-0008-0000-0600-00007B000000}"/>
                </a:ext>
              </a:extLst>
            </xdr:cNvPr>
            <xdr:cNvSpPr txBox="1"/>
          </xdr:nvSpPr>
          <xdr:spPr>
            <a:xfrm>
              <a:off x="7880350" y="11430000"/>
              <a:ext cx="97783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𝑡𝑎𝑛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tan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p>
                    </m:s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𝑟</m:t>
                    </m:r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3" name="Tekstfelt 122">
              <a:extLst>
                <a:ext uri="{FF2B5EF4-FFF2-40B4-BE49-F238E27FC236}">
                  <a16:creationId xmlns:a16="http://schemas.microsoft.com/office/drawing/2014/main" id="{EE74A189-2393-5247-AB7C-D19762310424}"/>
                </a:ext>
              </a:extLst>
            </xdr:cNvPr>
            <xdr:cNvSpPr txBox="1"/>
          </xdr:nvSpPr>
          <xdr:spPr>
            <a:xfrm>
              <a:off x="7880350" y="11430000"/>
              <a:ext cx="97783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𝑡𝑎𝑛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tan)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𝑟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80010</xdr:colOff>
      <xdr:row>58</xdr:row>
      <xdr:rowOff>167640</xdr:rowOff>
    </xdr:from>
    <xdr:ext cx="104637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kstfelt 125">
              <a:extLst>
                <a:ext uri="{FF2B5EF4-FFF2-40B4-BE49-F238E27FC236}">
                  <a16:creationId xmlns:a16="http://schemas.microsoft.com/office/drawing/2014/main" id="{00000000-0008-0000-0600-00007E000000}"/>
                </a:ext>
              </a:extLst>
            </xdr:cNvPr>
            <xdr:cNvSpPr txBox="1"/>
          </xdr:nvSpPr>
          <xdr:spPr>
            <a:xfrm>
              <a:off x="8929370" y="11445240"/>
              <a:ext cx="104637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𝑡𝑎𝑛</m:t>
                        </m:r>
                      </m:sub>
                      <m:sup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tan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p>
                    </m:sSup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sup>
                    </m:sSup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6" name="Tekstfelt 125">
              <a:extLst>
                <a:ext uri="{FF2B5EF4-FFF2-40B4-BE49-F238E27FC236}">
                  <a16:creationId xmlns:a16="http://schemas.microsoft.com/office/drawing/2014/main" id="{04B374B6-5706-B74F-B7C7-08F4B76C88C8}"/>
                </a:ext>
              </a:extLst>
            </xdr:cNvPr>
            <xdr:cNvSpPr txBox="1"/>
          </xdr:nvSpPr>
          <xdr:spPr>
            <a:xfrm>
              <a:off x="8929370" y="11445240"/>
              <a:ext cx="104637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𝑡𝑎𝑛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tan)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7</xdr:col>
      <xdr:colOff>243840</xdr:colOff>
      <xdr:row>45</xdr:row>
      <xdr:rowOff>182880</xdr:rowOff>
    </xdr:from>
    <xdr:ext cx="21679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kstfelt 124">
              <a:extLst>
                <a:ext uri="{FF2B5EF4-FFF2-40B4-BE49-F238E27FC236}">
                  <a16:creationId xmlns:a16="http://schemas.microsoft.com/office/drawing/2014/main" id="{00000000-0008-0000-0600-00007D000000}"/>
                </a:ext>
              </a:extLst>
            </xdr:cNvPr>
            <xdr:cNvSpPr txBox="1"/>
          </xdr:nvSpPr>
          <xdr:spPr>
            <a:xfrm>
              <a:off x="6085840" y="8920480"/>
              <a:ext cx="216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5" name="Tekstfelt 124">
              <a:extLst>
                <a:ext uri="{FF2B5EF4-FFF2-40B4-BE49-F238E27FC236}">
                  <a16:creationId xmlns:a16="http://schemas.microsoft.com/office/drawing/2014/main" id="{00000000-0008-0000-0600-00007D000000}"/>
                </a:ext>
              </a:extLst>
            </xdr:cNvPr>
            <xdr:cNvSpPr txBox="1"/>
          </xdr:nvSpPr>
          <xdr:spPr>
            <a:xfrm>
              <a:off x="6085840" y="8920480"/>
              <a:ext cx="21679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𝑤^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10</xdr:col>
      <xdr:colOff>1076960</xdr:colOff>
      <xdr:row>58</xdr:row>
      <xdr:rowOff>142240</xdr:rowOff>
    </xdr:from>
    <xdr:ext cx="1285160" cy="3508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kstfelt 126">
              <a:extLst>
                <a:ext uri="{FF2B5EF4-FFF2-40B4-BE49-F238E27FC236}">
                  <a16:creationId xmlns:a16="http://schemas.microsoft.com/office/drawing/2014/main" id="{00000000-0008-0000-0600-00007F000000}"/>
                </a:ext>
              </a:extLst>
            </xdr:cNvPr>
            <xdr:cNvSpPr txBox="1"/>
          </xdr:nvSpPr>
          <xdr:spPr>
            <a:xfrm>
              <a:off x="9926320" y="11419840"/>
              <a:ext cx="1285160" cy="350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𝑡𝑎𝑛</m:t>
                        </m:r>
                      </m:sub>
                      <m:sup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𝑡𝑎𝑛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p>
                    </m:sSup>
                    <m:r>
                      <m:rPr>
                        <m:sty m:val="p"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Σ</m:t>
                    </m:r>
                    <m:sSub>
                      <m:sSub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𝑡𝑎𝑛</m:t>
                        </m:r>
                      </m:sub>
                    </m:sSub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127" name="Tekstfelt 126">
              <a:extLst>
                <a:ext uri="{FF2B5EF4-FFF2-40B4-BE49-F238E27FC236}">
                  <a16:creationId xmlns:a16="http://schemas.microsoft.com/office/drawing/2014/main" id="{E7EA2B91-61B7-2444-80A0-831D73387330}"/>
                </a:ext>
              </a:extLst>
            </xdr:cNvPr>
            <xdr:cNvSpPr txBox="1"/>
          </xdr:nvSpPr>
          <xdr:spPr>
            <a:xfrm>
              <a:off x="9926320" y="11419840"/>
              <a:ext cx="1285160" cy="3508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𝑡𝑎𝑛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 Σ𝑤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20320</xdr:colOff>
      <xdr:row>58</xdr:row>
      <xdr:rowOff>101600</xdr:rowOff>
    </xdr:from>
    <xdr:ext cx="1369477" cy="2115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68" name="Tekstfelt 7167">
              <a:extLst>
                <a:ext uri="{FF2B5EF4-FFF2-40B4-BE49-F238E27FC236}">
                  <a16:creationId xmlns:a16="http://schemas.microsoft.com/office/drawing/2014/main" id="{00000000-0008-0000-0600-0000001C0000}"/>
                </a:ext>
              </a:extLst>
            </xdr:cNvPr>
            <xdr:cNvSpPr txBox="1"/>
          </xdr:nvSpPr>
          <xdr:spPr>
            <a:xfrm>
              <a:off x="11236960" y="11379200"/>
              <a:ext cx="1369477" cy="211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𝑡𝑎𝑛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da-DK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𝑡𝑎𝑛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sup>
                        </m:sSup>
                        <m:r>
                          <m:rPr>
                            <m:sty m:val="p"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Σ</m:t>
                        </m:r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𝑡𝑎𝑛</m:t>
                            </m:r>
                          </m:sub>
                        </m:sSub>
                      </m:e>
                    </m:rad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168" name="Tekstfelt 7167">
              <a:extLst>
                <a:ext uri="{FF2B5EF4-FFF2-40B4-BE49-F238E27FC236}">
                  <a16:creationId xmlns:a16="http://schemas.microsoft.com/office/drawing/2014/main" id="{A8253233-87D2-6D4F-8545-184BAD8F521E}"/>
                </a:ext>
              </a:extLst>
            </xdr:cNvPr>
            <xdr:cNvSpPr txBox="1"/>
          </xdr:nvSpPr>
          <xdr:spPr>
            <a:xfrm>
              <a:off x="11236960" y="11379200"/>
              <a:ext cx="1369477" cy="2115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𝑡𝑎𝑛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 Σ𝑤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 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314960</xdr:colOff>
      <xdr:row>58</xdr:row>
      <xdr:rowOff>30480</xdr:rowOff>
    </xdr:from>
    <xdr:ext cx="1073371" cy="4969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70" name="Tekstfelt 7169">
              <a:extLs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 txBox="1"/>
          </xdr:nvSpPr>
          <xdr:spPr>
            <a:xfrm>
              <a:off x="12791440" y="11308080"/>
              <a:ext cx="1073371" cy="4969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𝑡𝑎𝑛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da-DK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𝑡𝑎𝑛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𝑡𝑎𝑛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7170" name="Tekstfelt 7169">
              <a:extLst>
                <a:ext uri="{FF2B5EF4-FFF2-40B4-BE49-F238E27FC236}">
                  <a16:creationId xmlns:a16="http://schemas.microsoft.com/office/drawing/2014/main" id="{AC0BBC01-6E29-E24C-99A6-7CC9F339498D}"/>
                </a:ext>
              </a:extLst>
            </xdr:cNvPr>
            <xdr:cNvSpPr txBox="1"/>
          </xdr:nvSpPr>
          <xdr:spPr>
            <a:xfrm>
              <a:off x="12791440" y="11308080"/>
              <a:ext cx="1073371" cy="4969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𝑡𝑎𝑛−𝑟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𝑡𝑎𝑛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9</xdr:col>
      <xdr:colOff>20320</xdr:colOff>
      <xdr:row>62</xdr:row>
      <xdr:rowOff>182880</xdr:rowOff>
    </xdr:from>
    <xdr:ext cx="997709" cy="357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71" name="Tekstfelt 7170">
              <a:extLs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 txBox="1"/>
          </xdr:nvSpPr>
          <xdr:spPr>
            <a:xfrm>
              <a:off x="7640320" y="12232640"/>
              <a:ext cx="997709" cy="357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𝑟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𝑡𝑎𝑛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𝜎</m:t>
                    </m:r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7171" name="Tekstfelt 7170">
              <a:extLst>
                <a:ext uri="{FF2B5EF4-FFF2-40B4-BE49-F238E27FC236}">
                  <a16:creationId xmlns:a16="http://schemas.microsoft.com/office/drawing/2014/main" id="{B5C0F373-C7DC-B048-9F12-3617118B195C}"/>
                </a:ext>
              </a:extLst>
            </xdr:cNvPr>
            <xdr:cNvSpPr txBox="1"/>
          </xdr:nvSpPr>
          <xdr:spPr>
            <a:xfrm>
              <a:off x="7640320" y="12232640"/>
              <a:ext cx="997709" cy="357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𝑟=𝑟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𝑓+𝑆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 𝜎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351851</xdr:colOff>
      <xdr:row>65</xdr:row>
      <xdr:rowOff>57304</xdr:rowOff>
    </xdr:from>
    <xdr:ext cx="1571712" cy="5171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72" name="Tekstfelt 7171">
              <a:extLs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 txBox="1"/>
          </xdr:nvSpPr>
          <xdr:spPr>
            <a:xfrm>
              <a:off x="5408899" y="12581340"/>
              <a:ext cx="1571712" cy="5171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sSubSup>
                          <m:sSubSup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𝑡𝑎𝑛</m:t>
                            </m:r>
                          </m:sub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−2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𝑡𝑎𝑛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7172" name="Tekstfelt 7171">
              <a:extLst>
                <a:ext uri="{FF2B5EF4-FFF2-40B4-BE49-F238E27FC236}">
                  <a16:creationId xmlns:a16="http://schemas.microsoft.com/office/drawing/2014/main" id="{2FDFF026-C617-F540-A654-40109FEAF46E}"/>
                </a:ext>
              </a:extLst>
            </xdr:cNvPr>
            <xdr:cNvSpPr txBox="1"/>
          </xdr:nvSpPr>
          <xdr:spPr>
            <a:xfrm>
              <a:off x="5408899" y="12581340"/>
              <a:ext cx="1571712" cy="5171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𝑡𝑎𝑛^2−2𝑏𝑟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𝑡𝑎𝑛+𝑐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504071</xdr:colOff>
      <xdr:row>69</xdr:row>
      <xdr:rowOff>181307</xdr:rowOff>
    </xdr:from>
    <xdr:ext cx="23096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73" name="Tekstfelt 7172">
              <a:extLs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 txBox="1"/>
          </xdr:nvSpPr>
          <xdr:spPr>
            <a:xfrm>
              <a:off x="770701" y="13379484"/>
              <a:ext cx="23096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173" name="Tekstfelt 7172">
              <a:extLst>
                <a:ext uri="{FF2B5EF4-FFF2-40B4-BE49-F238E27FC236}">
                  <a16:creationId xmlns:a16="http://schemas.microsoft.com/office/drawing/2014/main" id="{99C1FADC-5473-D142-98BA-5B92600D3117}"/>
                </a:ext>
              </a:extLst>
            </xdr:cNvPr>
            <xdr:cNvSpPr txBox="1"/>
          </xdr:nvSpPr>
          <xdr:spPr>
            <a:xfrm>
              <a:off x="770701" y="13379484"/>
              <a:ext cx="23096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𝑤_𝑚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384283</xdr:colOff>
      <xdr:row>69</xdr:row>
      <xdr:rowOff>164525</xdr:rowOff>
    </xdr:from>
    <xdr:ext cx="423001" cy="1787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kstfelt 134">
              <a:extLst>
                <a:ext uri="{FF2B5EF4-FFF2-40B4-BE49-F238E27FC236}">
                  <a16:creationId xmlns:a16="http://schemas.microsoft.com/office/drawing/2014/main" id="{00000000-0008-0000-0600-000087000000}"/>
                </a:ext>
              </a:extLst>
            </xdr:cNvPr>
            <xdr:cNvSpPr txBox="1"/>
          </xdr:nvSpPr>
          <xdr:spPr>
            <a:xfrm>
              <a:off x="3682073" y="13362702"/>
              <a:ext cx="423001" cy="178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da-DK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5" name="Tekstfelt 134">
              <a:extLst>
                <a:ext uri="{FF2B5EF4-FFF2-40B4-BE49-F238E27FC236}">
                  <a16:creationId xmlns:a16="http://schemas.microsoft.com/office/drawing/2014/main" id="{D2256BBF-DDF4-DE48-83CE-FB5A4EEB120A}"/>
                </a:ext>
              </a:extLst>
            </xdr:cNvPr>
            <xdr:cNvSpPr txBox="1"/>
          </xdr:nvSpPr>
          <xdr:spPr>
            <a:xfrm>
              <a:off x="3682073" y="13362702"/>
              <a:ext cx="423001" cy="1787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(𝑤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9</xdr:col>
      <xdr:colOff>565255</xdr:colOff>
      <xdr:row>70</xdr:row>
      <xdr:rowOff>3929</xdr:rowOff>
    </xdr:from>
    <xdr:ext cx="17684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kstfelt 135">
              <a:extLst>
                <a:ext uri="{FF2B5EF4-FFF2-40B4-BE49-F238E27FC236}">
                  <a16:creationId xmlns:a16="http://schemas.microsoft.com/office/drawing/2014/main" id="{00000000-0008-0000-0600-000088000000}"/>
                </a:ext>
              </a:extLst>
            </xdr:cNvPr>
            <xdr:cNvSpPr txBox="1"/>
          </xdr:nvSpPr>
          <xdr:spPr>
            <a:xfrm>
              <a:off x="8199288" y="13405586"/>
              <a:ext cx="17684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6" name="Tekstfelt 135">
              <a:extLst>
                <a:ext uri="{FF2B5EF4-FFF2-40B4-BE49-F238E27FC236}">
                  <a16:creationId xmlns:a16="http://schemas.microsoft.com/office/drawing/2014/main" id="{CC44FF0D-D4DF-4F49-AFB8-A11250F2C4AB}"/>
                </a:ext>
              </a:extLst>
            </xdr:cNvPr>
            <xdr:cNvSpPr txBox="1"/>
          </xdr:nvSpPr>
          <xdr:spPr>
            <a:xfrm>
              <a:off x="8199288" y="13405586"/>
              <a:ext cx="17684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𝑤_𝑖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15</xdr:col>
      <xdr:colOff>161177</xdr:colOff>
      <xdr:row>16</xdr:row>
      <xdr:rowOff>147879</xdr:rowOff>
    </xdr:from>
    <xdr:ext cx="1022844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kstfelt 1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SpPr txBox="1"/>
          </xdr:nvSpPr>
          <xdr:spPr>
            <a:xfrm>
              <a:off x="15055418" y="3246413"/>
              <a:ext cx="1022844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𝑐𝑜𝑣</m:t>
                        </m:r>
                        <m:d>
                          <m:d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sub>
                            </m:s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sSub>
                              <m:sSubPr>
                                <m:ctrlP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𝑣𝑎𝑟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" name="Tekstfelt 1">
              <a:extLst>
                <a:ext uri="{FF2B5EF4-FFF2-40B4-BE49-F238E27FC236}">
                  <a16:creationId xmlns:a16="http://schemas.microsoft.com/office/drawing/2014/main" id="{884A32A9-4C26-8640-97C7-831EC460CD65}"/>
                </a:ext>
              </a:extLst>
            </xdr:cNvPr>
            <xdr:cNvSpPr txBox="1"/>
          </xdr:nvSpPr>
          <xdr:spPr>
            <a:xfrm>
              <a:off x="15055418" y="3246413"/>
              <a:ext cx="1022844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𝛽_𝐴=𝑐𝑜𝑣(𝑟_𝐴,𝑟_𝑀 )/(𝑣𝑎𝑟(𝑟_𝑀))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15</xdr:col>
      <xdr:colOff>187242</xdr:colOff>
      <xdr:row>18</xdr:row>
      <xdr:rowOff>114101</xdr:rowOff>
    </xdr:from>
    <xdr:ext cx="107901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kstfelt 107">
              <a:extLst>
                <a:ext uri="{FF2B5EF4-FFF2-40B4-BE49-F238E27FC236}">
                  <a16:creationId xmlns:a16="http://schemas.microsoft.com/office/drawing/2014/main" id="{00000000-0008-0000-0600-00006C000000}"/>
                </a:ext>
              </a:extLst>
            </xdr:cNvPr>
            <xdr:cNvSpPr txBox="1"/>
          </xdr:nvSpPr>
          <xdr:spPr>
            <a:xfrm>
              <a:off x="15081483" y="3598289"/>
              <a:ext cx="107901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𝑐𝑜𝑣</m:t>
                        </m:r>
                        <m:d>
                          <m:d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sub>
                            </m:s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sSub>
                              <m:sSubPr>
                                <m:ctrlP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𝑣𝑎𝑟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8" name="Tekstfelt 107">
              <a:extLst>
                <a:ext uri="{FF2B5EF4-FFF2-40B4-BE49-F238E27FC236}">
                  <a16:creationId xmlns:a16="http://schemas.microsoft.com/office/drawing/2014/main" id="{C6268773-1AAF-0945-ABC3-52A3BCA11680}"/>
                </a:ext>
              </a:extLst>
            </xdr:cNvPr>
            <xdr:cNvSpPr txBox="1"/>
          </xdr:nvSpPr>
          <xdr:spPr>
            <a:xfrm>
              <a:off x="15081483" y="3598289"/>
              <a:ext cx="107901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𝛽_𝐵=𝑐𝑜𝑣(𝑟_𝐵,𝑟_𝑀 )/(𝑣𝑎𝑟(𝑟_𝑀))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254267</xdr:colOff>
      <xdr:row>16</xdr:row>
      <xdr:rowOff>1596</xdr:rowOff>
    </xdr:from>
    <xdr:ext cx="69236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kstfelt 2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SpPr txBox="1"/>
          </xdr:nvSpPr>
          <xdr:spPr>
            <a:xfrm>
              <a:off x="11478141" y="3100130"/>
              <a:ext cx="69236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𝑐𝑜𝑣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3" name="Tekstfelt 2">
              <a:extLst>
                <a:ext uri="{FF2B5EF4-FFF2-40B4-BE49-F238E27FC236}">
                  <a16:creationId xmlns:a16="http://schemas.microsoft.com/office/drawing/2014/main" id="{65DECCE9-A798-CD42-93CC-F94C43C9F661}"/>
                </a:ext>
              </a:extLst>
            </xdr:cNvPr>
            <xdr:cNvSpPr txBox="1"/>
          </xdr:nvSpPr>
          <xdr:spPr>
            <a:xfrm>
              <a:off x="11478141" y="3100130"/>
              <a:ext cx="69236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𝑐𝑜𝑣(𝑟_𝐴,𝑟_𝑀 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253735</xdr:colOff>
      <xdr:row>17</xdr:row>
      <xdr:rowOff>14363</xdr:rowOff>
    </xdr:from>
    <xdr:ext cx="70275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kstfelt 112">
              <a:extLst>
                <a:ext uri="{FF2B5EF4-FFF2-40B4-BE49-F238E27FC236}">
                  <a16:creationId xmlns:a16="http://schemas.microsoft.com/office/drawing/2014/main" id="{00000000-0008-0000-0600-000071000000}"/>
                </a:ext>
              </a:extLst>
            </xdr:cNvPr>
            <xdr:cNvSpPr txBox="1"/>
          </xdr:nvSpPr>
          <xdr:spPr>
            <a:xfrm>
              <a:off x="11477609" y="3305724"/>
              <a:ext cx="70275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𝑐𝑜𝑣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3" name="Tekstfelt 112">
              <a:extLst>
                <a:ext uri="{FF2B5EF4-FFF2-40B4-BE49-F238E27FC236}">
                  <a16:creationId xmlns:a16="http://schemas.microsoft.com/office/drawing/2014/main" id="{DEC97074-2DC8-DB4A-917A-C5CF8563273B}"/>
                </a:ext>
              </a:extLst>
            </xdr:cNvPr>
            <xdr:cNvSpPr txBox="1"/>
          </xdr:nvSpPr>
          <xdr:spPr>
            <a:xfrm>
              <a:off x="11477609" y="3305724"/>
              <a:ext cx="70275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𝑐𝑜𝑣(𝑟_𝐵,𝑟_𝑀 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486989</xdr:colOff>
      <xdr:row>17</xdr:row>
      <xdr:rowOff>181125</xdr:rowOff>
    </xdr:from>
    <xdr:ext cx="18235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kstfelt 3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 txBox="1"/>
          </xdr:nvSpPr>
          <xdr:spPr>
            <a:xfrm>
              <a:off x="11710863" y="3472486"/>
              <a:ext cx="18235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4" name="Tekstfelt 3">
              <a:extLst>
                <a:ext uri="{FF2B5EF4-FFF2-40B4-BE49-F238E27FC236}">
                  <a16:creationId xmlns:a16="http://schemas.microsoft.com/office/drawing/2014/main" id="{43C64008-1551-8D44-8ECC-257A0FB502A2}"/>
                </a:ext>
              </a:extLst>
            </xdr:cNvPr>
            <xdr:cNvSpPr txBox="1"/>
          </xdr:nvSpPr>
          <xdr:spPr>
            <a:xfrm>
              <a:off x="11710863" y="3472486"/>
              <a:ext cx="18235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𝑟_𝑀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639389</xdr:colOff>
      <xdr:row>18</xdr:row>
      <xdr:rowOff>140698</xdr:rowOff>
    </xdr:from>
    <xdr:ext cx="65" cy="172098"/>
    <xdr:sp macro="" textlink="">
      <xdr:nvSpPr>
        <xdr:cNvPr id="120" name="Tekstfelt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11863263" y="3624886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12</xdr:col>
      <xdr:colOff>533002</xdr:colOff>
      <xdr:row>19</xdr:row>
      <xdr:rowOff>14363</xdr:rowOff>
    </xdr:from>
    <xdr:ext cx="205826" cy="1779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kstfelt 123">
              <a:extLst>
                <a:ext uri="{FF2B5EF4-FFF2-40B4-BE49-F238E27FC236}">
                  <a16:creationId xmlns:a16="http://schemas.microsoft.com/office/drawing/2014/main" id="{00000000-0008-0000-0600-00007C000000}"/>
                </a:ext>
              </a:extLst>
            </xdr:cNvPr>
            <xdr:cNvSpPr txBox="1"/>
          </xdr:nvSpPr>
          <xdr:spPr>
            <a:xfrm>
              <a:off x="11756876" y="3691379"/>
              <a:ext cx="205826" cy="1779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m:rPr>
                            <m:nor/>
                          </m:rPr>
                          <a:rPr lang="el-GR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σ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</m:t>
                        </m:r>
                      </m:sub>
                      <m:sup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4" name="Tekstfelt 123">
              <a:extLst>
                <a:ext uri="{FF2B5EF4-FFF2-40B4-BE49-F238E27FC236}">
                  <a16:creationId xmlns:a16="http://schemas.microsoft.com/office/drawing/2014/main" id="{A4D99BDD-0CAF-294C-93D2-3109D640B4B8}"/>
                </a:ext>
              </a:extLst>
            </xdr:cNvPr>
            <xdr:cNvSpPr txBox="1"/>
          </xdr:nvSpPr>
          <xdr:spPr>
            <a:xfrm>
              <a:off x="11756876" y="3691379"/>
              <a:ext cx="205826" cy="1779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"σ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_𝑀^2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572898</xdr:colOff>
      <xdr:row>20</xdr:row>
      <xdr:rowOff>1064</xdr:rowOff>
    </xdr:from>
    <xdr:ext cx="145296" cy="183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kstfelt 127">
              <a:extLst>
                <a:ext uri="{FF2B5EF4-FFF2-40B4-BE49-F238E27FC236}">
                  <a16:creationId xmlns:a16="http://schemas.microsoft.com/office/drawing/2014/main" id="{00000000-0008-0000-0600-000080000000}"/>
                </a:ext>
              </a:extLst>
            </xdr:cNvPr>
            <xdr:cNvSpPr txBox="1"/>
          </xdr:nvSpPr>
          <xdr:spPr>
            <a:xfrm>
              <a:off x="11796772" y="3870907"/>
              <a:ext cx="145296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8" name="Tekstfelt 127">
              <a:extLst>
                <a:ext uri="{FF2B5EF4-FFF2-40B4-BE49-F238E27FC236}">
                  <a16:creationId xmlns:a16="http://schemas.microsoft.com/office/drawing/2014/main" id="{D237CFF5-59FE-954B-8263-0520127735B2}"/>
                </a:ext>
              </a:extLst>
            </xdr:cNvPr>
            <xdr:cNvSpPr txBox="1"/>
          </xdr:nvSpPr>
          <xdr:spPr>
            <a:xfrm>
              <a:off x="11796772" y="3870907"/>
              <a:ext cx="145296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𝑟_𝑓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15</xdr:col>
      <xdr:colOff>300810</xdr:colOff>
      <xdr:row>20</xdr:row>
      <xdr:rowOff>201671</xdr:rowOff>
    </xdr:from>
    <xdr:ext cx="324897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kstfelt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 txBox="1"/>
          </xdr:nvSpPr>
          <xdr:spPr>
            <a:xfrm>
              <a:off x="15195051" y="4071514"/>
              <a:ext cx="324897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5" name="Tekstfelt 4">
              <a:extLst>
                <a:ext uri="{FF2B5EF4-FFF2-40B4-BE49-F238E27FC236}">
                  <a16:creationId xmlns:a16="http://schemas.microsoft.com/office/drawing/2014/main" id="{2C88D400-DD51-F747-92F1-2A65498EE2D1}"/>
                </a:ext>
              </a:extLst>
            </xdr:cNvPr>
            <xdr:cNvSpPr txBox="1"/>
          </xdr:nvSpPr>
          <xdr:spPr>
            <a:xfrm>
              <a:off x="15195051" y="4071514"/>
              <a:ext cx="324897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𝛽_𝑝=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15</xdr:col>
      <xdr:colOff>346824</xdr:colOff>
      <xdr:row>23</xdr:row>
      <xdr:rowOff>1064</xdr:rowOff>
    </xdr:from>
    <xdr:ext cx="185885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kstfelt 128">
              <a:extLst>
                <a:ext uri="{FF2B5EF4-FFF2-40B4-BE49-F238E27FC236}">
                  <a16:creationId xmlns:a16="http://schemas.microsoft.com/office/drawing/2014/main" id="{00000000-0008-0000-0600-000081000000}"/>
                </a:ext>
              </a:extLst>
            </xdr:cNvPr>
            <xdr:cNvSpPr txBox="1"/>
          </xdr:nvSpPr>
          <xdr:spPr>
            <a:xfrm>
              <a:off x="15241065" y="4462687"/>
              <a:ext cx="185885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𝑝</m:t>
                      </m:r>
                    </m:sub>
                  </m:sSub>
                </m:oMath>
              </a14:m>
              <a:r>
                <a:rPr lang="da-DK" sz="1100"/>
                <a:t>=</a:t>
              </a:r>
            </a:p>
          </xdr:txBody>
        </xdr:sp>
      </mc:Choice>
      <mc:Fallback xmlns="">
        <xdr:sp macro="" textlink="">
          <xdr:nvSpPr>
            <xdr:cNvPr id="129" name="Tekstfelt 128">
              <a:extLst>
                <a:ext uri="{FF2B5EF4-FFF2-40B4-BE49-F238E27FC236}">
                  <a16:creationId xmlns:a16="http://schemas.microsoft.com/office/drawing/2014/main" id="{E8520C8C-F669-F348-BBBD-7CAB694084BA}"/>
                </a:ext>
              </a:extLst>
            </xdr:cNvPr>
            <xdr:cNvSpPr txBox="1"/>
          </xdr:nvSpPr>
          <xdr:spPr>
            <a:xfrm>
              <a:off x="15241065" y="4462687"/>
              <a:ext cx="185885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𝑟_𝑝</a:t>
              </a:r>
              <a:r>
                <a:rPr lang="da-DK" sz="1100"/>
                <a:t>=</a:t>
              </a:r>
            </a:p>
          </xdr:txBody>
        </xdr:sp>
      </mc:Fallback>
    </mc:AlternateContent>
    <xdr:clientData/>
  </xdr:oneCellAnchor>
  <xdr:oneCellAnchor>
    <xdr:from>
      <xdr:col>15</xdr:col>
      <xdr:colOff>339644</xdr:colOff>
      <xdr:row>24</xdr:row>
      <xdr:rowOff>7182</xdr:rowOff>
    </xdr:from>
    <xdr:ext cx="185885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kstfelt 129">
              <a:extLst>
                <a:ext uri="{FF2B5EF4-FFF2-40B4-BE49-F238E27FC236}">
                  <a16:creationId xmlns:a16="http://schemas.microsoft.com/office/drawing/2014/main" id="{00000000-0008-0000-0600-000082000000}"/>
                </a:ext>
              </a:extLst>
            </xdr:cNvPr>
            <xdr:cNvSpPr txBox="1"/>
          </xdr:nvSpPr>
          <xdr:spPr>
            <a:xfrm>
              <a:off x="15233885" y="4661632"/>
              <a:ext cx="185885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𝑝</m:t>
                      </m:r>
                    </m:sub>
                  </m:sSub>
                </m:oMath>
              </a14:m>
              <a:r>
                <a:rPr lang="da-DK" sz="1100"/>
                <a:t>=</a:t>
              </a:r>
            </a:p>
          </xdr:txBody>
        </xdr:sp>
      </mc:Choice>
      <mc:Fallback xmlns="">
        <xdr:sp macro="" textlink="">
          <xdr:nvSpPr>
            <xdr:cNvPr id="130" name="Tekstfelt 129">
              <a:extLst>
                <a:ext uri="{FF2B5EF4-FFF2-40B4-BE49-F238E27FC236}">
                  <a16:creationId xmlns:a16="http://schemas.microsoft.com/office/drawing/2014/main" id="{3CEBE702-0DB4-6848-B0BD-11BF1FC691E4}"/>
                </a:ext>
              </a:extLst>
            </xdr:cNvPr>
            <xdr:cNvSpPr txBox="1"/>
          </xdr:nvSpPr>
          <xdr:spPr>
            <a:xfrm>
              <a:off x="15233885" y="4661632"/>
              <a:ext cx="185885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𝑟_𝑝</a:t>
              </a:r>
              <a:r>
                <a:rPr lang="da-DK" sz="1100"/>
                <a:t>=</a:t>
              </a:r>
            </a:p>
          </xdr:txBody>
        </xdr:sp>
      </mc:Fallback>
    </mc:AlternateContent>
    <xdr:clientData/>
  </xdr:oneCellAnchor>
  <xdr:oneCellAnchor>
    <xdr:from>
      <xdr:col>18</xdr:col>
      <xdr:colOff>197644</xdr:colOff>
      <xdr:row>26</xdr:row>
      <xdr:rowOff>189707</xdr:rowOff>
    </xdr:from>
    <xdr:ext cx="23031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kstfelt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SpPr txBox="1"/>
          </xdr:nvSpPr>
          <xdr:spPr>
            <a:xfrm>
              <a:off x="17152144" y="5190332"/>
              <a:ext cx="23031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6" name="Tekstfelt 5">
              <a:extLst>
                <a:ext uri="{FF2B5EF4-FFF2-40B4-BE49-F238E27FC236}">
                  <a16:creationId xmlns:a16="http://schemas.microsoft.com/office/drawing/2014/main" id="{B7617901-1D2C-A641-9426-FF851865800D}"/>
                </a:ext>
              </a:extLst>
            </xdr:cNvPr>
            <xdr:cNvSpPr txBox="1"/>
          </xdr:nvSpPr>
          <xdr:spPr>
            <a:xfrm>
              <a:off x="17152144" y="5190332"/>
              <a:ext cx="23031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𝑤_𝑀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27</xdr:row>
      <xdr:rowOff>0</xdr:rowOff>
    </xdr:from>
    <xdr:ext cx="65" cy="172098"/>
    <xdr:sp macro="" textlink="">
      <xdr:nvSpPr>
        <xdr:cNvPr id="131" name="Tekstfelt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 txBox="1"/>
      </xdr:nvSpPr>
      <xdr:spPr>
        <a:xfrm>
          <a:off x="12469813" y="5397500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13</xdr:col>
      <xdr:colOff>351072</xdr:colOff>
      <xdr:row>26</xdr:row>
      <xdr:rowOff>176944</xdr:rowOff>
    </xdr:from>
    <xdr:ext cx="65" cy="172098"/>
    <xdr:sp macro="" textlink="">
      <xdr:nvSpPr>
        <xdr:cNvPr id="132" name="Tekstfelt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 txBox="1"/>
      </xdr:nvSpPr>
      <xdr:spPr>
        <a:xfrm>
          <a:off x="12820885" y="5368069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13</xdr:col>
      <xdr:colOff>483394</xdr:colOff>
      <xdr:row>28</xdr:row>
      <xdr:rowOff>7144</xdr:rowOff>
    </xdr:from>
    <xdr:ext cx="230319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SpPr txBox="1"/>
          </xdr:nvSpPr>
          <xdr:spPr>
            <a:xfrm>
              <a:off x="12953207" y="5404644"/>
              <a:ext cx="230319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12D738D0-450E-BB47-8E1A-FA7E210FC0C5}"/>
                </a:ext>
              </a:extLst>
            </xdr:cNvPr>
            <xdr:cNvSpPr txBox="1"/>
          </xdr:nvSpPr>
          <xdr:spPr>
            <a:xfrm>
              <a:off x="12953207" y="5404644"/>
              <a:ext cx="230319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𝑤_𝑀^𝑇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13</xdr:col>
      <xdr:colOff>292893</xdr:colOff>
      <xdr:row>31</xdr:row>
      <xdr:rowOff>173832</xdr:rowOff>
    </xdr:from>
    <xdr:ext cx="881844" cy="1780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SpPr txBox="1"/>
          </xdr:nvSpPr>
          <xdr:spPr>
            <a:xfrm>
              <a:off x="12762706" y="6142832"/>
              <a:ext cx="881844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4340B6D2-7AC4-8F47-A5CC-65A939E329FA}"/>
                </a:ext>
              </a:extLst>
            </xdr:cNvPr>
            <xdr:cNvSpPr txBox="1"/>
          </xdr:nvSpPr>
          <xdr:spPr>
            <a:xfrm>
              <a:off x="12762706" y="6142832"/>
              <a:ext cx="881844" cy="178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𝑟_𝑀=𝑤_𝑀^𝑇·𝑟=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13</xdr:col>
      <xdr:colOff>237330</xdr:colOff>
      <xdr:row>34</xdr:row>
      <xdr:rowOff>62706</xdr:rowOff>
    </xdr:from>
    <xdr:ext cx="1012650" cy="516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kstfelt 9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SpPr txBox="1"/>
          </xdr:nvSpPr>
          <xdr:spPr>
            <a:xfrm>
              <a:off x="12707143" y="6603206"/>
              <a:ext cx="1012650" cy="51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𝜎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𝑀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=</m:t>
                  </m:r>
                  <m:rad>
                    <m:radPr>
                      <m:degHide m:val="on"/>
                      <m:ctrlPr>
                        <a:rPr lang="da-DK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bSup>
                        <m:sSubSupPr>
                          <m:ctrlP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SupPr>
                        <m:e>
                          <m: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𝑤</m:t>
                          </m:r>
                        </m:e>
                        <m:sub>
                          <m: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</m:sub>
                        <m:sup>
                          <m: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</m:t>
                          </m:r>
                        </m:sup>
                      </m:sSubSup>
                      <m:r>
                        <a:rPr lang="da-DK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𝛴</m:t>
                      </m:r>
                      <m:sSub>
                        <m:sSubPr>
                          <m:ctrlP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𝑤</m:t>
                          </m:r>
                        </m:e>
                        <m:sub>
                          <m:r>
                            <a:rPr lang="da-DK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</m:sub>
                      </m:sSub>
                    </m:e>
                  </m:rad>
                </m:oMath>
              </a14:m>
              <a:r>
                <a:rPr lang="da-DK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10" name="Tekstfelt 9">
              <a:extLst>
                <a:ext uri="{FF2B5EF4-FFF2-40B4-BE49-F238E27FC236}">
                  <a16:creationId xmlns:a16="http://schemas.microsoft.com/office/drawing/2014/main" id="{4F17A619-03C7-CA48-9C46-38864170555D}"/>
                </a:ext>
              </a:extLst>
            </xdr:cNvPr>
            <xdr:cNvSpPr txBox="1"/>
          </xdr:nvSpPr>
          <xdr:spPr>
            <a:xfrm>
              <a:off x="12707143" y="6603206"/>
              <a:ext cx="1012650" cy="51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100" b="0" i="0">
                  <a:latin typeface="Cambria Math" panose="02040503050406030204" pitchFamily="18" charset="0"/>
                </a:rPr>
                <a:t>𝜎_𝑀=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√(𝑤_𝑀^𝑇 𝛴𝑤_𝑀 )</a:t>
              </a:r>
              <a:r>
                <a:rPr lang="da-DK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119063</xdr:colOff>
      <xdr:row>77</xdr:row>
      <xdr:rowOff>31750</xdr:rowOff>
    </xdr:from>
    <xdr:ext cx="975523" cy="358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kstfelt 132">
              <a:extLst>
                <a:ext uri="{FF2B5EF4-FFF2-40B4-BE49-F238E27FC236}">
                  <a16:creationId xmlns:a16="http://schemas.microsoft.com/office/drawing/2014/main" id="{00000000-0008-0000-0600-000085000000}"/>
                </a:ext>
              </a:extLst>
            </xdr:cNvPr>
            <xdr:cNvSpPr txBox="1"/>
          </xdr:nvSpPr>
          <xdr:spPr>
            <a:xfrm>
              <a:off x="388938" y="14874875"/>
              <a:ext cx="97552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𝑐𝑜𝑣</m:t>
                        </m:r>
                        <m:d>
                          <m:d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sSub>
                              <m:sSubPr>
                                <m:ctrlP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da-DK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sub>
                            </m:sSub>
                          </m:e>
                        </m:d>
                      </m:num>
                      <m:den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𝑣𝑎𝑟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3" name="Tekstfelt 132">
              <a:extLst>
                <a:ext uri="{FF2B5EF4-FFF2-40B4-BE49-F238E27FC236}">
                  <a16:creationId xmlns:a16="http://schemas.microsoft.com/office/drawing/2014/main" id="{4BBB0C72-BA04-AB47-81EA-76B128484D1D}"/>
                </a:ext>
              </a:extLst>
            </xdr:cNvPr>
            <xdr:cNvSpPr txBox="1"/>
          </xdr:nvSpPr>
          <xdr:spPr>
            <a:xfrm>
              <a:off x="388938" y="14874875"/>
              <a:ext cx="975523" cy="358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𝛽_𝑖=𝑐𝑜𝑣(𝑟_𝑖,𝑟_𝑀 )/(𝑣𝑎𝑟(𝑟_𝑀))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30956</xdr:colOff>
      <xdr:row>74</xdr:row>
      <xdr:rowOff>126207</xdr:rowOff>
    </xdr:from>
    <xdr:ext cx="135941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kstfelt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 txBox="1"/>
          </xdr:nvSpPr>
          <xdr:spPr>
            <a:xfrm>
              <a:off x="300831" y="14381957"/>
              <a:ext cx="135941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𝑐𝑜𝑣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m:rPr>
                        <m:sty m:val="p"/>
                      </m:rPr>
                      <a:rPr lang="da-DK" sz="1100" b="0" i="0">
                        <a:latin typeface="Cambria Math" panose="02040503050406030204" pitchFamily="18" charset="0"/>
                      </a:rPr>
                      <m:t>Σ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𝑡𝑎𝑛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" name="Tekstfelt 10">
              <a:extLst>
                <a:ext uri="{FF2B5EF4-FFF2-40B4-BE49-F238E27FC236}">
                  <a16:creationId xmlns:a16="http://schemas.microsoft.com/office/drawing/2014/main" id="{389AA84F-F13F-A44E-B59D-7BD011DC69B0}"/>
                </a:ext>
              </a:extLst>
            </xdr:cNvPr>
            <xdr:cNvSpPr txBox="1"/>
          </xdr:nvSpPr>
          <xdr:spPr>
            <a:xfrm>
              <a:off x="300831" y="14381957"/>
              <a:ext cx="135941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𝑐𝑜𝑣(𝑟_𝑖,𝑟_𝑀 )=𝑤_𝑖 Σ𝑤_𝑡𝑎𝑛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428475</xdr:colOff>
      <xdr:row>69</xdr:row>
      <xdr:rowOff>189648</xdr:rowOff>
    </xdr:from>
    <xdr:ext cx="216791" cy="1810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kstfelt 133">
              <a:extLst>
                <a:ext uri="{FF2B5EF4-FFF2-40B4-BE49-F238E27FC236}">
                  <a16:creationId xmlns:a16="http://schemas.microsoft.com/office/drawing/2014/main" id="{EBD009B0-C3EA-9542-B39B-53A59A8D226E}"/>
                </a:ext>
              </a:extLst>
            </xdr:cNvPr>
            <xdr:cNvSpPr txBox="1"/>
          </xdr:nvSpPr>
          <xdr:spPr>
            <a:xfrm>
              <a:off x="11644163" y="13477023"/>
              <a:ext cx="216791" cy="1810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b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4" name="Tekstfelt 133">
              <a:extLst>
                <a:ext uri="{FF2B5EF4-FFF2-40B4-BE49-F238E27FC236}">
                  <a16:creationId xmlns:a16="http://schemas.microsoft.com/office/drawing/2014/main" id="{EBD009B0-C3EA-9542-B39B-53A59A8D226E}"/>
                </a:ext>
              </a:extLst>
            </xdr:cNvPr>
            <xdr:cNvSpPr txBox="1"/>
          </xdr:nvSpPr>
          <xdr:spPr>
            <a:xfrm>
              <a:off x="11644163" y="13477023"/>
              <a:ext cx="216791" cy="1810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𝑤_𝑖^𝑇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284956</xdr:colOff>
      <xdr:row>69</xdr:row>
      <xdr:rowOff>201612</xdr:rowOff>
    </xdr:from>
    <xdr:ext cx="35266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kstfelt 11">
              <a:extLst>
                <a:ext uri="{FF2B5EF4-FFF2-40B4-BE49-F238E27FC236}">
                  <a16:creationId xmlns:a16="http://schemas.microsoft.com/office/drawing/2014/main" id="{24DF4D42-FAC5-1C49-BF29-17A12D43FAC3}"/>
                </a:ext>
              </a:extLst>
            </xdr:cNvPr>
            <xdr:cNvSpPr txBox="1"/>
          </xdr:nvSpPr>
          <xdr:spPr>
            <a:xfrm>
              <a:off x="6134894" y="13488987"/>
              <a:ext cx="35266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𝑉𝑎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" name="Tekstfelt 11">
              <a:extLst>
                <a:ext uri="{FF2B5EF4-FFF2-40B4-BE49-F238E27FC236}">
                  <a16:creationId xmlns:a16="http://schemas.microsoft.com/office/drawing/2014/main" id="{24DF4D42-FAC5-1C49-BF29-17A12D43FAC3}"/>
                </a:ext>
              </a:extLst>
            </xdr:cNvPr>
            <xdr:cNvSpPr txBox="1"/>
          </xdr:nvSpPr>
          <xdr:spPr>
            <a:xfrm>
              <a:off x="6134894" y="13488987"/>
              <a:ext cx="35266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𝑉𝑎𝑟_𝑀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611981</xdr:colOff>
      <xdr:row>72</xdr:row>
      <xdr:rowOff>147637</xdr:rowOff>
    </xdr:from>
    <xdr:ext cx="29918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kstfelt 136">
              <a:extLst>
                <a:ext uri="{FF2B5EF4-FFF2-40B4-BE49-F238E27FC236}">
                  <a16:creationId xmlns:a16="http://schemas.microsoft.com/office/drawing/2014/main" id="{DF387B3B-015B-4B49-A35E-AD0697CB9A15}"/>
                </a:ext>
              </a:extLst>
            </xdr:cNvPr>
            <xdr:cNvSpPr txBox="1"/>
          </xdr:nvSpPr>
          <xdr:spPr>
            <a:xfrm>
              <a:off x="10573544" y="14022387"/>
              <a:ext cx="2991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𝑉𝑎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7" name="Tekstfelt 136">
              <a:extLst>
                <a:ext uri="{FF2B5EF4-FFF2-40B4-BE49-F238E27FC236}">
                  <a16:creationId xmlns:a16="http://schemas.microsoft.com/office/drawing/2014/main" id="{DF387B3B-015B-4B49-A35E-AD0697CB9A15}"/>
                </a:ext>
              </a:extLst>
            </xdr:cNvPr>
            <xdr:cNvSpPr txBox="1"/>
          </xdr:nvSpPr>
          <xdr:spPr>
            <a:xfrm>
              <a:off x="10573544" y="14022387"/>
              <a:ext cx="2991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𝑉𝑎𝑟_𝑖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753268</xdr:colOff>
      <xdr:row>76</xdr:row>
      <xdr:rowOff>185737</xdr:rowOff>
    </xdr:from>
    <xdr:ext cx="984500" cy="183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kstfelt 12">
              <a:extLst>
                <a:ext uri="{FF2B5EF4-FFF2-40B4-BE49-F238E27FC236}">
                  <a16:creationId xmlns:a16="http://schemas.microsoft.com/office/drawing/2014/main" id="{FEE2C496-0CAC-D743-A632-E9450E84C8D3}"/>
                </a:ext>
              </a:extLst>
            </xdr:cNvPr>
            <xdr:cNvSpPr txBox="1"/>
          </xdr:nvSpPr>
          <xdr:spPr>
            <a:xfrm>
              <a:off x="6603206" y="14838362"/>
              <a:ext cx="984500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" name="Tekstfelt 12">
              <a:extLst>
                <a:ext uri="{FF2B5EF4-FFF2-40B4-BE49-F238E27FC236}">
                  <a16:creationId xmlns:a16="http://schemas.microsoft.com/office/drawing/2014/main" id="{FEE2C496-0CAC-D743-A632-E9450E84C8D3}"/>
                </a:ext>
              </a:extLst>
            </xdr:cNvPr>
            <xdr:cNvSpPr txBox="1"/>
          </xdr:nvSpPr>
          <xdr:spPr>
            <a:xfrm>
              <a:off x="6603206" y="14838362"/>
              <a:ext cx="984500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𝑟_𝑓+𝛽_𝑖 (𝑟_𝑀−𝑟_𝑓)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10</xdr:col>
      <xdr:colOff>83343</xdr:colOff>
      <xdr:row>75</xdr:row>
      <xdr:rowOff>189547</xdr:rowOff>
    </xdr:from>
    <xdr:ext cx="2303772" cy="1831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kstfelt 13">
              <a:extLst>
                <a:ext uri="{FF2B5EF4-FFF2-40B4-BE49-F238E27FC236}">
                  <a16:creationId xmlns:a16="http://schemas.microsoft.com/office/drawing/2014/main" id="{321C517E-A772-3F4A-A590-99AE4EDC674D}"/>
                </a:ext>
              </a:extLst>
            </xdr:cNvPr>
            <xdr:cNvSpPr txBox="1"/>
          </xdr:nvSpPr>
          <xdr:spPr>
            <a:xfrm>
              <a:off x="8932703" y="14769147"/>
              <a:ext cx="2303772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&gt;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𝑀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da-DK" sz="1100"/>
                <a:t> er aktiv </a:t>
              </a:r>
              <a:r>
                <a:rPr lang="da-DK" sz="1100" i="1"/>
                <a:t>i</a:t>
              </a:r>
              <a:r>
                <a:rPr lang="da-DK" sz="1100" i="1" baseline="0"/>
                <a:t> </a:t>
              </a:r>
              <a:r>
                <a:rPr lang="da-DK" sz="1100" i="0" baseline="0"/>
                <a:t>for billigt</a:t>
              </a:r>
              <a:endParaRPr lang="da-DK" sz="1100"/>
            </a:p>
          </xdr:txBody>
        </xdr:sp>
      </mc:Choice>
      <mc:Fallback xmlns="">
        <xdr:sp macro="" textlink="">
          <xdr:nvSpPr>
            <xdr:cNvPr id="14" name="Tekstfelt 13">
              <a:extLst>
                <a:ext uri="{FF2B5EF4-FFF2-40B4-BE49-F238E27FC236}">
                  <a16:creationId xmlns:a16="http://schemas.microsoft.com/office/drawing/2014/main" id="{321C517E-A772-3F4A-A590-99AE4EDC674D}"/>
                </a:ext>
              </a:extLst>
            </xdr:cNvPr>
            <xdr:cNvSpPr txBox="1"/>
          </xdr:nvSpPr>
          <xdr:spPr>
            <a:xfrm>
              <a:off x="8932703" y="14769147"/>
              <a:ext cx="2303772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𝑟_𝑖&gt;𝑟_𝑓+𝛽_𝑖 (𝑟_𝑀−𝑟_𝑓)</a:t>
              </a:r>
              <a:r>
                <a:rPr lang="da-DK" sz="1100"/>
                <a:t> er aktiv </a:t>
              </a:r>
              <a:r>
                <a:rPr lang="da-DK" sz="1100" i="1"/>
                <a:t>i</a:t>
              </a:r>
              <a:r>
                <a:rPr lang="da-DK" sz="1100" i="1" baseline="0"/>
                <a:t> </a:t>
              </a:r>
              <a:r>
                <a:rPr lang="da-DK" sz="1100" i="0" baseline="0"/>
                <a:t>for billigt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10</xdr:col>
      <xdr:colOff>89376</xdr:colOff>
      <xdr:row>76</xdr:row>
      <xdr:rowOff>167322</xdr:rowOff>
    </xdr:from>
    <xdr:ext cx="2220864" cy="1831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kstfelt 137">
              <a:extLst>
                <a:ext uri="{FF2B5EF4-FFF2-40B4-BE49-F238E27FC236}">
                  <a16:creationId xmlns:a16="http://schemas.microsoft.com/office/drawing/2014/main" id="{ECE403DD-2BB6-A44D-9E92-B36BF6F44A7D}"/>
                </a:ext>
              </a:extLst>
            </xdr:cNvPr>
            <xdr:cNvSpPr txBox="1"/>
          </xdr:nvSpPr>
          <xdr:spPr>
            <a:xfrm>
              <a:off x="8938736" y="14950122"/>
              <a:ext cx="2220864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&lt;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𝑀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da-DK" sz="1100"/>
                <a:t> er aktiv </a:t>
              </a:r>
              <a:r>
                <a:rPr lang="da-DK" sz="1100" i="1"/>
                <a:t>i</a:t>
              </a:r>
              <a:r>
                <a:rPr lang="da-DK" sz="1100" i="1" baseline="0"/>
                <a:t> </a:t>
              </a:r>
              <a:r>
                <a:rPr lang="da-DK" sz="1100" i="0" baseline="0"/>
                <a:t>for dyrt</a:t>
              </a:r>
              <a:endParaRPr lang="da-DK" sz="1100"/>
            </a:p>
          </xdr:txBody>
        </xdr:sp>
      </mc:Choice>
      <mc:Fallback xmlns="">
        <xdr:sp macro="" textlink="">
          <xdr:nvSpPr>
            <xdr:cNvPr id="138" name="Tekstfelt 137">
              <a:extLst>
                <a:ext uri="{FF2B5EF4-FFF2-40B4-BE49-F238E27FC236}">
                  <a16:creationId xmlns:a16="http://schemas.microsoft.com/office/drawing/2014/main" id="{ECE403DD-2BB6-A44D-9E92-B36BF6F44A7D}"/>
                </a:ext>
              </a:extLst>
            </xdr:cNvPr>
            <xdr:cNvSpPr txBox="1"/>
          </xdr:nvSpPr>
          <xdr:spPr>
            <a:xfrm>
              <a:off x="8938736" y="14950122"/>
              <a:ext cx="2220864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𝑟_𝑖&lt;𝑟_𝑓+𝛽_𝑖 (𝑟_𝑀−𝑟_𝑓)</a:t>
              </a:r>
              <a:r>
                <a:rPr lang="da-DK" sz="1100"/>
                <a:t> er aktiv </a:t>
              </a:r>
              <a:r>
                <a:rPr lang="da-DK" sz="1100" i="1"/>
                <a:t>i</a:t>
              </a:r>
              <a:r>
                <a:rPr lang="da-DK" sz="1100" i="1" baseline="0"/>
                <a:t> </a:t>
              </a:r>
              <a:r>
                <a:rPr lang="da-DK" sz="1100" i="0" baseline="0"/>
                <a:t>for dyrt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10</xdr:col>
      <xdr:colOff>113505</xdr:colOff>
      <xdr:row>77</xdr:row>
      <xdr:rowOff>178752</xdr:rowOff>
    </xdr:from>
    <xdr:ext cx="2541721" cy="1831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kstfelt 138">
              <a:extLst>
                <a:ext uri="{FF2B5EF4-FFF2-40B4-BE49-F238E27FC236}">
                  <a16:creationId xmlns:a16="http://schemas.microsoft.com/office/drawing/2014/main" id="{A5BCF4FF-36D2-0B48-9A5B-DD6F2C52CFBA}"/>
                </a:ext>
              </a:extLst>
            </xdr:cNvPr>
            <xdr:cNvSpPr txBox="1"/>
          </xdr:nvSpPr>
          <xdr:spPr>
            <a:xfrm>
              <a:off x="8962865" y="15154592"/>
              <a:ext cx="2541721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+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𝑀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𝑓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da-DK" sz="1100"/>
                <a:t> er aktiv </a:t>
              </a:r>
              <a:r>
                <a:rPr lang="da-DK" sz="1100" i="1"/>
                <a:t>i</a:t>
              </a:r>
              <a:r>
                <a:rPr lang="da-DK" sz="1100" i="1" baseline="0"/>
                <a:t> </a:t>
              </a:r>
              <a:r>
                <a:rPr lang="da-DK" sz="1100" i="0" baseline="0"/>
                <a:t>rigtigt prissat</a:t>
              </a:r>
              <a:endParaRPr lang="da-DK" sz="1100"/>
            </a:p>
          </xdr:txBody>
        </xdr:sp>
      </mc:Choice>
      <mc:Fallback xmlns="">
        <xdr:sp macro="" textlink="">
          <xdr:nvSpPr>
            <xdr:cNvPr id="139" name="Tekstfelt 138">
              <a:extLst>
                <a:ext uri="{FF2B5EF4-FFF2-40B4-BE49-F238E27FC236}">
                  <a16:creationId xmlns:a16="http://schemas.microsoft.com/office/drawing/2014/main" id="{A5BCF4FF-36D2-0B48-9A5B-DD6F2C52CFBA}"/>
                </a:ext>
              </a:extLst>
            </xdr:cNvPr>
            <xdr:cNvSpPr txBox="1"/>
          </xdr:nvSpPr>
          <xdr:spPr>
            <a:xfrm>
              <a:off x="8962865" y="15154592"/>
              <a:ext cx="2541721" cy="183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𝑟_𝑖=𝑟_𝑓+𝛽_𝑖 (𝑟_𝑀−𝑟_𝑓)</a:t>
              </a:r>
              <a:r>
                <a:rPr lang="da-DK" sz="1100"/>
                <a:t> er aktiv </a:t>
              </a:r>
              <a:r>
                <a:rPr lang="da-DK" sz="1100" i="1"/>
                <a:t>i</a:t>
              </a:r>
              <a:r>
                <a:rPr lang="da-DK" sz="1100" i="1" baseline="0"/>
                <a:t> </a:t>
              </a:r>
              <a:r>
                <a:rPr lang="da-DK" sz="1100" i="0" baseline="0"/>
                <a:t>rigtigt prissat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13</xdr:col>
      <xdr:colOff>609600</xdr:colOff>
      <xdr:row>75</xdr:row>
      <xdr:rowOff>0</xdr:rowOff>
    </xdr:from>
    <xdr:ext cx="12888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kstfelt 140">
              <a:extLst>
                <a:ext uri="{FF2B5EF4-FFF2-40B4-BE49-F238E27FC236}">
                  <a16:creationId xmlns:a16="http://schemas.microsoft.com/office/drawing/2014/main" id="{7BCF91E6-989D-CD4E-AB70-9E2C4E11E7F7}"/>
                </a:ext>
              </a:extLst>
            </xdr:cNvPr>
            <xdr:cNvSpPr txBox="1"/>
          </xdr:nvSpPr>
          <xdr:spPr>
            <a:xfrm>
              <a:off x="13086080" y="14386560"/>
              <a:ext cx="12888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41" name="Tekstfelt 140">
              <a:extLst>
                <a:ext uri="{FF2B5EF4-FFF2-40B4-BE49-F238E27FC236}">
                  <a16:creationId xmlns:a16="http://schemas.microsoft.com/office/drawing/2014/main" id="{7BCF91E6-989D-CD4E-AB70-9E2C4E11E7F7}"/>
                </a:ext>
              </a:extLst>
            </xdr:cNvPr>
            <xdr:cNvSpPr txBox="1"/>
          </xdr:nvSpPr>
          <xdr:spPr>
            <a:xfrm>
              <a:off x="13086080" y="14386560"/>
              <a:ext cx="12888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𝑟_𝑖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95593</xdr:colOff>
      <xdr:row>76</xdr:row>
      <xdr:rowOff>185182</xdr:rowOff>
    </xdr:from>
    <xdr:ext cx="1615314" cy="183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kstfelt 141">
              <a:extLst>
                <a:ext uri="{FF2B5EF4-FFF2-40B4-BE49-F238E27FC236}">
                  <a16:creationId xmlns:a16="http://schemas.microsoft.com/office/drawing/2014/main" id="{3A5AC246-50AD-784C-A474-1490D7AF9DB9}"/>
                </a:ext>
              </a:extLst>
            </xdr:cNvPr>
            <xdr:cNvSpPr txBox="1"/>
          </xdr:nvSpPr>
          <xdr:spPr>
            <a:xfrm>
              <a:off x="3387433" y="14967982"/>
              <a:ext cx="1615314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𝑀𝐿</m:t>
                    </m:r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</m:t>
                    </m:r>
                    <m:sSub>
                      <m:sSubPr>
                        <m:ctrlP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sub>
                    </m:sSub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</m:t>
                        </m:r>
                      </m:sub>
                    </m:sSub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sub>
                    </m:sSub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2" name="Tekstfelt 141">
              <a:extLst>
                <a:ext uri="{FF2B5EF4-FFF2-40B4-BE49-F238E27FC236}">
                  <a16:creationId xmlns:a16="http://schemas.microsoft.com/office/drawing/2014/main" id="{3A5AC246-50AD-784C-A474-1490D7AF9DB9}"/>
                </a:ext>
              </a:extLst>
            </xdr:cNvPr>
            <xdr:cNvSpPr txBox="1"/>
          </xdr:nvSpPr>
          <xdr:spPr>
            <a:xfrm>
              <a:off x="3387433" y="14967982"/>
              <a:ext cx="1615314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𝑀𝐿:𝑟_𝑖=𝑟_𝑓+𝛽_1 (𝑟_𝑀−𝑟_𝑓)</a:t>
              </a:r>
              <a:endParaRPr lang="da-DK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4</xdr:col>
      <xdr:colOff>436880</xdr:colOff>
      <xdr:row>78</xdr:row>
      <xdr:rowOff>20320</xdr:rowOff>
    </xdr:from>
    <xdr:ext cx="27347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kstfelt 142">
              <a:extLst>
                <a:ext uri="{FF2B5EF4-FFF2-40B4-BE49-F238E27FC236}">
                  <a16:creationId xmlns:a16="http://schemas.microsoft.com/office/drawing/2014/main" id="{28D18395-4501-544B-B4B2-D7609CC5CA15}"/>
                </a:ext>
              </a:extLst>
            </xdr:cNvPr>
            <xdr:cNvSpPr txBox="1"/>
          </xdr:nvSpPr>
          <xdr:spPr>
            <a:xfrm>
              <a:off x="3728720" y="15189200"/>
              <a:ext cx="27347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43" name="Tekstfelt 142">
              <a:extLst>
                <a:ext uri="{FF2B5EF4-FFF2-40B4-BE49-F238E27FC236}">
                  <a16:creationId xmlns:a16="http://schemas.microsoft.com/office/drawing/2014/main" id="{28D18395-4501-544B-B4B2-D7609CC5CA15}"/>
                </a:ext>
              </a:extLst>
            </xdr:cNvPr>
            <xdr:cNvSpPr txBox="1"/>
          </xdr:nvSpPr>
          <xdr:spPr>
            <a:xfrm>
              <a:off x="3728720" y="15189200"/>
              <a:ext cx="27347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𝑟_𝑖=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375920</xdr:colOff>
      <xdr:row>78</xdr:row>
      <xdr:rowOff>0</xdr:rowOff>
    </xdr:from>
    <xdr:ext cx="15382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kstfelt 14">
              <a:extLst>
                <a:ext uri="{FF2B5EF4-FFF2-40B4-BE49-F238E27FC236}">
                  <a16:creationId xmlns:a16="http://schemas.microsoft.com/office/drawing/2014/main" id="{EC20E641-B7EB-214D-89CD-39DCB274BD55}"/>
                </a:ext>
              </a:extLst>
            </xdr:cNvPr>
            <xdr:cNvSpPr txBox="1"/>
          </xdr:nvSpPr>
          <xdr:spPr>
            <a:xfrm>
              <a:off x="6217920" y="15168880"/>
              <a:ext cx="1538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5" name="Tekstfelt 14">
              <a:extLst>
                <a:ext uri="{FF2B5EF4-FFF2-40B4-BE49-F238E27FC236}">
                  <a16:creationId xmlns:a16="http://schemas.microsoft.com/office/drawing/2014/main" id="{EC20E641-B7EB-214D-89CD-39DCB274BD55}"/>
                </a:ext>
              </a:extLst>
            </xdr:cNvPr>
            <xdr:cNvSpPr txBox="1"/>
          </xdr:nvSpPr>
          <xdr:spPr>
            <a:xfrm>
              <a:off x="6217920" y="15168880"/>
              <a:ext cx="1538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𝛽_𝑖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91440</xdr:colOff>
      <xdr:row>50</xdr:row>
      <xdr:rowOff>142240</xdr:rowOff>
    </xdr:from>
    <xdr:ext cx="800797" cy="2096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kstfelt 15">
              <a:extLst>
                <a:ext uri="{FF2B5EF4-FFF2-40B4-BE49-F238E27FC236}">
                  <a16:creationId xmlns:a16="http://schemas.microsoft.com/office/drawing/2014/main" id="{400D0678-3C65-2D4C-88F7-2515470456AC}"/>
                </a:ext>
              </a:extLst>
            </xdr:cNvPr>
            <xdr:cNvSpPr txBox="1"/>
          </xdr:nvSpPr>
          <xdr:spPr>
            <a:xfrm>
              <a:off x="3383280" y="9845040"/>
              <a:ext cx="800797" cy="2096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da-DK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r>
                          <m:rPr>
                            <m:nor/>
                          </m:rPr>
                          <a:rPr lang="da-DK" sz="1100" b="1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𝟙</m:t>
                        </m:r>
                      </m:e>
                      <m:sup>
                        <m:r>
                          <a:rPr lang="da-DK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𝑻</m:t>
                        </m:r>
                      </m:sup>
                    </m:sSup>
                    <m:r>
                      <a:rPr lang="da-DK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𝒘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" name="Tekstfelt 15">
              <a:extLst>
                <a:ext uri="{FF2B5EF4-FFF2-40B4-BE49-F238E27FC236}">
                  <a16:creationId xmlns:a16="http://schemas.microsoft.com/office/drawing/2014/main" id="{400D0678-3C65-2D4C-88F7-2515470456AC}"/>
                </a:ext>
              </a:extLst>
            </xdr:cNvPr>
            <xdr:cNvSpPr txBox="1"/>
          </xdr:nvSpPr>
          <xdr:spPr>
            <a:xfrm>
              <a:off x="3383280" y="9845040"/>
              <a:ext cx="800797" cy="2096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𝑤_(𝑟_𝑓 )=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〖"1-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𝟙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〗^𝑻 𝒘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447040</xdr:colOff>
      <xdr:row>59</xdr:row>
      <xdr:rowOff>0</xdr:rowOff>
    </xdr:from>
    <xdr:ext cx="196785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kstfelt 16">
              <a:extLst>
                <a:ext uri="{FF2B5EF4-FFF2-40B4-BE49-F238E27FC236}">
                  <a16:creationId xmlns:a16="http://schemas.microsoft.com/office/drawing/2014/main" id="{38201170-5217-CB48-AE70-8B29B7BAF0A3}"/>
                </a:ext>
              </a:extLst>
            </xdr:cNvPr>
            <xdr:cNvSpPr txBox="1"/>
          </xdr:nvSpPr>
          <xdr:spPr>
            <a:xfrm>
              <a:off x="6289040" y="11470640"/>
              <a:ext cx="19678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7" name="Tekstfelt 16">
              <a:extLst>
                <a:ext uri="{FF2B5EF4-FFF2-40B4-BE49-F238E27FC236}">
                  <a16:creationId xmlns:a16="http://schemas.microsoft.com/office/drawing/2014/main" id="{38201170-5217-CB48-AE70-8B29B7BAF0A3}"/>
                </a:ext>
              </a:extLst>
            </xdr:cNvPr>
            <xdr:cNvSpPr txBox="1"/>
          </xdr:nvSpPr>
          <xdr:spPr>
            <a:xfrm>
              <a:off x="6289040" y="11470640"/>
              <a:ext cx="19678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𝑤_0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415043</xdr:colOff>
      <xdr:row>62</xdr:row>
      <xdr:rowOff>12283</xdr:rowOff>
    </xdr:from>
    <xdr:ext cx="145296" cy="183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kstfelt 143">
              <a:extLst>
                <a:ext uri="{FF2B5EF4-FFF2-40B4-BE49-F238E27FC236}">
                  <a16:creationId xmlns:a16="http://schemas.microsoft.com/office/drawing/2014/main" id="{139C45B8-9069-2348-AF58-D31F0C85CC1C}"/>
                </a:ext>
              </a:extLst>
            </xdr:cNvPr>
            <xdr:cNvSpPr txBox="1"/>
          </xdr:nvSpPr>
          <xdr:spPr>
            <a:xfrm>
              <a:off x="2833123" y="12062043"/>
              <a:ext cx="145296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44" name="Tekstfelt 143">
              <a:extLst>
                <a:ext uri="{FF2B5EF4-FFF2-40B4-BE49-F238E27FC236}">
                  <a16:creationId xmlns:a16="http://schemas.microsoft.com/office/drawing/2014/main" id="{139C45B8-9069-2348-AF58-D31F0C85CC1C}"/>
                </a:ext>
              </a:extLst>
            </xdr:cNvPr>
            <xdr:cNvSpPr txBox="1"/>
          </xdr:nvSpPr>
          <xdr:spPr>
            <a:xfrm>
              <a:off x="2833123" y="12062043"/>
              <a:ext cx="145296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𝑟_𝑓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5</xdr:col>
      <xdr:colOff>50800</xdr:colOff>
      <xdr:row>62</xdr:row>
      <xdr:rowOff>0</xdr:rowOff>
    </xdr:from>
    <xdr:ext cx="848630" cy="1830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kstfelt 144">
              <a:extLst>
                <a:ext uri="{FF2B5EF4-FFF2-40B4-BE49-F238E27FC236}">
                  <a16:creationId xmlns:a16="http://schemas.microsoft.com/office/drawing/2014/main" id="{7A35CD37-6A69-7340-9EA2-1C9E2111746D}"/>
                </a:ext>
              </a:extLst>
            </xdr:cNvPr>
            <xdr:cNvSpPr txBox="1"/>
          </xdr:nvSpPr>
          <xdr:spPr>
            <a:xfrm>
              <a:off x="4216400" y="12049760"/>
              <a:ext cx="848630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𝟙</m:t>
                    </m:r>
                    <m:r>
                      <m:rPr>
                        <m:nor/>
                      </m:rPr>
                      <a:rPr lang="da-DK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45" name="Tekstfelt 144">
              <a:extLst>
                <a:ext uri="{FF2B5EF4-FFF2-40B4-BE49-F238E27FC236}">
                  <a16:creationId xmlns:a16="http://schemas.microsoft.com/office/drawing/2014/main" id="{7A35CD37-6A69-7340-9EA2-1C9E2111746D}"/>
                </a:ext>
              </a:extLst>
            </xdr:cNvPr>
            <xdr:cNvSpPr txBox="1"/>
          </xdr:nvSpPr>
          <xdr:spPr>
            <a:xfrm>
              <a:off x="4216400" y="12049760"/>
              <a:ext cx="848630" cy="1830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𝑟^𝑒=𝑟_𝑝−</a:t>
              </a:r>
              <a:r>
                <a:rPr lang="da-DK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"𝟙 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da-DK" sz="1100" b="0" i="0">
                  <a:latin typeface="Cambria Math" panose="02040503050406030204" pitchFamily="18" charset="0"/>
                </a:rPr>
                <a:t>𝑟_𝑓</a:t>
              </a:r>
              <a:endParaRPr lang="da-DK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368529</xdr:colOff>
      <xdr:row>3</xdr:row>
      <xdr:rowOff>177207</xdr:rowOff>
    </xdr:from>
    <xdr:ext cx="147476" cy="182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kstfelt 1">
              <a:extLst>
                <a:ext uri="{FF2B5EF4-FFF2-40B4-BE49-F238E27FC236}">
                  <a16:creationId xmlns:a16="http://schemas.microsoft.com/office/drawing/2014/main" id="{95D1B38B-094A-D04C-8403-92E36C1E8224}"/>
                </a:ext>
              </a:extLst>
            </xdr:cNvPr>
            <xdr:cNvSpPr txBox="1"/>
          </xdr:nvSpPr>
          <xdr:spPr>
            <a:xfrm>
              <a:off x="1191068" y="762855"/>
              <a:ext cx="147476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" name="Tekstfelt 1">
              <a:extLst>
                <a:ext uri="{FF2B5EF4-FFF2-40B4-BE49-F238E27FC236}">
                  <a16:creationId xmlns:a16="http://schemas.microsoft.com/office/drawing/2014/main" id="{95D1B38B-094A-D04C-8403-92E36C1E8224}"/>
                </a:ext>
              </a:extLst>
            </xdr:cNvPr>
            <xdr:cNvSpPr txBox="1"/>
          </xdr:nvSpPr>
          <xdr:spPr>
            <a:xfrm>
              <a:off x="1191068" y="762855"/>
              <a:ext cx="147476" cy="182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𝑟_𝑝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358330</xdr:colOff>
      <xdr:row>4</xdr:row>
      <xdr:rowOff>169180</xdr:rowOff>
    </xdr:from>
    <xdr:ext cx="29014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kstfelt 2">
              <a:extLst>
                <a:ext uri="{FF2B5EF4-FFF2-40B4-BE49-F238E27FC236}">
                  <a16:creationId xmlns:a16="http://schemas.microsoft.com/office/drawing/2014/main" id="{A19798FC-4657-A748-ACED-7F506250042F}"/>
                </a:ext>
              </a:extLst>
            </xdr:cNvPr>
            <xdr:cNvSpPr txBox="1"/>
          </xdr:nvSpPr>
          <xdr:spPr>
            <a:xfrm>
              <a:off x="1180869" y="754828"/>
              <a:ext cx="29014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3" name="Tekstfelt 2">
              <a:extLst>
                <a:ext uri="{FF2B5EF4-FFF2-40B4-BE49-F238E27FC236}">
                  <a16:creationId xmlns:a16="http://schemas.microsoft.com/office/drawing/2014/main" id="{A19798FC-4657-A748-ACED-7F506250042F}"/>
                </a:ext>
              </a:extLst>
            </xdr:cNvPr>
            <xdr:cNvSpPr txBox="1"/>
          </xdr:nvSpPr>
          <xdr:spPr>
            <a:xfrm>
              <a:off x="1180869" y="754828"/>
              <a:ext cx="29014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𝑟_1=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348756</xdr:colOff>
      <xdr:row>6</xdr:row>
      <xdr:rowOff>0</xdr:rowOff>
    </xdr:from>
    <xdr:ext cx="29341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kstfelt 3">
              <a:extLst>
                <a:ext uri="{FF2B5EF4-FFF2-40B4-BE49-F238E27FC236}">
                  <a16:creationId xmlns:a16="http://schemas.microsoft.com/office/drawing/2014/main" id="{06F59C8E-C4AC-424E-9A1A-D246F9B538FB}"/>
                </a:ext>
              </a:extLst>
            </xdr:cNvPr>
            <xdr:cNvSpPr txBox="1"/>
          </xdr:nvSpPr>
          <xdr:spPr>
            <a:xfrm>
              <a:off x="1171295" y="967306"/>
              <a:ext cx="29341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4" name="Tekstfelt 3">
              <a:extLst>
                <a:ext uri="{FF2B5EF4-FFF2-40B4-BE49-F238E27FC236}">
                  <a16:creationId xmlns:a16="http://schemas.microsoft.com/office/drawing/2014/main" id="{06F59C8E-C4AC-424E-9A1A-D246F9B538FB}"/>
                </a:ext>
              </a:extLst>
            </xdr:cNvPr>
            <xdr:cNvSpPr txBox="1"/>
          </xdr:nvSpPr>
          <xdr:spPr>
            <a:xfrm>
              <a:off x="1171295" y="967306"/>
              <a:ext cx="29341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𝑟_2=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343229</xdr:colOff>
      <xdr:row>7</xdr:row>
      <xdr:rowOff>1053</xdr:rowOff>
    </xdr:from>
    <xdr:ext cx="29341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kstfelt 4">
              <a:extLst>
                <a:ext uri="{FF2B5EF4-FFF2-40B4-BE49-F238E27FC236}">
                  <a16:creationId xmlns:a16="http://schemas.microsoft.com/office/drawing/2014/main" id="{45145C5C-9E5B-E040-9AAD-27BD33A43368}"/>
                </a:ext>
              </a:extLst>
            </xdr:cNvPr>
            <xdr:cNvSpPr txBox="1"/>
          </xdr:nvSpPr>
          <xdr:spPr>
            <a:xfrm>
              <a:off x="1165768" y="1159188"/>
              <a:ext cx="29341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5" name="Tekstfelt 4">
              <a:extLst>
                <a:ext uri="{FF2B5EF4-FFF2-40B4-BE49-F238E27FC236}">
                  <a16:creationId xmlns:a16="http://schemas.microsoft.com/office/drawing/2014/main" id="{45145C5C-9E5B-E040-9AAD-27BD33A43368}"/>
                </a:ext>
              </a:extLst>
            </xdr:cNvPr>
            <xdr:cNvSpPr txBox="1"/>
          </xdr:nvSpPr>
          <xdr:spPr>
            <a:xfrm>
              <a:off x="1165768" y="1159188"/>
              <a:ext cx="29341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𝑟_3=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365338</xdr:colOff>
      <xdr:row>4</xdr:row>
      <xdr:rowOff>29742</xdr:rowOff>
    </xdr:from>
    <xdr:ext cx="15914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kstfelt 5">
              <a:extLst>
                <a:ext uri="{FF2B5EF4-FFF2-40B4-BE49-F238E27FC236}">
                  <a16:creationId xmlns:a16="http://schemas.microsoft.com/office/drawing/2014/main" id="{55C32807-4DE1-8B43-AB57-2C84C0052F1E}"/>
                </a:ext>
              </a:extLst>
            </xdr:cNvPr>
            <xdr:cNvSpPr txBox="1"/>
          </xdr:nvSpPr>
          <xdr:spPr>
            <a:xfrm>
              <a:off x="2010416" y="806219"/>
              <a:ext cx="15914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da-DK" sz="1100" b="0" i="1">
                      <a:latin typeface="Cambria Math" panose="02040503050406030204" pitchFamily="18" charset="0"/>
                    </a:rPr>
                    <m:t>𝛼</m:t>
                  </m:r>
                </m:oMath>
              </a14:m>
              <a:r>
                <a:rPr lang="da-DK" sz="1100"/>
                <a:t>+</a:t>
              </a:r>
            </a:p>
          </xdr:txBody>
        </xdr:sp>
      </mc:Choice>
      <mc:Fallback xmlns="">
        <xdr:sp macro="" textlink="">
          <xdr:nvSpPr>
            <xdr:cNvPr id="6" name="Tekstfelt 5">
              <a:extLst>
                <a:ext uri="{FF2B5EF4-FFF2-40B4-BE49-F238E27FC236}">
                  <a16:creationId xmlns:a16="http://schemas.microsoft.com/office/drawing/2014/main" id="{55C32807-4DE1-8B43-AB57-2C84C0052F1E}"/>
                </a:ext>
              </a:extLst>
            </xdr:cNvPr>
            <xdr:cNvSpPr txBox="1"/>
          </xdr:nvSpPr>
          <xdr:spPr>
            <a:xfrm>
              <a:off x="2010416" y="806219"/>
              <a:ext cx="15914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𝛼</a:t>
              </a:r>
              <a:r>
                <a:rPr lang="da-DK" sz="1100"/>
                <a:t>+</a:t>
              </a:r>
            </a:p>
          </xdr:txBody>
        </xdr:sp>
      </mc:Fallback>
    </mc:AlternateContent>
    <xdr:clientData/>
  </xdr:oneCellAnchor>
  <xdr:oneCellAnchor>
    <xdr:from>
      <xdr:col>3</xdr:col>
      <xdr:colOff>135027</xdr:colOff>
      <xdr:row>4</xdr:row>
      <xdr:rowOff>10001</xdr:rowOff>
    </xdr:from>
    <xdr:ext cx="55252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1F76BA3B-23C5-B640-A3D7-D1E8E1E3C77C}"/>
                </a:ext>
              </a:extLst>
            </xdr:cNvPr>
            <xdr:cNvSpPr txBox="1"/>
          </xdr:nvSpPr>
          <xdr:spPr>
            <a:xfrm>
              <a:off x="2602644" y="595649"/>
              <a:ext cx="5525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+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1F76BA3B-23C5-B640-A3D7-D1E8E1E3C77C}"/>
                </a:ext>
              </a:extLst>
            </xdr:cNvPr>
            <xdr:cNvSpPr txBox="1"/>
          </xdr:nvSpPr>
          <xdr:spPr>
            <a:xfrm>
              <a:off x="2602644" y="595649"/>
              <a:ext cx="5525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𝐵_1·𝐹_1+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234786</xdr:colOff>
      <xdr:row>4</xdr:row>
      <xdr:rowOff>4474</xdr:rowOff>
    </xdr:from>
    <xdr:ext cx="422295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5C987E28-A716-3B46-A750-987102C824A4}"/>
                </a:ext>
              </a:extLst>
            </xdr:cNvPr>
            <xdr:cNvSpPr txBox="1"/>
          </xdr:nvSpPr>
          <xdr:spPr>
            <a:xfrm>
              <a:off x="3524941" y="590122"/>
              <a:ext cx="42229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5C987E28-A716-3B46-A750-987102C824A4}"/>
                </a:ext>
              </a:extLst>
            </xdr:cNvPr>
            <xdr:cNvSpPr txBox="1"/>
          </xdr:nvSpPr>
          <xdr:spPr>
            <a:xfrm>
              <a:off x="3524941" y="590122"/>
              <a:ext cx="42229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𝐵_2·𝐹_2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424561</xdr:colOff>
      <xdr:row>3</xdr:row>
      <xdr:rowOff>3421</xdr:rowOff>
    </xdr:from>
    <xdr:ext cx="52591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9C2CEDF7-ECD5-D14E-8D2A-09D7558F4004}"/>
                </a:ext>
              </a:extLst>
            </xdr:cNvPr>
            <xdr:cNvSpPr txBox="1"/>
          </xdr:nvSpPr>
          <xdr:spPr>
            <a:xfrm>
              <a:off x="1247100" y="589069"/>
              <a:ext cx="52591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𝛼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9C2CEDF7-ECD5-D14E-8D2A-09D7558F4004}"/>
                </a:ext>
              </a:extLst>
            </xdr:cNvPr>
            <xdr:cNvSpPr txBox="1"/>
          </xdr:nvSpPr>
          <xdr:spPr>
            <a:xfrm>
              <a:off x="1247100" y="589069"/>
              <a:ext cx="52591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𝛼,𝐵_1,𝐵_2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251818</xdr:colOff>
      <xdr:row>10</xdr:row>
      <xdr:rowOff>33659</xdr:rowOff>
    </xdr:from>
    <xdr:ext cx="268535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kstfelt 9">
              <a:extLst>
                <a:ext uri="{FF2B5EF4-FFF2-40B4-BE49-F238E27FC236}">
                  <a16:creationId xmlns:a16="http://schemas.microsoft.com/office/drawing/2014/main" id="{A6A58617-AB91-9548-9E7A-B2D7CA064D16}"/>
                </a:ext>
              </a:extLst>
            </xdr:cNvPr>
            <xdr:cNvSpPr txBox="1"/>
          </xdr:nvSpPr>
          <xdr:spPr>
            <a:xfrm>
              <a:off x="6033045" y="1950346"/>
              <a:ext cx="268535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" name="Tekstfelt 9">
              <a:extLst>
                <a:ext uri="{FF2B5EF4-FFF2-40B4-BE49-F238E27FC236}">
                  <a16:creationId xmlns:a16="http://schemas.microsoft.com/office/drawing/2014/main" id="{A6A58617-AB91-9548-9E7A-B2D7CA064D16}"/>
                </a:ext>
              </a:extLst>
            </xdr:cNvPr>
            <xdr:cNvSpPr txBox="1"/>
          </xdr:nvSpPr>
          <xdr:spPr>
            <a:xfrm>
              <a:off x="6033045" y="1950346"/>
              <a:ext cx="268535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𝐵^(−1)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353106</xdr:colOff>
      <xdr:row>4</xdr:row>
      <xdr:rowOff>181696</xdr:rowOff>
    </xdr:from>
    <xdr:ext cx="33695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kstfelt 10">
              <a:extLst>
                <a:ext uri="{FF2B5EF4-FFF2-40B4-BE49-F238E27FC236}">
                  <a16:creationId xmlns:a16="http://schemas.microsoft.com/office/drawing/2014/main" id="{BB19B2C7-A17A-CA4D-94BC-160B20FC12FF}"/>
                </a:ext>
              </a:extLst>
            </xdr:cNvPr>
            <xdr:cNvSpPr txBox="1"/>
          </xdr:nvSpPr>
          <xdr:spPr>
            <a:xfrm>
              <a:off x="6134333" y="1147831"/>
              <a:ext cx="33695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da-DK" sz="1100"/>
                <a:t>=N(</a:t>
              </a:r>
            </a:p>
          </xdr:txBody>
        </xdr:sp>
      </mc:Choice>
      <mc:Fallback xmlns="">
        <xdr:sp macro="" textlink="">
          <xdr:nvSpPr>
            <xdr:cNvPr id="11" name="Tekstfelt 10">
              <a:extLst>
                <a:ext uri="{FF2B5EF4-FFF2-40B4-BE49-F238E27FC236}">
                  <a16:creationId xmlns:a16="http://schemas.microsoft.com/office/drawing/2014/main" id="{BB19B2C7-A17A-CA4D-94BC-160B20FC12FF}"/>
                </a:ext>
              </a:extLst>
            </xdr:cNvPr>
            <xdr:cNvSpPr txBox="1"/>
          </xdr:nvSpPr>
          <xdr:spPr>
            <a:xfrm>
              <a:off x="6134333" y="1147831"/>
              <a:ext cx="33695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𝐹_1</a:t>
              </a:r>
              <a:r>
                <a:rPr lang="da-DK" sz="1100"/>
                <a:t>=N(</a:t>
              </a:r>
            </a:p>
          </xdr:txBody>
        </xdr:sp>
      </mc:Fallback>
    </mc:AlternateContent>
    <xdr:clientData/>
  </xdr:oneCellAnchor>
  <xdr:oneCellAnchor>
    <xdr:from>
      <xdr:col>6</xdr:col>
      <xdr:colOff>341887</xdr:colOff>
      <xdr:row>6</xdr:row>
      <xdr:rowOff>14648</xdr:rowOff>
    </xdr:from>
    <xdr:ext cx="34022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kstfelt 11">
              <a:extLst>
                <a:ext uri="{FF2B5EF4-FFF2-40B4-BE49-F238E27FC236}">
                  <a16:creationId xmlns:a16="http://schemas.microsoft.com/office/drawing/2014/main" id="{DD0AE35F-F6EF-BE4E-BBE9-CBAE6FDEE393}"/>
                </a:ext>
              </a:extLst>
            </xdr:cNvPr>
            <xdr:cNvSpPr txBox="1"/>
          </xdr:nvSpPr>
          <xdr:spPr>
            <a:xfrm>
              <a:off x="6123114" y="1354771"/>
              <a:ext cx="34022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</m:oMath>
              </a14:m>
              <a:r>
                <a:rPr lang="da-DK" sz="1100"/>
                <a:t>=N(</a:t>
              </a:r>
            </a:p>
          </xdr:txBody>
        </xdr:sp>
      </mc:Choice>
      <mc:Fallback xmlns="">
        <xdr:sp macro="" textlink="">
          <xdr:nvSpPr>
            <xdr:cNvPr id="12" name="Tekstfelt 11">
              <a:extLst>
                <a:ext uri="{FF2B5EF4-FFF2-40B4-BE49-F238E27FC236}">
                  <a16:creationId xmlns:a16="http://schemas.microsoft.com/office/drawing/2014/main" id="{DD0AE35F-F6EF-BE4E-BBE9-CBAE6FDEE393}"/>
                </a:ext>
              </a:extLst>
            </xdr:cNvPr>
            <xdr:cNvSpPr txBox="1"/>
          </xdr:nvSpPr>
          <xdr:spPr>
            <a:xfrm>
              <a:off x="6123114" y="1354771"/>
              <a:ext cx="34022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𝐹_2</a:t>
              </a:r>
              <a:r>
                <a:rPr lang="da-DK" sz="1100"/>
                <a:t>=N(</a:t>
              </a:r>
            </a:p>
          </xdr:txBody>
        </xdr:sp>
      </mc:Fallback>
    </mc:AlternateContent>
    <xdr:clientData/>
  </xdr:oneCellAnchor>
  <xdr:oneCellAnchor>
    <xdr:from>
      <xdr:col>8</xdr:col>
      <xdr:colOff>18075</xdr:colOff>
      <xdr:row>5</xdr:row>
      <xdr:rowOff>49241</xdr:rowOff>
    </xdr:from>
    <xdr:ext cx="6078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kstfelt 12">
              <a:extLst>
                <a:ext uri="{FF2B5EF4-FFF2-40B4-BE49-F238E27FC236}">
                  <a16:creationId xmlns:a16="http://schemas.microsoft.com/office/drawing/2014/main" id="{4DD2ED3D-8D23-B644-900F-C3C0B6905A48}"/>
                </a:ext>
              </a:extLst>
            </xdr:cNvPr>
            <xdr:cNvSpPr txBox="1"/>
          </xdr:nvSpPr>
          <xdr:spPr>
            <a:xfrm>
              <a:off x="7451081" y="1202370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" name="Tekstfelt 12">
              <a:extLst>
                <a:ext uri="{FF2B5EF4-FFF2-40B4-BE49-F238E27FC236}">
                  <a16:creationId xmlns:a16="http://schemas.microsoft.com/office/drawing/2014/main" id="{4DD2ED3D-8D23-B644-900F-C3C0B6905A48}"/>
                </a:ext>
              </a:extLst>
            </xdr:cNvPr>
            <xdr:cNvSpPr txBox="1"/>
          </xdr:nvSpPr>
          <xdr:spPr>
            <a:xfrm>
              <a:off x="7451081" y="1202370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,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9</xdr:col>
      <xdr:colOff>25867</xdr:colOff>
      <xdr:row>4</xdr:row>
      <xdr:rowOff>181695</xdr:rowOff>
    </xdr:from>
    <xdr:ext cx="9040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kstfelt 14">
              <a:extLst>
                <a:ext uri="{FF2B5EF4-FFF2-40B4-BE49-F238E27FC236}">
                  <a16:creationId xmlns:a16="http://schemas.microsoft.com/office/drawing/2014/main" id="{92DB5421-A6C0-744A-8199-0D5C0EA063FA}"/>
                </a:ext>
              </a:extLst>
            </xdr:cNvPr>
            <xdr:cNvSpPr txBox="1"/>
          </xdr:nvSpPr>
          <xdr:spPr>
            <a:xfrm>
              <a:off x="8284763" y="1147830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5" name="Tekstfelt 14">
              <a:extLst>
                <a:ext uri="{FF2B5EF4-FFF2-40B4-BE49-F238E27FC236}">
                  <a16:creationId xmlns:a16="http://schemas.microsoft.com/office/drawing/2014/main" id="{92DB5421-A6C0-744A-8199-0D5C0EA063FA}"/>
                </a:ext>
              </a:extLst>
            </xdr:cNvPr>
            <xdr:cNvSpPr txBox="1"/>
          </xdr:nvSpPr>
          <xdr:spPr>
            <a:xfrm>
              <a:off x="8284763" y="1147830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8</xdr:col>
      <xdr:colOff>3975</xdr:colOff>
      <xdr:row>6</xdr:row>
      <xdr:rowOff>29380</xdr:rowOff>
    </xdr:from>
    <xdr:ext cx="6078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kstfelt 15">
              <a:extLst>
                <a:ext uri="{FF2B5EF4-FFF2-40B4-BE49-F238E27FC236}">
                  <a16:creationId xmlns:a16="http://schemas.microsoft.com/office/drawing/2014/main" id="{26D52228-3AAE-EF42-86E2-E67B5FC38BAA}"/>
                </a:ext>
              </a:extLst>
            </xdr:cNvPr>
            <xdr:cNvSpPr txBox="1"/>
          </xdr:nvSpPr>
          <xdr:spPr>
            <a:xfrm>
              <a:off x="7399857" y="1406103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" name="Tekstfelt 15">
              <a:extLst>
                <a:ext uri="{FF2B5EF4-FFF2-40B4-BE49-F238E27FC236}">
                  <a16:creationId xmlns:a16="http://schemas.microsoft.com/office/drawing/2014/main" id="{26D52228-3AAE-EF42-86E2-E67B5FC38BAA}"/>
                </a:ext>
              </a:extLst>
            </xdr:cNvPr>
            <xdr:cNvSpPr txBox="1"/>
          </xdr:nvSpPr>
          <xdr:spPr>
            <a:xfrm>
              <a:off x="7399857" y="1406103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,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9</xdr:col>
      <xdr:colOff>30230</xdr:colOff>
      <xdr:row>6</xdr:row>
      <xdr:rowOff>38021</xdr:rowOff>
    </xdr:from>
    <xdr:ext cx="9040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kstfelt 16">
              <a:extLst>
                <a:ext uri="{FF2B5EF4-FFF2-40B4-BE49-F238E27FC236}">
                  <a16:creationId xmlns:a16="http://schemas.microsoft.com/office/drawing/2014/main" id="{6721DD42-E77B-1542-8E75-43CC340E86FF}"/>
                </a:ext>
              </a:extLst>
            </xdr:cNvPr>
            <xdr:cNvSpPr txBox="1"/>
          </xdr:nvSpPr>
          <xdr:spPr>
            <a:xfrm>
              <a:off x="8289126" y="1378144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7" name="Tekstfelt 16">
              <a:extLst>
                <a:ext uri="{FF2B5EF4-FFF2-40B4-BE49-F238E27FC236}">
                  <a16:creationId xmlns:a16="http://schemas.microsoft.com/office/drawing/2014/main" id="{6721DD42-E77B-1542-8E75-43CC340E86FF}"/>
                </a:ext>
              </a:extLst>
            </xdr:cNvPr>
            <xdr:cNvSpPr txBox="1"/>
          </xdr:nvSpPr>
          <xdr:spPr>
            <a:xfrm>
              <a:off x="8289126" y="1378144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5</xdr:col>
      <xdr:colOff>766050</xdr:colOff>
      <xdr:row>7</xdr:row>
      <xdr:rowOff>2493</xdr:rowOff>
    </xdr:from>
    <xdr:ext cx="85510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kstfelt 17">
              <a:extLst>
                <a:ext uri="{FF2B5EF4-FFF2-40B4-BE49-F238E27FC236}">
                  <a16:creationId xmlns:a16="http://schemas.microsoft.com/office/drawing/2014/main" id="{69357E69-28A3-6942-8B88-D1682E41C883}"/>
                </a:ext>
              </a:extLst>
            </xdr:cNvPr>
            <xdr:cNvSpPr txBox="1"/>
          </xdr:nvSpPr>
          <xdr:spPr>
            <a:xfrm>
              <a:off x="5721387" y="1545192"/>
              <a:ext cx="85510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𝐶𝑜𝑣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8" name="Tekstfelt 17">
              <a:extLst>
                <a:ext uri="{FF2B5EF4-FFF2-40B4-BE49-F238E27FC236}">
                  <a16:creationId xmlns:a16="http://schemas.microsoft.com/office/drawing/2014/main" id="{69357E69-28A3-6942-8B88-D1682E41C883}"/>
                </a:ext>
              </a:extLst>
            </xdr:cNvPr>
            <xdr:cNvSpPr txBox="1"/>
          </xdr:nvSpPr>
          <xdr:spPr>
            <a:xfrm>
              <a:off x="5721387" y="1545192"/>
              <a:ext cx="85510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𝐶𝑜𝑣(𝐹_1,𝐹_2 )=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24851</xdr:colOff>
      <xdr:row>15</xdr:row>
      <xdr:rowOff>94286</xdr:rowOff>
    </xdr:from>
    <xdr:ext cx="5134995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kstfelt 18">
              <a:extLst>
                <a:ext uri="{FF2B5EF4-FFF2-40B4-BE49-F238E27FC236}">
                  <a16:creationId xmlns:a16="http://schemas.microsoft.com/office/drawing/2014/main" id="{E8A903A5-7A7A-C941-A8C2-DC154FC80012}"/>
                </a:ext>
              </a:extLst>
            </xdr:cNvPr>
            <xdr:cNvSpPr txBox="1"/>
          </xdr:nvSpPr>
          <xdr:spPr>
            <a:xfrm>
              <a:off x="2490145" y="3071849"/>
              <a:ext cx="513499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𝑐𝑜𝑣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,1</m:t>
                        </m:r>
                      </m:sub>
                    </m:sSub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,1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𝑣𝑎𝑟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,2</m:t>
                        </m:r>
                      </m:sub>
                    </m:sSub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,2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𝑣𝑎𝑟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,1</m:t>
                            </m:r>
                          </m:sub>
                        </m:sSub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,2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,2</m:t>
                            </m:r>
                          </m:sub>
                        </m:sSub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,1</m:t>
                            </m:r>
                          </m:sub>
                        </m:sSub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𝑐𝑜𝑣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 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9" name="Tekstfelt 18">
              <a:extLst>
                <a:ext uri="{FF2B5EF4-FFF2-40B4-BE49-F238E27FC236}">
                  <a16:creationId xmlns:a16="http://schemas.microsoft.com/office/drawing/2014/main" id="{E8A903A5-7A7A-C941-A8C2-DC154FC80012}"/>
                </a:ext>
              </a:extLst>
            </xdr:cNvPr>
            <xdr:cNvSpPr txBox="1"/>
          </xdr:nvSpPr>
          <xdr:spPr>
            <a:xfrm>
              <a:off x="2490145" y="3071849"/>
              <a:ext cx="513499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𝑐𝑜𝑣(𝑟_𝑖,𝑟_𝑗 )=𝐵_(𝑖,1) 𝐵_(𝑗,1)·𝑣𝑎𝑟(𝐹_1 )+𝐵_(𝑖,2) 𝐵_(𝑗,2)·𝑣𝑎𝑟(𝐹_2 )+(𝐵_(𝑖,1) 𝐵_(𝑗,2)+𝐵_(𝑖,2) 𝐵_(𝑗,1) )·𝑐𝑜𝑣(𝐹_1,𝐹_2  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251818</xdr:colOff>
      <xdr:row>19</xdr:row>
      <xdr:rowOff>21972</xdr:rowOff>
    </xdr:from>
    <xdr:ext cx="25372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kstfelt 19">
              <a:extLst>
                <a:ext uri="{FF2B5EF4-FFF2-40B4-BE49-F238E27FC236}">
                  <a16:creationId xmlns:a16="http://schemas.microsoft.com/office/drawing/2014/main" id="{155B56D0-43E4-C345-BBE5-8962F9F99D9E}"/>
                </a:ext>
              </a:extLst>
            </xdr:cNvPr>
            <xdr:cNvSpPr txBox="1"/>
          </xdr:nvSpPr>
          <xdr:spPr>
            <a:xfrm>
              <a:off x="2729487" y="3683935"/>
              <a:ext cx="2537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da-DK" sz="1100" b="0" i="0">
                        <a:latin typeface="Cambria Math" panose="02040503050406030204" pitchFamily="18" charset="0"/>
                      </a:rPr>
                      <m:t>Σ</m:t>
                    </m:r>
                    <m:r>
                      <a:rPr lang="da-DK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0" name="Tekstfelt 19">
              <a:extLst>
                <a:ext uri="{FF2B5EF4-FFF2-40B4-BE49-F238E27FC236}">
                  <a16:creationId xmlns:a16="http://schemas.microsoft.com/office/drawing/2014/main" id="{155B56D0-43E4-C345-BBE5-8962F9F99D9E}"/>
                </a:ext>
              </a:extLst>
            </xdr:cNvPr>
            <xdr:cNvSpPr txBox="1"/>
          </xdr:nvSpPr>
          <xdr:spPr>
            <a:xfrm>
              <a:off x="2729487" y="3683935"/>
              <a:ext cx="2537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Σ=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</xdr:col>
      <xdr:colOff>172531</xdr:colOff>
      <xdr:row>23</xdr:row>
      <xdr:rowOff>40436</xdr:rowOff>
    </xdr:from>
    <xdr:ext cx="1397562" cy="5449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kstfelt 20">
              <a:extLst>
                <a:ext uri="{FF2B5EF4-FFF2-40B4-BE49-F238E27FC236}">
                  <a16:creationId xmlns:a16="http://schemas.microsoft.com/office/drawing/2014/main" id="{9C2A4E9D-D731-2A43-AD65-A98E5F2B8315}"/>
                </a:ext>
              </a:extLst>
            </xdr:cNvPr>
            <xdr:cNvSpPr txBox="1"/>
          </xdr:nvSpPr>
          <xdr:spPr>
            <a:xfrm>
              <a:off x="994296" y="4597495"/>
              <a:ext cx="1397562" cy="544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da-DK" sz="1100" i="1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𝜆</m:t>
                                  </m:r>
                                </m:e>
                                <m:sub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sub>
                              </m:sSub>
                              <m:r>
                                <a:rPr lang="da-DK" sz="1100" b="0" i="1">
                                  <a:latin typeface="Cambria Math" panose="02040503050406030204" pitchFamily="18" charset="0"/>
                                </a:rPr>
                                <m:t>=</m:t>
                              </m:r>
                              <m:sSub>
                                <m:sSubPr>
                                  <m:ctrlP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𝑟</m:t>
                                  </m:r>
                                </m:e>
                                <m:sub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𝑓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𝜆</m:t>
                                  </m:r>
                                </m:e>
                                <m:sub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𝜆</m:t>
                                  </m:r>
                                </m:e>
                                <m:sub>
                                  <m:r>
                                    <a:rPr lang="da-DK" sz="1100" b="0" i="1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1" name="Tekstfelt 20">
              <a:extLst>
                <a:ext uri="{FF2B5EF4-FFF2-40B4-BE49-F238E27FC236}">
                  <a16:creationId xmlns:a16="http://schemas.microsoft.com/office/drawing/2014/main" id="{9C2A4E9D-D731-2A43-AD65-A98E5F2B8315}"/>
                </a:ext>
              </a:extLst>
            </xdr:cNvPr>
            <xdr:cNvSpPr txBox="1"/>
          </xdr:nvSpPr>
          <xdr:spPr>
            <a:xfrm>
              <a:off x="994296" y="4597495"/>
              <a:ext cx="1397562" cy="5449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(■8(𝜆_0=𝑟_𝑓@𝜆_1@𝜆_2 ))=𝐵^(−1)·𝑟=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9</xdr:col>
      <xdr:colOff>236236</xdr:colOff>
      <xdr:row>6</xdr:row>
      <xdr:rowOff>6389</xdr:rowOff>
    </xdr:from>
    <xdr:ext cx="24660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kstfelt 21">
              <a:extLst>
                <a:ext uri="{FF2B5EF4-FFF2-40B4-BE49-F238E27FC236}">
                  <a16:creationId xmlns:a16="http://schemas.microsoft.com/office/drawing/2014/main" id="{453CD5A2-79AF-9946-89D7-54333313B504}"/>
                </a:ext>
              </a:extLst>
            </xdr:cNvPr>
            <xdr:cNvSpPr txBox="1"/>
          </xdr:nvSpPr>
          <xdr:spPr>
            <a:xfrm>
              <a:off x="9321021" y="1346512"/>
              <a:ext cx="24660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</m:acc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2" name="Tekstfelt 21">
              <a:extLst>
                <a:ext uri="{FF2B5EF4-FFF2-40B4-BE49-F238E27FC236}">
                  <a16:creationId xmlns:a16="http://schemas.microsoft.com/office/drawing/2014/main" id="{453CD5A2-79AF-9946-89D7-54333313B504}"/>
                </a:ext>
              </a:extLst>
            </xdr:cNvPr>
            <xdr:cNvSpPr txBox="1"/>
          </xdr:nvSpPr>
          <xdr:spPr>
            <a:xfrm>
              <a:off x="9321021" y="1346512"/>
              <a:ext cx="24660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𝑟 ̅=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6</xdr:col>
      <xdr:colOff>183136</xdr:colOff>
      <xdr:row>24</xdr:row>
      <xdr:rowOff>17716</xdr:rowOff>
    </xdr:from>
    <xdr:ext cx="142474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kstfelt 22">
              <a:extLst>
                <a:ext uri="{FF2B5EF4-FFF2-40B4-BE49-F238E27FC236}">
                  <a16:creationId xmlns:a16="http://schemas.microsoft.com/office/drawing/2014/main" id="{1B9A75EA-5618-5748-A001-6230FFBE56AB}"/>
                </a:ext>
              </a:extLst>
            </xdr:cNvPr>
            <xdr:cNvSpPr txBox="1"/>
          </xdr:nvSpPr>
          <xdr:spPr>
            <a:xfrm>
              <a:off x="5113724" y="4766876"/>
              <a:ext cx="142474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𝛼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</m:acc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3" name="Tekstfelt 22">
              <a:extLst>
                <a:ext uri="{FF2B5EF4-FFF2-40B4-BE49-F238E27FC236}">
                  <a16:creationId xmlns:a16="http://schemas.microsoft.com/office/drawing/2014/main" id="{1B9A75EA-5618-5748-A001-6230FFBE56AB}"/>
                </a:ext>
              </a:extLst>
            </xdr:cNvPr>
            <xdr:cNvSpPr txBox="1"/>
          </xdr:nvSpPr>
          <xdr:spPr>
            <a:xfrm>
              <a:off x="5113724" y="4766876"/>
              <a:ext cx="142474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𝛼=𝑟 ̅−𝐵_1 𝐹_1−𝐵_2 𝐹_2=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353106</xdr:colOff>
      <xdr:row>29</xdr:row>
      <xdr:rowOff>181696</xdr:rowOff>
    </xdr:from>
    <xdr:ext cx="41338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kstfelt 23">
              <a:extLst>
                <a:ext uri="{FF2B5EF4-FFF2-40B4-BE49-F238E27FC236}">
                  <a16:creationId xmlns:a16="http://schemas.microsoft.com/office/drawing/2014/main" id="{E2AADC88-5B3A-FF42-B488-F62D1E2E2E29}"/>
                </a:ext>
              </a:extLst>
            </xdr:cNvPr>
            <xdr:cNvSpPr txBox="1"/>
          </xdr:nvSpPr>
          <xdr:spPr>
            <a:xfrm>
              <a:off x="1996635" y="5912704"/>
              <a:ext cx="41338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</m:oMath>
              </a14:m>
              <a:r>
                <a:rPr lang="da-DK" sz="1100"/>
                <a:t>=   N(</a:t>
              </a:r>
            </a:p>
          </xdr:txBody>
        </xdr:sp>
      </mc:Choice>
      <mc:Fallback xmlns="">
        <xdr:sp macro="" textlink="">
          <xdr:nvSpPr>
            <xdr:cNvPr id="24" name="Tekstfelt 23">
              <a:extLst>
                <a:ext uri="{FF2B5EF4-FFF2-40B4-BE49-F238E27FC236}">
                  <a16:creationId xmlns:a16="http://schemas.microsoft.com/office/drawing/2014/main" id="{E2AADC88-5B3A-FF42-B488-F62D1E2E2E29}"/>
                </a:ext>
              </a:extLst>
            </xdr:cNvPr>
            <xdr:cNvSpPr txBox="1"/>
          </xdr:nvSpPr>
          <xdr:spPr>
            <a:xfrm>
              <a:off x="1996635" y="5912704"/>
              <a:ext cx="41338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𝑟_1</a:t>
              </a:r>
              <a:r>
                <a:rPr lang="da-DK" sz="1100"/>
                <a:t>=   N(</a:t>
              </a:r>
            </a:p>
          </xdr:txBody>
        </xdr:sp>
      </mc:Fallback>
    </mc:AlternateContent>
    <xdr:clientData/>
  </xdr:oneCellAnchor>
  <xdr:oneCellAnchor>
    <xdr:from>
      <xdr:col>4</xdr:col>
      <xdr:colOff>18075</xdr:colOff>
      <xdr:row>30</xdr:row>
      <xdr:rowOff>49241</xdr:rowOff>
    </xdr:from>
    <xdr:ext cx="6078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kstfelt 24">
              <a:extLst>
                <a:ext uri="{FF2B5EF4-FFF2-40B4-BE49-F238E27FC236}">
                  <a16:creationId xmlns:a16="http://schemas.microsoft.com/office/drawing/2014/main" id="{4286E407-8909-9846-9241-334B7860D2DB}"/>
                </a:ext>
              </a:extLst>
            </xdr:cNvPr>
            <xdr:cNvSpPr txBox="1"/>
          </xdr:nvSpPr>
          <xdr:spPr>
            <a:xfrm>
              <a:off x="7413957" y="1233863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5" name="Tekstfelt 24">
              <a:extLst>
                <a:ext uri="{FF2B5EF4-FFF2-40B4-BE49-F238E27FC236}">
                  <a16:creationId xmlns:a16="http://schemas.microsoft.com/office/drawing/2014/main" id="{4286E407-8909-9846-9241-334B7860D2DB}"/>
                </a:ext>
              </a:extLst>
            </xdr:cNvPr>
            <xdr:cNvSpPr txBox="1"/>
          </xdr:nvSpPr>
          <xdr:spPr>
            <a:xfrm>
              <a:off x="7413957" y="1233863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,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5</xdr:col>
      <xdr:colOff>25867</xdr:colOff>
      <xdr:row>29</xdr:row>
      <xdr:rowOff>181695</xdr:rowOff>
    </xdr:from>
    <xdr:ext cx="9040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kstfelt 25">
              <a:extLst>
                <a:ext uri="{FF2B5EF4-FFF2-40B4-BE49-F238E27FC236}">
                  <a16:creationId xmlns:a16="http://schemas.microsoft.com/office/drawing/2014/main" id="{437C33E3-3262-0949-9A3A-0B5CB3BBBDD1}"/>
                </a:ext>
              </a:extLst>
            </xdr:cNvPr>
            <xdr:cNvSpPr txBox="1"/>
          </xdr:nvSpPr>
          <xdr:spPr>
            <a:xfrm>
              <a:off x="8243514" y="1163544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6" name="Tekstfelt 25">
              <a:extLst>
                <a:ext uri="{FF2B5EF4-FFF2-40B4-BE49-F238E27FC236}">
                  <a16:creationId xmlns:a16="http://schemas.microsoft.com/office/drawing/2014/main" id="{437C33E3-3262-0949-9A3A-0B5CB3BBBDD1}"/>
                </a:ext>
              </a:extLst>
            </xdr:cNvPr>
            <xdr:cNvSpPr txBox="1"/>
          </xdr:nvSpPr>
          <xdr:spPr>
            <a:xfrm>
              <a:off x="8243514" y="1163544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353106</xdr:colOff>
      <xdr:row>30</xdr:row>
      <xdr:rowOff>181696</xdr:rowOff>
    </xdr:from>
    <xdr:ext cx="41665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kstfelt 26">
              <a:extLst>
                <a:ext uri="{FF2B5EF4-FFF2-40B4-BE49-F238E27FC236}">
                  <a16:creationId xmlns:a16="http://schemas.microsoft.com/office/drawing/2014/main" id="{F732BE91-BB7A-3748-A9CF-D742966C9DDA}"/>
                </a:ext>
              </a:extLst>
            </xdr:cNvPr>
            <xdr:cNvSpPr txBox="1"/>
          </xdr:nvSpPr>
          <xdr:spPr>
            <a:xfrm>
              <a:off x="1996635" y="6104805"/>
              <a:ext cx="4166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</m:oMath>
              </a14:m>
              <a:r>
                <a:rPr lang="da-DK" sz="1100"/>
                <a:t>=   N(</a:t>
              </a:r>
            </a:p>
          </xdr:txBody>
        </xdr:sp>
      </mc:Choice>
      <mc:Fallback xmlns="">
        <xdr:sp macro="" textlink="">
          <xdr:nvSpPr>
            <xdr:cNvPr id="27" name="Tekstfelt 26">
              <a:extLst>
                <a:ext uri="{FF2B5EF4-FFF2-40B4-BE49-F238E27FC236}">
                  <a16:creationId xmlns:a16="http://schemas.microsoft.com/office/drawing/2014/main" id="{F732BE91-BB7A-3748-A9CF-D742966C9DDA}"/>
                </a:ext>
              </a:extLst>
            </xdr:cNvPr>
            <xdr:cNvSpPr txBox="1"/>
          </xdr:nvSpPr>
          <xdr:spPr>
            <a:xfrm>
              <a:off x="1996635" y="6104805"/>
              <a:ext cx="4166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𝑟_2</a:t>
              </a:r>
              <a:r>
                <a:rPr lang="da-DK" sz="1100"/>
                <a:t>=   N(</a:t>
              </a:r>
            </a:p>
          </xdr:txBody>
        </xdr:sp>
      </mc:Fallback>
    </mc:AlternateContent>
    <xdr:clientData/>
  </xdr:oneCellAnchor>
  <xdr:oneCellAnchor>
    <xdr:from>
      <xdr:col>4</xdr:col>
      <xdr:colOff>18075</xdr:colOff>
      <xdr:row>31</xdr:row>
      <xdr:rowOff>49241</xdr:rowOff>
    </xdr:from>
    <xdr:ext cx="6078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kstfelt 27">
              <a:extLst>
                <a:ext uri="{FF2B5EF4-FFF2-40B4-BE49-F238E27FC236}">
                  <a16:creationId xmlns:a16="http://schemas.microsoft.com/office/drawing/2014/main" id="{CBE9AC92-4E22-B94D-90EF-1AD04A755267}"/>
                </a:ext>
              </a:extLst>
            </xdr:cNvPr>
            <xdr:cNvSpPr txBox="1"/>
          </xdr:nvSpPr>
          <xdr:spPr>
            <a:xfrm>
              <a:off x="3305134" y="5972350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8" name="Tekstfelt 27">
              <a:extLst>
                <a:ext uri="{FF2B5EF4-FFF2-40B4-BE49-F238E27FC236}">
                  <a16:creationId xmlns:a16="http://schemas.microsoft.com/office/drawing/2014/main" id="{CBE9AC92-4E22-B94D-90EF-1AD04A755267}"/>
                </a:ext>
              </a:extLst>
            </xdr:cNvPr>
            <xdr:cNvSpPr txBox="1"/>
          </xdr:nvSpPr>
          <xdr:spPr>
            <a:xfrm>
              <a:off x="3305134" y="5972350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,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5</xdr:col>
      <xdr:colOff>25867</xdr:colOff>
      <xdr:row>30</xdr:row>
      <xdr:rowOff>181695</xdr:rowOff>
    </xdr:from>
    <xdr:ext cx="9040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kstfelt 28">
              <a:extLst>
                <a:ext uri="{FF2B5EF4-FFF2-40B4-BE49-F238E27FC236}">
                  <a16:creationId xmlns:a16="http://schemas.microsoft.com/office/drawing/2014/main" id="{FF5BBF6E-8E97-784E-A300-A2B09A478A3D}"/>
                </a:ext>
              </a:extLst>
            </xdr:cNvPr>
            <xdr:cNvSpPr txBox="1"/>
          </xdr:nvSpPr>
          <xdr:spPr>
            <a:xfrm>
              <a:off x="4134691" y="5912703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9" name="Tekstfelt 28">
              <a:extLst>
                <a:ext uri="{FF2B5EF4-FFF2-40B4-BE49-F238E27FC236}">
                  <a16:creationId xmlns:a16="http://schemas.microsoft.com/office/drawing/2014/main" id="{FF5BBF6E-8E97-784E-A300-A2B09A478A3D}"/>
                </a:ext>
              </a:extLst>
            </xdr:cNvPr>
            <xdr:cNvSpPr txBox="1"/>
          </xdr:nvSpPr>
          <xdr:spPr>
            <a:xfrm>
              <a:off x="4134691" y="5912703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2</xdr:col>
      <xdr:colOff>353106</xdr:colOff>
      <xdr:row>31</xdr:row>
      <xdr:rowOff>181696</xdr:rowOff>
    </xdr:from>
    <xdr:ext cx="41665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kstfelt 29">
              <a:extLst>
                <a:ext uri="{FF2B5EF4-FFF2-40B4-BE49-F238E27FC236}">
                  <a16:creationId xmlns:a16="http://schemas.microsoft.com/office/drawing/2014/main" id="{0C8FFF18-BEA5-F24E-B5A4-54E827699BE8}"/>
                </a:ext>
              </a:extLst>
            </xdr:cNvPr>
            <xdr:cNvSpPr txBox="1"/>
          </xdr:nvSpPr>
          <xdr:spPr>
            <a:xfrm>
              <a:off x="1996635" y="6296906"/>
              <a:ext cx="4166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</m:oMath>
              </a14:m>
              <a:r>
                <a:rPr lang="da-DK" sz="1100"/>
                <a:t>=   N(</a:t>
              </a:r>
            </a:p>
          </xdr:txBody>
        </xdr:sp>
      </mc:Choice>
      <mc:Fallback xmlns="">
        <xdr:sp macro="" textlink="">
          <xdr:nvSpPr>
            <xdr:cNvPr id="30" name="Tekstfelt 29">
              <a:extLst>
                <a:ext uri="{FF2B5EF4-FFF2-40B4-BE49-F238E27FC236}">
                  <a16:creationId xmlns:a16="http://schemas.microsoft.com/office/drawing/2014/main" id="{0C8FFF18-BEA5-F24E-B5A4-54E827699BE8}"/>
                </a:ext>
              </a:extLst>
            </xdr:cNvPr>
            <xdr:cNvSpPr txBox="1"/>
          </xdr:nvSpPr>
          <xdr:spPr>
            <a:xfrm>
              <a:off x="1996635" y="6296906"/>
              <a:ext cx="4166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𝑟_3</a:t>
              </a:r>
              <a:r>
                <a:rPr lang="da-DK" sz="1100"/>
                <a:t>=   N(</a:t>
              </a:r>
            </a:p>
          </xdr:txBody>
        </xdr:sp>
      </mc:Fallback>
    </mc:AlternateContent>
    <xdr:clientData/>
  </xdr:oneCellAnchor>
  <xdr:oneCellAnchor>
    <xdr:from>
      <xdr:col>4</xdr:col>
      <xdr:colOff>18075</xdr:colOff>
      <xdr:row>32</xdr:row>
      <xdr:rowOff>49241</xdr:rowOff>
    </xdr:from>
    <xdr:ext cx="6078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kstfelt 30">
              <a:extLst>
                <a:ext uri="{FF2B5EF4-FFF2-40B4-BE49-F238E27FC236}">
                  <a16:creationId xmlns:a16="http://schemas.microsoft.com/office/drawing/2014/main" id="{9E648399-FD4E-E84C-AEB0-539AEC9A9DBE}"/>
                </a:ext>
              </a:extLst>
            </xdr:cNvPr>
            <xdr:cNvSpPr txBox="1"/>
          </xdr:nvSpPr>
          <xdr:spPr>
            <a:xfrm>
              <a:off x="3305134" y="5972350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,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31" name="Tekstfelt 30">
              <a:extLst>
                <a:ext uri="{FF2B5EF4-FFF2-40B4-BE49-F238E27FC236}">
                  <a16:creationId xmlns:a16="http://schemas.microsoft.com/office/drawing/2014/main" id="{9E648399-FD4E-E84C-AEB0-539AEC9A9DBE}"/>
                </a:ext>
              </a:extLst>
            </xdr:cNvPr>
            <xdr:cNvSpPr txBox="1"/>
          </xdr:nvSpPr>
          <xdr:spPr>
            <a:xfrm>
              <a:off x="3305134" y="5972350"/>
              <a:ext cx="607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,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5</xdr:col>
      <xdr:colOff>25867</xdr:colOff>
      <xdr:row>31</xdr:row>
      <xdr:rowOff>181695</xdr:rowOff>
    </xdr:from>
    <xdr:ext cx="9040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kstfelt 31">
              <a:extLst>
                <a:ext uri="{FF2B5EF4-FFF2-40B4-BE49-F238E27FC236}">
                  <a16:creationId xmlns:a16="http://schemas.microsoft.com/office/drawing/2014/main" id="{870EA767-30B0-7C4F-AA4C-9E50A97B5D5C}"/>
                </a:ext>
              </a:extLst>
            </xdr:cNvPr>
            <xdr:cNvSpPr txBox="1"/>
          </xdr:nvSpPr>
          <xdr:spPr>
            <a:xfrm>
              <a:off x="4134691" y="5912703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32" name="Tekstfelt 31">
              <a:extLst>
                <a:ext uri="{FF2B5EF4-FFF2-40B4-BE49-F238E27FC236}">
                  <a16:creationId xmlns:a16="http://schemas.microsoft.com/office/drawing/2014/main" id="{870EA767-30B0-7C4F-AA4C-9E50A97B5D5C}"/>
                </a:ext>
              </a:extLst>
            </xdr:cNvPr>
            <xdr:cNvSpPr txBox="1"/>
          </xdr:nvSpPr>
          <xdr:spPr>
            <a:xfrm>
              <a:off x="4134691" y="5912703"/>
              <a:ext cx="9040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5</xdr:col>
      <xdr:colOff>25867</xdr:colOff>
      <xdr:row>32</xdr:row>
      <xdr:rowOff>181695</xdr:rowOff>
    </xdr:from>
    <xdr:ext cx="65" cy="172098"/>
    <xdr:sp macro="" textlink="">
      <xdr:nvSpPr>
        <xdr:cNvPr id="34" name="Tekstfelt 33">
          <a:extLst>
            <a:ext uri="{FF2B5EF4-FFF2-40B4-BE49-F238E27FC236}">
              <a16:creationId xmlns:a16="http://schemas.microsoft.com/office/drawing/2014/main" id="{B0A0C419-3187-D44E-9049-9D3644A9B47D}"/>
            </a:ext>
          </a:extLst>
        </xdr:cNvPr>
        <xdr:cNvSpPr txBox="1"/>
      </xdr:nvSpPr>
      <xdr:spPr>
        <a:xfrm>
          <a:off x="4134691" y="6489006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7</xdr:col>
      <xdr:colOff>620699</xdr:colOff>
      <xdr:row>16</xdr:row>
      <xdr:rowOff>145784</xdr:rowOff>
    </xdr:from>
    <xdr:ext cx="851515" cy="316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kstfelt 34">
              <a:extLst>
                <a:ext uri="{FF2B5EF4-FFF2-40B4-BE49-F238E27FC236}">
                  <a16:creationId xmlns:a16="http://schemas.microsoft.com/office/drawing/2014/main" id="{A20834CF-A6F6-564A-848E-BC3B49DCB829}"/>
                </a:ext>
              </a:extLst>
            </xdr:cNvPr>
            <xdr:cNvSpPr txBox="1"/>
          </xdr:nvSpPr>
          <xdr:spPr>
            <a:xfrm>
              <a:off x="6373052" y="3315448"/>
              <a:ext cx="851515" cy="316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1,2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1,2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35" name="Tekstfelt 34">
              <a:extLst>
                <a:ext uri="{FF2B5EF4-FFF2-40B4-BE49-F238E27FC236}">
                  <a16:creationId xmlns:a16="http://schemas.microsoft.com/office/drawing/2014/main" id="{A20834CF-A6F6-564A-848E-BC3B49DCB829}"/>
                </a:ext>
              </a:extLst>
            </xdr:cNvPr>
            <xdr:cNvSpPr txBox="1"/>
          </xdr:nvSpPr>
          <xdr:spPr>
            <a:xfrm>
              <a:off x="6373052" y="3315448"/>
              <a:ext cx="851515" cy="316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𝜌_1,2=𝜎_1,2/(𝜎_1 𝜎_2 )=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620699</xdr:colOff>
      <xdr:row>18</xdr:row>
      <xdr:rowOff>113766</xdr:rowOff>
    </xdr:from>
    <xdr:ext cx="851515" cy="3172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kstfelt 35">
              <a:extLst>
                <a:ext uri="{FF2B5EF4-FFF2-40B4-BE49-F238E27FC236}">
                  <a16:creationId xmlns:a16="http://schemas.microsoft.com/office/drawing/2014/main" id="{30DBEB52-87A3-6E41-A7EA-1B1AAF5090A5}"/>
                </a:ext>
              </a:extLst>
            </xdr:cNvPr>
            <xdr:cNvSpPr txBox="1"/>
          </xdr:nvSpPr>
          <xdr:spPr>
            <a:xfrm>
              <a:off x="6373052" y="3667632"/>
              <a:ext cx="851515" cy="3172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1,3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1,3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den>
                    </m:f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36" name="Tekstfelt 35">
              <a:extLst>
                <a:ext uri="{FF2B5EF4-FFF2-40B4-BE49-F238E27FC236}">
                  <a16:creationId xmlns:a16="http://schemas.microsoft.com/office/drawing/2014/main" id="{30DBEB52-87A3-6E41-A7EA-1B1AAF5090A5}"/>
                </a:ext>
              </a:extLst>
            </xdr:cNvPr>
            <xdr:cNvSpPr txBox="1"/>
          </xdr:nvSpPr>
          <xdr:spPr>
            <a:xfrm>
              <a:off x="6373052" y="3667632"/>
              <a:ext cx="851515" cy="3172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𝜌_1,3=𝜎_1,3/(𝜎_1 𝜎_3 )=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608320</xdr:colOff>
      <xdr:row>20</xdr:row>
      <xdr:rowOff>85378</xdr:rowOff>
    </xdr:from>
    <xdr:ext cx="858055" cy="3172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kstfelt 36">
              <a:extLst>
                <a:ext uri="{FF2B5EF4-FFF2-40B4-BE49-F238E27FC236}">
                  <a16:creationId xmlns:a16="http://schemas.microsoft.com/office/drawing/2014/main" id="{585A8938-5C0A-7547-9BE7-A26861074F6A}"/>
                </a:ext>
              </a:extLst>
            </xdr:cNvPr>
            <xdr:cNvSpPr txBox="1"/>
          </xdr:nvSpPr>
          <xdr:spPr>
            <a:xfrm>
              <a:off x="6360673" y="4023445"/>
              <a:ext cx="858055" cy="3172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𝜌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2,3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2,3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den>
                    </m:f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37" name="Tekstfelt 36">
              <a:extLst>
                <a:ext uri="{FF2B5EF4-FFF2-40B4-BE49-F238E27FC236}">
                  <a16:creationId xmlns:a16="http://schemas.microsoft.com/office/drawing/2014/main" id="{585A8938-5C0A-7547-9BE7-A26861074F6A}"/>
                </a:ext>
              </a:extLst>
            </xdr:cNvPr>
            <xdr:cNvSpPr txBox="1"/>
          </xdr:nvSpPr>
          <xdr:spPr>
            <a:xfrm>
              <a:off x="6360673" y="4023445"/>
              <a:ext cx="858055" cy="3172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𝜌_2,3=𝜎_2,3/(𝜎_2 𝜎_3 )=</a:t>
              </a:r>
              <a:endParaRPr lang="da-DK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222250</xdr:colOff>
      <xdr:row>12</xdr:row>
      <xdr:rowOff>139700</xdr:rowOff>
    </xdr:from>
    <xdr:ext cx="1327150" cy="495300"/>
    <xdr:pic>
      <xdr:nvPicPr>
        <xdr:cNvPr id="2" name="Picture 1">
          <a:extLst>
            <a:ext uri="{FF2B5EF4-FFF2-40B4-BE49-F238E27FC236}">
              <a16:creationId xmlns:a16="http://schemas.microsoft.com/office/drawing/2014/main" id="{86866A04-559C-094C-8D68-F1E3F78E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75050" y="2578100"/>
          <a:ext cx="1327150" cy="495300"/>
        </a:xfrm>
        <a:prstGeom prst="rect">
          <a:avLst/>
        </a:prstGeom>
      </xdr:spPr>
    </xdr:pic>
    <xdr:clientData/>
  </xdr:oneCellAnchor>
  <xdr:oneCellAnchor>
    <xdr:from>
      <xdr:col>15</xdr:col>
      <xdr:colOff>685800</xdr:colOff>
      <xdr:row>12</xdr:row>
      <xdr:rowOff>63500</xdr:rowOff>
    </xdr:from>
    <xdr:ext cx="1339850" cy="495300"/>
    <xdr:pic>
      <xdr:nvPicPr>
        <xdr:cNvPr id="3" name="Picture 2">
          <a:extLst>
            <a:ext uri="{FF2B5EF4-FFF2-40B4-BE49-F238E27FC236}">
              <a16:creationId xmlns:a16="http://schemas.microsoft.com/office/drawing/2014/main" id="{75796367-D814-8B43-9B01-19D09BDCD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58800" y="2501900"/>
          <a:ext cx="1339850" cy="495300"/>
        </a:xfrm>
        <a:prstGeom prst="rect">
          <a:avLst/>
        </a:prstGeom>
      </xdr:spPr>
    </xdr:pic>
    <xdr:clientData/>
  </xdr:oneCellAnchor>
  <xdr:oneCellAnchor>
    <xdr:from>
      <xdr:col>7</xdr:col>
      <xdr:colOff>116032</xdr:colOff>
      <xdr:row>4</xdr:row>
      <xdr:rowOff>101600</xdr:rowOff>
    </xdr:from>
    <xdr:ext cx="1077767" cy="571499"/>
    <xdr:pic>
      <xdr:nvPicPr>
        <xdr:cNvPr id="4" name="Picture 6">
          <a:extLst>
            <a:ext uri="{FF2B5EF4-FFF2-40B4-BE49-F238E27FC236}">
              <a16:creationId xmlns:a16="http://schemas.microsoft.com/office/drawing/2014/main" id="{83ECEB7F-6929-B045-8BC4-B04E2D544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83432" y="914400"/>
          <a:ext cx="1077767" cy="571499"/>
        </a:xfrm>
        <a:prstGeom prst="rect">
          <a:avLst/>
        </a:prstGeom>
      </xdr:spPr>
    </xdr:pic>
    <xdr:clientData/>
  </xdr:oneCellAnchor>
  <xdr:oneCellAnchor>
    <xdr:from>
      <xdr:col>19</xdr:col>
      <xdr:colOff>50800</xdr:colOff>
      <xdr:row>4</xdr:row>
      <xdr:rowOff>76200</xdr:rowOff>
    </xdr:from>
    <xdr:ext cx="1077767" cy="571499"/>
    <xdr:pic>
      <xdr:nvPicPr>
        <xdr:cNvPr id="5" name="Picture 7">
          <a:extLst>
            <a:ext uri="{FF2B5EF4-FFF2-40B4-BE49-F238E27FC236}">
              <a16:creationId xmlns:a16="http://schemas.microsoft.com/office/drawing/2014/main" id="{F2D7B4E1-2023-2F4B-95EF-30ABB7748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76600" y="889000"/>
          <a:ext cx="1077767" cy="571499"/>
        </a:xfrm>
        <a:prstGeom prst="rect">
          <a:avLst/>
        </a:prstGeom>
      </xdr:spPr>
    </xdr:pic>
    <xdr:clientData/>
  </xdr:oneCellAnchor>
  <xdr:oneCellAnchor>
    <xdr:from>
      <xdr:col>0</xdr:col>
      <xdr:colOff>63500</xdr:colOff>
      <xdr:row>20</xdr:row>
      <xdr:rowOff>190500</xdr:rowOff>
    </xdr:from>
    <xdr:ext cx="1479550" cy="368300"/>
    <xdr:pic>
      <xdr:nvPicPr>
        <xdr:cNvPr id="6" name="Picture 9">
          <a:extLst>
            <a:ext uri="{FF2B5EF4-FFF2-40B4-BE49-F238E27FC236}">
              <a16:creationId xmlns:a16="http://schemas.microsoft.com/office/drawing/2014/main" id="{F135AD47-99EA-F244-8621-343DF950A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500" y="4254500"/>
          <a:ext cx="1479550" cy="368300"/>
        </a:xfrm>
        <a:prstGeom prst="rect">
          <a:avLst/>
        </a:prstGeom>
      </xdr:spPr>
    </xdr:pic>
    <xdr:clientData/>
  </xdr:oneCellAnchor>
  <xdr:oneCellAnchor>
    <xdr:from>
      <xdr:col>11</xdr:col>
      <xdr:colOff>177800</xdr:colOff>
      <xdr:row>21</xdr:row>
      <xdr:rowOff>0</xdr:rowOff>
    </xdr:from>
    <xdr:ext cx="1473200" cy="368300"/>
    <xdr:pic>
      <xdr:nvPicPr>
        <xdr:cNvPr id="7" name="Picture 10">
          <a:extLst>
            <a:ext uri="{FF2B5EF4-FFF2-40B4-BE49-F238E27FC236}">
              <a16:creationId xmlns:a16="http://schemas.microsoft.com/office/drawing/2014/main" id="{E4C642C7-D1FB-9B48-BECE-DBDF9F9A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398000" y="4267200"/>
          <a:ext cx="1473200" cy="368300"/>
        </a:xfrm>
        <a:prstGeom prst="rect">
          <a:avLst/>
        </a:prstGeom>
      </xdr:spPr>
    </xdr:pic>
    <xdr:clientData/>
  </xdr:oneCellAnchor>
  <xdr:twoCellAnchor editAs="oneCell">
    <xdr:from>
      <xdr:col>1</xdr:col>
      <xdr:colOff>114300</xdr:colOff>
      <xdr:row>56</xdr:row>
      <xdr:rowOff>88900</xdr:rowOff>
    </xdr:from>
    <xdr:to>
      <xdr:col>2</xdr:col>
      <xdr:colOff>406400</xdr:colOff>
      <xdr:row>58</xdr:row>
      <xdr:rowOff>130175</xdr:rowOff>
    </xdr:to>
    <xdr:pic>
      <xdr:nvPicPr>
        <xdr:cNvPr id="9" name="Picture 32">
          <a:extLst>
            <a:ext uri="{FF2B5EF4-FFF2-40B4-BE49-F238E27FC236}">
              <a16:creationId xmlns:a16="http://schemas.microsoft.com/office/drawing/2014/main" id="{68695006-B03B-1246-9C29-040626BA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66800" y="11658600"/>
          <a:ext cx="1130300" cy="4476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88900</xdr:colOff>
      <xdr:row>56</xdr:row>
      <xdr:rowOff>114300</xdr:rowOff>
    </xdr:from>
    <xdr:to>
      <xdr:col>4</xdr:col>
      <xdr:colOff>575953</xdr:colOff>
      <xdr:row>58</xdr:row>
      <xdr:rowOff>174625</xdr:rowOff>
    </xdr:to>
    <xdr:pic>
      <xdr:nvPicPr>
        <xdr:cNvPr id="10" name="Picture 34">
          <a:extLst>
            <a:ext uri="{FF2B5EF4-FFF2-40B4-BE49-F238E27FC236}">
              <a16:creationId xmlns:a16="http://schemas.microsoft.com/office/drawing/2014/main" id="{63B2F4C2-FCFA-7748-9013-55A41443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17800" y="11684000"/>
          <a:ext cx="1439553" cy="4667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50800</xdr:colOff>
      <xdr:row>55</xdr:row>
      <xdr:rowOff>177800</xdr:rowOff>
    </xdr:from>
    <xdr:to>
      <xdr:col>8</xdr:col>
      <xdr:colOff>342900</xdr:colOff>
      <xdr:row>58</xdr:row>
      <xdr:rowOff>15875</xdr:rowOff>
    </xdr:to>
    <xdr:pic>
      <xdr:nvPicPr>
        <xdr:cNvPr id="11" name="Picture 32">
          <a:extLst>
            <a:ext uri="{FF2B5EF4-FFF2-40B4-BE49-F238E27FC236}">
              <a16:creationId xmlns:a16="http://schemas.microsoft.com/office/drawing/2014/main" id="{B17FBF99-95BF-7842-80A8-EE722349D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34100" y="11544300"/>
          <a:ext cx="1130300" cy="44767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628206</xdr:colOff>
      <xdr:row>56</xdr:row>
      <xdr:rowOff>14767</xdr:rowOff>
    </xdr:from>
    <xdr:to>
      <xdr:col>9</xdr:col>
      <xdr:colOff>475960</xdr:colOff>
      <xdr:row>58</xdr:row>
      <xdr:rowOff>46458</xdr:rowOff>
    </xdr:to>
    <xdr:pic>
      <xdr:nvPicPr>
        <xdr:cNvPr id="12" name="Billede 11">
          <a:extLst>
            <a:ext uri="{FF2B5EF4-FFF2-40B4-BE49-F238E27FC236}">
              <a16:creationId xmlns:a16="http://schemas.microsoft.com/office/drawing/2014/main" id="{4B7B5FA2-0A1F-214A-95EB-ABCC6CDF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01811" y="11991162"/>
          <a:ext cx="1027164" cy="44518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60</xdr:row>
      <xdr:rowOff>165100</xdr:rowOff>
    </xdr:from>
    <xdr:to>
      <xdr:col>2</xdr:col>
      <xdr:colOff>377205</xdr:colOff>
      <xdr:row>62</xdr:row>
      <xdr:rowOff>130175</xdr:rowOff>
    </xdr:to>
    <xdr:pic>
      <xdr:nvPicPr>
        <xdr:cNvPr id="13" name="Picture 40">
          <a:extLst>
            <a:ext uri="{FF2B5EF4-FFF2-40B4-BE49-F238E27FC236}">
              <a16:creationId xmlns:a16="http://schemas.microsoft.com/office/drawing/2014/main" id="{49B26625-4F93-814E-AAA5-09A6E1D4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16000" y="12547600"/>
          <a:ext cx="1151905" cy="3714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812800</xdr:colOff>
      <xdr:row>60</xdr:row>
      <xdr:rowOff>101600</xdr:rowOff>
    </xdr:from>
    <xdr:to>
      <xdr:col>4</xdr:col>
      <xdr:colOff>483257</xdr:colOff>
      <xdr:row>63</xdr:row>
      <xdr:rowOff>1110</xdr:rowOff>
    </xdr:to>
    <xdr:pic>
      <xdr:nvPicPr>
        <xdr:cNvPr id="14" name="Picture 42">
          <a:extLst>
            <a:ext uri="{FF2B5EF4-FFF2-40B4-BE49-F238E27FC236}">
              <a16:creationId xmlns:a16="http://schemas.microsoft.com/office/drawing/2014/main" id="{E831FAB4-A206-544E-8CCF-43ADA2DD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603500" y="12484100"/>
          <a:ext cx="1461157" cy="5048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749300</xdr:colOff>
      <xdr:row>61</xdr:row>
      <xdr:rowOff>25400</xdr:rowOff>
    </xdr:from>
    <xdr:to>
      <xdr:col>8</xdr:col>
      <xdr:colOff>127000</xdr:colOff>
      <xdr:row>62</xdr:row>
      <xdr:rowOff>193675</xdr:rowOff>
    </xdr:to>
    <xdr:pic>
      <xdr:nvPicPr>
        <xdr:cNvPr id="15" name="Picture 40">
          <a:extLst>
            <a:ext uri="{FF2B5EF4-FFF2-40B4-BE49-F238E27FC236}">
              <a16:creationId xmlns:a16="http://schemas.microsoft.com/office/drawing/2014/main" id="{E693AD05-DB44-2949-93EB-A34730360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007100" y="12611100"/>
          <a:ext cx="1155700" cy="371475"/>
        </a:xfrm>
        <a:prstGeom prst="rect">
          <a:avLst/>
        </a:prstGeom>
        <a:noFill/>
      </xdr:spPr>
    </xdr:pic>
    <xdr:clientData/>
  </xdr:twoCellAnchor>
  <xdr:oneCellAnchor>
    <xdr:from>
      <xdr:col>9</xdr:col>
      <xdr:colOff>33482</xdr:colOff>
      <xdr:row>61</xdr:row>
      <xdr:rowOff>70217</xdr:rowOff>
    </xdr:from>
    <xdr:ext cx="661015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kstfelt 16">
              <a:extLst>
                <a:ext uri="{FF2B5EF4-FFF2-40B4-BE49-F238E27FC236}">
                  <a16:creationId xmlns:a16="http://schemas.microsoft.com/office/drawing/2014/main" id="{670DBF98-57D8-0F49-BEB7-30E4661AD0A2}"/>
                </a:ext>
              </a:extLst>
            </xdr:cNvPr>
            <xdr:cNvSpPr txBox="1"/>
          </xdr:nvSpPr>
          <xdr:spPr>
            <a:xfrm>
              <a:off x="7921127" y="12707242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14:m>
                <m:oMath xmlns:m="http://schemas.openxmlformats.org/officeDocument/2006/math">
                  <m:f>
                    <m:f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𝑢</m:t>
                          </m:r>
                        </m:sub>
                      </m:sSub>
                    </m:num>
                    <m:den>
                      <m:sSup>
                        <m:sSup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𝑟</m:t>
                          </m:r>
                          <m:r>
                            <m:rPr>
                              <m:sty m:val="p"/>
                            </m:rPr>
                            <a:rPr lang="da-DK" sz="1100" b="0" i="0"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p>
                      </m:s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da-DK" sz="1100"/>
            </a:p>
          </xdr:txBody>
        </xdr:sp>
      </mc:Choice>
      <mc:Fallback xmlns="">
        <xdr:sp macro="" textlink="">
          <xdr:nvSpPr>
            <xdr:cNvPr id="17" name="Tekstfelt 16">
              <a:extLst>
                <a:ext uri="{FF2B5EF4-FFF2-40B4-BE49-F238E27FC236}">
                  <a16:creationId xmlns:a16="http://schemas.microsoft.com/office/drawing/2014/main" id="{670DBF98-57D8-0F49-BEB7-30E4661AD0A2}"/>
                </a:ext>
              </a:extLst>
            </xdr:cNvPr>
            <xdr:cNvSpPr txBox="1"/>
          </xdr:nvSpPr>
          <xdr:spPr>
            <a:xfrm>
              <a:off x="7921127" y="12707242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:r>
                <a:rPr lang="da-DK" sz="1100" b="0" i="0">
                  <a:latin typeface="Cambria Math" panose="02040503050406030204" pitchFamily="18" charset="0"/>
                </a:rPr>
                <a:t>(𝑢𝑃_𝑑−𝑑𝑃_𝑢)/(𝑒^𝑟Δ𝑡 (𝑢−𝑑))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883716</xdr:colOff>
      <xdr:row>68</xdr:row>
      <xdr:rowOff>116710</xdr:rowOff>
    </xdr:from>
    <xdr:ext cx="1126406" cy="449158"/>
    <xdr:pic>
      <xdr:nvPicPr>
        <xdr:cNvPr id="26" name="Picture 32">
          <a:extLst>
            <a:ext uri="{FF2B5EF4-FFF2-40B4-BE49-F238E27FC236}">
              <a16:creationId xmlns:a16="http://schemas.microsoft.com/office/drawing/2014/main" id="{619C3A9A-1C29-2641-A241-52191861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3716" y="13715907"/>
          <a:ext cx="1126406" cy="449158"/>
        </a:xfrm>
        <a:prstGeom prst="rect">
          <a:avLst/>
        </a:prstGeom>
        <a:noFill/>
      </xdr:spPr>
    </xdr:pic>
    <xdr:clientData/>
  </xdr:oneCellAnchor>
  <xdr:oneCellAnchor>
    <xdr:from>
      <xdr:col>3</xdr:col>
      <xdr:colOff>88900</xdr:colOff>
      <xdr:row>68</xdr:row>
      <xdr:rowOff>114300</xdr:rowOff>
    </xdr:from>
    <xdr:ext cx="1441870" cy="468208"/>
    <xdr:pic>
      <xdr:nvPicPr>
        <xdr:cNvPr id="27" name="Picture 34">
          <a:extLst>
            <a:ext uri="{FF2B5EF4-FFF2-40B4-BE49-F238E27FC236}">
              <a16:creationId xmlns:a16="http://schemas.microsoft.com/office/drawing/2014/main" id="{CE464205-8D81-0C4B-A352-B9D1C8B0B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12331" y="11674081"/>
          <a:ext cx="1441870" cy="468208"/>
        </a:xfrm>
        <a:prstGeom prst="rect">
          <a:avLst/>
        </a:prstGeom>
        <a:noFill/>
      </xdr:spPr>
    </xdr:pic>
    <xdr:clientData/>
  </xdr:oneCellAnchor>
  <xdr:oneCellAnchor>
    <xdr:from>
      <xdr:col>7</xdr:col>
      <xdr:colOff>22990</xdr:colOff>
      <xdr:row>68</xdr:row>
      <xdr:rowOff>57288</xdr:rowOff>
    </xdr:from>
    <xdr:ext cx="1126406" cy="449900"/>
    <xdr:pic>
      <xdr:nvPicPr>
        <xdr:cNvPr id="28" name="Picture 32">
          <a:extLst>
            <a:ext uri="{FF2B5EF4-FFF2-40B4-BE49-F238E27FC236}">
              <a16:creationId xmlns:a16="http://schemas.microsoft.com/office/drawing/2014/main" id="{CEB71939-DBBA-8349-8ADB-903D94C60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06129" y="13860427"/>
          <a:ext cx="1126406" cy="449900"/>
        </a:xfrm>
        <a:prstGeom prst="rect">
          <a:avLst/>
        </a:prstGeom>
        <a:noFill/>
      </xdr:spPr>
    </xdr:pic>
    <xdr:clientData/>
  </xdr:oneCellAnchor>
  <xdr:oneCellAnchor>
    <xdr:from>
      <xdr:col>8</xdr:col>
      <xdr:colOff>495300</xdr:colOff>
      <xdr:row>68</xdr:row>
      <xdr:rowOff>0</xdr:rowOff>
    </xdr:from>
    <xdr:ext cx="1019727" cy="439574"/>
    <xdr:pic>
      <xdr:nvPicPr>
        <xdr:cNvPr id="29" name="Billede 28">
          <a:extLst>
            <a:ext uri="{FF2B5EF4-FFF2-40B4-BE49-F238E27FC236}">
              <a16:creationId xmlns:a16="http://schemas.microsoft.com/office/drawing/2014/main" id="{E9B4F8FE-6162-5640-9AC6-1FD160E4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12745" y="11559781"/>
          <a:ext cx="1019727" cy="439574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72</xdr:row>
      <xdr:rowOff>165100</xdr:rowOff>
    </xdr:from>
    <xdr:ext cx="1148011" cy="372959"/>
    <xdr:pic>
      <xdr:nvPicPr>
        <xdr:cNvPr id="30" name="Picture 40">
          <a:extLst>
            <a:ext uri="{FF2B5EF4-FFF2-40B4-BE49-F238E27FC236}">
              <a16:creationId xmlns:a16="http://schemas.microsoft.com/office/drawing/2014/main" id="{AD683B10-E7BE-6C42-AC70-AD304DC10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18318" y="12540647"/>
          <a:ext cx="1148011" cy="372959"/>
        </a:xfrm>
        <a:prstGeom prst="rect">
          <a:avLst/>
        </a:prstGeom>
        <a:noFill/>
      </xdr:spPr>
    </xdr:pic>
    <xdr:clientData/>
  </xdr:oneCellAnchor>
  <xdr:oneCellAnchor>
    <xdr:from>
      <xdr:col>2</xdr:col>
      <xdr:colOff>812800</xdr:colOff>
      <xdr:row>72</xdr:row>
      <xdr:rowOff>101600</xdr:rowOff>
    </xdr:from>
    <xdr:ext cx="1459581" cy="506309"/>
    <xdr:pic>
      <xdr:nvPicPr>
        <xdr:cNvPr id="31" name="Picture 42">
          <a:extLst>
            <a:ext uri="{FF2B5EF4-FFF2-40B4-BE49-F238E27FC236}">
              <a16:creationId xmlns:a16="http://schemas.microsoft.com/office/drawing/2014/main" id="{F051BC4A-128B-7647-AD54-9AFF11FE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601924" y="12477147"/>
          <a:ext cx="1459581" cy="506309"/>
        </a:xfrm>
        <a:prstGeom prst="rect">
          <a:avLst/>
        </a:prstGeom>
        <a:noFill/>
      </xdr:spPr>
    </xdr:pic>
    <xdr:clientData/>
  </xdr:oneCellAnchor>
  <xdr:oneCellAnchor>
    <xdr:from>
      <xdr:col>6</xdr:col>
      <xdr:colOff>749300</xdr:colOff>
      <xdr:row>73</xdr:row>
      <xdr:rowOff>25400</xdr:rowOff>
    </xdr:from>
    <xdr:ext cx="1148284" cy="372217"/>
    <xdr:pic>
      <xdr:nvPicPr>
        <xdr:cNvPr id="32" name="Picture 40">
          <a:extLst>
            <a:ext uri="{FF2B5EF4-FFF2-40B4-BE49-F238E27FC236}">
              <a16:creationId xmlns:a16="http://schemas.microsoft.com/office/drawing/2014/main" id="{8F5E2BDD-D065-3348-A7B0-7EDCB47EB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996161" y="12604889"/>
          <a:ext cx="1148284" cy="372217"/>
        </a:xfrm>
        <a:prstGeom prst="rect">
          <a:avLst/>
        </a:prstGeom>
        <a:noFill/>
      </xdr:spPr>
    </xdr:pic>
    <xdr:clientData/>
  </xdr:oneCellAnchor>
  <xdr:oneCellAnchor>
    <xdr:from>
      <xdr:col>9</xdr:col>
      <xdr:colOff>33482</xdr:colOff>
      <xdr:row>73</xdr:row>
      <xdr:rowOff>70217</xdr:rowOff>
    </xdr:from>
    <xdr:ext cx="661015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kstfelt 32">
              <a:extLst>
                <a:ext uri="{FF2B5EF4-FFF2-40B4-BE49-F238E27FC236}">
                  <a16:creationId xmlns:a16="http://schemas.microsoft.com/office/drawing/2014/main" id="{E240F31B-5E99-4E41-83E0-A8E6094AB1FA}"/>
                </a:ext>
              </a:extLst>
            </xdr:cNvPr>
            <xdr:cNvSpPr txBox="1"/>
          </xdr:nvSpPr>
          <xdr:spPr>
            <a:xfrm>
              <a:off x="7885234" y="12649706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14:m>
                <m:oMath xmlns:m="http://schemas.openxmlformats.org/officeDocument/2006/math">
                  <m:f>
                    <m:f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𝑢</m:t>
                          </m:r>
                        </m:sub>
                      </m:sSub>
                    </m:num>
                    <m:den>
                      <m:sSup>
                        <m:sSup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𝑟</m:t>
                          </m:r>
                          <m:r>
                            <m:rPr>
                              <m:sty m:val="p"/>
                            </m:rPr>
                            <a:rPr lang="da-DK" sz="1100" b="0" i="0"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p>
                      </m:s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da-DK" sz="1100"/>
            </a:p>
          </xdr:txBody>
        </xdr:sp>
      </mc:Choice>
      <mc:Fallback xmlns="">
        <xdr:sp macro="" textlink="">
          <xdr:nvSpPr>
            <xdr:cNvPr id="33" name="Tekstfelt 32">
              <a:extLst>
                <a:ext uri="{FF2B5EF4-FFF2-40B4-BE49-F238E27FC236}">
                  <a16:creationId xmlns:a16="http://schemas.microsoft.com/office/drawing/2014/main" id="{E240F31B-5E99-4E41-83E0-A8E6094AB1FA}"/>
                </a:ext>
              </a:extLst>
            </xdr:cNvPr>
            <xdr:cNvSpPr txBox="1"/>
          </xdr:nvSpPr>
          <xdr:spPr>
            <a:xfrm>
              <a:off x="7885234" y="12649706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:r>
                <a:rPr lang="da-DK" sz="1100" b="0" i="0">
                  <a:latin typeface="Cambria Math" panose="02040503050406030204" pitchFamily="18" charset="0"/>
                </a:rPr>
                <a:t>(𝑢𝑃_𝑑−𝑑𝑃_𝑢)/(𝑒^𝑟Δ𝑡 (𝑢−𝑑))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12</xdr:col>
      <xdr:colOff>114300</xdr:colOff>
      <xdr:row>55</xdr:row>
      <xdr:rowOff>88900</xdr:rowOff>
    </xdr:from>
    <xdr:ext cx="1138766" cy="447675"/>
    <xdr:pic>
      <xdr:nvPicPr>
        <xdr:cNvPr id="50" name="Picture 32">
          <a:extLst>
            <a:ext uri="{FF2B5EF4-FFF2-40B4-BE49-F238E27FC236}">
              <a16:creationId xmlns:a16="http://schemas.microsoft.com/office/drawing/2014/main" id="{C4D0F915-5638-CD42-8DA0-B04A93864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62567" y="11722100"/>
          <a:ext cx="1138766" cy="447675"/>
        </a:xfrm>
        <a:prstGeom prst="rect">
          <a:avLst/>
        </a:prstGeom>
        <a:noFill/>
      </xdr:spPr>
    </xdr:pic>
    <xdr:clientData/>
  </xdr:oneCellAnchor>
  <xdr:oneCellAnchor>
    <xdr:from>
      <xdr:col>14</xdr:col>
      <xdr:colOff>88900</xdr:colOff>
      <xdr:row>55</xdr:row>
      <xdr:rowOff>114300</xdr:rowOff>
    </xdr:from>
    <xdr:ext cx="1435320" cy="466725"/>
    <xdr:pic>
      <xdr:nvPicPr>
        <xdr:cNvPr id="51" name="Picture 34">
          <a:extLst>
            <a:ext uri="{FF2B5EF4-FFF2-40B4-BE49-F238E27FC236}">
              <a16:creationId xmlns:a16="http://schemas.microsoft.com/office/drawing/2014/main" id="{0FC4CFF6-7050-A543-BA0C-8409C0C6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30500" y="11747500"/>
          <a:ext cx="1435320" cy="466725"/>
        </a:xfrm>
        <a:prstGeom prst="rect">
          <a:avLst/>
        </a:prstGeom>
        <a:noFill/>
      </xdr:spPr>
    </xdr:pic>
    <xdr:clientData/>
  </xdr:oneCellAnchor>
  <xdr:oneCellAnchor>
    <xdr:from>
      <xdr:col>18</xdr:col>
      <xdr:colOff>23779</xdr:colOff>
      <xdr:row>55</xdr:row>
      <xdr:rowOff>96736</xdr:rowOff>
    </xdr:from>
    <xdr:ext cx="1138766" cy="447675"/>
    <xdr:pic>
      <xdr:nvPicPr>
        <xdr:cNvPr id="52" name="Picture 32">
          <a:extLst>
            <a:ext uri="{FF2B5EF4-FFF2-40B4-BE49-F238E27FC236}">
              <a16:creationId xmlns:a16="http://schemas.microsoft.com/office/drawing/2014/main" id="{E588F628-BA2A-8946-953F-A074EB23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723141" y="11616807"/>
          <a:ext cx="1138766" cy="447675"/>
        </a:xfrm>
        <a:prstGeom prst="rect">
          <a:avLst/>
        </a:prstGeom>
        <a:noFill/>
      </xdr:spPr>
    </xdr:pic>
    <xdr:clientData/>
  </xdr:oneCellAnchor>
  <xdr:oneCellAnchor>
    <xdr:from>
      <xdr:col>19</xdr:col>
      <xdr:colOff>558350</xdr:colOff>
      <xdr:row>55</xdr:row>
      <xdr:rowOff>90071</xdr:rowOff>
    </xdr:from>
    <xdr:ext cx="1032087" cy="438091"/>
    <xdr:pic>
      <xdr:nvPicPr>
        <xdr:cNvPr id="53" name="Billede 52">
          <a:extLst>
            <a:ext uri="{FF2B5EF4-FFF2-40B4-BE49-F238E27FC236}">
              <a16:creationId xmlns:a16="http://schemas.microsoft.com/office/drawing/2014/main" id="{39C9F54F-9897-1540-BD69-315661184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95371" y="11610142"/>
          <a:ext cx="1032087" cy="438091"/>
        </a:xfrm>
        <a:prstGeom prst="rect">
          <a:avLst/>
        </a:prstGeom>
      </xdr:spPr>
    </xdr:pic>
    <xdr:clientData/>
  </xdr:oneCellAnchor>
  <xdr:oneCellAnchor>
    <xdr:from>
      <xdr:col>12</xdr:col>
      <xdr:colOff>63500</xdr:colOff>
      <xdr:row>59</xdr:row>
      <xdr:rowOff>165100</xdr:rowOff>
    </xdr:from>
    <xdr:ext cx="1160371" cy="371475"/>
    <xdr:pic>
      <xdr:nvPicPr>
        <xdr:cNvPr id="54" name="Picture 40">
          <a:extLst>
            <a:ext uri="{FF2B5EF4-FFF2-40B4-BE49-F238E27FC236}">
              <a16:creationId xmlns:a16="http://schemas.microsoft.com/office/drawing/2014/main" id="{F3F0BEED-4609-1C4A-91EC-E2F474B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11767" y="12611100"/>
          <a:ext cx="1160371" cy="371475"/>
        </a:xfrm>
        <a:prstGeom prst="rect">
          <a:avLst/>
        </a:prstGeom>
        <a:noFill/>
      </xdr:spPr>
    </xdr:pic>
    <xdr:clientData/>
  </xdr:oneCellAnchor>
  <xdr:oneCellAnchor>
    <xdr:from>
      <xdr:col>13</xdr:col>
      <xdr:colOff>812800</xdr:colOff>
      <xdr:row>59</xdr:row>
      <xdr:rowOff>101600</xdr:rowOff>
    </xdr:from>
    <xdr:ext cx="1465391" cy="504825"/>
    <xdr:pic>
      <xdr:nvPicPr>
        <xdr:cNvPr id="55" name="Picture 42">
          <a:extLst>
            <a:ext uri="{FF2B5EF4-FFF2-40B4-BE49-F238E27FC236}">
              <a16:creationId xmlns:a16="http://schemas.microsoft.com/office/drawing/2014/main" id="{7FBEB289-0F8F-CF48-90F5-37F1A9C2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607733" y="12547600"/>
          <a:ext cx="1465391" cy="504825"/>
        </a:xfrm>
        <a:prstGeom prst="rect">
          <a:avLst/>
        </a:prstGeom>
        <a:noFill/>
      </xdr:spPr>
    </xdr:pic>
    <xdr:clientData/>
  </xdr:oneCellAnchor>
  <xdr:oneCellAnchor>
    <xdr:from>
      <xdr:col>17</xdr:col>
      <xdr:colOff>749300</xdr:colOff>
      <xdr:row>60</xdr:row>
      <xdr:rowOff>25400</xdr:rowOff>
    </xdr:from>
    <xdr:ext cx="1172633" cy="371475"/>
    <xdr:pic>
      <xdr:nvPicPr>
        <xdr:cNvPr id="56" name="Picture 40">
          <a:extLst>
            <a:ext uri="{FF2B5EF4-FFF2-40B4-BE49-F238E27FC236}">
              <a16:creationId xmlns:a16="http://schemas.microsoft.com/office/drawing/2014/main" id="{91BAA27A-7E9D-F747-AF8C-B02E1399F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032500" y="12674600"/>
          <a:ext cx="1172633" cy="371475"/>
        </a:xfrm>
        <a:prstGeom prst="rect">
          <a:avLst/>
        </a:prstGeom>
        <a:noFill/>
      </xdr:spPr>
    </xdr:pic>
    <xdr:clientData/>
  </xdr:oneCellAnchor>
  <xdr:oneCellAnchor>
    <xdr:from>
      <xdr:col>20</xdr:col>
      <xdr:colOff>33482</xdr:colOff>
      <xdr:row>60</xdr:row>
      <xdr:rowOff>70217</xdr:rowOff>
    </xdr:from>
    <xdr:ext cx="661015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kstfelt 56">
              <a:extLst>
                <a:ext uri="{FF2B5EF4-FFF2-40B4-BE49-F238E27FC236}">
                  <a16:creationId xmlns:a16="http://schemas.microsoft.com/office/drawing/2014/main" id="{21F32652-59A2-F142-A538-517A7A9AD7E0}"/>
                </a:ext>
              </a:extLst>
            </xdr:cNvPr>
            <xdr:cNvSpPr txBox="1"/>
          </xdr:nvSpPr>
          <xdr:spPr>
            <a:xfrm>
              <a:off x="7958282" y="12719417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14:m>
                <m:oMath xmlns:m="http://schemas.openxmlformats.org/officeDocument/2006/math">
                  <m:f>
                    <m:f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𝑢</m:t>
                          </m:r>
                        </m:sub>
                      </m:sSub>
                    </m:num>
                    <m:den>
                      <m:sSup>
                        <m:sSup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𝑟</m:t>
                          </m:r>
                          <m:r>
                            <m:rPr>
                              <m:sty m:val="p"/>
                            </m:rPr>
                            <a:rPr lang="da-DK" sz="1100" b="0" i="0"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p>
                      </m:s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da-DK" sz="1100"/>
            </a:p>
          </xdr:txBody>
        </xdr:sp>
      </mc:Choice>
      <mc:Fallback xmlns="">
        <xdr:sp macro="" textlink="">
          <xdr:nvSpPr>
            <xdr:cNvPr id="57" name="Tekstfelt 56">
              <a:extLst>
                <a:ext uri="{FF2B5EF4-FFF2-40B4-BE49-F238E27FC236}">
                  <a16:creationId xmlns:a16="http://schemas.microsoft.com/office/drawing/2014/main" id="{21F32652-59A2-F142-A538-517A7A9AD7E0}"/>
                </a:ext>
              </a:extLst>
            </xdr:cNvPr>
            <xdr:cNvSpPr txBox="1"/>
          </xdr:nvSpPr>
          <xdr:spPr>
            <a:xfrm>
              <a:off x="7958282" y="12719417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:r>
                <a:rPr lang="da-DK" sz="1100" b="0" i="0">
                  <a:latin typeface="Cambria Math" panose="02040503050406030204" pitchFamily="18" charset="0"/>
                </a:rPr>
                <a:t>(𝑢𝑃_𝑑−𝑑𝑃_𝑢)/(𝑒^𝑟Δ𝑡 (𝑢−𝑑))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883716</xdr:colOff>
      <xdr:row>67</xdr:row>
      <xdr:rowOff>116710</xdr:rowOff>
    </xdr:from>
    <xdr:ext cx="1126406" cy="449158"/>
    <xdr:pic>
      <xdr:nvPicPr>
        <xdr:cNvPr id="58" name="Picture 32">
          <a:extLst>
            <a:ext uri="{FF2B5EF4-FFF2-40B4-BE49-F238E27FC236}">
              <a16:creationId xmlns:a16="http://schemas.microsoft.com/office/drawing/2014/main" id="{F0339A99-09F4-3D40-9849-9D04725F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3716" y="13985110"/>
          <a:ext cx="1126406" cy="449158"/>
        </a:xfrm>
        <a:prstGeom prst="rect">
          <a:avLst/>
        </a:prstGeom>
        <a:noFill/>
      </xdr:spPr>
    </xdr:pic>
    <xdr:clientData/>
  </xdr:oneCellAnchor>
  <xdr:oneCellAnchor>
    <xdr:from>
      <xdr:col>14</xdr:col>
      <xdr:colOff>88900</xdr:colOff>
      <xdr:row>67</xdr:row>
      <xdr:rowOff>114300</xdr:rowOff>
    </xdr:from>
    <xdr:ext cx="1441870" cy="468208"/>
    <xdr:pic>
      <xdr:nvPicPr>
        <xdr:cNvPr id="59" name="Picture 34">
          <a:extLst>
            <a:ext uri="{FF2B5EF4-FFF2-40B4-BE49-F238E27FC236}">
              <a16:creationId xmlns:a16="http://schemas.microsoft.com/office/drawing/2014/main" id="{E996A10A-07EF-D749-ADA1-B4B83A0C6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30500" y="13982700"/>
          <a:ext cx="1441870" cy="468208"/>
        </a:xfrm>
        <a:prstGeom prst="rect">
          <a:avLst/>
        </a:prstGeom>
        <a:noFill/>
      </xdr:spPr>
    </xdr:pic>
    <xdr:clientData/>
  </xdr:oneCellAnchor>
  <xdr:oneCellAnchor>
    <xdr:from>
      <xdr:col>18</xdr:col>
      <xdr:colOff>22990</xdr:colOff>
      <xdr:row>67</xdr:row>
      <xdr:rowOff>57288</xdr:rowOff>
    </xdr:from>
    <xdr:ext cx="1126406" cy="449900"/>
    <xdr:pic>
      <xdr:nvPicPr>
        <xdr:cNvPr id="60" name="Picture 32">
          <a:extLst>
            <a:ext uri="{FF2B5EF4-FFF2-40B4-BE49-F238E27FC236}">
              <a16:creationId xmlns:a16="http://schemas.microsoft.com/office/drawing/2014/main" id="{390DAA30-0318-924F-A8CB-93833996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54457" y="13925688"/>
          <a:ext cx="1126406" cy="449900"/>
        </a:xfrm>
        <a:prstGeom prst="rect">
          <a:avLst/>
        </a:prstGeom>
        <a:noFill/>
      </xdr:spPr>
    </xdr:pic>
    <xdr:clientData/>
  </xdr:oneCellAnchor>
  <xdr:oneCellAnchor>
    <xdr:from>
      <xdr:col>19</xdr:col>
      <xdr:colOff>513314</xdr:colOff>
      <xdr:row>67</xdr:row>
      <xdr:rowOff>90070</xdr:rowOff>
    </xdr:from>
    <xdr:ext cx="1019727" cy="439574"/>
    <xdr:pic>
      <xdr:nvPicPr>
        <xdr:cNvPr id="61" name="Billede 60">
          <a:extLst>
            <a:ext uri="{FF2B5EF4-FFF2-40B4-BE49-F238E27FC236}">
              <a16:creationId xmlns:a16="http://schemas.microsoft.com/office/drawing/2014/main" id="{75D294B6-44AF-8B4D-9C09-08ABFBAF5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50335" y="13888935"/>
          <a:ext cx="1019727" cy="439574"/>
        </a:xfrm>
        <a:prstGeom prst="rect">
          <a:avLst/>
        </a:prstGeom>
      </xdr:spPr>
    </xdr:pic>
    <xdr:clientData/>
  </xdr:oneCellAnchor>
  <xdr:oneCellAnchor>
    <xdr:from>
      <xdr:col>12</xdr:col>
      <xdr:colOff>63500</xdr:colOff>
      <xdr:row>71</xdr:row>
      <xdr:rowOff>165100</xdr:rowOff>
    </xdr:from>
    <xdr:ext cx="1148011" cy="372959"/>
    <xdr:pic>
      <xdr:nvPicPr>
        <xdr:cNvPr id="62" name="Picture 40">
          <a:extLst>
            <a:ext uri="{FF2B5EF4-FFF2-40B4-BE49-F238E27FC236}">
              <a16:creationId xmlns:a16="http://schemas.microsoft.com/office/drawing/2014/main" id="{FF9A81E9-65B5-E14D-B95E-685FCDE6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11767" y="14846300"/>
          <a:ext cx="1148011" cy="372959"/>
        </a:xfrm>
        <a:prstGeom prst="rect">
          <a:avLst/>
        </a:prstGeom>
        <a:noFill/>
      </xdr:spPr>
    </xdr:pic>
    <xdr:clientData/>
  </xdr:oneCellAnchor>
  <xdr:oneCellAnchor>
    <xdr:from>
      <xdr:col>13</xdr:col>
      <xdr:colOff>812800</xdr:colOff>
      <xdr:row>71</xdr:row>
      <xdr:rowOff>101600</xdr:rowOff>
    </xdr:from>
    <xdr:ext cx="1459581" cy="506309"/>
    <xdr:pic>
      <xdr:nvPicPr>
        <xdr:cNvPr id="63" name="Picture 42">
          <a:extLst>
            <a:ext uri="{FF2B5EF4-FFF2-40B4-BE49-F238E27FC236}">
              <a16:creationId xmlns:a16="http://schemas.microsoft.com/office/drawing/2014/main" id="{E211E588-F7B0-A24F-82C7-0F9C3E9DF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607733" y="14782800"/>
          <a:ext cx="1459581" cy="50630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749300</xdr:colOff>
      <xdr:row>72</xdr:row>
      <xdr:rowOff>25400</xdr:rowOff>
    </xdr:from>
    <xdr:ext cx="1148284" cy="372217"/>
    <xdr:pic>
      <xdr:nvPicPr>
        <xdr:cNvPr id="64" name="Picture 40">
          <a:extLst>
            <a:ext uri="{FF2B5EF4-FFF2-40B4-BE49-F238E27FC236}">
              <a16:creationId xmlns:a16="http://schemas.microsoft.com/office/drawing/2014/main" id="{214AD4E2-D943-1241-85BD-1CFD10A5B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032500" y="14909800"/>
          <a:ext cx="1148284" cy="372217"/>
        </a:xfrm>
        <a:prstGeom prst="rect">
          <a:avLst/>
        </a:prstGeom>
        <a:noFill/>
      </xdr:spPr>
    </xdr:pic>
    <xdr:clientData/>
  </xdr:oneCellAnchor>
  <xdr:oneCellAnchor>
    <xdr:from>
      <xdr:col>20</xdr:col>
      <xdr:colOff>33482</xdr:colOff>
      <xdr:row>72</xdr:row>
      <xdr:rowOff>70217</xdr:rowOff>
    </xdr:from>
    <xdr:ext cx="661015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kstfelt 64">
              <a:extLst>
                <a:ext uri="{FF2B5EF4-FFF2-40B4-BE49-F238E27FC236}">
                  <a16:creationId xmlns:a16="http://schemas.microsoft.com/office/drawing/2014/main" id="{1E66569D-D8E5-054F-8818-176983E92302}"/>
                </a:ext>
              </a:extLst>
            </xdr:cNvPr>
            <xdr:cNvSpPr txBox="1"/>
          </xdr:nvSpPr>
          <xdr:spPr>
            <a:xfrm>
              <a:off x="7958282" y="14954617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14:m>
                <m:oMath xmlns:m="http://schemas.openxmlformats.org/officeDocument/2006/math">
                  <m:f>
                    <m:f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sub>
                      </m:s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𝑢</m:t>
                          </m:r>
                        </m:sub>
                      </m:sSub>
                    </m:num>
                    <m:den>
                      <m:sSup>
                        <m:sSup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𝑟</m:t>
                          </m:r>
                          <m:r>
                            <m:rPr>
                              <m:sty m:val="p"/>
                            </m:rPr>
                            <a:rPr lang="da-DK" sz="1100" b="0" i="0"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p>
                      </m:s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)</m:t>
                      </m:r>
                    </m:den>
                  </m:f>
                </m:oMath>
              </a14:m>
              <a:endParaRPr lang="da-DK" sz="1100"/>
            </a:p>
          </xdr:txBody>
        </xdr:sp>
      </mc:Choice>
      <mc:Fallback xmlns="">
        <xdr:sp macro="" textlink="">
          <xdr:nvSpPr>
            <xdr:cNvPr id="65" name="Tekstfelt 64">
              <a:extLst>
                <a:ext uri="{FF2B5EF4-FFF2-40B4-BE49-F238E27FC236}">
                  <a16:creationId xmlns:a16="http://schemas.microsoft.com/office/drawing/2014/main" id="{1E66569D-D8E5-054F-8818-176983E92302}"/>
                </a:ext>
              </a:extLst>
            </xdr:cNvPr>
            <xdr:cNvSpPr txBox="1"/>
          </xdr:nvSpPr>
          <xdr:spPr>
            <a:xfrm>
              <a:off x="7958282" y="14954617"/>
              <a:ext cx="661015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B=</a:t>
              </a:r>
              <a:r>
                <a:rPr lang="da-DK" sz="1100" b="0" i="0">
                  <a:latin typeface="Cambria Math" panose="02040503050406030204" pitchFamily="18" charset="0"/>
                </a:rPr>
                <a:t>(𝑢𝑃_𝑑−𝑑𝑃_𝑢)/(𝑒^𝑟Δ𝑡 (𝑢−𝑑))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109483</xdr:colOff>
      <xdr:row>88</xdr:row>
      <xdr:rowOff>19176</xdr:rowOff>
    </xdr:from>
    <xdr:ext cx="76418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F1EB7A4C-D123-094D-9055-AC06F492D948}"/>
                </a:ext>
              </a:extLst>
            </xdr:cNvPr>
            <xdr:cNvSpPr txBox="1"/>
          </xdr:nvSpPr>
          <xdr:spPr>
            <a:xfrm>
              <a:off x="109483" y="18707883"/>
              <a:ext cx="7641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F1EB7A4C-D123-094D-9055-AC06F492D948}"/>
                </a:ext>
              </a:extLst>
            </xdr:cNvPr>
            <xdr:cNvSpPr txBox="1"/>
          </xdr:nvSpPr>
          <xdr:spPr>
            <a:xfrm>
              <a:off x="109483" y="18707883"/>
              <a:ext cx="7641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𝐹_𝑢𝑢=S_uu=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76638</xdr:colOff>
      <xdr:row>81</xdr:row>
      <xdr:rowOff>8101</xdr:rowOff>
    </xdr:from>
    <xdr:ext cx="1231556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kstfelt 15">
              <a:extLst>
                <a:ext uri="{FF2B5EF4-FFF2-40B4-BE49-F238E27FC236}">
                  <a16:creationId xmlns:a16="http://schemas.microsoft.com/office/drawing/2014/main" id="{D7C44265-10AA-3E48-B9D2-FBDDAE88BD2F}"/>
                </a:ext>
              </a:extLst>
            </xdr:cNvPr>
            <xdr:cNvSpPr txBox="1"/>
          </xdr:nvSpPr>
          <xdr:spPr>
            <a:xfrm>
              <a:off x="76638" y="17240687"/>
              <a:ext cx="123155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" name="Tekstfelt 15">
              <a:extLst>
                <a:ext uri="{FF2B5EF4-FFF2-40B4-BE49-F238E27FC236}">
                  <a16:creationId xmlns:a16="http://schemas.microsoft.com/office/drawing/2014/main" id="{D7C44265-10AA-3E48-B9D2-FBDDAE88BD2F}"/>
                </a:ext>
              </a:extLst>
            </xdr:cNvPr>
            <xdr:cNvSpPr txBox="1"/>
          </xdr:nvSpPr>
          <xdr:spPr>
            <a:xfrm>
              <a:off x="76638" y="17240687"/>
              <a:ext cx="123155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〖𝐹_0=𝑆〗_0·(1+𝑟)^2=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736163</xdr:colOff>
      <xdr:row>81</xdr:row>
      <xdr:rowOff>8102</xdr:rowOff>
    </xdr:from>
    <xdr:ext cx="962443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kstfelt 17">
              <a:extLst>
                <a:ext uri="{FF2B5EF4-FFF2-40B4-BE49-F238E27FC236}">
                  <a16:creationId xmlns:a16="http://schemas.microsoft.com/office/drawing/2014/main" id="{FB8874A4-032E-7F4D-A412-1E498E0E8275}"/>
                </a:ext>
              </a:extLst>
            </xdr:cNvPr>
            <xdr:cNvSpPr txBox="1"/>
          </xdr:nvSpPr>
          <xdr:spPr>
            <a:xfrm>
              <a:off x="3374697" y="17240688"/>
              <a:ext cx="962443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·2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8" name="Tekstfelt 17">
              <a:extLst>
                <a:ext uri="{FF2B5EF4-FFF2-40B4-BE49-F238E27FC236}">
                  <a16:creationId xmlns:a16="http://schemas.microsoft.com/office/drawing/2014/main" id="{FB8874A4-032E-7F4D-A412-1E498E0E8275}"/>
                </a:ext>
              </a:extLst>
            </xdr:cNvPr>
            <xdr:cNvSpPr txBox="1"/>
          </xdr:nvSpPr>
          <xdr:spPr>
            <a:xfrm>
              <a:off x="3374697" y="17240688"/>
              <a:ext cx="962443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〖𝐹_0=𝑆〗_0·𝑒^(𝑟·2)=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98534</xdr:colOff>
      <xdr:row>84</xdr:row>
      <xdr:rowOff>19050</xdr:rowOff>
    </xdr:from>
    <xdr:ext cx="127156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kstfelt 18">
              <a:extLst>
                <a:ext uri="{FF2B5EF4-FFF2-40B4-BE49-F238E27FC236}">
                  <a16:creationId xmlns:a16="http://schemas.microsoft.com/office/drawing/2014/main" id="{23018305-BCC3-0B47-92B3-C03AE1384A3A}"/>
                </a:ext>
              </a:extLst>
            </xdr:cNvPr>
            <xdr:cNvSpPr txBox="1"/>
          </xdr:nvSpPr>
          <xdr:spPr>
            <a:xfrm>
              <a:off x="98534" y="17875688"/>
              <a:ext cx="127156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9" name="Tekstfelt 18">
              <a:extLst>
                <a:ext uri="{FF2B5EF4-FFF2-40B4-BE49-F238E27FC236}">
                  <a16:creationId xmlns:a16="http://schemas.microsoft.com/office/drawing/2014/main" id="{23018305-BCC3-0B47-92B3-C03AE1384A3A}"/>
                </a:ext>
              </a:extLst>
            </xdr:cNvPr>
            <xdr:cNvSpPr txBox="1"/>
          </xdr:nvSpPr>
          <xdr:spPr>
            <a:xfrm>
              <a:off x="98534" y="17875688"/>
              <a:ext cx="127156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𝐹_1𝑢=𝑆_𝑢·(1+𝑟)=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86710</xdr:colOff>
      <xdr:row>85</xdr:row>
      <xdr:rowOff>29123</xdr:rowOff>
    </xdr:from>
    <xdr:ext cx="127252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kstfelt 43">
              <a:extLst>
                <a:ext uri="{FF2B5EF4-FFF2-40B4-BE49-F238E27FC236}">
                  <a16:creationId xmlns:a16="http://schemas.microsoft.com/office/drawing/2014/main" id="{C6E64B64-5B2A-4442-A9D0-63AB1E7DBCC4}"/>
                </a:ext>
              </a:extLst>
            </xdr:cNvPr>
            <xdr:cNvSpPr txBox="1"/>
          </xdr:nvSpPr>
          <xdr:spPr>
            <a:xfrm>
              <a:off x="86710" y="18093778"/>
              <a:ext cx="127252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d>
                      <m:d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</m:d>
                    <m:r>
                      <a:rPr lang="da-DK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44" name="Tekstfelt 43">
              <a:extLst>
                <a:ext uri="{FF2B5EF4-FFF2-40B4-BE49-F238E27FC236}">
                  <a16:creationId xmlns:a16="http://schemas.microsoft.com/office/drawing/2014/main" id="{C6E64B64-5B2A-4442-A9D0-63AB1E7DBCC4}"/>
                </a:ext>
              </a:extLst>
            </xdr:cNvPr>
            <xdr:cNvSpPr txBox="1"/>
          </xdr:nvSpPr>
          <xdr:spPr>
            <a:xfrm>
              <a:off x="86710" y="18093778"/>
              <a:ext cx="127252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𝐹_1𝑑=𝑆_𝑑·(1+𝑟)=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702443</xdr:colOff>
      <xdr:row>84</xdr:row>
      <xdr:rowOff>18174</xdr:rowOff>
    </xdr:from>
    <xdr:ext cx="977255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kstfelt 44">
              <a:extLst>
                <a:ext uri="{FF2B5EF4-FFF2-40B4-BE49-F238E27FC236}">
                  <a16:creationId xmlns:a16="http://schemas.microsoft.com/office/drawing/2014/main" id="{63C4986C-E4CD-6742-9A32-EDAA0FA6B94D}"/>
                </a:ext>
              </a:extLst>
            </xdr:cNvPr>
            <xdr:cNvSpPr txBox="1"/>
          </xdr:nvSpPr>
          <xdr:spPr>
            <a:xfrm>
              <a:off x="3340977" y="17874812"/>
              <a:ext cx="97725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45" name="Tekstfelt 44">
              <a:extLst>
                <a:ext uri="{FF2B5EF4-FFF2-40B4-BE49-F238E27FC236}">
                  <a16:creationId xmlns:a16="http://schemas.microsoft.com/office/drawing/2014/main" id="{63C4986C-E4CD-6742-9A32-EDAA0FA6B94D}"/>
                </a:ext>
              </a:extLst>
            </xdr:cNvPr>
            <xdr:cNvSpPr txBox="1"/>
          </xdr:nvSpPr>
          <xdr:spPr>
            <a:xfrm>
              <a:off x="3340977" y="17874812"/>
              <a:ext cx="97725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〖𝐹_1𝑢=𝑆〗_𝑢·𝑒^𝑟=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701567</xdr:colOff>
      <xdr:row>85</xdr:row>
      <xdr:rowOff>39195</xdr:rowOff>
    </xdr:from>
    <xdr:ext cx="98097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kstfelt 45">
              <a:extLst>
                <a:ext uri="{FF2B5EF4-FFF2-40B4-BE49-F238E27FC236}">
                  <a16:creationId xmlns:a16="http://schemas.microsoft.com/office/drawing/2014/main" id="{A7AE170E-97BC-5A42-B949-B38979E5F110}"/>
                </a:ext>
              </a:extLst>
            </xdr:cNvPr>
            <xdr:cNvSpPr txBox="1"/>
          </xdr:nvSpPr>
          <xdr:spPr>
            <a:xfrm>
              <a:off x="3340101" y="18103850"/>
              <a:ext cx="98097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46" name="Tekstfelt 45">
              <a:extLst>
                <a:ext uri="{FF2B5EF4-FFF2-40B4-BE49-F238E27FC236}">
                  <a16:creationId xmlns:a16="http://schemas.microsoft.com/office/drawing/2014/main" id="{A7AE170E-97BC-5A42-B949-B38979E5F110}"/>
                </a:ext>
              </a:extLst>
            </xdr:cNvPr>
            <xdr:cNvSpPr txBox="1"/>
          </xdr:nvSpPr>
          <xdr:spPr>
            <a:xfrm>
              <a:off x="3340101" y="18103850"/>
              <a:ext cx="98097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〖𝐹_1𝑑=𝑆〗_𝑑·𝑒^𝑟=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119555</xdr:colOff>
      <xdr:row>89</xdr:row>
      <xdr:rowOff>7352</xdr:rowOff>
    </xdr:from>
    <xdr:ext cx="77700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kstfelt 46">
              <a:extLst>
                <a:ext uri="{FF2B5EF4-FFF2-40B4-BE49-F238E27FC236}">
                  <a16:creationId xmlns:a16="http://schemas.microsoft.com/office/drawing/2014/main" id="{E8B84DD5-7875-0342-B395-F209E2BB01EB}"/>
                </a:ext>
              </a:extLst>
            </xdr:cNvPr>
            <xdr:cNvSpPr txBox="1"/>
          </xdr:nvSpPr>
          <xdr:spPr>
            <a:xfrm>
              <a:off x="119555" y="18904076"/>
              <a:ext cx="77700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47" name="Tekstfelt 46">
              <a:extLst>
                <a:ext uri="{FF2B5EF4-FFF2-40B4-BE49-F238E27FC236}">
                  <a16:creationId xmlns:a16="http://schemas.microsoft.com/office/drawing/2014/main" id="{E8B84DD5-7875-0342-B395-F209E2BB01EB}"/>
                </a:ext>
              </a:extLst>
            </xdr:cNvPr>
            <xdr:cNvSpPr txBox="1"/>
          </xdr:nvSpPr>
          <xdr:spPr>
            <a:xfrm>
              <a:off x="119555" y="18904076"/>
              <a:ext cx="77700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𝐹_𝑢𝑑=S_ud=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118679</xdr:colOff>
      <xdr:row>90</xdr:row>
      <xdr:rowOff>17425</xdr:rowOff>
    </xdr:from>
    <xdr:ext cx="77630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kstfelt 47">
              <a:extLst>
                <a:ext uri="{FF2B5EF4-FFF2-40B4-BE49-F238E27FC236}">
                  <a16:creationId xmlns:a16="http://schemas.microsoft.com/office/drawing/2014/main" id="{0BCF33A1-6D6E-6547-948B-0D547B11D17E}"/>
                </a:ext>
              </a:extLst>
            </xdr:cNvPr>
            <xdr:cNvSpPr txBox="1"/>
          </xdr:nvSpPr>
          <xdr:spPr>
            <a:xfrm>
              <a:off x="118679" y="18677766"/>
              <a:ext cx="77630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48" name="Tekstfelt 47">
              <a:extLst>
                <a:ext uri="{FF2B5EF4-FFF2-40B4-BE49-F238E27FC236}">
                  <a16:creationId xmlns:a16="http://schemas.microsoft.com/office/drawing/2014/main" id="{0BCF33A1-6D6E-6547-948B-0D547B11D17E}"/>
                </a:ext>
              </a:extLst>
            </xdr:cNvPr>
            <xdr:cNvSpPr txBox="1"/>
          </xdr:nvSpPr>
          <xdr:spPr>
            <a:xfrm>
              <a:off x="118679" y="18677766"/>
              <a:ext cx="77630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𝐹_𝑑𝑑=S_dd=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90214</xdr:colOff>
      <xdr:row>94</xdr:row>
      <xdr:rowOff>19050</xdr:rowOff>
    </xdr:from>
    <xdr:ext cx="95045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kstfelt 19">
              <a:extLst>
                <a:ext uri="{FF2B5EF4-FFF2-40B4-BE49-F238E27FC236}">
                  <a16:creationId xmlns:a16="http://schemas.microsoft.com/office/drawing/2014/main" id="{A8896732-2F67-A845-B88B-56BACF778D42}"/>
                </a:ext>
              </a:extLst>
            </xdr:cNvPr>
            <xdr:cNvSpPr txBox="1"/>
          </xdr:nvSpPr>
          <xdr:spPr>
            <a:xfrm>
              <a:off x="90214" y="19340500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0" name="Tekstfelt 19">
              <a:extLst>
                <a:ext uri="{FF2B5EF4-FFF2-40B4-BE49-F238E27FC236}">
                  <a16:creationId xmlns:a16="http://schemas.microsoft.com/office/drawing/2014/main" id="{A8896732-2F67-A845-B88B-56BACF778D42}"/>
                </a:ext>
              </a:extLst>
            </xdr:cNvPr>
            <xdr:cNvSpPr txBox="1"/>
          </xdr:nvSpPr>
          <xdr:spPr>
            <a:xfrm>
              <a:off x="90214" y="19340500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𝑢=𝐹_1𝑢−𝐹_0=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78390</xdr:colOff>
      <xdr:row>95</xdr:row>
      <xdr:rowOff>18175</xdr:rowOff>
    </xdr:from>
    <xdr:ext cx="95269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kstfelt 65">
              <a:extLst>
                <a:ext uri="{FF2B5EF4-FFF2-40B4-BE49-F238E27FC236}">
                  <a16:creationId xmlns:a16="http://schemas.microsoft.com/office/drawing/2014/main" id="{CA4A29AD-340C-F44F-90F9-9F6D11BD1799}"/>
                </a:ext>
              </a:extLst>
            </xdr:cNvPr>
            <xdr:cNvSpPr txBox="1"/>
          </xdr:nvSpPr>
          <xdr:spPr>
            <a:xfrm>
              <a:off x="78390" y="19543213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66" name="Tekstfelt 65">
              <a:extLst>
                <a:ext uri="{FF2B5EF4-FFF2-40B4-BE49-F238E27FC236}">
                  <a16:creationId xmlns:a16="http://schemas.microsoft.com/office/drawing/2014/main" id="{CA4A29AD-340C-F44F-90F9-9F6D11BD1799}"/>
                </a:ext>
              </a:extLst>
            </xdr:cNvPr>
            <xdr:cNvSpPr txBox="1"/>
          </xdr:nvSpPr>
          <xdr:spPr>
            <a:xfrm>
              <a:off x="78390" y="19543213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100" b="0" i="0">
                  <a:latin typeface="Cambria Math" panose="02040503050406030204" pitchFamily="18" charset="0"/>
                </a:rPr>
                <a:t>𝑑=𝐹_1𝑑−𝐹_0=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89338</xdr:colOff>
      <xdr:row>94</xdr:row>
      <xdr:rowOff>29122</xdr:rowOff>
    </xdr:from>
    <xdr:ext cx="95045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kstfelt 66">
              <a:extLst>
                <a:ext uri="{FF2B5EF4-FFF2-40B4-BE49-F238E27FC236}">
                  <a16:creationId xmlns:a16="http://schemas.microsoft.com/office/drawing/2014/main" id="{1CC44E3A-E711-244D-A916-D87BA4C62910}"/>
                </a:ext>
              </a:extLst>
            </xdr:cNvPr>
            <xdr:cNvSpPr txBox="1"/>
          </xdr:nvSpPr>
          <xdr:spPr>
            <a:xfrm>
              <a:off x="2706895" y="19350572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67" name="Tekstfelt 66">
              <a:extLst>
                <a:ext uri="{FF2B5EF4-FFF2-40B4-BE49-F238E27FC236}">
                  <a16:creationId xmlns:a16="http://schemas.microsoft.com/office/drawing/2014/main" id="{1CC44E3A-E711-244D-A916-D87BA4C62910}"/>
                </a:ext>
              </a:extLst>
            </xdr:cNvPr>
            <xdr:cNvSpPr txBox="1"/>
          </xdr:nvSpPr>
          <xdr:spPr>
            <a:xfrm>
              <a:off x="2706895" y="19350572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𝑢=𝐹_1𝑢−𝐹_0=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99411</xdr:colOff>
      <xdr:row>95</xdr:row>
      <xdr:rowOff>28247</xdr:rowOff>
    </xdr:from>
    <xdr:ext cx="95269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kstfelt 67">
              <a:extLst>
                <a:ext uri="{FF2B5EF4-FFF2-40B4-BE49-F238E27FC236}">
                  <a16:creationId xmlns:a16="http://schemas.microsoft.com/office/drawing/2014/main" id="{E28CC25F-EE3D-2E42-8646-7A83F1F62B48}"/>
                </a:ext>
              </a:extLst>
            </xdr:cNvPr>
            <xdr:cNvSpPr txBox="1"/>
          </xdr:nvSpPr>
          <xdr:spPr>
            <a:xfrm>
              <a:off x="2716968" y="19553285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68" name="Tekstfelt 67">
              <a:extLst>
                <a:ext uri="{FF2B5EF4-FFF2-40B4-BE49-F238E27FC236}">
                  <a16:creationId xmlns:a16="http://schemas.microsoft.com/office/drawing/2014/main" id="{E28CC25F-EE3D-2E42-8646-7A83F1F62B48}"/>
                </a:ext>
              </a:extLst>
            </xdr:cNvPr>
            <xdr:cNvSpPr txBox="1"/>
          </xdr:nvSpPr>
          <xdr:spPr>
            <a:xfrm>
              <a:off x="2716968" y="19553285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𝑑=𝐹_1𝑑−𝐹_0=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80519</xdr:colOff>
      <xdr:row>98</xdr:row>
      <xdr:rowOff>9522</xdr:rowOff>
    </xdr:from>
    <xdr:ext cx="109517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kstfelt 68">
              <a:extLst>
                <a:ext uri="{FF2B5EF4-FFF2-40B4-BE49-F238E27FC236}">
                  <a16:creationId xmlns:a16="http://schemas.microsoft.com/office/drawing/2014/main" id="{0580CFFA-5E95-4F4A-8B66-00698D60470C}"/>
                </a:ext>
              </a:extLst>
            </xdr:cNvPr>
            <xdr:cNvSpPr txBox="1"/>
          </xdr:nvSpPr>
          <xdr:spPr>
            <a:xfrm>
              <a:off x="80519" y="20145324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69" name="Tekstfelt 68">
              <a:extLst>
                <a:ext uri="{FF2B5EF4-FFF2-40B4-BE49-F238E27FC236}">
                  <a16:creationId xmlns:a16="http://schemas.microsoft.com/office/drawing/2014/main" id="{0580CFFA-5E95-4F4A-8B66-00698D60470C}"/>
                </a:ext>
              </a:extLst>
            </xdr:cNvPr>
            <xdr:cNvSpPr txBox="1"/>
          </xdr:nvSpPr>
          <xdr:spPr>
            <a:xfrm>
              <a:off x="80519" y="20145324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𝑢𝑢=𝐹_𝑢𝑢−𝐹_1𝑢=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97194</xdr:colOff>
      <xdr:row>99</xdr:row>
      <xdr:rowOff>6809</xdr:rowOff>
    </xdr:from>
    <xdr:ext cx="110947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kstfelt 69">
              <a:extLst>
                <a:ext uri="{FF2B5EF4-FFF2-40B4-BE49-F238E27FC236}">
                  <a16:creationId xmlns:a16="http://schemas.microsoft.com/office/drawing/2014/main" id="{6A05F5C8-AC4B-CC4F-B19D-A7856C92693F}"/>
                </a:ext>
              </a:extLst>
            </xdr:cNvPr>
            <xdr:cNvSpPr txBox="1"/>
          </xdr:nvSpPr>
          <xdr:spPr>
            <a:xfrm>
              <a:off x="97194" y="20346198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0" name="Tekstfelt 69">
              <a:extLst>
                <a:ext uri="{FF2B5EF4-FFF2-40B4-BE49-F238E27FC236}">
                  <a16:creationId xmlns:a16="http://schemas.microsoft.com/office/drawing/2014/main" id="{6A05F5C8-AC4B-CC4F-B19D-A7856C92693F}"/>
                </a:ext>
              </a:extLst>
            </xdr:cNvPr>
            <xdr:cNvSpPr txBox="1"/>
          </xdr:nvSpPr>
          <xdr:spPr>
            <a:xfrm>
              <a:off x="97194" y="20346198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𝑢𝑑=𝐹_𝑢𝑑−𝐹_1𝑢=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75090</xdr:colOff>
      <xdr:row>100</xdr:row>
      <xdr:rowOff>4094</xdr:rowOff>
    </xdr:from>
    <xdr:ext cx="110908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kstfelt 70">
              <a:extLst>
                <a:ext uri="{FF2B5EF4-FFF2-40B4-BE49-F238E27FC236}">
                  <a16:creationId xmlns:a16="http://schemas.microsoft.com/office/drawing/2014/main" id="{C0BCB203-6FC5-C642-AB4D-F530B293386A}"/>
                </a:ext>
              </a:extLst>
            </xdr:cNvPr>
            <xdr:cNvSpPr txBox="1"/>
          </xdr:nvSpPr>
          <xdr:spPr>
            <a:xfrm>
              <a:off x="75090" y="20547071"/>
              <a:ext cx="11090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1" name="Tekstfelt 70">
              <a:extLst>
                <a:ext uri="{FF2B5EF4-FFF2-40B4-BE49-F238E27FC236}">
                  <a16:creationId xmlns:a16="http://schemas.microsoft.com/office/drawing/2014/main" id="{C0BCB203-6FC5-C642-AB4D-F530B293386A}"/>
                </a:ext>
              </a:extLst>
            </xdr:cNvPr>
            <xdr:cNvSpPr txBox="1"/>
          </xdr:nvSpPr>
          <xdr:spPr>
            <a:xfrm>
              <a:off x="75090" y="20547071"/>
              <a:ext cx="11090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𝑑𝑢=𝐹_𝑢𝑑−𝐹_1𝑑=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0</xdr:col>
      <xdr:colOff>72375</xdr:colOff>
      <xdr:row>101</xdr:row>
      <xdr:rowOff>11074</xdr:rowOff>
    </xdr:from>
    <xdr:ext cx="110979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kstfelt 71">
              <a:extLst>
                <a:ext uri="{FF2B5EF4-FFF2-40B4-BE49-F238E27FC236}">
                  <a16:creationId xmlns:a16="http://schemas.microsoft.com/office/drawing/2014/main" id="{8DC304A0-AE45-D848-AC7B-13EEC9145FEF}"/>
                </a:ext>
              </a:extLst>
            </xdr:cNvPr>
            <xdr:cNvSpPr txBox="1"/>
          </xdr:nvSpPr>
          <xdr:spPr>
            <a:xfrm>
              <a:off x="72375" y="20802513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2" name="Tekstfelt 71">
              <a:extLst>
                <a:ext uri="{FF2B5EF4-FFF2-40B4-BE49-F238E27FC236}">
                  <a16:creationId xmlns:a16="http://schemas.microsoft.com/office/drawing/2014/main" id="{8DC304A0-AE45-D848-AC7B-13EEC9145FEF}"/>
                </a:ext>
              </a:extLst>
            </xdr:cNvPr>
            <xdr:cNvSpPr txBox="1"/>
          </xdr:nvSpPr>
          <xdr:spPr>
            <a:xfrm>
              <a:off x="72375" y="20802513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𝑑𝑑=𝐹_𝑑𝑑−𝐹_1𝑑=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80519</xdr:colOff>
      <xdr:row>98</xdr:row>
      <xdr:rowOff>9522</xdr:rowOff>
    </xdr:from>
    <xdr:ext cx="109517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kstfelt 72">
              <a:extLst>
                <a:ext uri="{FF2B5EF4-FFF2-40B4-BE49-F238E27FC236}">
                  <a16:creationId xmlns:a16="http://schemas.microsoft.com/office/drawing/2014/main" id="{33575727-3856-6948-93F9-4CC6DFDC894C}"/>
                </a:ext>
              </a:extLst>
            </xdr:cNvPr>
            <xdr:cNvSpPr txBox="1"/>
          </xdr:nvSpPr>
          <xdr:spPr>
            <a:xfrm>
              <a:off x="80519" y="20145324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3" name="Tekstfelt 72">
              <a:extLst>
                <a:ext uri="{FF2B5EF4-FFF2-40B4-BE49-F238E27FC236}">
                  <a16:creationId xmlns:a16="http://schemas.microsoft.com/office/drawing/2014/main" id="{33575727-3856-6948-93F9-4CC6DFDC894C}"/>
                </a:ext>
              </a:extLst>
            </xdr:cNvPr>
            <xdr:cNvSpPr txBox="1"/>
          </xdr:nvSpPr>
          <xdr:spPr>
            <a:xfrm>
              <a:off x="80519" y="20145324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𝑢𝑢=𝐹_𝑢𝑢−𝐹_1𝑢=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97194</xdr:colOff>
      <xdr:row>99</xdr:row>
      <xdr:rowOff>6809</xdr:rowOff>
    </xdr:from>
    <xdr:ext cx="110947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kstfelt 73">
              <a:extLst>
                <a:ext uri="{FF2B5EF4-FFF2-40B4-BE49-F238E27FC236}">
                  <a16:creationId xmlns:a16="http://schemas.microsoft.com/office/drawing/2014/main" id="{2839CE82-B561-2345-97DD-03395074E778}"/>
                </a:ext>
              </a:extLst>
            </xdr:cNvPr>
            <xdr:cNvSpPr txBox="1"/>
          </xdr:nvSpPr>
          <xdr:spPr>
            <a:xfrm>
              <a:off x="97194" y="20346198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4" name="Tekstfelt 73">
              <a:extLst>
                <a:ext uri="{FF2B5EF4-FFF2-40B4-BE49-F238E27FC236}">
                  <a16:creationId xmlns:a16="http://schemas.microsoft.com/office/drawing/2014/main" id="{2839CE82-B561-2345-97DD-03395074E778}"/>
                </a:ext>
              </a:extLst>
            </xdr:cNvPr>
            <xdr:cNvSpPr txBox="1"/>
          </xdr:nvSpPr>
          <xdr:spPr>
            <a:xfrm>
              <a:off x="97194" y="20346198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𝑢𝑑=𝐹_𝑢𝑑−𝐹_1𝑢=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75090</xdr:colOff>
      <xdr:row>100</xdr:row>
      <xdr:rowOff>4094</xdr:rowOff>
    </xdr:from>
    <xdr:ext cx="110908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kstfelt 74">
              <a:extLst>
                <a:ext uri="{FF2B5EF4-FFF2-40B4-BE49-F238E27FC236}">
                  <a16:creationId xmlns:a16="http://schemas.microsoft.com/office/drawing/2014/main" id="{6BCC6289-4B30-E243-A214-A2DB89EBB73D}"/>
                </a:ext>
              </a:extLst>
            </xdr:cNvPr>
            <xdr:cNvSpPr txBox="1"/>
          </xdr:nvSpPr>
          <xdr:spPr>
            <a:xfrm>
              <a:off x="75090" y="20547071"/>
              <a:ext cx="11090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5" name="Tekstfelt 74">
              <a:extLst>
                <a:ext uri="{FF2B5EF4-FFF2-40B4-BE49-F238E27FC236}">
                  <a16:creationId xmlns:a16="http://schemas.microsoft.com/office/drawing/2014/main" id="{6BCC6289-4B30-E243-A214-A2DB89EBB73D}"/>
                </a:ext>
              </a:extLst>
            </xdr:cNvPr>
            <xdr:cNvSpPr txBox="1"/>
          </xdr:nvSpPr>
          <xdr:spPr>
            <a:xfrm>
              <a:off x="75090" y="20547071"/>
              <a:ext cx="110908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𝑑𝑢=𝐹_𝑢𝑑−𝐹_1𝑑=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3</xdr:col>
      <xdr:colOff>72375</xdr:colOff>
      <xdr:row>101</xdr:row>
      <xdr:rowOff>11074</xdr:rowOff>
    </xdr:from>
    <xdr:ext cx="110979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kstfelt 75">
              <a:extLst>
                <a:ext uri="{FF2B5EF4-FFF2-40B4-BE49-F238E27FC236}">
                  <a16:creationId xmlns:a16="http://schemas.microsoft.com/office/drawing/2014/main" id="{9AF5C489-BF84-734E-844A-535EA4715FF1}"/>
                </a:ext>
              </a:extLst>
            </xdr:cNvPr>
            <xdr:cNvSpPr txBox="1"/>
          </xdr:nvSpPr>
          <xdr:spPr>
            <a:xfrm>
              <a:off x="2698966" y="20802513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76" name="Tekstfelt 75">
              <a:extLst>
                <a:ext uri="{FF2B5EF4-FFF2-40B4-BE49-F238E27FC236}">
                  <a16:creationId xmlns:a16="http://schemas.microsoft.com/office/drawing/2014/main" id="{9AF5C489-BF84-734E-844A-535EA4715FF1}"/>
                </a:ext>
              </a:extLst>
            </xdr:cNvPr>
            <xdr:cNvSpPr txBox="1"/>
          </xdr:nvSpPr>
          <xdr:spPr>
            <a:xfrm>
              <a:off x="2698966" y="20802513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𝑑𝑑=𝐹_𝑑𝑑−𝐹_1𝑑=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109483</xdr:colOff>
      <xdr:row>88</xdr:row>
      <xdr:rowOff>19176</xdr:rowOff>
    </xdr:from>
    <xdr:ext cx="128836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kstfelt 121">
              <a:extLst>
                <a:ext uri="{FF2B5EF4-FFF2-40B4-BE49-F238E27FC236}">
                  <a16:creationId xmlns:a16="http://schemas.microsoft.com/office/drawing/2014/main" id="{66C04AAE-3FAD-EC48-94A2-332156F87B78}"/>
                </a:ext>
              </a:extLst>
            </xdr:cNvPr>
            <xdr:cNvSpPr txBox="1"/>
          </xdr:nvSpPr>
          <xdr:spPr>
            <a:xfrm>
              <a:off x="9822443" y="18307176"/>
              <a:ext cx="128836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·(1+</m:t>
                  </m:r>
                  <m:r>
                    <m:rPr>
                      <m:sty m:val="p"/>
                    </m:rPr>
                    <a:rPr lang="da-DK" sz="1100" b="0" i="0">
                      <a:latin typeface="Cambria Math" panose="02040503050406030204" pitchFamily="18" charset="0"/>
                    </a:rPr>
                    <m:t>r</m:t>
                  </m:r>
                  <m:r>
                    <a:rPr lang="da-DK" sz="1100" b="0" i="0">
                      <a:latin typeface="Cambria Math" panose="02040503050406030204" pitchFamily="18" charset="0"/>
                    </a:rPr>
                    <m:t>)=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22" name="Tekstfelt 121">
              <a:extLst>
                <a:ext uri="{FF2B5EF4-FFF2-40B4-BE49-F238E27FC236}">
                  <a16:creationId xmlns:a16="http://schemas.microsoft.com/office/drawing/2014/main" id="{66C04AAE-3FAD-EC48-94A2-332156F87B78}"/>
                </a:ext>
              </a:extLst>
            </xdr:cNvPr>
            <xdr:cNvSpPr txBox="1"/>
          </xdr:nvSpPr>
          <xdr:spPr>
            <a:xfrm>
              <a:off x="9822443" y="18307176"/>
              <a:ext cx="128836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𝐹_𝑢𝑢=S_uu·(1+r)=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76638</xdr:colOff>
      <xdr:row>81</xdr:row>
      <xdr:rowOff>8101</xdr:rowOff>
    </xdr:from>
    <xdr:ext cx="1231556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kstfelt 122">
              <a:extLst>
                <a:ext uri="{FF2B5EF4-FFF2-40B4-BE49-F238E27FC236}">
                  <a16:creationId xmlns:a16="http://schemas.microsoft.com/office/drawing/2014/main" id="{647DAACB-E34E-1948-9ACB-DF17EE55FCEF}"/>
                </a:ext>
              </a:extLst>
            </xdr:cNvPr>
            <xdr:cNvSpPr txBox="1"/>
          </xdr:nvSpPr>
          <xdr:spPr>
            <a:xfrm>
              <a:off x="9789598" y="16873701"/>
              <a:ext cx="123155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3" name="Tekstfelt 122">
              <a:extLst>
                <a:ext uri="{FF2B5EF4-FFF2-40B4-BE49-F238E27FC236}">
                  <a16:creationId xmlns:a16="http://schemas.microsoft.com/office/drawing/2014/main" id="{647DAACB-E34E-1948-9ACB-DF17EE55FCEF}"/>
                </a:ext>
              </a:extLst>
            </xdr:cNvPr>
            <xdr:cNvSpPr txBox="1"/>
          </xdr:nvSpPr>
          <xdr:spPr>
            <a:xfrm>
              <a:off x="9789598" y="16873701"/>
              <a:ext cx="123155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〖𝐹_0=𝑆〗_0·(1+𝑟)^3=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736163</xdr:colOff>
      <xdr:row>81</xdr:row>
      <xdr:rowOff>8102</xdr:rowOff>
    </xdr:from>
    <xdr:ext cx="962443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kstfelt 123">
              <a:extLst>
                <a:ext uri="{FF2B5EF4-FFF2-40B4-BE49-F238E27FC236}">
                  <a16:creationId xmlns:a16="http://schemas.microsoft.com/office/drawing/2014/main" id="{90E3CF96-2C3A-A744-93F8-2A5230DAE697}"/>
                </a:ext>
              </a:extLst>
            </xdr:cNvPr>
            <xdr:cNvSpPr txBox="1"/>
          </xdr:nvSpPr>
          <xdr:spPr>
            <a:xfrm>
              <a:off x="13050083" y="16873702"/>
              <a:ext cx="962443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·3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4" name="Tekstfelt 123">
              <a:extLst>
                <a:ext uri="{FF2B5EF4-FFF2-40B4-BE49-F238E27FC236}">
                  <a16:creationId xmlns:a16="http://schemas.microsoft.com/office/drawing/2014/main" id="{90E3CF96-2C3A-A744-93F8-2A5230DAE697}"/>
                </a:ext>
              </a:extLst>
            </xdr:cNvPr>
            <xdr:cNvSpPr txBox="1"/>
          </xdr:nvSpPr>
          <xdr:spPr>
            <a:xfrm>
              <a:off x="13050083" y="16873702"/>
              <a:ext cx="962443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〖𝐹_0=𝑆〗_0·𝑒^(𝑟·3)=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98534</xdr:colOff>
      <xdr:row>84</xdr:row>
      <xdr:rowOff>19050</xdr:rowOff>
    </xdr:from>
    <xdr:ext cx="1336968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kstfelt 124">
              <a:extLst>
                <a:ext uri="{FF2B5EF4-FFF2-40B4-BE49-F238E27FC236}">
                  <a16:creationId xmlns:a16="http://schemas.microsoft.com/office/drawing/2014/main" id="{5ED143A9-FFCB-DE4B-AB99-20A9E31619F0}"/>
                </a:ext>
              </a:extLst>
            </xdr:cNvPr>
            <xdr:cNvSpPr txBox="1"/>
          </xdr:nvSpPr>
          <xdr:spPr>
            <a:xfrm>
              <a:off x="9811494" y="17494250"/>
              <a:ext cx="1336968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5" name="Tekstfelt 124">
              <a:extLst>
                <a:ext uri="{FF2B5EF4-FFF2-40B4-BE49-F238E27FC236}">
                  <a16:creationId xmlns:a16="http://schemas.microsoft.com/office/drawing/2014/main" id="{5ED143A9-FFCB-DE4B-AB99-20A9E31619F0}"/>
                </a:ext>
              </a:extLst>
            </xdr:cNvPr>
            <xdr:cNvSpPr txBox="1"/>
          </xdr:nvSpPr>
          <xdr:spPr>
            <a:xfrm>
              <a:off x="9811494" y="17494250"/>
              <a:ext cx="1336968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𝐹_1𝑢=𝑆_𝑢·(1+𝑟)^2=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86710</xdr:colOff>
      <xdr:row>85</xdr:row>
      <xdr:rowOff>29123</xdr:rowOff>
    </xdr:from>
    <xdr:ext cx="1337930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kstfelt 125">
              <a:extLst>
                <a:ext uri="{FF2B5EF4-FFF2-40B4-BE49-F238E27FC236}">
                  <a16:creationId xmlns:a16="http://schemas.microsoft.com/office/drawing/2014/main" id="{6E73EE67-D250-1C40-859E-6237279871C5}"/>
                </a:ext>
              </a:extLst>
            </xdr:cNvPr>
            <xdr:cNvSpPr txBox="1"/>
          </xdr:nvSpPr>
          <xdr:spPr>
            <a:xfrm>
              <a:off x="9799670" y="17707523"/>
              <a:ext cx="133793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1+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</m:d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6" name="Tekstfelt 125">
              <a:extLst>
                <a:ext uri="{FF2B5EF4-FFF2-40B4-BE49-F238E27FC236}">
                  <a16:creationId xmlns:a16="http://schemas.microsoft.com/office/drawing/2014/main" id="{6E73EE67-D250-1C40-859E-6237279871C5}"/>
                </a:ext>
              </a:extLst>
            </xdr:cNvPr>
            <xdr:cNvSpPr txBox="1"/>
          </xdr:nvSpPr>
          <xdr:spPr>
            <a:xfrm>
              <a:off x="9799670" y="17707523"/>
              <a:ext cx="133793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𝐹_1𝑑=𝑆_𝑑·(1+𝑟)^2=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702443</xdr:colOff>
      <xdr:row>84</xdr:row>
      <xdr:rowOff>18174</xdr:rowOff>
    </xdr:from>
    <xdr:ext cx="1036822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kstfelt 126">
              <a:extLst>
                <a:ext uri="{FF2B5EF4-FFF2-40B4-BE49-F238E27FC236}">
                  <a16:creationId xmlns:a16="http://schemas.microsoft.com/office/drawing/2014/main" id="{66E1102B-6FAC-F74E-9098-3551535FB882}"/>
                </a:ext>
              </a:extLst>
            </xdr:cNvPr>
            <xdr:cNvSpPr txBox="1"/>
          </xdr:nvSpPr>
          <xdr:spPr>
            <a:xfrm>
              <a:off x="13016363" y="17493374"/>
              <a:ext cx="1036822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·2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7" name="Tekstfelt 126">
              <a:extLst>
                <a:ext uri="{FF2B5EF4-FFF2-40B4-BE49-F238E27FC236}">
                  <a16:creationId xmlns:a16="http://schemas.microsoft.com/office/drawing/2014/main" id="{66E1102B-6FAC-F74E-9098-3551535FB882}"/>
                </a:ext>
              </a:extLst>
            </xdr:cNvPr>
            <xdr:cNvSpPr txBox="1"/>
          </xdr:nvSpPr>
          <xdr:spPr>
            <a:xfrm>
              <a:off x="13016363" y="17493374"/>
              <a:ext cx="1036822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〖𝐹_1𝑢=𝑆〗_𝑢·𝑒^(𝑟·2)=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701567</xdr:colOff>
      <xdr:row>85</xdr:row>
      <xdr:rowOff>39195</xdr:rowOff>
    </xdr:from>
    <xdr:ext cx="1037785" cy="1753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kstfelt 127">
              <a:extLst>
                <a:ext uri="{FF2B5EF4-FFF2-40B4-BE49-F238E27FC236}">
                  <a16:creationId xmlns:a16="http://schemas.microsoft.com/office/drawing/2014/main" id="{41C08CB5-C5E6-A949-B5A7-923960E1FFBB}"/>
                </a:ext>
              </a:extLst>
            </xdr:cNvPr>
            <xdr:cNvSpPr txBox="1"/>
          </xdr:nvSpPr>
          <xdr:spPr>
            <a:xfrm>
              <a:off x="13015487" y="17717595"/>
              <a:ext cx="1037785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da-DK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da-DK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·</m:t>
                    </m:r>
                    <m:sSup>
                      <m:sSup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·2</m:t>
                        </m:r>
                      </m:sup>
                    </m:sSup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28" name="Tekstfelt 127">
              <a:extLst>
                <a:ext uri="{FF2B5EF4-FFF2-40B4-BE49-F238E27FC236}">
                  <a16:creationId xmlns:a16="http://schemas.microsoft.com/office/drawing/2014/main" id="{41C08CB5-C5E6-A949-B5A7-923960E1FFBB}"/>
                </a:ext>
              </a:extLst>
            </xdr:cNvPr>
            <xdr:cNvSpPr txBox="1"/>
          </xdr:nvSpPr>
          <xdr:spPr>
            <a:xfrm>
              <a:off x="13015487" y="17717595"/>
              <a:ext cx="1037785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〖𝐹_1𝑑=𝑆〗_𝑑·𝑒^(𝑟·2)=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119555</xdr:colOff>
      <xdr:row>89</xdr:row>
      <xdr:rowOff>7352</xdr:rowOff>
    </xdr:from>
    <xdr:ext cx="1301190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kstfelt 128">
              <a:extLst>
                <a:ext uri="{FF2B5EF4-FFF2-40B4-BE49-F238E27FC236}">
                  <a16:creationId xmlns:a16="http://schemas.microsoft.com/office/drawing/2014/main" id="{5153BD5B-F131-D04F-A27C-338746F68BE7}"/>
                </a:ext>
              </a:extLst>
            </xdr:cNvPr>
            <xdr:cNvSpPr txBox="1"/>
          </xdr:nvSpPr>
          <xdr:spPr>
            <a:xfrm>
              <a:off x="9832515" y="18498552"/>
              <a:ext cx="130119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·(1+</m:t>
                  </m:r>
                  <m:r>
                    <m:rPr>
                      <m:sty m:val="p"/>
                    </m:rPr>
                    <a:rPr lang="da-DK" sz="1100" b="0" i="0">
                      <a:latin typeface="Cambria Math" panose="02040503050406030204" pitchFamily="18" charset="0"/>
                    </a:rPr>
                    <m:t>r</m:t>
                  </m:r>
                  <m:r>
                    <a:rPr lang="da-DK" sz="1100" b="0" i="0">
                      <a:latin typeface="Cambria Math" panose="02040503050406030204" pitchFamily="18" charset="0"/>
                    </a:rPr>
                    <m:t>)=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29" name="Tekstfelt 128">
              <a:extLst>
                <a:ext uri="{FF2B5EF4-FFF2-40B4-BE49-F238E27FC236}">
                  <a16:creationId xmlns:a16="http://schemas.microsoft.com/office/drawing/2014/main" id="{5153BD5B-F131-D04F-A27C-338746F68BE7}"/>
                </a:ext>
              </a:extLst>
            </xdr:cNvPr>
            <xdr:cNvSpPr txBox="1"/>
          </xdr:nvSpPr>
          <xdr:spPr>
            <a:xfrm>
              <a:off x="9832515" y="18498552"/>
              <a:ext cx="130119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𝐹_𝑢𝑑=S_ud·(1+r)=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118679</xdr:colOff>
      <xdr:row>90</xdr:row>
      <xdr:rowOff>17425</xdr:rowOff>
    </xdr:from>
    <xdr:ext cx="130048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kstfelt 129">
              <a:extLst>
                <a:ext uri="{FF2B5EF4-FFF2-40B4-BE49-F238E27FC236}">
                  <a16:creationId xmlns:a16="http://schemas.microsoft.com/office/drawing/2014/main" id="{761B3BB0-1E5A-EE4F-B1E8-3744958C42D5}"/>
                </a:ext>
              </a:extLst>
            </xdr:cNvPr>
            <xdr:cNvSpPr txBox="1"/>
          </xdr:nvSpPr>
          <xdr:spPr>
            <a:xfrm>
              <a:off x="9778376" y="18586364"/>
              <a:ext cx="13004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·(1+</m:t>
                  </m:r>
                  <m:r>
                    <m:rPr>
                      <m:sty m:val="p"/>
                    </m:rPr>
                    <a:rPr lang="da-DK" sz="1100" b="0" i="0">
                      <a:latin typeface="Cambria Math" panose="02040503050406030204" pitchFamily="18" charset="0"/>
                    </a:rPr>
                    <m:t>r</m:t>
                  </m:r>
                  <m:r>
                    <a:rPr lang="da-DK" sz="1100" b="0" i="0">
                      <a:latin typeface="Cambria Math" panose="02040503050406030204" pitchFamily="18" charset="0"/>
                    </a:rPr>
                    <m:t>)=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30" name="Tekstfelt 129">
              <a:extLst>
                <a:ext uri="{FF2B5EF4-FFF2-40B4-BE49-F238E27FC236}">
                  <a16:creationId xmlns:a16="http://schemas.microsoft.com/office/drawing/2014/main" id="{761B3BB0-1E5A-EE4F-B1E8-3744958C42D5}"/>
                </a:ext>
              </a:extLst>
            </xdr:cNvPr>
            <xdr:cNvSpPr txBox="1"/>
          </xdr:nvSpPr>
          <xdr:spPr>
            <a:xfrm>
              <a:off x="9778376" y="18586364"/>
              <a:ext cx="13004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𝐹_𝑑𝑑=S_dd·(1+r)=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90214</xdr:colOff>
      <xdr:row>106</xdr:row>
      <xdr:rowOff>19050</xdr:rowOff>
    </xdr:from>
    <xdr:ext cx="110947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kstfelt 130">
              <a:extLst>
                <a:ext uri="{FF2B5EF4-FFF2-40B4-BE49-F238E27FC236}">
                  <a16:creationId xmlns:a16="http://schemas.microsoft.com/office/drawing/2014/main" id="{9618765E-8AAB-0449-B374-4A9BE3248526}"/>
                </a:ext>
              </a:extLst>
            </xdr:cNvPr>
            <xdr:cNvSpPr txBox="1"/>
          </xdr:nvSpPr>
          <xdr:spPr>
            <a:xfrm>
              <a:off x="9749911" y="21820717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1" name="Tekstfelt 130">
              <a:extLst>
                <a:ext uri="{FF2B5EF4-FFF2-40B4-BE49-F238E27FC236}">
                  <a16:creationId xmlns:a16="http://schemas.microsoft.com/office/drawing/2014/main" id="{9618765E-8AAB-0449-B374-4A9BE3248526}"/>
                </a:ext>
              </a:extLst>
            </xdr:cNvPr>
            <xdr:cNvSpPr txBox="1"/>
          </xdr:nvSpPr>
          <xdr:spPr>
            <a:xfrm>
              <a:off x="9749911" y="21820717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𝑢𝑑=𝐹_𝑢𝑑−𝐹_1𝑢=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78390</xdr:colOff>
      <xdr:row>107</xdr:row>
      <xdr:rowOff>18175</xdr:rowOff>
    </xdr:from>
    <xdr:ext cx="110754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kstfelt 131">
              <a:extLst>
                <a:ext uri="{FF2B5EF4-FFF2-40B4-BE49-F238E27FC236}">
                  <a16:creationId xmlns:a16="http://schemas.microsoft.com/office/drawing/2014/main" id="{60427F35-AB8D-DF4F-AC6D-742C5FF536FA}"/>
                </a:ext>
              </a:extLst>
            </xdr:cNvPr>
            <xdr:cNvSpPr txBox="1"/>
          </xdr:nvSpPr>
          <xdr:spPr>
            <a:xfrm>
              <a:off x="9738087" y="22021887"/>
              <a:ext cx="110754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2" name="Tekstfelt 131">
              <a:extLst>
                <a:ext uri="{FF2B5EF4-FFF2-40B4-BE49-F238E27FC236}">
                  <a16:creationId xmlns:a16="http://schemas.microsoft.com/office/drawing/2014/main" id="{60427F35-AB8D-DF4F-AC6D-742C5FF536FA}"/>
                </a:ext>
              </a:extLst>
            </xdr:cNvPr>
            <xdr:cNvSpPr txBox="1"/>
          </xdr:nvSpPr>
          <xdr:spPr>
            <a:xfrm>
              <a:off x="9738087" y="22021887"/>
              <a:ext cx="110754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𝑑𝑢=𝐹_𝑑𝑢−𝐹_1𝑑=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89338</xdr:colOff>
      <xdr:row>106</xdr:row>
      <xdr:rowOff>29122</xdr:rowOff>
    </xdr:from>
    <xdr:ext cx="110947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kstfelt 132">
              <a:extLst>
                <a:ext uri="{FF2B5EF4-FFF2-40B4-BE49-F238E27FC236}">
                  <a16:creationId xmlns:a16="http://schemas.microsoft.com/office/drawing/2014/main" id="{2B02645F-D759-2844-BD1D-D60E666DBFBA}"/>
                </a:ext>
              </a:extLst>
            </xdr:cNvPr>
            <xdr:cNvSpPr txBox="1"/>
          </xdr:nvSpPr>
          <xdr:spPr>
            <a:xfrm>
              <a:off x="12337141" y="21830789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3" name="Tekstfelt 132">
              <a:extLst>
                <a:ext uri="{FF2B5EF4-FFF2-40B4-BE49-F238E27FC236}">
                  <a16:creationId xmlns:a16="http://schemas.microsoft.com/office/drawing/2014/main" id="{2B02645F-D759-2844-BD1D-D60E666DBFBA}"/>
                </a:ext>
              </a:extLst>
            </xdr:cNvPr>
            <xdr:cNvSpPr txBox="1"/>
          </xdr:nvSpPr>
          <xdr:spPr>
            <a:xfrm>
              <a:off x="12337141" y="21830789"/>
              <a:ext cx="110947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𝑢𝑑=𝐹_𝑢𝑑−𝐹_1𝑢=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99411</xdr:colOff>
      <xdr:row>107</xdr:row>
      <xdr:rowOff>28247</xdr:rowOff>
    </xdr:from>
    <xdr:ext cx="110754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kstfelt 133">
              <a:extLst>
                <a:ext uri="{FF2B5EF4-FFF2-40B4-BE49-F238E27FC236}">
                  <a16:creationId xmlns:a16="http://schemas.microsoft.com/office/drawing/2014/main" id="{75125DF9-0430-634F-8745-EE43DC6764C4}"/>
                </a:ext>
              </a:extLst>
            </xdr:cNvPr>
            <xdr:cNvSpPr txBox="1"/>
          </xdr:nvSpPr>
          <xdr:spPr>
            <a:xfrm>
              <a:off x="12347214" y="22031959"/>
              <a:ext cx="110754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4" name="Tekstfelt 133">
              <a:extLst>
                <a:ext uri="{FF2B5EF4-FFF2-40B4-BE49-F238E27FC236}">
                  <a16:creationId xmlns:a16="http://schemas.microsoft.com/office/drawing/2014/main" id="{75125DF9-0430-634F-8745-EE43DC6764C4}"/>
                </a:ext>
              </a:extLst>
            </xdr:cNvPr>
            <xdr:cNvSpPr txBox="1"/>
          </xdr:nvSpPr>
          <xdr:spPr>
            <a:xfrm>
              <a:off x="12347214" y="22031959"/>
              <a:ext cx="110754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𝑑𝑢=𝐹_𝑑𝑢−𝐹_1𝑑=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80519</xdr:colOff>
      <xdr:row>111</xdr:row>
      <xdr:rowOff>9522</xdr:rowOff>
    </xdr:from>
    <xdr:ext cx="124149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kstfelt 134">
              <a:extLst>
                <a:ext uri="{FF2B5EF4-FFF2-40B4-BE49-F238E27FC236}">
                  <a16:creationId xmlns:a16="http://schemas.microsoft.com/office/drawing/2014/main" id="{87C9A50F-C541-7343-9293-B3453D5489B4}"/>
                </a:ext>
              </a:extLst>
            </xdr:cNvPr>
            <xdr:cNvSpPr txBox="1"/>
          </xdr:nvSpPr>
          <xdr:spPr>
            <a:xfrm>
              <a:off x="9740216" y="22821416"/>
              <a:ext cx="12414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5" name="Tekstfelt 134">
              <a:extLst>
                <a:ext uri="{FF2B5EF4-FFF2-40B4-BE49-F238E27FC236}">
                  <a16:creationId xmlns:a16="http://schemas.microsoft.com/office/drawing/2014/main" id="{87C9A50F-C541-7343-9293-B3453D5489B4}"/>
                </a:ext>
              </a:extLst>
            </xdr:cNvPr>
            <xdr:cNvSpPr txBox="1"/>
          </xdr:nvSpPr>
          <xdr:spPr>
            <a:xfrm>
              <a:off x="9740216" y="22821416"/>
              <a:ext cx="12414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𝑢𝑢𝑢=𝐹_𝑢𝑢𝑢−𝐹_𝑢𝑢=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68330</xdr:colOff>
      <xdr:row>113</xdr:row>
      <xdr:rowOff>6809</xdr:rowOff>
    </xdr:from>
    <xdr:ext cx="126592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kstfelt 135">
              <a:extLst>
                <a:ext uri="{FF2B5EF4-FFF2-40B4-BE49-F238E27FC236}">
                  <a16:creationId xmlns:a16="http://schemas.microsoft.com/office/drawing/2014/main" id="{D74809AC-BA2F-4E45-9991-A62E0F0B6C27}"/>
                </a:ext>
              </a:extLst>
            </xdr:cNvPr>
            <xdr:cNvSpPr txBox="1"/>
          </xdr:nvSpPr>
          <xdr:spPr>
            <a:xfrm>
              <a:off x="9728027" y="23222794"/>
              <a:ext cx="12659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6" name="Tekstfelt 135">
              <a:extLst>
                <a:ext uri="{FF2B5EF4-FFF2-40B4-BE49-F238E27FC236}">
                  <a16:creationId xmlns:a16="http://schemas.microsoft.com/office/drawing/2014/main" id="{D74809AC-BA2F-4E45-9991-A62E0F0B6C27}"/>
                </a:ext>
              </a:extLst>
            </xdr:cNvPr>
            <xdr:cNvSpPr txBox="1"/>
          </xdr:nvSpPr>
          <xdr:spPr>
            <a:xfrm>
              <a:off x="9728027" y="23222794"/>
              <a:ext cx="12659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𝑢𝑑𝑢=𝐹_𝑢𝑑𝑢−𝐹_𝑢𝑑=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65469</xdr:colOff>
      <xdr:row>114</xdr:row>
      <xdr:rowOff>13715</xdr:rowOff>
    </xdr:from>
    <xdr:ext cx="126810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kstfelt 136">
              <a:extLst>
                <a:ext uri="{FF2B5EF4-FFF2-40B4-BE49-F238E27FC236}">
                  <a16:creationId xmlns:a16="http://schemas.microsoft.com/office/drawing/2014/main" id="{0DEB12C9-FA7C-FF46-9EC2-8473410848E9}"/>
                </a:ext>
              </a:extLst>
            </xdr:cNvPr>
            <xdr:cNvSpPr txBox="1"/>
          </xdr:nvSpPr>
          <xdr:spPr>
            <a:xfrm>
              <a:off x="9725166" y="23431745"/>
              <a:ext cx="126810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7" name="Tekstfelt 136">
              <a:extLst>
                <a:ext uri="{FF2B5EF4-FFF2-40B4-BE49-F238E27FC236}">
                  <a16:creationId xmlns:a16="http://schemas.microsoft.com/office/drawing/2014/main" id="{0DEB12C9-FA7C-FF46-9EC2-8473410848E9}"/>
                </a:ext>
              </a:extLst>
            </xdr:cNvPr>
            <xdr:cNvSpPr txBox="1"/>
          </xdr:nvSpPr>
          <xdr:spPr>
            <a:xfrm>
              <a:off x="9725166" y="23431745"/>
              <a:ext cx="126810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𝑢𝑑𝑑=𝐹_𝑢𝑑𝑑−𝐹_𝑢𝑑=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72375</xdr:colOff>
      <xdr:row>115</xdr:row>
      <xdr:rowOff>11074</xdr:rowOff>
    </xdr:from>
    <xdr:ext cx="126464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kstfelt 137">
              <a:extLst>
                <a:ext uri="{FF2B5EF4-FFF2-40B4-BE49-F238E27FC236}">
                  <a16:creationId xmlns:a16="http://schemas.microsoft.com/office/drawing/2014/main" id="{5669408B-BCBD-FD4A-B91C-838CB5D901EC}"/>
                </a:ext>
              </a:extLst>
            </xdr:cNvPr>
            <xdr:cNvSpPr txBox="1"/>
          </xdr:nvSpPr>
          <xdr:spPr>
            <a:xfrm>
              <a:off x="9732072" y="23631150"/>
              <a:ext cx="126464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38" name="Tekstfelt 137">
              <a:extLst>
                <a:ext uri="{FF2B5EF4-FFF2-40B4-BE49-F238E27FC236}">
                  <a16:creationId xmlns:a16="http://schemas.microsoft.com/office/drawing/2014/main" id="{5669408B-BCBD-FD4A-B91C-838CB5D901EC}"/>
                </a:ext>
              </a:extLst>
            </xdr:cNvPr>
            <xdr:cNvSpPr txBox="1"/>
          </xdr:nvSpPr>
          <xdr:spPr>
            <a:xfrm>
              <a:off x="9732072" y="23631150"/>
              <a:ext cx="126464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𝑑𝑑𝑢=𝐹_𝑑𝑑𝑢−𝐹_𝑑𝑑=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109483</xdr:colOff>
      <xdr:row>88</xdr:row>
      <xdr:rowOff>19176</xdr:rowOff>
    </xdr:from>
    <xdr:ext cx="76418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kstfelt 145">
              <a:extLst>
                <a:ext uri="{FF2B5EF4-FFF2-40B4-BE49-F238E27FC236}">
                  <a16:creationId xmlns:a16="http://schemas.microsoft.com/office/drawing/2014/main" id="{9FEE7159-D436-114C-8366-828913A38F82}"/>
                </a:ext>
              </a:extLst>
            </xdr:cNvPr>
            <xdr:cNvSpPr txBox="1"/>
          </xdr:nvSpPr>
          <xdr:spPr>
            <a:xfrm>
              <a:off x="109483" y="18307176"/>
              <a:ext cx="7641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46" name="Tekstfelt 145">
              <a:extLst>
                <a:ext uri="{FF2B5EF4-FFF2-40B4-BE49-F238E27FC236}">
                  <a16:creationId xmlns:a16="http://schemas.microsoft.com/office/drawing/2014/main" id="{9FEE7159-D436-114C-8366-828913A38F82}"/>
                </a:ext>
              </a:extLst>
            </xdr:cNvPr>
            <xdr:cNvSpPr txBox="1"/>
          </xdr:nvSpPr>
          <xdr:spPr>
            <a:xfrm>
              <a:off x="109483" y="18307176"/>
              <a:ext cx="76418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𝐹_𝑢𝑢=S_uu=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78915</xdr:colOff>
      <xdr:row>89</xdr:row>
      <xdr:rowOff>27672</xdr:rowOff>
    </xdr:from>
    <xdr:ext cx="77700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kstfelt 146">
              <a:extLst>
                <a:ext uri="{FF2B5EF4-FFF2-40B4-BE49-F238E27FC236}">
                  <a16:creationId xmlns:a16="http://schemas.microsoft.com/office/drawing/2014/main" id="{4CF52121-9577-E940-8B7C-7106FD59CD43}"/>
                </a:ext>
              </a:extLst>
            </xdr:cNvPr>
            <xdr:cNvSpPr txBox="1"/>
          </xdr:nvSpPr>
          <xdr:spPr>
            <a:xfrm>
              <a:off x="3675555" y="18518872"/>
              <a:ext cx="77700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47" name="Tekstfelt 146">
              <a:extLst>
                <a:ext uri="{FF2B5EF4-FFF2-40B4-BE49-F238E27FC236}">
                  <a16:creationId xmlns:a16="http://schemas.microsoft.com/office/drawing/2014/main" id="{4CF52121-9577-E940-8B7C-7106FD59CD43}"/>
                </a:ext>
              </a:extLst>
            </xdr:cNvPr>
            <xdr:cNvSpPr txBox="1"/>
          </xdr:nvSpPr>
          <xdr:spPr>
            <a:xfrm>
              <a:off x="3675555" y="18518872"/>
              <a:ext cx="77700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𝐹_𝑢𝑑=S_ud=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4</xdr:col>
      <xdr:colOff>78039</xdr:colOff>
      <xdr:row>90</xdr:row>
      <xdr:rowOff>37745</xdr:rowOff>
    </xdr:from>
    <xdr:ext cx="77630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kstfelt 147">
              <a:extLst>
                <a:ext uri="{FF2B5EF4-FFF2-40B4-BE49-F238E27FC236}">
                  <a16:creationId xmlns:a16="http://schemas.microsoft.com/office/drawing/2014/main" id="{BEC91718-9F84-DB4E-B9AC-C7115C2DA54C}"/>
                </a:ext>
              </a:extLst>
            </xdr:cNvPr>
            <xdr:cNvSpPr txBox="1"/>
          </xdr:nvSpPr>
          <xdr:spPr>
            <a:xfrm>
              <a:off x="3657130" y="18606684"/>
              <a:ext cx="77630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48" name="Tekstfelt 147">
              <a:extLst>
                <a:ext uri="{FF2B5EF4-FFF2-40B4-BE49-F238E27FC236}">
                  <a16:creationId xmlns:a16="http://schemas.microsoft.com/office/drawing/2014/main" id="{BEC91718-9F84-DB4E-B9AC-C7115C2DA54C}"/>
                </a:ext>
              </a:extLst>
            </xdr:cNvPr>
            <xdr:cNvSpPr txBox="1"/>
          </xdr:nvSpPr>
          <xdr:spPr>
            <a:xfrm>
              <a:off x="3657130" y="18606684"/>
              <a:ext cx="77630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𝐹_𝑑𝑑=S_dd=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109483</xdr:colOff>
      <xdr:row>88</xdr:row>
      <xdr:rowOff>19176</xdr:rowOff>
    </xdr:from>
    <xdr:ext cx="1007840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kstfelt 148">
              <a:extLst>
                <a:ext uri="{FF2B5EF4-FFF2-40B4-BE49-F238E27FC236}">
                  <a16:creationId xmlns:a16="http://schemas.microsoft.com/office/drawing/2014/main" id="{17B89D69-EE58-494B-9457-ECC623687116}"/>
                </a:ext>
              </a:extLst>
            </xdr:cNvPr>
            <xdr:cNvSpPr txBox="1"/>
          </xdr:nvSpPr>
          <xdr:spPr>
            <a:xfrm>
              <a:off x="12347665" y="18275426"/>
              <a:ext cx="100784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·</m:t>
                  </m:r>
                  <m:sSup>
                    <m:sSup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sup>
                  </m:sSup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49" name="Tekstfelt 148">
              <a:extLst>
                <a:ext uri="{FF2B5EF4-FFF2-40B4-BE49-F238E27FC236}">
                  <a16:creationId xmlns:a16="http://schemas.microsoft.com/office/drawing/2014/main" id="{17B89D69-EE58-494B-9457-ECC623687116}"/>
                </a:ext>
              </a:extLst>
            </xdr:cNvPr>
            <xdr:cNvSpPr txBox="1"/>
          </xdr:nvSpPr>
          <xdr:spPr>
            <a:xfrm>
              <a:off x="12347665" y="18275426"/>
              <a:ext cx="100784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𝐹_𝑢𝑢=S_uu·𝑒^𝑟=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119555</xdr:colOff>
      <xdr:row>89</xdr:row>
      <xdr:rowOff>7352</xdr:rowOff>
    </xdr:from>
    <xdr:ext cx="102066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kstfelt 149">
              <a:extLst>
                <a:ext uri="{FF2B5EF4-FFF2-40B4-BE49-F238E27FC236}">
                  <a16:creationId xmlns:a16="http://schemas.microsoft.com/office/drawing/2014/main" id="{54DBD027-9A96-F74D-BB79-3904C3A1E8A4}"/>
                </a:ext>
              </a:extLst>
            </xdr:cNvPr>
            <xdr:cNvSpPr txBox="1"/>
          </xdr:nvSpPr>
          <xdr:spPr>
            <a:xfrm>
              <a:off x="12357737" y="18465647"/>
              <a:ext cx="102066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·</m:t>
                  </m:r>
                  <m:sSup>
                    <m:sSup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sup>
                  </m:sSup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50" name="Tekstfelt 149">
              <a:extLst>
                <a:ext uri="{FF2B5EF4-FFF2-40B4-BE49-F238E27FC236}">
                  <a16:creationId xmlns:a16="http://schemas.microsoft.com/office/drawing/2014/main" id="{54DBD027-9A96-F74D-BB79-3904C3A1E8A4}"/>
                </a:ext>
              </a:extLst>
            </xdr:cNvPr>
            <xdr:cNvSpPr txBox="1"/>
          </xdr:nvSpPr>
          <xdr:spPr>
            <a:xfrm>
              <a:off x="12357737" y="18465647"/>
              <a:ext cx="102066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𝐹_𝑢𝑑=S_ud·𝑒^𝑟=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118679</xdr:colOff>
      <xdr:row>90</xdr:row>
      <xdr:rowOff>17425</xdr:rowOff>
    </xdr:from>
    <xdr:ext cx="1019959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kstfelt 150">
              <a:extLst>
                <a:ext uri="{FF2B5EF4-FFF2-40B4-BE49-F238E27FC236}">
                  <a16:creationId xmlns:a16="http://schemas.microsoft.com/office/drawing/2014/main" id="{B96C990E-A957-694F-AC2A-827186CB6C97}"/>
                </a:ext>
              </a:extLst>
            </xdr:cNvPr>
            <xdr:cNvSpPr txBox="1"/>
          </xdr:nvSpPr>
          <xdr:spPr>
            <a:xfrm>
              <a:off x="12366482" y="18586364"/>
              <a:ext cx="101995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·</m:t>
                  </m:r>
                  <m:sSup>
                    <m:sSup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</m:t>
                      </m:r>
                    </m:sup>
                  </m:sSup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51" name="Tekstfelt 150">
              <a:extLst>
                <a:ext uri="{FF2B5EF4-FFF2-40B4-BE49-F238E27FC236}">
                  <a16:creationId xmlns:a16="http://schemas.microsoft.com/office/drawing/2014/main" id="{B96C990E-A957-694F-AC2A-827186CB6C97}"/>
                </a:ext>
              </a:extLst>
            </xdr:cNvPr>
            <xdr:cNvSpPr txBox="1"/>
          </xdr:nvSpPr>
          <xdr:spPr>
            <a:xfrm>
              <a:off x="12366482" y="18586364"/>
              <a:ext cx="1019959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𝐹_𝑑𝑑=S_dd·𝑒^𝑟=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109483</xdr:colOff>
      <xdr:row>94</xdr:row>
      <xdr:rowOff>19176</xdr:rowOff>
    </xdr:from>
    <xdr:ext cx="89511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kstfelt 151">
              <a:extLst>
                <a:ext uri="{FF2B5EF4-FFF2-40B4-BE49-F238E27FC236}">
                  <a16:creationId xmlns:a16="http://schemas.microsoft.com/office/drawing/2014/main" id="{6621EBE8-A937-5C4B-BA04-92EC1AAE2F03}"/>
                </a:ext>
              </a:extLst>
            </xdr:cNvPr>
            <xdr:cNvSpPr txBox="1"/>
          </xdr:nvSpPr>
          <xdr:spPr>
            <a:xfrm>
              <a:off x="9764369" y="19487699"/>
              <a:ext cx="89511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𝑢𝑢𝑢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uuu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52" name="Tekstfelt 151">
              <a:extLst>
                <a:ext uri="{FF2B5EF4-FFF2-40B4-BE49-F238E27FC236}">
                  <a16:creationId xmlns:a16="http://schemas.microsoft.com/office/drawing/2014/main" id="{6621EBE8-A937-5C4B-BA04-92EC1AAE2F03}"/>
                </a:ext>
              </a:extLst>
            </xdr:cNvPr>
            <xdr:cNvSpPr txBox="1"/>
          </xdr:nvSpPr>
          <xdr:spPr>
            <a:xfrm>
              <a:off x="9764369" y="19487699"/>
              <a:ext cx="89511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𝐹_𝑢𝑢𝑢=S_uuu=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119555</xdr:colOff>
      <xdr:row>95</xdr:row>
      <xdr:rowOff>7352</xdr:rowOff>
    </xdr:from>
    <xdr:ext cx="908005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kstfelt 152">
              <a:extLst>
                <a:ext uri="{FF2B5EF4-FFF2-40B4-BE49-F238E27FC236}">
                  <a16:creationId xmlns:a16="http://schemas.microsoft.com/office/drawing/2014/main" id="{738FC5A2-DFDF-8744-9ADF-84623C4E5905}"/>
                </a:ext>
              </a:extLst>
            </xdr:cNvPr>
            <xdr:cNvSpPr txBox="1"/>
          </xdr:nvSpPr>
          <xdr:spPr>
            <a:xfrm>
              <a:off x="9774441" y="19677920"/>
              <a:ext cx="90800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53" name="Tekstfelt 152">
              <a:extLst>
                <a:ext uri="{FF2B5EF4-FFF2-40B4-BE49-F238E27FC236}">
                  <a16:creationId xmlns:a16="http://schemas.microsoft.com/office/drawing/2014/main" id="{738FC5A2-DFDF-8744-9ADF-84623C4E5905}"/>
                </a:ext>
              </a:extLst>
            </xdr:cNvPr>
            <xdr:cNvSpPr txBox="1"/>
          </xdr:nvSpPr>
          <xdr:spPr>
            <a:xfrm>
              <a:off x="9774441" y="19677920"/>
              <a:ext cx="90800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𝐹_𝑢𝑢𝑑=S_uud=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118679</xdr:colOff>
      <xdr:row>96</xdr:row>
      <xdr:rowOff>17425</xdr:rowOff>
    </xdr:from>
    <xdr:ext cx="907300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kstfelt 153">
              <a:extLst>
                <a:ext uri="{FF2B5EF4-FFF2-40B4-BE49-F238E27FC236}">
                  <a16:creationId xmlns:a16="http://schemas.microsoft.com/office/drawing/2014/main" id="{DDBDFBB9-D777-6543-9532-EFB95CF1D5CB}"/>
                </a:ext>
              </a:extLst>
            </xdr:cNvPr>
            <xdr:cNvSpPr txBox="1"/>
          </xdr:nvSpPr>
          <xdr:spPr>
            <a:xfrm>
              <a:off x="9773565" y="19890039"/>
              <a:ext cx="9073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54" name="Tekstfelt 153">
              <a:extLst>
                <a:ext uri="{FF2B5EF4-FFF2-40B4-BE49-F238E27FC236}">
                  <a16:creationId xmlns:a16="http://schemas.microsoft.com/office/drawing/2014/main" id="{DDBDFBB9-D777-6543-9532-EFB95CF1D5CB}"/>
                </a:ext>
              </a:extLst>
            </xdr:cNvPr>
            <xdr:cNvSpPr txBox="1"/>
          </xdr:nvSpPr>
          <xdr:spPr>
            <a:xfrm>
              <a:off x="9773565" y="19890039"/>
              <a:ext cx="9073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𝐹_𝑢𝑑𝑑=S_udd=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112329</xdr:colOff>
      <xdr:row>97</xdr:row>
      <xdr:rowOff>25508</xdr:rowOff>
    </xdr:from>
    <xdr:ext cx="906530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kstfelt 154">
              <a:extLst>
                <a:ext uri="{FF2B5EF4-FFF2-40B4-BE49-F238E27FC236}">
                  <a16:creationId xmlns:a16="http://schemas.microsoft.com/office/drawing/2014/main" id="{54A30C20-D16B-8D4D-AA92-C8EA54409686}"/>
                </a:ext>
              </a:extLst>
            </xdr:cNvPr>
            <xdr:cNvSpPr txBox="1"/>
          </xdr:nvSpPr>
          <xdr:spPr>
            <a:xfrm>
              <a:off x="9767215" y="20100167"/>
              <a:ext cx="90653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ddd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55" name="Tekstfelt 154">
              <a:extLst>
                <a:ext uri="{FF2B5EF4-FFF2-40B4-BE49-F238E27FC236}">
                  <a16:creationId xmlns:a16="http://schemas.microsoft.com/office/drawing/2014/main" id="{54A30C20-D16B-8D4D-AA92-C8EA54409686}"/>
                </a:ext>
              </a:extLst>
            </xdr:cNvPr>
            <xdr:cNvSpPr txBox="1"/>
          </xdr:nvSpPr>
          <xdr:spPr>
            <a:xfrm>
              <a:off x="9767215" y="20100167"/>
              <a:ext cx="90653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𝐹_𝑑𝑑𝑑=S_ddd=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109483</xdr:colOff>
      <xdr:row>94</xdr:row>
      <xdr:rowOff>19176</xdr:rowOff>
    </xdr:from>
    <xdr:ext cx="89511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kstfelt 159">
              <a:extLst>
                <a:ext uri="{FF2B5EF4-FFF2-40B4-BE49-F238E27FC236}">
                  <a16:creationId xmlns:a16="http://schemas.microsoft.com/office/drawing/2014/main" id="{DD6E1E31-7B9C-2643-93F8-E7FF9C76C3A0}"/>
                </a:ext>
              </a:extLst>
            </xdr:cNvPr>
            <xdr:cNvSpPr txBox="1"/>
          </xdr:nvSpPr>
          <xdr:spPr>
            <a:xfrm>
              <a:off x="9764369" y="19487699"/>
              <a:ext cx="89511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𝑢𝑢𝑢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uuu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60" name="Tekstfelt 159">
              <a:extLst>
                <a:ext uri="{FF2B5EF4-FFF2-40B4-BE49-F238E27FC236}">
                  <a16:creationId xmlns:a16="http://schemas.microsoft.com/office/drawing/2014/main" id="{DD6E1E31-7B9C-2643-93F8-E7FF9C76C3A0}"/>
                </a:ext>
              </a:extLst>
            </xdr:cNvPr>
            <xdr:cNvSpPr txBox="1"/>
          </xdr:nvSpPr>
          <xdr:spPr>
            <a:xfrm>
              <a:off x="9764369" y="19487699"/>
              <a:ext cx="89511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𝐹_𝑢𝑢𝑢=S_uuu=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119555</xdr:colOff>
      <xdr:row>95</xdr:row>
      <xdr:rowOff>7352</xdr:rowOff>
    </xdr:from>
    <xdr:ext cx="908005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kstfelt 160">
              <a:extLst>
                <a:ext uri="{FF2B5EF4-FFF2-40B4-BE49-F238E27FC236}">
                  <a16:creationId xmlns:a16="http://schemas.microsoft.com/office/drawing/2014/main" id="{1CA37CE7-19ED-A64D-B7AB-6C197C23BD29}"/>
                </a:ext>
              </a:extLst>
            </xdr:cNvPr>
            <xdr:cNvSpPr txBox="1"/>
          </xdr:nvSpPr>
          <xdr:spPr>
            <a:xfrm>
              <a:off x="9774441" y="19677920"/>
              <a:ext cx="90800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𝑢𝑢𝑑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uud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61" name="Tekstfelt 160">
              <a:extLst>
                <a:ext uri="{FF2B5EF4-FFF2-40B4-BE49-F238E27FC236}">
                  <a16:creationId xmlns:a16="http://schemas.microsoft.com/office/drawing/2014/main" id="{1CA37CE7-19ED-A64D-B7AB-6C197C23BD29}"/>
                </a:ext>
              </a:extLst>
            </xdr:cNvPr>
            <xdr:cNvSpPr txBox="1"/>
          </xdr:nvSpPr>
          <xdr:spPr>
            <a:xfrm>
              <a:off x="9774441" y="19677920"/>
              <a:ext cx="908005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𝐹_𝑢𝑢𝑑=S_uud=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118679</xdr:colOff>
      <xdr:row>96</xdr:row>
      <xdr:rowOff>17425</xdr:rowOff>
    </xdr:from>
    <xdr:ext cx="907300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kstfelt 161">
              <a:extLst>
                <a:ext uri="{FF2B5EF4-FFF2-40B4-BE49-F238E27FC236}">
                  <a16:creationId xmlns:a16="http://schemas.microsoft.com/office/drawing/2014/main" id="{76526038-0E61-1E48-8287-B4F44E9D7B36}"/>
                </a:ext>
              </a:extLst>
            </xdr:cNvPr>
            <xdr:cNvSpPr txBox="1"/>
          </xdr:nvSpPr>
          <xdr:spPr>
            <a:xfrm>
              <a:off x="9773565" y="19890039"/>
              <a:ext cx="9073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𝑢𝑑𝑑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udd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62" name="Tekstfelt 161">
              <a:extLst>
                <a:ext uri="{FF2B5EF4-FFF2-40B4-BE49-F238E27FC236}">
                  <a16:creationId xmlns:a16="http://schemas.microsoft.com/office/drawing/2014/main" id="{76526038-0E61-1E48-8287-B4F44E9D7B36}"/>
                </a:ext>
              </a:extLst>
            </xdr:cNvPr>
            <xdr:cNvSpPr txBox="1"/>
          </xdr:nvSpPr>
          <xdr:spPr>
            <a:xfrm>
              <a:off x="9773565" y="19890039"/>
              <a:ext cx="9073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𝐹_𝑢𝑑𝑑=S_udd=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112329</xdr:colOff>
      <xdr:row>97</xdr:row>
      <xdr:rowOff>25508</xdr:rowOff>
    </xdr:from>
    <xdr:ext cx="906530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kstfelt 162">
              <a:extLst>
                <a:ext uri="{FF2B5EF4-FFF2-40B4-BE49-F238E27FC236}">
                  <a16:creationId xmlns:a16="http://schemas.microsoft.com/office/drawing/2014/main" id="{BA6C6BE4-1210-3A4C-A4C3-F27C7CC718F0}"/>
                </a:ext>
              </a:extLst>
            </xdr:cNvPr>
            <xdr:cNvSpPr txBox="1"/>
          </xdr:nvSpPr>
          <xdr:spPr>
            <a:xfrm>
              <a:off x="9767215" y="20100167"/>
              <a:ext cx="90653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𝑑𝑑𝑑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S</m:t>
                      </m:r>
                    </m:e>
                    <m:sub>
                      <m:r>
                        <m:rPr>
                          <m:sty m:val="p"/>
                        </m:rPr>
                        <a:rPr lang="da-DK" sz="1100" b="0" i="0">
                          <a:latin typeface="Cambria Math" panose="02040503050406030204" pitchFamily="18" charset="0"/>
                        </a:rPr>
                        <m:t>ddd</m:t>
                      </m:r>
                    </m:sub>
                  </m:sSub>
                  <m:r>
                    <a:rPr lang="da-DK" sz="11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da-DK" sz="1100" baseline="0"/>
                <a:t> </a:t>
              </a:r>
              <a:endParaRPr lang="da-DK" sz="1100"/>
            </a:p>
          </xdr:txBody>
        </xdr:sp>
      </mc:Choice>
      <mc:Fallback xmlns="">
        <xdr:sp macro="" textlink="">
          <xdr:nvSpPr>
            <xdr:cNvPr id="163" name="Tekstfelt 162">
              <a:extLst>
                <a:ext uri="{FF2B5EF4-FFF2-40B4-BE49-F238E27FC236}">
                  <a16:creationId xmlns:a16="http://schemas.microsoft.com/office/drawing/2014/main" id="{BA6C6BE4-1210-3A4C-A4C3-F27C7CC718F0}"/>
                </a:ext>
              </a:extLst>
            </xdr:cNvPr>
            <xdr:cNvSpPr txBox="1"/>
          </xdr:nvSpPr>
          <xdr:spPr>
            <a:xfrm>
              <a:off x="9767215" y="20100167"/>
              <a:ext cx="90653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𝐹_𝑑𝑑𝑑=S_ddd=</a:t>
              </a:r>
              <a:r>
                <a:rPr lang="da-DK" sz="1100" baseline="0"/>
                <a:t> 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90214</xdr:colOff>
      <xdr:row>101</xdr:row>
      <xdr:rowOff>19050</xdr:rowOff>
    </xdr:from>
    <xdr:ext cx="95045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kstfelt 163">
              <a:extLst>
                <a:ext uri="{FF2B5EF4-FFF2-40B4-BE49-F238E27FC236}">
                  <a16:creationId xmlns:a16="http://schemas.microsoft.com/office/drawing/2014/main" id="{BB1B2806-C105-344C-AA86-26592F023295}"/>
                </a:ext>
              </a:extLst>
            </xdr:cNvPr>
            <xdr:cNvSpPr txBox="1"/>
          </xdr:nvSpPr>
          <xdr:spPr>
            <a:xfrm>
              <a:off x="9745100" y="21912118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4" name="Tekstfelt 163">
              <a:extLst>
                <a:ext uri="{FF2B5EF4-FFF2-40B4-BE49-F238E27FC236}">
                  <a16:creationId xmlns:a16="http://schemas.microsoft.com/office/drawing/2014/main" id="{BB1B2806-C105-344C-AA86-26592F023295}"/>
                </a:ext>
              </a:extLst>
            </xdr:cNvPr>
            <xdr:cNvSpPr txBox="1"/>
          </xdr:nvSpPr>
          <xdr:spPr>
            <a:xfrm>
              <a:off x="9745100" y="21912118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𝑢=𝐹_1𝑢−𝐹_0=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78390</xdr:colOff>
      <xdr:row>102</xdr:row>
      <xdr:rowOff>18175</xdr:rowOff>
    </xdr:from>
    <xdr:ext cx="95269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kstfelt 164">
              <a:extLst>
                <a:ext uri="{FF2B5EF4-FFF2-40B4-BE49-F238E27FC236}">
                  <a16:creationId xmlns:a16="http://schemas.microsoft.com/office/drawing/2014/main" id="{B74BB25A-07CA-054C-813B-13EFD5C81EDF}"/>
                </a:ext>
              </a:extLst>
            </xdr:cNvPr>
            <xdr:cNvSpPr txBox="1"/>
          </xdr:nvSpPr>
          <xdr:spPr>
            <a:xfrm>
              <a:off x="9733276" y="22113289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5" name="Tekstfelt 164">
              <a:extLst>
                <a:ext uri="{FF2B5EF4-FFF2-40B4-BE49-F238E27FC236}">
                  <a16:creationId xmlns:a16="http://schemas.microsoft.com/office/drawing/2014/main" id="{B74BB25A-07CA-054C-813B-13EFD5C81EDF}"/>
                </a:ext>
              </a:extLst>
            </xdr:cNvPr>
            <xdr:cNvSpPr txBox="1"/>
          </xdr:nvSpPr>
          <xdr:spPr>
            <a:xfrm>
              <a:off x="9733276" y="22113289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𝑑=𝐹_1𝑑−𝐹_0=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89338</xdr:colOff>
      <xdr:row>101</xdr:row>
      <xdr:rowOff>29122</xdr:rowOff>
    </xdr:from>
    <xdr:ext cx="95045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kstfelt 165">
              <a:extLst>
                <a:ext uri="{FF2B5EF4-FFF2-40B4-BE49-F238E27FC236}">
                  <a16:creationId xmlns:a16="http://schemas.microsoft.com/office/drawing/2014/main" id="{4A26B05A-5AAF-4947-B4F5-FA8305811D16}"/>
                </a:ext>
              </a:extLst>
            </xdr:cNvPr>
            <xdr:cNvSpPr txBox="1"/>
          </xdr:nvSpPr>
          <xdr:spPr>
            <a:xfrm>
              <a:off x="12327520" y="21922190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6" name="Tekstfelt 165">
              <a:extLst>
                <a:ext uri="{FF2B5EF4-FFF2-40B4-BE49-F238E27FC236}">
                  <a16:creationId xmlns:a16="http://schemas.microsoft.com/office/drawing/2014/main" id="{4A26B05A-5AAF-4947-B4F5-FA8305811D16}"/>
                </a:ext>
              </a:extLst>
            </xdr:cNvPr>
            <xdr:cNvSpPr txBox="1"/>
          </xdr:nvSpPr>
          <xdr:spPr>
            <a:xfrm>
              <a:off x="12327520" y="21922190"/>
              <a:ext cx="95045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𝑢=𝐹_1𝑢−𝐹_0=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99411</xdr:colOff>
      <xdr:row>102</xdr:row>
      <xdr:rowOff>28247</xdr:rowOff>
    </xdr:from>
    <xdr:ext cx="952697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kstfelt 166">
              <a:extLst>
                <a:ext uri="{FF2B5EF4-FFF2-40B4-BE49-F238E27FC236}">
                  <a16:creationId xmlns:a16="http://schemas.microsoft.com/office/drawing/2014/main" id="{F6CDEC68-595D-3640-B500-98EE29CFC07F}"/>
                </a:ext>
              </a:extLst>
            </xdr:cNvPr>
            <xdr:cNvSpPr txBox="1"/>
          </xdr:nvSpPr>
          <xdr:spPr>
            <a:xfrm>
              <a:off x="12337593" y="22123361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7" name="Tekstfelt 166">
              <a:extLst>
                <a:ext uri="{FF2B5EF4-FFF2-40B4-BE49-F238E27FC236}">
                  <a16:creationId xmlns:a16="http://schemas.microsoft.com/office/drawing/2014/main" id="{F6CDEC68-595D-3640-B500-98EE29CFC07F}"/>
                </a:ext>
              </a:extLst>
            </xdr:cNvPr>
            <xdr:cNvSpPr txBox="1"/>
          </xdr:nvSpPr>
          <xdr:spPr>
            <a:xfrm>
              <a:off x="12337593" y="22123361"/>
              <a:ext cx="95269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𝑑=𝐹_1𝑑−𝐹_0=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80519</xdr:colOff>
      <xdr:row>105</xdr:row>
      <xdr:rowOff>9522</xdr:rowOff>
    </xdr:from>
    <xdr:ext cx="109517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kstfelt 167">
              <a:extLst>
                <a:ext uri="{FF2B5EF4-FFF2-40B4-BE49-F238E27FC236}">
                  <a16:creationId xmlns:a16="http://schemas.microsoft.com/office/drawing/2014/main" id="{59DE4A75-8064-5445-8AF8-07B4ED558E7D}"/>
                </a:ext>
              </a:extLst>
            </xdr:cNvPr>
            <xdr:cNvSpPr txBox="1"/>
          </xdr:nvSpPr>
          <xdr:spPr>
            <a:xfrm>
              <a:off x="9735405" y="22710772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68" name="Tekstfelt 167">
              <a:extLst>
                <a:ext uri="{FF2B5EF4-FFF2-40B4-BE49-F238E27FC236}">
                  <a16:creationId xmlns:a16="http://schemas.microsoft.com/office/drawing/2014/main" id="{59DE4A75-8064-5445-8AF8-07B4ED558E7D}"/>
                </a:ext>
              </a:extLst>
            </xdr:cNvPr>
            <xdr:cNvSpPr txBox="1"/>
          </xdr:nvSpPr>
          <xdr:spPr>
            <a:xfrm>
              <a:off x="9735405" y="22710772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𝑢𝑢=𝐹_𝑢𝑢−𝐹_1𝑢=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72375</xdr:colOff>
      <xdr:row>108</xdr:row>
      <xdr:rowOff>11074</xdr:rowOff>
    </xdr:from>
    <xdr:ext cx="110979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kstfelt 170">
              <a:extLst>
                <a:ext uri="{FF2B5EF4-FFF2-40B4-BE49-F238E27FC236}">
                  <a16:creationId xmlns:a16="http://schemas.microsoft.com/office/drawing/2014/main" id="{6749438A-14C7-9148-9B13-9FA6AFB7C851}"/>
                </a:ext>
              </a:extLst>
            </xdr:cNvPr>
            <xdr:cNvSpPr txBox="1"/>
          </xdr:nvSpPr>
          <xdr:spPr>
            <a:xfrm>
              <a:off x="9732072" y="22216832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71" name="Tekstfelt 170">
              <a:extLst>
                <a:ext uri="{FF2B5EF4-FFF2-40B4-BE49-F238E27FC236}">
                  <a16:creationId xmlns:a16="http://schemas.microsoft.com/office/drawing/2014/main" id="{6749438A-14C7-9148-9B13-9FA6AFB7C851}"/>
                </a:ext>
              </a:extLst>
            </xdr:cNvPr>
            <xdr:cNvSpPr txBox="1"/>
          </xdr:nvSpPr>
          <xdr:spPr>
            <a:xfrm>
              <a:off x="9732072" y="22216832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𝑑𝑑=𝐹_𝑑𝑑−𝐹_1𝑑=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80519</xdr:colOff>
      <xdr:row>105</xdr:row>
      <xdr:rowOff>9522</xdr:rowOff>
    </xdr:from>
    <xdr:ext cx="109517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kstfelt 171">
              <a:extLst>
                <a:ext uri="{FF2B5EF4-FFF2-40B4-BE49-F238E27FC236}">
                  <a16:creationId xmlns:a16="http://schemas.microsoft.com/office/drawing/2014/main" id="{5CC316FC-007A-0C47-BAE1-D62240E3DA12}"/>
                </a:ext>
              </a:extLst>
            </xdr:cNvPr>
            <xdr:cNvSpPr txBox="1"/>
          </xdr:nvSpPr>
          <xdr:spPr>
            <a:xfrm>
              <a:off x="12318701" y="22710772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72" name="Tekstfelt 171">
              <a:extLst>
                <a:ext uri="{FF2B5EF4-FFF2-40B4-BE49-F238E27FC236}">
                  <a16:creationId xmlns:a16="http://schemas.microsoft.com/office/drawing/2014/main" id="{5CC316FC-007A-0C47-BAE1-D62240E3DA12}"/>
                </a:ext>
              </a:extLst>
            </xdr:cNvPr>
            <xdr:cNvSpPr txBox="1"/>
          </xdr:nvSpPr>
          <xdr:spPr>
            <a:xfrm>
              <a:off x="12318701" y="22710772"/>
              <a:ext cx="109517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𝑢𝑢=𝐹_𝑢𝑢−𝐹_1𝑢=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72375</xdr:colOff>
      <xdr:row>108</xdr:row>
      <xdr:rowOff>11074</xdr:rowOff>
    </xdr:from>
    <xdr:ext cx="110979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kstfelt 174">
              <a:extLst>
                <a:ext uri="{FF2B5EF4-FFF2-40B4-BE49-F238E27FC236}">
                  <a16:creationId xmlns:a16="http://schemas.microsoft.com/office/drawing/2014/main" id="{9C48ECAE-BAAE-7B48-9777-292EE228FB91}"/>
                </a:ext>
              </a:extLst>
            </xdr:cNvPr>
            <xdr:cNvSpPr txBox="1"/>
          </xdr:nvSpPr>
          <xdr:spPr>
            <a:xfrm>
              <a:off x="12320178" y="22216832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75" name="Tekstfelt 174">
              <a:extLst>
                <a:ext uri="{FF2B5EF4-FFF2-40B4-BE49-F238E27FC236}">
                  <a16:creationId xmlns:a16="http://schemas.microsoft.com/office/drawing/2014/main" id="{9C48ECAE-BAAE-7B48-9777-292EE228FB91}"/>
                </a:ext>
              </a:extLst>
            </xdr:cNvPr>
            <xdr:cNvSpPr txBox="1"/>
          </xdr:nvSpPr>
          <xdr:spPr>
            <a:xfrm>
              <a:off x="12320178" y="22216832"/>
              <a:ext cx="110979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𝑑𝑑=𝐹_𝑑𝑑−𝐹_1𝑑=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86591</xdr:colOff>
      <xdr:row>111</xdr:row>
      <xdr:rowOff>202045</xdr:rowOff>
    </xdr:from>
    <xdr:ext cx="125579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kstfelt 183">
              <a:extLst>
                <a:ext uri="{FF2B5EF4-FFF2-40B4-BE49-F238E27FC236}">
                  <a16:creationId xmlns:a16="http://schemas.microsoft.com/office/drawing/2014/main" id="{9C452104-451C-3A4B-875B-A0D6C2D65155}"/>
                </a:ext>
              </a:extLst>
            </xdr:cNvPr>
            <xdr:cNvSpPr txBox="1"/>
          </xdr:nvSpPr>
          <xdr:spPr>
            <a:xfrm>
              <a:off x="9746288" y="23013939"/>
              <a:ext cx="125579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84" name="Tekstfelt 183">
              <a:extLst>
                <a:ext uri="{FF2B5EF4-FFF2-40B4-BE49-F238E27FC236}">
                  <a16:creationId xmlns:a16="http://schemas.microsoft.com/office/drawing/2014/main" id="{9C452104-451C-3A4B-875B-A0D6C2D65155}"/>
                </a:ext>
              </a:extLst>
            </xdr:cNvPr>
            <xdr:cNvSpPr txBox="1"/>
          </xdr:nvSpPr>
          <xdr:spPr>
            <a:xfrm>
              <a:off x="9746288" y="23013939"/>
              <a:ext cx="125579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𝑢𝑢𝑑=𝐹_𝑢𝑢𝑑−𝐹_𝑢𝑢=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11</xdr:col>
      <xdr:colOff>76970</xdr:colOff>
      <xdr:row>116</xdr:row>
      <xdr:rowOff>0</xdr:rowOff>
    </xdr:from>
    <xdr:ext cx="126682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kstfelt 185">
              <a:extLst>
                <a:ext uri="{FF2B5EF4-FFF2-40B4-BE49-F238E27FC236}">
                  <a16:creationId xmlns:a16="http://schemas.microsoft.com/office/drawing/2014/main" id="{4A98705F-3BDA-FB48-9853-A28E91BDD050}"/>
                </a:ext>
              </a:extLst>
            </xdr:cNvPr>
            <xdr:cNvSpPr txBox="1"/>
          </xdr:nvSpPr>
          <xdr:spPr>
            <a:xfrm>
              <a:off x="9736667" y="23822121"/>
              <a:ext cx="126682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86" name="Tekstfelt 185">
              <a:extLst>
                <a:ext uri="{FF2B5EF4-FFF2-40B4-BE49-F238E27FC236}">
                  <a16:creationId xmlns:a16="http://schemas.microsoft.com/office/drawing/2014/main" id="{4A98705F-3BDA-FB48-9853-A28E91BDD050}"/>
                </a:ext>
              </a:extLst>
            </xdr:cNvPr>
            <xdr:cNvSpPr txBox="1"/>
          </xdr:nvSpPr>
          <xdr:spPr>
            <a:xfrm>
              <a:off x="9736667" y="23822121"/>
              <a:ext cx="126682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𝑑𝑑𝑑=𝐹_𝑑𝑑𝑑−𝐹_𝑑𝑑=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80519</xdr:colOff>
      <xdr:row>111</xdr:row>
      <xdr:rowOff>9522</xdr:rowOff>
    </xdr:from>
    <xdr:ext cx="124149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kstfelt 186">
              <a:extLst>
                <a:ext uri="{FF2B5EF4-FFF2-40B4-BE49-F238E27FC236}">
                  <a16:creationId xmlns:a16="http://schemas.microsoft.com/office/drawing/2014/main" id="{AC7C0CEE-E205-8247-B3E2-03988DD40F5C}"/>
                </a:ext>
              </a:extLst>
            </xdr:cNvPr>
            <xdr:cNvSpPr txBox="1"/>
          </xdr:nvSpPr>
          <xdr:spPr>
            <a:xfrm>
              <a:off x="9740216" y="22821416"/>
              <a:ext cx="12414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87" name="Tekstfelt 186">
              <a:extLst>
                <a:ext uri="{FF2B5EF4-FFF2-40B4-BE49-F238E27FC236}">
                  <a16:creationId xmlns:a16="http://schemas.microsoft.com/office/drawing/2014/main" id="{AC7C0CEE-E205-8247-B3E2-03988DD40F5C}"/>
                </a:ext>
              </a:extLst>
            </xdr:cNvPr>
            <xdr:cNvSpPr txBox="1"/>
          </xdr:nvSpPr>
          <xdr:spPr>
            <a:xfrm>
              <a:off x="9740216" y="22821416"/>
              <a:ext cx="12414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𝑢𝑢𝑢=𝐹_𝑢𝑢𝑢−𝐹_𝑢𝑢=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68330</xdr:colOff>
      <xdr:row>113</xdr:row>
      <xdr:rowOff>6809</xdr:rowOff>
    </xdr:from>
    <xdr:ext cx="126592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kstfelt 187">
              <a:extLst>
                <a:ext uri="{FF2B5EF4-FFF2-40B4-BE49-F238E27FC236}">
                  <a16:creationId xmlns:a16="http://schemas.microsoft.com/office/drawing/2014/main" id="{D3F5907B-63F7-B44C-9A6E-861EA4740512}"/>
                </a:ext>
              </a:extLst>
            </xdr:cNvPr>
            <xdr:cNvSpPr txBox="1"/>
          </xdr:nvSpPr>
          <xdr:spPr>
            <a:xfrm>
              <a:off x="9728027" y="23222794"/>
              <a:ext cx="12659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88" name="Tekstfelt 187">
              <a:extLst>
                <a:ext uri="{FF2B5EF4-FFF2-40B4-BE49-F238E27FC236}">
                  <a16:creationId xmlns:a16="http://schemas.microsoft.com/office/drawing/2014/main" id="{D3F5907B-63F7-B44C-9A6E-861EA4740512}"/>
                </a:ext>
              </a:extLst>
            </xdr:cNvPr>
            <xdr:cNvSpPr txBox="1"/>
          </xdr:nvSpPr>
          <xdr:spPr>
            <a:xfrm>
              <a:off x="9728027" y="23222794"/>
              <a:ext cx="126592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𝑢𝑑𝑢=𝐹_𝑢𝑑𝑢−𝐹_𝑢𝑑=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65469</xdr:colOff>
      <xdr:row>114</xdr:row>
      <xdr:rowOff>13715</xdr:rowOff>
    </xdr:from>
    <xdr:ext cx="126810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kstfelt 188">
              <a:extLst>
                <a:ext uri="{FF2B5EF4-FFF2-40B4-BE49-F238E27FC236}">
                  <a16:creationId xmlns:a16="http://schemas.microsoft.com/office/drawing/2014/main" id="{AD53BC0B-5EF4-3148-B494-FC2CC949AB5E}"/>
                </a:ext>
              </a:extLst>
            </xdr:cNvPr>
            <xdr:cNvSpPr txBox="1"/>
          </xdr:nvSpPr>
          <xdr:spPr>
            <a:xfrm>
              <a:off x="9725166" y="23431745"/>
              <a:ext cx="126810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89" name="Tekstfelt 188">
              <a:extLst>
                <a:ext uri="{FF2B5EF4-FFF2-40B4-BE49-F238E27FC236}">
                  <a16:creationId xmlns:a16="http://schemas.microsoft.com/office/drawing/2014/main" id="{AD53BC0B-5EF4-3148-B494-FC2CC949AB5E}"/>
                </a:ext>
              </a:extLst>
            </xdr:cNvPr>
            <xdr:cNvSpPr txBox="1"/>
          </xdr:nvSpPr>
          <xdr:spPr>
            <a:xfrm>
              <a:off x="9725166" y="23431745"/>
              <a:ext cx="126810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𝑢𝑑𝑑=𝐹_𝑢𝑑𝑑−𝐹_𝑢𝑑=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72375</xdr:colOff>
      <xdr:row>115</xdr:row>
      <xdr:rowOff>11074</xdr:rowOff>
    </xdr:from>
    <xdr:ext cx="126464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kstfelt 189">
              <a:extLst>
                <a:ext uri="{FF2B5EF4-FFF2-40B4-BE49-F238E27FC236}">
                  <a16:creationId xmlns:a16="http://schemas.microsoft.com/office/drawing/2014/main" id="{DDB33031-D28E-0E41-90FF-306FBD408FB1}"/>
                </a:ext>
              </a:extLst>
            </xdr:cNvPr>
            <xdr:cNvSpPr txBox="1"/>
          </xdr:nvSpPr>
          <xdr:spPr>
            <a:xfrm>
              <a:off x="9732072" y="23631150"/>
              <a:ext cx="126464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𝑑𝑑𝑢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90" name="Tekstfelt 189">
              <a:extLst>
                <a:ext uri="{FF2B5EF4-FFF2-40B4-BE49-F238E27FC236}">
                  <a16:creationId xmlns:a16="http://schemas.microsoft.com/office/drawing/2014/main" id="{DDB33031-D28E-0E41-90FF-306FBD408FB1}"/>
                </a:ext>
              </a:extLst>
            </xdr:cNvPr>
            <xdr:cNvSpPr txBox="1"/>
          </xdr:nvSpPr>
          <xdr:spPr>
            <a:xfrm>
              <a:off x="9732072" y="23631150"/>
              <a:ext cx="126464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𝑑𝑑𝑢=𝐹_𝑑𝑑𝑢−𝐹_𝑑𝑑=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86591</xdr:colOff>
      <xdr:row>111</xdr:row>
      <xdr:rowOff>202045</xdr:rowOff>
    </xdr:from>
    <xdr:ext cx="1255793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kstfelt 190">
              <a:extLst>
                <a:ext uri="{FF2B5EF4-FFF2-40B4-BE49-F238E27FC236}">
                  <a16:creationId xmlns:a16="http://schemas.microsoft.com/office/drawing/2014/main" id="{343E2147-4E45-754E-84D1-6CACDDDE54AE}"/>
                </a:ext>
              </a:extLst>
            </xdr:cNvPr>
            <xdr:cNvSpPr txBox="1"/>
          </xdr:nvSpPr>
          <xdr:spPr>
            <a:xfrm>
              <a:off x="9746288" y="23013939"/>
              <a:ext cx="125579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𝑢𝑢𝑑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𝑢𝑢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91" name="Tekstfelt 190">
              <a:extLst>
                <a:ext uri="{FF2B5EF4-FFF2-40B4-BE49-F238E27FC236}">
                  <a16:creationId xmlns:a16="http://schemas.microsoft.com/office/drawing/2014/main" id="{343E2147-4E45-754E-84D1-6CACDDDE54AE}"/>
                </a:ext>
              </a:extLst>
            </xdr:cNvPr>
            <xdr:cNvSpPr txBox="1"/>
          </xdr:nvSpPr>
          <xdr:spPr>
            <a:xfrm>
              <a:off x="9746288" y="23013939"/>
              <a:ext cx="125579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𝑢𝑢𝑑=𝐹_𝑢𝑢𝑑−𝐹_𝑢𝑢=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14</xdr:col>
      <xdr:colOff>76970</xdr:colOff>
      <xdr:row>116</xdr:row>
      <xdr:rowOff>0</xdr:rowOff>
    </xdr:from>
    <xdr:ext cx="126682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kstfelt 191">
              <a:extLst>
                <a:ext uri="{FF2B5EF4-FFF2-40B4-BE49-F238E27FC236}">
                  <a16:creationId xmlns:a16="http://schemas.microsoft.com/office/drawing/2014/main" id="{D8C44A40-361C-724A-9FE5-C7A88F9894C4}"/>
                </a:ext>
              </a:extLst>
            </xdr:cNvPr>
            <xdr:cNvSpPr txBox="1"/>
          </xdr:nvSpPr>
          <xdr:spPr>
            <a:xfrm>
              <a:off x="9736667" y="23822121"/>
              <a:ext cx="126682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𝑑𝑑𝑑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𝑑𝑑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92" name="Tekstfelt 191">
              <a:extLst>
                <a:ext uri="{FF2B5EF4-FFF2-40B4-BE49-F238E27FC236}">
                  <a16:creationId xmlns:a16="http://schemas.microsoft.com/office/drawing/2014/main" id="{D8C44A40-361C-724A-9FE5-C7A88F9894C4}"/>
                </a:ext>
              </a:extLst>
            </xdr:cNvPr>
            <xdr:cNvSpPr txBox="1"/>
          </xdr:nvSpPr>
          <xdr:spPr>
            <a:xfrm>
              <a:off x="9736667" y="23822121"/>
              <a:ext cx="126682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𝑑𝑑𝑑=𝐹_𝑑𝑑𝑑−𝐹_𝑑𝑑=</a:t>
              </a:r>
              <a:endParaRPr lang="da-DK" sz="1100"/>
            </a:p>
          </xdr:txBody>
        </xdr:sp>
      </mc:Fallback>
    </mc:AlternateContent>
    <xdr:clientData/>
  </xdr:oneCellAnchor>
  <xdr:twoCellAnchor editAs="oneCell">
    <xdr:from>
      <xdr:col>6</xdr:col>
      <xdr:colOff>538137</xdr:colOff>
      <xdr:row>80</xdr:row>
      <xdr:rowOff>172203</xdr:rowOff>
    </xdr:from>
    <xdr:to>
      <xdr:col>10</xdr:col>
      <xdr:colOff>152185</xdr:colOff>
      <xdr:row>85</xdr:row>
      <xdr:rowOff>28214</xdr:rowOff>
    </xdr:to>
    <xdr:pic>
      <xdr:nvPicPr>
        <xdr:cNvPr id="193" name="Billede 192">
          <a:extLst>
            <a:ext uri="{FF2B5EF4-FFF2-40B4-BE49-F238E27FC236}">
              <a16:creationId xmlns:a16="http://schemas.microsoft.com/office/drawing/2014/main" id="{FD7B5465-F5F4-0F46-BABE-EBDF4CFDA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90340" y="16251695"/>
          <a:ext cx="3342935" cy="824655"/>
        </a:xfrm>
        <a:prstGeom prst="rect">
          <a:avLst/>
        </a:prstGeom>
      </xdr:spPr>
    </xdr:pic>
    <xdr:clientData/>
  </xdr:twoCellAnchor>
  <xdr:oneCellAnchor>
    <xdr:from>
      <xdr:col>7</xdr:col>
      <xdr:colOff>184150</xdr:colOff>
      <xdr:row>86</xdr:row>
      <xdr:rowOff>165100</xdr:rowOff>
    </xdr:from>
    <xdr:ext cx="287585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kstfelt 20">
              <a:extLst>
                <a:ext uri="{FF2B5EF4-FFF2-40B4-BE49-F238E27FC236}">
                  <a16:creationId xmlns:a16="http://schemas.microsoft.com/office/drawing/2014/main" id="{2FC48BFA-31E1-7447-8C97-A47E53082BDE}"/>
                </a:ext>
              </a:extLst>
            </xdr:cNvPr>
            <xdr:cNvSpPr txBox="1"/>
          </xdr:nvSpPr>
          <xdr:spPr>
            <a:xfrm>
              <a:off x="6381750" y="18072100"/>
              <a:ext cx="287585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𝐹𝑢𝑡𝑢𝑟𝑒𝑠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𝐹𝑜𝑟𝑤𝑎𝑟𝑑𝑠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𝑑𝑒𝑡𝑒𝑟𝑚𝑖𝑛𝑖𝑠𝑡𝑖𝑐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𝑟𝑎𝑡𝑒𝑠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1" name="Tekstfelt 20">
              <a:extLst>
                <a:ext uri="{FF2B5EF4-FFF2-40B4-BE49-F238E27FC236}">
                  <a16:creationId xmlns:a16="http://schemas.microsoft.com/office/drawing/2014/main" id="{2FC48BFA-31E1-7447-8C97-A47E53082BDE}"/>
                </a:ext>
              </a:extLst>
            </xdr:cNvPr>
            <xdr:cNvSpPr txBox="1"/>
          </xdr:nvSpPr>
          <xdr:spPr>
            <a:xfrm>
              <a:off x="6381750" y="18072100"/>
              <a:ext cx="287585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𝐹𝑢𝑡𝑢𝑟𝑒𝑠=𝐹𝑜𝑟𝑤𝑎𝑟𝑑𝑠 𝑓𝑜𝑟 𝑑𝑒𝑡𝑒𝑟𝑚𝑖𝑛𝑖𝑠𝑡𝑖𝑐 𝑟𝑎𝑡𝑒𝑠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679450</xdr:colOff>
      <xdr:row>9</xdr:row>
      <xdr:rowOff>25400</xdr:rowOff>
    </xdr:from>
    <xdr:ext cx="13753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kstfelt 21">
              <a:extLst>
                <a:ext uri="{FF2B5EF4-FFF2-40B4-BE49-F238E27FC236}">
                  <a16:creationId xmlns:a16="http://schemas.microsoft.com/office/drawing/2014/main" id="{6A036EFB-F51A-BA41-B595-391F9ADED3EB}"/>
                </a:ext>
              </a:extLst>
            </xdr:cNvPr>
            <xdr:cNvSpPr txBox="1"/>
          </xdr:nvSpPr>
          <xdr:spPr>
            <a:xfrm>
              <a:off x="6877050" y="1981200"/>
              <a:ext cx="13753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&lt;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22" name="Tekstfelt 21">
              <a:extLst>
                <a:ext uri="{FF2B5EF4-FFF2-40B4-BE49-F238E27FC236}">
                  <a16:creationId xmlns:a16="http://schemas.microsoft.com/office/drawing/2014/main" id="{6A036EFB-F51A-BA41-B595-391F9ADED3EB}"/>
                </a:ext>
              </a:extLst>
            </xdr:cNvPr>
            <xdr:cNvSpPr txBox="1"/>
          </xdr:nvSpPr>
          <xdr:spPr>
            <a:xfrm>
              <a:off x="6877050" y="1981200"/>
              <a:ext cx="13753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&lt;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9</xdr:col>
      <xdr:colOff>69850</xdr:colOff>
      <xdr:row>9</xdr:row>
      <xdr:rowOff>38100</xdr:rowOff>
    </xdr:from>
    <xdr:ext cx="13753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kstfelt 110">
              <a:extLst>
                <a:ext uri="{FF2B5EF4-FFF2-40B4-BE49-F238E27FC236}">
                  <a16:creationId xmlns:a16="http://schemas.microsoft.com/office/drawing/2014/main" id="{EC872073-A73A-2C47-97F4-B419D558A6CF}"/>
                </a:ext>
              </a:extLst>
            </xdr:cNvPr>
            <xdr:cNvSpPr txBox="1"/>
          </xdr:nvSpPr>
          <xdr:spPr>
            <a:xfrm>
              <a:off x="7943850" y="1993900"/>
              <a:ext cx="13753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&lt;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1" name="Tekstfelt 110">
              <a:extLst>
                <a:ext uri="{FF2B5EF4-FFF2-40B4-BE49-F238E27FC236}">
                  <a16:creationId xmlns:a16="http://schemas.microsoft.com/office/drawing/2014/main" id="{EC872073-A73A-2C47-97F4-B419D558A6CF}"/>
                </a:ext>
              </a:extLst>
            </xdr:cNvPr>
            <xdr:cNvSpPr txBox="1"/>
          </xdr:nvSpPr>
          <xdr:spPr>
            <a:xfrm>
              <a:off x="7943850" y="1993900"/>
              <a:ext cx="13753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&lt;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17</xdr:col>
      <xdr:colOff>361950</xdr:colOff>
      <xdr:row>87</xdr:row>
      <xdr:rowOff>33866</xdr:rowOff>
    </xdr:from>
    <xdr:ext cx="2875852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kstfelt 111">
              <a:extLst>
                <a:ext uri="{FF2B5EF4-FFF2-40B4-BE49-F238E27FC236}">
                  <a16:creationId xmlns:a16="http://schemas.microsoft.com/office/drawing/2014/main" id="{A8F879AF-E4E9-9240-80F3-690BE49A4D09}"/>
                </a:ext>
              </a:extLst>
            </xdr:cNvPr>
            <xdr:cNvSpPr txBox="1"/>
          </xdr:nvSpPr>
          <xdr:spPr>
            <a:xfrm>
              <a:off x="15314083" y="17949333"/>
              <a:ext cx="287585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a-DK" sz="1100" b="0" i="1">
                        <a:latin typeface="Cambria Math" panose="02040503050406030204" pitchFamily="18" charset="0"/>
                      </a:rPr>
                      <m:t>𝐹𝑢𝑡𝑢𝑟𝑒𝑠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𝐹𝑜𝑟𝑤𝑎𝑟𝑑𝑠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𝑑𝑒𝑡𝑒𝑟𝑚𝑖𝑛𝑖𝑠𝑡𝑖𝑐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da-DK" sz="1100" b="0" i="1">
                        <a:latin typeface="Cambria Math" panose="02040503050406030204" pitchFamily="18" charset="0"/>
                      </a:rPr>
                      <m:t>𝑟𝑎𝑡𝑒𝑠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2" name="Tekstfelt 111">
              <a:extLst>
                <a:ext uri="{FF2B5EF4-FFF2-40B4-BE49-F238E27FC236}">
                  <a16:creationId xmlns:a16="http://schemas.microsoft.com/office/drawing/2014/main" id="{A8F879AF-E4E9-9240-80F3-690BE49A4D09}"/>
                </a:ext>
              </a:extLst>
            </xdr:cNvPr>
            <xdr:cNvSpPr txBox="1"/>
          </xdr:nvSpPr>
          <xdr:spPr>
            <a:xfrm>
              <a:off x="15314083" y="17949333"/>
              <a:ext cx="2875852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𝐹𝑢𝑡𝑢𝑟𝑒𝑠=𝐹𝑜𝑟𝑤𝑎𝑟𝑑𝑠 𝑓𝑜𝑟 𝑑𝑒𝑡𝑒𝑟𝑚𝑖𝑛𝑖𝑠𝑡𝑖𝑐 𝑟𝑎𝑡𝑒𝑠</a:t>
              </a:r>
              <a:endParaRPr lang="da-DK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</xdr:colOff>
      <xdr:row>23</xdr:row>
      <xdr:rowOff>60960</xdr:rowOff>
    </xdr:from>
    <xdr:to>
      <xdr:col>7</xdr:col>
      <xdr:colOff>465064</xdr:colOff>
      <xdr:row>28</xdr:row>
      <xdr:rowOff>160020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499" y="4655820"/>
          <a:ext cx="2255765" cy="101346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19</xdr:row>
      <xdr:rowOff>129540</xdr:rowOff>
    </xdr:from>
    <xdr:to>
      <xdr:col>9</xdr:col>
      <xdr:colOff>26168</xdr:colOff>
      <xdr:row>21</xdr:row>
      <xdr:rowOff>107805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4120" y="3985260"/>
          <a:ext cx="3028448" cy="351645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21</xdr:row>
      <xdr:rowOff>99061</xdr:rowOff>
    </xdr:from>
    <xdr:to>
      <xdr:col>9</xdr:col>
      <xdr:colOff>220451</xdr:colOff>
      <xdr:row>23</xdr:row>
      <xdr:rowOff>64819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6980" y="4328161"/>
          <a:ext cx="3199871" cy="331518"/>
        </a:xfrm>
        <a:prstGeom prst="rect">
          <a:avLst/>
        </a:prstGeom>
        <a:solidFill>
          <a:srgbClr val="FFFF00"/>
        </a:solidFill>
      </xdr:spPr>
    </xdr:pic>
    <xdr:clientData/>
  </xdr:twoCellAnchor>
  <xdr:twoCellAnchor editAs="oneCell">
    <xdr:from>
      <xdr:col>4</xdr:col>
      <xdr:colOff>53340</xdr:colOff>
      <xdr:row>29</xdr:row>
      <xdr:rowOff>91440</xdr:rowOff>
    </xdr:from>
    <xdr:to>
      <xdr:col>6</xdr:col>
      <xdr:colOff>586740</xdr:colOff>
      <xdr:row>32</xdr:row>
      <xdr:rowOff>42087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1740" y="5783580"/>
          <a:ext cx="1752600" cy="49928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33</xdr:row>
      <xdr:rowOff>38100</xdr:rowOff>
    </xdr:from>
    <xdr:to>
      <xdr:col>7</xdr:col>
      <xdr:colOff>129541</xdr:colOff>
      <xdr:row>35</xdr:row>
      <xdr:rowOff>87597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1" y="6461760"/>
          <a:ext cx="1882140" cy="415257"/>
        </a:xfrm>
        <a:prstGeom prst="rect">
          <a:avLst/>
        </a:prstGeom>
      </xdr:spPr>
    </xdr:pic>
    <xdr:clientData/>
  </xdr:twoCellAnchor>
  <xdr:twoCellAnchor editAs="oneCell">
    <xdr:from>
      <xdr:col>3</xdr:col>
      <xdr:colOff>526373</xdr:colOff>
      <xdr:row>35</xdr:row>
      <xdr:rowOff>111636</xdr:rowOff>
    </xdr:from>
    <xdr:to>
      <xdr:col>10</xdr:col>
      <xdr:colOff>2498</xdr:colOff>
      <xdr:row>43</xdr:row>
      <xdr:rowOff>35047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55173" y="6901056"/>
          <a:ext cx="3733800" cy="1386451"/>
        </a:xfrm>
        <a:prstGeom prst="rect">
          <a:avLst/>
        </a:prstGeom>
      </xdr:spPr>
    </xdr:pic>
    <xdr:clientData/>
  </xdr:twoCellAnchor>
  <xdr:twoCellAnchor editAs="oneCell">
    <xdr:from>
      <xdr:col>3</xdr:col>
      <xdr:colOff>579121</xdr:colOff>
      <xdr:row>44</xdr:row>
      <xdr:rowOff>1</xdr:rowOff>
    </xdr:from>
    <xdr:to>
      <xdr:col>7</xdr:col>
      <xdr:colOff>489095</xdr:colOff>
      <xdr:row>46</xdr:row>
      <xdr:rowOff>22861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07921" y="8435341"/>
          <a:ext cx="2348374" cy="388620"/>
        </a:xfrm>
        <a:prstGeom prst="rect">
          <a:avLst/>
        </a:prstGeom>
      </xdr:spPr>
    </xdr:pic>
    <xdr:clientData/>
  </xdr:twoCellAnchor>
  <xdr:twoCellAnchor editAs="oneCell">
    <xdr:from>
      <xdr:col>4</xdr:col>
      <xdr:colOff>7621</xdr:colOff>
      <xdr:row>46</xdr:row>
      <xdr:rowOff>91440</xdr:rowOff>
    </xdr:from>
    <xdr:to>
      <xdr:col>7</xdr:col>
      <xdr:colOff>137161</xdr:colOff>
      <xdr:row>50</xdr:row>
      <xdr:rowOff>141145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6021" y="8892540"/>
          <a:ext cx="1958340" cy="781225"/>
        </a:xfrm>
        <a:prstGeom prst="rect">
          <a:avLst/>
        </a:prstGeom>
      </xdr:spPr>
    </xdr:pic>
    <xdr:clientData/>
  </xdr:twoCellAnchor>
  <xdr:twoCellAnchor editAs="oneCell">
    <xdr:from>
      <xdr:col>15</xdr:col>
      <xdr:colOff>124570</xdr:colOff>
      <xdr:row>21</xdr:row>
      <xdr:rowOff>105355</xdr:rowOff>
    </xdr:from>
    <xdr:to>
      <xdr:col>18</xdr:col>
      <xdr:colOff>547904</xdr:colOff>
      <xdr:row>24</xdr:row>
      <xdr:rowOff>165653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68570" y="4334455"/>
          <a:ext cx="2252134" cy="608938"/>
        </a:xfrm>
        <a:prstGeom prst="rect">
          <a:avLst/>
        </a:prstGeom>
      </xdr:spPr>
    </xdr:pic>
    <xdr:clientData/>
  </xdr:twoCellAnchor>
  <xdr:twoCellAnchor editAs="oneCell">
    <xdr:from>
      <xdr:col>15</xdr:col>
      <xdr:colOff>129540</xdr:colOff>
      <xdr:row>25</xdr:row>
      <xdr:rowOff>15240</xdr:rowOff>
    </xdr:from>
    <xdr:to>
      <xdr:col>17</xdr:col>
      <xdr:colOff>207377</xdr:colOff>
      <xdr:row>26</xdr:row>
      <xdr:rowOff>166706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73540" y="4975860"/>
          <a:ext cx="1297037" cy="334346"/>
        </a:xfrm>
        <a:prstGeom prst="rect">
          <a:avLst/>
        </a:prstGeom>
      </xdr:spPr>
    </xdr:pic>
    <xdr:clientData/>
  </xdr:twoCellAnchor>
  <xdr:oneCellAnchor>
    <xdr:from>
      <xdr:col>15</xdr:col>
      <xdr:colOff>48370</xdr:colOff>
      <xdr:row>19</xdr:row>
      <xdr:rowOff>7619</xdr:rowOff>
    </xdr:from>
    <xdr:ext cx="2345450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kstfelt 11">
              <a:extLst>
                <a:ext uri="{FF2B5EF4-FFF2-40B4-BE49-F238E27FC236}">
                  <a16:creationId xmlns:a16="http://schemas.microsoft.com/office/drawing/2014/main" id="{00000000-0008-0000-0B00-00000C000000}"/>
                </a:ext>
              </a:extLst>
            </xdr:cNvPr>
            <xdr:cNvSpPr txBox="1"/>
          </xdr:nvSpPr>
          <xdr:spPr>
            <a:xfrm>
              <a:off x="9192370" y="3863339"/>
              <a:ext cx="2345450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+mn-lt"/>
                </a:rPr>
                <a:t>Call</a:t>
              </a:r>
              <a:r>
                <a:rPr lang="da-DK" sz="1100" b="0" i="0" baseline="0">
                  <a:latin typeface="+mn-lt"/>
                </a:rPr>
                <a:t> Price:   </a:t>
              </a:r>
              <a14:m>
                <m:oMath xmlns:m="http://schemas.openxmlformats.org/officeDocument/2006/math">
                  <m:r>
                    <a:rPr lang="da-DK" sz="1100" b="0" i="1">
                      <a:latin typeface="Cambria Math" panose="02040503050406030204" pitchFamily="18" charset="0"/>
                    </a:rPr>
                    <m:t>𝐶</m:t>
                  </m:r>
                  <m:r>
                    <a:rPr lang="da-DK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𝑁</m:t>
                  </m:r>
                  <m:d>
                    <m:d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</m:e>
                  </m:d>
                  <m:r>
                    <a:rPr lang="da-DK" sz="1100" b="0" i="1">
                      <a:latin typeface="Cambria Math" panose="02040503050406030204" pitchFamily="18" charset="0"/>
                    </a:rPr>
                    <m:t>−</m:t>
                  </m:r>
                  <m:r>
                    <a:rPr lang="da-DK" sz="1100" b="0" i="1">
                      <a:latin typeface="Cambria Math" panose="02040503050406030204" pitchFamily="18" charset="0"/>
                    </a:rPr>
                    <m:t>𝑋</m:t>
                  </m:r>
                  <m:sSup>
                    <m:sSup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𝑟𝑇</m:t>
                      </m:r>
                    </m:sup>
                  </m:sSup>
                  <m:r>
                    <a:rPr lang="da-DK" sz="1100" b="0" i="1">
                      <a:latin typeface="Cambria Math" panose="02040503050406030204" pitchFamily="18" charset="0"/>
                    </a:rPr>
                    <m:t>𝑁</m:t>
                  </m:r>
                  <m:d>
                    <m:d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</m:e>
                  </m:d>
                </m:oMath>
              </a14:m>
              <a:endParaRPr lang="da-DK" sz="1100" b="0"/>
            </a:p>
          </xdr:txBody>
        </xdr:sp>
      </mc:Choice>
      <mc:Fallback xmlns="">
        <xdr:sp macro="" textlink="">
          <xdr:nvSpPr>
            <xdr:cNvPr id="12" name="Tekstfelt 11">
              <a:extLst>
                <a:ext uri="{FF2B5EF4-FFF2-40B4-BE49-F238E27FC236}">
                  <a16:creationId xmlns:a16="http://schemas.microsoft.com/office/drawing/2014/main" id="{5552C150-E31E-4627-84AD-64F84BD3DA58}"/>
                </a:ext>
              </a:extLst>
            </xdr:cNvPr>
            <xdr:cNvSpPr txBox="1"/>
          </xdr:nvSpPr>
          <xdr:spPr>
            <a:xfrm>
              <a:off x="9192370" y="3863339"/>
              <a:ext cx="2345450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+mn-lt"/>
                </a:rPr>
                <a:t>Call</a:t>
              </a:r>
              <a:r>
                <a:rPr lang="da-DK" sz="1100" b="0" i="0" baseline="0">
                  <a:latin typeface="+mn-lt"/>
                </a:rPr>
                <a:t> Price:   </a:t>
              </a:r>
              <a:r>
                <a:rPr lang="da-DK" sz="1100" b="0" i="0">
                  <a:latin typeface="Cambria Math" panose="02040503050406030204" pitchFamily="18" charset="0"/>
                </a:rPr>
                <a:t>𝐶=𝑆_0 𝑁(𝑑_1 )−𝑋𝑒^(−𝑟𝑇) 𝑁(𝑑_2 )</a:t>
              </a:r>
              <a:endParaRPr lang="da-DK" sz="1100" b="0"/>
            </a:p>
          </xdr:txBody>
        </xdr:sp>
      </mc:Fallback>
    </mc:AlternateContent>
    <xdr:clientData/>
  </xdr:oneCellAnchor>
  <xdr:oneCellAnchor>
    <xdr:from>
      <xdr:col>15</xdr:col>
      <xdr:colOff>55990</xdr:colOff>
      <xdr:row>19</xdr:row>
      <xdr:rowOff>186027</xdr:rowOff>
    </xdr:from>
    <xdr:ext cx="2543517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kstfelt 12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 txBox="1"/>
          </xdr:nvSpPr>
          <xdr:spPr>
            <a:xfrm>
              <a:off x="9199990" y="4041747"/>
              <a:ext cx="2543517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Put Price:   </a:t>
              </a:r>
              <a14:m>
                <m:oMath xmlns:m="http://schemas.openxmlformats.org/officeDocument/2006/math">
                  <m:r>
                    <a:rPr lang="da-DK" sz="1100" b="0" i="1">
                      <a:latin typeface="Cambria Math" panose="02040503050406030204" pitchFamily="18" charset="0"/>
                    </a:rPr>
                    <m:t>𝑃</m:t>
                  </m:r>
                  <m:r>
                    <a:rPr lang="da-DK" sz="1100" b="0" i="1">
                      <a:latin typeface="Cambria Math" panose="02040503050406030204" pitchFamily="18" charset="0"/>
                    </a:rPr>
                    <m:t>=</m:t>
                  </m:r>
                  <m:r>
                    <a:rPr lang="da-DK" sz="1100" b="0" i="1">
                      <a:latin typeface="Cambria Math" panose="02040503050406030204" pitchFamily="18" charset="0"/>
                    </a:rPr>
                    <m:t>𝑋</m:t>
                  </m:r>
                  <m:sSup>
                    <m:sSup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𝑟𝑇</m:t>
                      </m:r>
                    </m:sup>
                  </m:sSup>
                  <m:r>
                    <a:rPr lang="da-DK" sz="1100" b="0" i="1">
                      <a:latin typeface="Cambria Math" panose="02040503050406030204" pitchFamily="18" charset="0"/>
                    </a:rPr>
                    <m:t>𝑁</m:t>
                  </m:r>
                  <m:d>
                    <m:d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da-DK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𝑑</m:t>
                          </m:r>
                        </m:e>
                        <m:sub>
                          <m:r>
                            <a:rPr lang="da-DK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</m:e>
                  </m:d>
                  <m:r>
                    <a:rPr lang="da-DK" sz="1100" b="0" i="1">
                      <a:latin typeface="Cambria Math" panose="02040503050406030204" pitchFamily="18" charset="0"/>
                    </a:rPr>
                    <m:t>−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𝑁</m:t>
                  </m:r>
                  <m:r>
                    <a:rPr lang="da-DK" sz="1100" b="0" i="1">
                      <a:latin typeface="Cambria Math" panose="02040503050406030204" pitchFamily="18" charset="0"/>
                    </a:rPr>
                    <m:t>(−</m:t>
                  </m:r>
                  <m:sSub>
                    <m:sSubPr>
                      <m:ctrlPr>
                        <a:rPr lang="da-DK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da-DK" sz="1100" b="0" i="1">
                          <a:latin typeface="Cambria Math" panose="02040503050406030204" pitchFamily="18" charset="0"/>
                        </a:rPr>
                        <m:t>𝑑</m:t>
                      </m:r>
                    </m:e>
                    <m:sub>
                      <m:r>
                        <a:rPr lang="da-DK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da-DK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da-DK" sz="1100"/>
            </a:p>
          </xdr:txBody>
        </xdr:sp>
      </mc:Choice>
      <mc:Fallback xmlns="">
        <xdr:sp macro="" textlink="">
          <xdr:nvSpPr>
            <xdr:cNvPr id="13" name="Tekstfelt 12">
              <a:extLst>
                <a:ext uri="{FF2B5EF4-FFF2-40B4-BE49-F238E27FC236}">
                  <a16:creationId xmlns:a16="http://schemas.microsoft.com/office/drawing/2014/main" id="{5595D6B3-92F2-40BA-88EE-0F7C40655E7C}"/>
                </a:ext>
              </a:extLst>
            </xdr:cNvPr>
            <xdr:cNvSpPr txBox="1"/>
          </xdr:nvSpPr>
          <xdr:spPr>
            <a:xfrm>
              <a:off x="9199990" y="4041747"/>
              <a:ext cx="2543517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/>
                <a:t>Put Price:   </a:t>
              </a:r>
              <a:r>
                <a:rPr lang="da-DK" sz="1100" b="0" i="0">
                  <a:latin typeface="Cambria Math" panose="02040503050406030204" pitchFamily="18" charset="0"/>
                </a:rPr>
                <a:t>𝑃=𝑋𝑒^(−𝑟𝑇) 𝑁(−𝑑_2 )−𝑆_0 𝑁(−𝑑_1)</a:t>
              </a:r>
              <a:endParaRPr lang="da-DK" sz="1100"/>
            </a:p>
          </xdr:txBody>
        </xdr:sp>
      </mc:Fallback>
    </mc:AlternateContent>
    <xdr:clientData/>
  </xdr:oneCellAnchor>
  <xdr:twoCellAnchor editAs="oneCell">
    <xdr:from>
      <xdr:col>15</xdr:col>
      <xdr:colOff>11373</xdr:colOff>
      <xdr:row>28</xdr:row>
      <xdr:rowOff>1115</xdr:rowOff>
    </xdr:from>
    <xdr:to>
      <xdr:col>19</xdr:col>
      <xdr:colOff>568657</xdr:colOff>
      <xdr:row>39</xdr:row>
      <xdr:rowOff>165312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55373" y="5510375"/>
          <a:ext cx="2995684" cy="2175877"/>
        </a:xfrm>
        <a:prstGeom prst="rect">
          <a:avLst/>
        </a:prstGeom>
      </xdr:spPr>
    </xdr:pic>
    <xdr:clientData/>
  </xdr:twoCellAnchor>
  <xdr:twoCellAnchor editAs="oneCell">
    <xdr:from>
      <xdr:col>15</xdr:col>
      <xdr:colOff>66581</xdr:colOff>
      <xdr:row>41</xdr:row>
      <xdr:rowOff>36992</xdr:rowOff>
    </xdr:from>
    <xdr:to>
      <xdr:col>19</xdr:col>
      <xdr:colOff>16018</xdr:colOff>
      <xdr:row>43</xdr:row>
      <xdr:rowOff>142183</xdr:rowOff>
    </xdr:to>
    <xdr:pic>
      <xdr:nvPicPr>
        <xdr:cNvPr id="15" name="Billed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2" r="18972"/>
        <a:stretch/>
      </xdr:blipFill>
      <xdr:spPr>
        <a:xfrm>
          <a:off x="9210581" y="7923692"/>
          <a:ext cx="2387837" cy="470951"/>
        </a:xfrm>
        <a:prstGeom prst="rect">
          <a:avLst/>
        </a:prstGeom>
      </xdr:spPr>
    </xdr:pic>
    <xdr:clientData/>
  </xdr:twoCellAnchor>
  <xdr:twoCellAnchor editAs="oneCell">
    <xdr:from>
      <xdr:col>17</xdr:col>
      <xdr:colOff>160020</xdr:colOff>
      <xdr:row>17</xdr:row>
      <xdr:rowOff>164482</xdr:rowOff>
    </xdr:from>
    <xdr:to>
      <xdr:col>17</xdr:col>
      <xdr:colOff>312420</xdr:colOff>
      <xdr:row>19</xdr:row>
      <xdr:rowOff>26629</xdr:rowOff>
    </xdr:to>
    <xdr:pic>
      <xdr:nvPicPr>
        <xdr:cNvPr id="16" name="Billed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3220" y="3646822"/>
          <a:ext cx="152400" cy="2355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127000</xdr:colOff>
      <xdr:row>15</xdr:row>
      <xdr:rowOff>189508</xdr:rowOff>
    </xdr:from>
    <xdr:ext cx="2324100" cy="423266"/>
    <xdr:pic>
      <xdr:nvPicPr>
        <xdr:cNvPr id="2" name="Picture 2">
          <a:extLst>
            <a:ext uri="{FF2B5EF4-FFF2-40B4-BE49-F238E27FC236}">
              <a16:creationId xmlns:a16="http://schemas.microsoft.com/office/drawing/2014/main" id="{16DB08B9-0292-E247-872C-10B9D843A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56200" y="3237508"/>
          <a:ext cx="2324100" cy="423266"/>
        </a:xfrm>
        <a:prstGeom prst="rect">
          <a:avLst/>
        </a:prstGeom>
      </xdr:spPr>
    </xdr:pic>
    <xdr:clientData/>
  </xdr:oneCellAnchor>
  <xdr:oneCellAnchor>
    <xdr:from>
      <xdr:col>2</xdr:col>
      <xdr:colOff>12700</xdr:colOff>
      <xdr:row>20</xdr:row>
      <xdr:rowOff>174474</xdr:rowOff>
    </xdr:from>
    <xdr:ext cx="2387600" cy="282726"/>
    <xdr:pic>
      <xdr:nvPicPr>
        <xdr:cNvPr id="3" name="Picture 3">
          <a:extLst>
            <a:ext uri="{FF2B5EF4-FFF2-40B4-BE49-F238E27FC236}">
              <a16:creationId xmlns:a16="http://schemas.microsoft.com/office/drawing/2014/main" id="{87B21FE4-2AC9-8240-AE49-F89BBAF12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89100" y="4238474"/>
          <a:ext cx="2387600" cy="282726"/>
        </a:xfrm>
        <a:prstGeom prst="rect">
          <a:avLst/>
        </a:prstGeom>
      </xdr:spPr>
    </xdr:pic>
    <xdr:clientData/>
  </xdr:oneCellAnchor>
  <xdr:oneCellAnchor>
    <xdr:from>
      <xdr:col>4</xdr:col>
      <xdr:colOff>635000</xdr:colOff>
      <xdr:row>20</xdr:row>
      <xdr:rowOff>74806</xdr:rowOff>
    </xdr:from>
    <xdr:ext cx="1714500" cy="420493"/>
    <xdr:pic>
      <xdr:nvPicPr>
        <xdr:cNvPr id="4" name="Picture 4">
          <a:extLst>
            <a:ext uri="{FF2B5EF4-FFF2-40B4-BE49-F238E27FC236}">
              <a16:creationId xmlns:a16="http://schemas.microsoft.com/office/drawing/2014/main" id="{C8171AA5-EACA-B040-AA2C-54AC1CE06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87800" y="4138806"/>
          <a:ext cx="1714500" cy="420493"/>
        </a:xfrm>
        <a:prstGeom prst="rect">
          <a:avLst/>
        </a:prstGeom>
      </xdr:spPr>
    </xdr:pic>
    <xdr:clientData/>
  </xdr:oneCellAnchor>
  <xdr:oneCellAnchor>
    <xdr:from>
      <xdr:col>1</xdr:col>
      <xdr:colOff>787400</xdr:colOff>
      <xdr:row>45</xdr:row>
      <xdr:rowOff>144520</xdr:rowOff>
    </xdr:from>
    <xdr:ext cx="4229100" cy="426980"/>
    <xdr:pic>
      <xdr:nvPicPr>
        <xdr:cNvPr id="5" name="Picture 6">
          <a:extLst>
            <a:ext uri="{FF2B5EF4-FFF2-40B4-BE49-F238E27FC236}">
              <a16:creationId xmlns:a16="http://schemas.microsoft.com/office/drawing/2014/main" id="{B0939F2D-A8E7-C242-85FA-F03072150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5600" y="9288520"/>
          <a:ext cx="4229100" cy="426980"/>
        </a:xfrm>
        <a:prstGeom prst="rect">
          <a:avLst/>
        </a:prstGeom>
      </xdr:spPr>
    </xdr:pic>
    <xdr:clientData/>
  </xdr:oneCellAnchor>
  <xdr:oneCellAnchor>
    <xdr:from>
      <xdr:col>1</xdr:col>
      <xdr:colOff>81642</xdr:colOff>
      <xdr:row>52</xdr:row>
      <xdr:rowOff>88900</xdr:rowOff>
    </xdr:from>
    <xdr:ext cx="4125500" cy="1311933"/>
    <xdr:pic>
      <xdr:nvPicPr>
        <xdr:cNvPr id="6" name="Picture 8">
          <a:extLst>
            <a:ext uri="{FF2B5EF4-FFF2-40B4-BE49-F238E27FC236}">
              <a16:creationId xmlns:a16="http://schemas.microsoft.com/office/drawing/2014/main" id="{EA550069-BDF9-C04A-94D8-71C3EC36D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9842" y="10655300"/>
          <a:ext cx="4125500" cy="1311933"/>
        </a:xfrm>
        <a:prstGeom prst="rect">
          <a:avLst/>
        </a:prstGeom>
      </xdr:spPr>
    </xdr:pic>
    <xdr:clientData/>
  </xdr:oneCellAnchor>
  <xdr:oneCellAnchor>
    <xdr:from>
      <xdr:col>4</xdr:col>
      <xdr:colOff>292100</xdr:colOff>
      <xdr:row>60</xdr:row>
      <xdr:rowOff>24422</xdr:rowOff>
    </xdr:from>
    <xdr:ext cx="1270000" cy="483577"/>
    <xdr:pic>
      <xdr:nvPicPr>
        <xdr:cNvPr id="7" name="Picture 9">
          <a:extLst>
            <a:ext uri="{FF2B5EF4-FFF2-40B4-BE49-F238E27FC236}">
              <a16:creationId xmlns:a16="http://schemas.microsoft.com/office/drawing/2014/main" id="{49C3D96C-DD9A-7C44-8905-5841B1B00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4900" y="12216422"/>
          <a:ext cx="1270000" cy="483577"/>
        </a:xfrm>
        <a:prstGeom prst="rect">
          <a:avLst/>
        </a:prstGeom>
      </xdr:spPr>
    </xdr:pic>
    <xdr:clientData/>
  </xdr:oneCellAnchor>
  <xdr:oneCellAnchor>
    <xdr:from>
      <xdr:col>4</xdr:col>
      <xdr:colOff>242221</xdr:colOff>
      <xdr:row>63</xdr:row>
      <xdr:rowOff>25952</xdr:rowOff>
    </xdr:from>
    <xdr:ext cx="1109919" cy="3204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CDD5BBD3-5EFE-7F40-B677-7B88094FF5C7}"/>
                </a:ext>
              </a:extLst>
            </xdr:cNvPr>
            <xdr:cNvSpPr txBox="1"/>
          </xdr:nvSpPr>
          <xdr:spPr>
            <a:xfrm>
              <a:off x="3711714" y="12900807"/>
              <a:ext cx="1109919" cy="3204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0,</m:t>
                        </m:r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da-DK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da-DK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da-DK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</m:t>
                    </m:r>
                    <m:r>
                      <a:rPr lang="da-DK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da-DK">
                        <a:effectLst/>
                      </a:rPr>
                      <m:t> </m:t>
                    </m:r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CDD5BBD3-5EFE-7F40-B677-7B88094FF5C7}"/>
                </a:ext>
              </a:extLst>
            </xdr:cNvPr>
            <xdr:cNvSpPr txBox="1"/>
          </xdr:nvSpPr>
          <xdr:spPr>
            <a:xfrm>
              <a:off x="3711714" y="12900807"/>
              <a:ext cx="1109919" cy="3204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𝑠_(0,𝑡)=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0,𝑡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da-DK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−1</a:t>
              </a:r>
              <a:r>
                <a:rPr lang="da-DK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="</a:t>
              </a:r>
              <a:r>
                <a:rPr lang="da-DK" i="0">
                  <a:effectLst/>
                  <a:latin typeface="Cambria Math" panose="02040503050406030204" pitchFamily="18" charset="0"/>
                </a:rPr>
                <a:t> </a:t>
              </a:r>
              <a:r>
                <a:rPr lang="da-DK" i="0">
                  <a:effectLst/>
                </a:rPr>
                <a:t>"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334249</xdr:colOff>
      <xdr:row>62</xdr:row>
      <xdr:rowOff>173198</xdr:rowOff>
    </xdr:from>
    <xdr:ext cx="239617" cy="1769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5443ED2A-DC25-084B-9994-5B9693E4A303}"/>
                </a:ext>
              </a:extLst>
            </xdr:cNvPr>
            <xdr:cNvSpPr txBox="1"/>
          </xdr:nvSpPr>
          <xdr:spPr>
            <a:xfrm>
              <a:off x="6316133" y="12854792"/>
              <a:ext cx="239617" cy="1769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0,1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5443ED2A-DC25-084B-9994-5B9693E4A303}"/>
                </a:ext>
              </a:extLst>
            </xdr:cNvPr>
            <xdr:cNvSpPr txBox="1"/>
          </xdr:nvSpPr>
          <xdr:spPr>
            <a:xfrm>
              <a:off x="6316133" y="12854792"/>
              <a:ext cx="239617" cy="1769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𝑠_0,1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8</xdr:col>
      <xdr:colOff>311794</xdr:colOff>
      <xdr:row>62</xdr:row>
      <xdr:rowOff>169149</xdr:rowOff>
    </xdr:from>
    <xdr:ext cx="239617" cy="1769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kstfelt 9">
              <a:extLst>
                <a:ext uri="{FF2B5EF4-FFF2-40B4-BE49-F238E27FC236}">
                  <a16:creationId xmlns:a16="http://schemas.microsoft.com/office/drawing/2014/main" id="{413EC24A-F115-1946-A3AB-861D67C8F34F}"/>
                </a:ext>
              </a:extLst>
            </xdr:cNvPr>
            <xdr:cNvSpPr txBox="1"/>
          </xdr:nvSpPr>
          <xdr:spPr>
            <a:xfrm>
              <a:off x="7131142" y="12850743"/>
              <a:ext cx="239617" cy="1769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0,2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0" name="Tekstfelt 9">
              <a:extLst>
                <a:ext uri="{FF2B5EF4-FFF2-40B4-BE49-F238E27FC236}">
                  <a16:creationId xmlns:a16="http://schemas.microsoft.com/office/drawing/2014/main" id="{413EC24A-F115-1946-A3AB-861D67C8F34F}"/>
                </a:ext>
              </a:extLst>
            </xdr:cNvPr>
            <xdr:cNvSpPr txBox="1"/>
          </xdr:nvSpPr>
          <xdr:spPr>
            <a:xfrm>
              <a:off x="7131142" y="12850743"/>
              <a:ext cx="239617" cy="1769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𝑠_0,2</a:t>
              </a:r>
              <a:endParaRPr lang="da-DK" sz="1100"/>
            </a:p>
          </xdr:txBody>
        </xdr:sp>
      </mc:Fallback>
    </mc:AlternateContent>
    <xdr:clientData/>
  </xdr:oneCellAnchor>
  <xdr:oneCellAnchor>
    <xdr:from>
      <xdr:col>9</xdr:col>
      <xdr:colOff>353759</xdr:colOff>
      <xdr:row>62</xdr:row>
      <xdr:rowOff>174302</xdr:rowOff>
    </xdr:from>
    <xdr:ext cx="239617" cy="1769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kstfelt 10">
              <a:extLst>
                <a:ext uri="{FF2B5EF4-FFF2-40B4-BE49-F238E27FC236}">
                  <a16:creationId xmlns:a16="http://schemas.microsoft.com/office/drawing/2014/main" id="{7AF77E1E-9D26-8C49-9E9D-42CD2C89C059}"/>
                </a:ext>
              </a:extLst>
            </xdr:cNvPr>
            <xdr:cNvSpPr txBox="1"/>
          </xdr:nvSpPr>
          <xdr:spPr>
            <a:xfrm>
              <a:off x="8010571" y="12855896"/>
              <a:ext cx="239617" cy="1769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da-DK" sz="1100" b="0" i="1">
                            <a:latin typeface="Cambria Math" panose="02040503050406030204" pitchFamily="18" charset="0"/>
                          </a:rPr>
                          <m:t>0,3</m:t>
                        </m:r>
                      </m:sub>
                    </m:sSub>
                  </m:oMath>
                </m:oMathPara>
              </a14:m>
              <a:endParaRPr lang="da-DK" sz="1100"/>
            </a:p>
          </xdr:txBody>
        </xdr:sp>
      </mc:Choice>
      <mc:Fallback xmlns="">
        <xdr:sp macro="" textlink="">
          <xdr:nvSpPr>
            <xdr:cNvPr id="11" name="Tekstfelt 10">
              <a:extLst>
                <a:ext uri="{FF2B5EF4-FFF2-40B4-BE49-F238E27FC236}">
                  <a16:creationId xmlns:a16="http://schemas.microsoft.com/office/drawing/2014/main" id="{7AF77E1E-9D26-8C49-9E9D-42CD2C89C059}"/>
                </a:ext>
              </a:extLst>
            </xdr:cNvPr>
            <xdr:cNvSpPr txBox="1"/>
          </xdr:nvSpPr>
          <xdr:spPr>
            <a:xfrm>
              <a:off x="8010571" y="12855896"/>
              <a:ext cx="239617" cy="1769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a-DK" sz="1100" b="0" i="0">
                  <a:latin typeface="Cambria Math" panose="02040503050406030204" pitchFamily="18" charset="0"/>
                </a:rPr>
                <a:t>𝑠_0,3</a:t>
              </a:r>
              <a:endParaRPr lang="da-DK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673100</xdr:colOff>
      <xdr:row>14</xdr:row>
      <xdr:rowOff>60325</xdr:rowOff>
    </xdr:from>
    <xdr:to>
      <xdr:col>11</xdr:col>
      <xdr:colOff>280988</xdr:colOff>
      <xdr:row>34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066798B-2AED-4040-AC0B-B587592E8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custhomsen\Dropbox\Min%20Mac%20(marcuss-mbp-2.lan)\Downloads\Cheat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eføljeteori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93-A74A-1C4F-A46F-922F15DB49B2}">
  <dimension ref="A1:L8"/>
  <sheetViews>
    <sheetView zoomScale="79" workbookViewId="0">
      <selection activeCell="K5" sqref="K5"/>
    </sheetView>
  </sheetViews>
  <sheetFormatPr defaultColWidth="11" defaultRowHeight="15.75"/>
  <cols>
    <col min="1" max="16384" width="11" style="154"/>
  </cols>
  <sheetData>
    <row r="1" spans="1:12" ht="21">
      <c r="A1" s="240" t="s">
        <v>300</v>
      </c>
      <c r="B1" s="240"/>
      <c r="C1" s="240"/>
      <c r="D1" s="240"/>
      <c r="E1" s="240"/>
      <c r="F1" s="240"/>
      <c r="G1" s="240"/>
      <c r="H1" s="240"/>
      <c r="I1" s="240"/>
      <c r="J1" s="156"/>
      <c r="K1" s="156"/>
      <c r="L1" s="156"/>
    </row>
    <row r="2" spans="1:12" ht="21">
      <c r="A2" s="240"/>
      <c r="B2" s="240"/>
      <c r="C2" s="240"/>
      <c r="D2" s="240"/>
      <c r="E2" s="240"/>
      <c r="F2" s="240"/>
      <c r="G2" s="240"/>
      <c r="H2" s="240"/>
      <c r="I2" s="240"/>
      <c r="J2" s="156"/>
      <c r="K2" s="156"/>
      <c r="L2" s="156"/>
    </row>
    <row r="3" spans="1:12" ht="21">
      <c r="A3" s="240" t="s">
        <v>279</v>
      </c>
      <c r="B3" s="240"/>
      <c r="C3" s="240"/>
      <c r="D3" s="240"/>
      <c r="E3" s="240"/>
      <c r="F3" s="240"/>
      <c r="G3" s="240"/>
      <c r="H3" s="240"/>
      <c r="I3" s="240"/>
      <c r="J3" s="156"/>
      <c r="K3" s="156"/>
      <c r="L3" s="156"/>
    </row>
    <row r="4" spans="1:12" ht="21">
      <c r="A4" s="240"/>
      <c r="B4" s="240"/>
      <c r="C4" s="240"/>
      <c r="D4" s="240"/>
      <c r="E4" s="240"/>
      <c r="F4" s="240"/>
      <c r="G4" s="240"/>
      <c r="H4" s="240"/>
      <c r="I4" s="240"/>
      <c r="J4" s="156"/>
      <c r="K4" s="156"/>
      <c r="L4" s="156"/>
    </row>
    <row r="5" spans="1:12" ht="21">
      <c r="A5" s="240" t="s">
        <v>280</v>
      </c>
      <c r="B5" s="240"/>
      <c r="C5" s="240"/>
      <c r="D5" s="240"/>
      <c r="E5" s="240"/>
      <c r="F5" s="240"/>
      <c r="G5" s="240"/>
      <c r="H5" s="240"/>
      <c r="I5" s="240"/>
      <c r="J5" s="156"/>
      <c r="K5" s="156"/>
      <c r="L5" s="156"/>
    </row>
    <row r="6" spans="1:12" ht="21">
      <c r="A6" s="240"/>
      <c r="B6" s="240"/>
      <c r="C6" s="240"/>
      <c r="D6" s="240"/>
      <c r="E6" s="240"/>
      <c r="F6" s="240"/>
      <c r="G6" s="240"/>
      <c r="H6" s="240"/>
      <c r="I6" s="240"/>
      <c r="J6" s="156"/>
      <c r="K6" s="156"/>
      <c r="L6" s="156"/>
    </row>
    <row r="7" spans="1:12" ht="21">
      <c r="A7" s="240" t="s">
        <v>282</v>
      </c>
      <c r="B7" s="240"/>
      <c r="C7" s="240"/>
      <c r="D7" s="240"/>
      <c r="E7" s="240"/>
      <c r="F7" s="240"/>
      <c r="G7" s="240"/>
      <c r="H7" s="240"/>
      <c r="I7" s="240"/>
      <c r="J7" s="156"/>
      <c r="K7" s="156"/>
      <c r="L7" s="156"/>
    </row>
    <row r="8" spans="1:12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38"/>
  <sheetViews>
    <sheetView topLeftCell="A25" zoomScale="161" zoomScaleNormal="100" workbookViewId="0">
      <selection activeCell="J94" sqref="J94"/>
    </sheetView>
  </sheetViews>
  <sheetFormatPr defaultColWidth="8.7109375" defaultRowHeight="15"/>
  <cols>
    <col min="1" max="1" width="3.42578125" customWidth="1"/>
    <col min="2" max="2" width="15.42578125" customWidth="1"/>
    <col min="3" max="3" width="12.7109375" customWidth="1"/>
    <col min="4" max="5" width="11.42578125" customWidth="1"/>
    <col min="6" max="6" width="11.7109375" bestFit="1" customWidth="1"/>
    <col min="7" max="7" width="10.42578125" customWidth="1"/>
    <col min="8" max="8" width="11.140625" bestFit="1" customWidth="1"/>
    <col min="9" max="9" width="12.42578125" customWidth="1"/>
    <col min="10" max="10" width="16.140625" customWidth="1"/>
    <col min="11" max="11" width="17" bestFit="1" customWidth="1"/>
    <col min="12" max="12" width="17.28515625" bestFit="1" customWidth="1"/>
    <col min="13" max="13" width="16.42578125" customWidth="1"/>
    <col min="14" max="14" width="18.140625" customWidth="1"/>
    <col min="15" max="15" width="13.42578125" customWidth="1"/>
    <col min="16" max="16" width="9.7109375" bestFit="1" customWidth="1"/>
    <col min="17" max="17" width="10.140625" bestFit="1" customWidth="1"/>
    <col min="18" max="18" width="11.140625" bestFit="1" customWidth="1"/>
    <col min="19" max="23" width="9" bestFit="1" customWidth="1"/>
  </cols>
  <sheetData>
    <row r="1" spans="1:22" ht="15" customHeight="1">
      <c r="A1" s="314" t="s">
        <v>19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88"/>
      <c r="Q1" s="88"/>
      <c r="R1" s="88"/>
      <c r="S1" s="88"/>
      <c r="T1" s="88"/>
      <c r="U1" s="88"/>
      <c r="V1" s="89"/>
    </row>
    <row r="2" spans="1:22" ht="15.75" customHeight="1" thickBot="1">
      <c r="A2" s="316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90"/>
      <c r="Q2" s="90"/>
      <c r="R2" s="90"/>
      <c r="S2" s="90"/>
      <c r="T2" s="90"/>
      <c r="U2" s="90"/>
      <c r="V2" s="91"/>
    </row>
    <row r="3" spans="1:22">
      <c r="A3" s="14"/>
      <c r="V3" s="15"/>
    </row>
    <row r="4" spans="1:22">
      <c r="A4" s="14"/>
      <c r="B4" t="s">
        <v>20</v>
      </c>
      <c r="V4" s="15"/>
    </row>
    <row r="5" spans="1:22">
      <c r="A5" s="14"/>
      <c r="V5" s="15"/>
    </row>
    <row r="6" spans="1:22">
      <c r="A6" s="14"/>
      <c r="Q6" t="s">
        <v>21</v>
      </c>
      <c r="T6" s="6" t="s">
        <v>22</v>
      </c>
      <c r="V6" s="15"/>
    </row>
    <row r="7" spans="1:22">
      <c r="A7" s="14"/>
      <c r="B7" s="121">
        <v>3.5000000000000003E-2</v>
      </c>
      <c r="D7" s="25">
        <v>1</v>
      </c>
      <c r="E7" s="104"/>
      <c r="F7" s="26">
        <v>2</v>
      </c>
      <c r="G7" s="226">
        <f>F8</f>
        <v>1</v>
      </c>
      <c r="H7" s="227">
        <f>F9</f>
        <v>0</v>
      </c>
      <c r="J7" s="228">
        <f t="array" ref="J7:L9">MINVERSE(F7:H9)</f>
        <v>0.75</v>
      </c>
      <c r="K7" s="229">
        <v>-0.5</v>
      </c>
      <c r="L7" s="230">
        <v>0.24999999999999997</v>
      </c>
      <c r="N7" s="27">
        <f>MMULT(MMULT(B12:D12,J7:L9),B7:B9)</f>
        <v>0.46691875000000016</v>
      </c>
      <c r="O7" s="28">
        <f t="array" ref="O7">MMULT(MMULT(B12:D12,J7:L9),D7:D9)</f>
        <v>0.41750000000000009</v>
      </c>
      <c r="Q7" s="29">
        <f>MDETERM(N7:O8)</f>
        <v>0.2926125</v>
      </c>
      <c r="T7" s="6">
        <v>1</v>
      </c>
      <c r="U7" s="30">
        <f>SQRT(F7)</f>
        <v>1.4142135623730951</v>
      </c>
      <c r="V7" s="15"/>
    </row>
    <row r="8" spans="1:22">
      <c r="A8" s="14"/>
      <c r="B8" s="122">
        <v>0.8</v>
      </c>
      <c r="D8" s="31">
        <v>1</v>
      </c>
      <c r="E8" s="108" t="s">
        <v>23</v>
      </c>
      <c r="F8" s="32">
        <v>1</v>
      </c>
      <c r="G8" s="3">
        <v>2</v>
      </c>
      <c r="H8" s="225">
        <f>G9</f>
        <v>1</v>
      </c>
      <c r="J8" s="231">
        <v>-0.5</v>
      </c>
      <c r="K8" s="232">
        <v>1</v>
      </c>
      <c r="L8" s="233">
        <v>-0.49999999999999994</v>
      </c>
      <c r="N8" s="33">
        <f>O7</f>
        <v>0.41750000000000009</v>
      </c>
      <c r="O8" s="34">
        <f t="array" ref="O8">MMULT(MMULT(F12:H12,J7:L9),D7:D9)</f>
        <v>0.99999999999999989</v>
      </c>
      <c r="T8" s="6">
        <v>2</v>
      </c>
      <c r="U8" s="30">
        <f>SQRT(G8)</f>
        <v>1.4142135623730951</v>
      </c>
      <c r="V8" s="15"/>
    </row>
    <row r="9" spans="1:22">
      <c r="A9" s="14"/>
      <c r="B9" s="87">
        <v>0.8</v>
      </c>
      <c r="D9" s="35">
        <v>1</v>
      </c>
      <c r="E9" s="109"/>
      <c r="F9" s="36">
        <v>0</v>
      </c>
      <c r="G9" s="37">
        <v>1</v>
      </c>
      <c r="H9" s="38">
        <v>2</v>
      </c>
      <c r="J9" s="234">
        <v>0.24999999999999997</v>
      </c>
      <c r="K9" s="235">
        <v>-0.49999999999999994</v>
      </c>
      <c r="L9" s="236">
        <v>0.74999999999999989</v>
      </c>
      <c r="T9" s="6">
        <v>3</v>
      </c>
      <c r="U9" s="30">
        <f>SQRT(H9)</f>
        <v>1.4142135623730951</v>
      </c>
      <c r="V9" s="15"/>
    </row>
    <row r="10" spans="1:22">
      <c r="A10" s="14"/>
      <c r="N10" s="6" t="s">
        <v>25</v>
      </c>
      <c r="P10" s="6" t="s">
        <v>10</v>
      </c>
      <c r="R10" s="6" t="s">
        <v>24</v>
      </c>
      <c r="V10" s="15"/>
    </row>
    <row r="11" spans="1:22">
      <c r="A11" s="14"/>
      <c r="N11" s="29">
        <f>N7</f>
        <v>0.46691875000000016</v>
      </c>
      <c r="P11" s="29">
        <f>O7</f>
        <v>0.41750000000000009</v>
      </c>
      <c r="R11" s="29">
        <f>O8</f>
        <v>0.99999999999999989</v>
      </c>
      <c r="V11" s="15"/>
    </row>
    <row r="12" spans="1:22">
      <c r="A12" s="14"/>
      <c r="B12" s="39">
        <f>B7</f>
        <v>3.5000000000000003E-2</v>
      </c>
      <c r="C12" s="40">
        <f>B8</f>
        <v>0.8</v>
      </c>
      <c r="D12" s="41">
        <f>B9</f>
        <v>0.8</v>
      </c>
      <c r="F12" s="39">
        <f>D7</f>
        <v>1</v>
      </c>
      <c r="G12" s="40">
        <f>D8</f>
        <v>1</v>
      </c>
      <c r="H12" s="41">
        <f>D9</f>
        <v>1</v>
      </c>
      <c r="L12" t="s">
        <v>26</v>
      </c>
      <c r="V12" s="15"/>
    </row>
    <row r="13" spans="1:22">
      <c r="A13" s="14"/>
      <c r="V13" s="15"/>
    </row>
    <row r="14" spans="1:22" ht="15.75" thickBo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8"/>
    </row>
    <row r="15" spans="1:22">
      <c r="A15" s="322" t="s">
        <v>27</v>
      </c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4"/>
      <c r="M15" s="322" t="s">
        <v>28</v>
      </c>
      <c r="N15" s="323"/>
      <c r="O15" s="323"/>
      <c r="P15" s="323"/>
      <c r="Q15" s="323"/>
      <c r="R15" s="323"/>
      <c r="S15" s="323"/>
      <c r="T15" s="323"/>
      <c r="U15" s="323"/>
      <c r="V15" s="324"/>
    </row>
    <row r="16" spans="1:22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4"/>
      <c r="M16" s="14"/>
      <c r="V16" s="15"/>
    </row>
    <row r="17" spans="1:22" ht="87.75">
      <c r="A17" s="14"/>
      <c r="B17" t="s">
        <v>30</v>
      </c>
      <c r="H17" s="6"/>
      <c r="L17" s="15"/>
      <c r="M17" s="126"/>
      <c r="N17" s="4">
        <v>0.01</v>
      </c>
      <c r="V17" s="15"/>
    </row>
    <row r="18" spans="1:22">
      <c r="A18" s="14"/>
      <c r="B18">
        <v>1</v>
      </c>
      <c r="C18" s="45">
        <v>0.3</v>
      </c>
      <c r="D18" s="46">
        <f t="array" ref="D18:F18">TRANSPOSE(C18:C20)</f>
        <v>0.3</v>
      </c>
      <c r="E18" s="46">
        <v>0.5</v>
      </c>
      <c r="F18" s="47">
        <v>0.2</v>
      </c>
      <c r="G18" s="48">
        <f>MMULT(D18:F18,B7:B9)</f>
        <v>0.57050000000000001</v>
      </c>
      <c r="H18" s="46">
        <f>MMULT(D18:F18, MMULT(F7:H9,C18:C20)    )</f>
        <v>1.26</v>
      </c>
      <c r="I18" s="49">
        <f>SQRT(H18)</f>
        <v>1.1224972160321824</v>
      </c>
      <c r="L18" s="15"/>
      <c r="M18" s="14"/>
      <c r="N18" s="4">
        <v>0.02</v>
      </c>
      <c r="Q18" s="68" t="s">
        <v>5</v>
      </c>
      <c r="R18" s="2">
        <f>N17/N20</f>
        <v>0.25</v>
      </c>
      <c r="V18" s="15"/>
    </row>
    <row r="19" spans="1:22">
      <c r="A19" s="14"/>
      <c r="B19">
        <v>2</v>
      </c>
      <c r="C19" s="45">
        <v>0.5</v>
      </c>
      <c r="L19" s="15"/>
      <c r="M19" s="69"/>
      <c r="N19" s="5">
        <v>0.16250000000000001</v>
      </c>
      <c r="V19" s="15"/>
    </row>
    <row r="20" spans="1:22">
      <c r="A20" s="14"/>
      <c r="B20">
        <v>3</v>
      </c>
      <c r="C20" s="45">
        <v>0.2</v>
      </c>
      <c r="L20" s="15"/>
      <c r="M20" s="14"/>
      <c r="N20" s="4">
        <v>0.04</v>
      </c>
      <c r="Q20" s="68" t="s">
        <v>5</v>
      </c>
      <c r="R20" s="2">
        <f>N18/N20</f>
        <v>0.5</v>
      </c>
      <c r="V20" s="15"/>
    </row>
    <row r="21" spans="1:22" ht="15.75" thickBot="1">
      <c r="A21" s="16"/>
      <c r="B21" s="17"/>
      <c r="C21" s="50"/>
      <c r="D21" s="17"/>
      <c r="E21" s="17"/>
      <c r="F21" s="17"/>
      <c r="G21" s="17"/>
      <c r="H21" s="17"/>
      <c r="I21" s="17"/>
      <c r="J21" s="17"/>
      <c r="K21" s="17"/>
      <c r="L21" s="18"/>
      <c r="M21" s="63"/>
      <c r="N21" s="5">
        <v>9.5000000000000001E-2</v>
      </c>
      <c r="V21" s="15"/>
    </row>
    <row r="22" spans="1:22">
      <c r="A22" s="322" t="s">
        <v>34</v>
      </c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4"/>
      <c r="M22" s="14" t="s">
        <v>35</v>
      </c>
      <c r="N22" s="4">
        <v>0.25</v>
      </c>
      <c r="Q22" s="10">
        <f>N22*R18+N23*R20</f>
        <v>0.4375</v>
      </c>
      <c r="V22" s="15"/>
    </row>
    <row r="23" spans="1:22">
      <c r="A23" s="14"/>
      <c r="L23" s="15"/>
      <c r="M23" s="14" t="s">
        <v>36</v>
      </c>
      <c r="N23" s="5">
        <v>0.75</v>
      </c>
      <c r="V23" s="15"/>
    </row>
    <row r="24" spans="1:22">
      <c r="A24" s="14"/>
      <c r="D24" s="6"/>
      <c r="G24" s="6"/>
      <c r="I24" s="6"/>
      <c r="L24" s="15"/>
      <c r="M24" s="14" t="s">
        <v>37</v>
      </c>
      <c r="N24" s="3">
        <v>89.5</v>
      </c>
      <c r="O24" t="s">
        <v>14</v>
      </c>
      <c r="Q24" s="189">
        <f>(N25-N24)/N24</f>
        <v>0.11731843575418995</v>
      </c>
      <c r="V24" s="15"/>
    </row>
    <row r="25" spans="1:22">
      <c r="A25" s="14"/>
      <c r="B25" s="72">
        <v>0.19051999999999999</v>
      </c>
      <c r="D25" s="51">
        <f t="array" ref="D25:D27">((R11*B25-P11)/Q7)*MMULT(J7:L9,B7:B9)+((N11-B25*P11)/Q7)*MMULT(J7:L9,D7:D9)</f>
        <v>0.7967058823529416</v>
      </c>
      <c r="E25" s="9"/>
      <c r="F25" s="54">
        <f>D25</f>
        <v>0.7967058823529416</v>
      </c>
      <c r="G25" s="46">
        <f>D26</f>
        <v>-0.29670588235294137</v>
      </c>
      <c r="H25" s="47">
        <f>D27</f>
        <v>0.50000000000000011</v>
      </c>
      <c r="I25" s="237">
        <f>MMULT(F25:H25,MMULT(F7:H9,D25:D27))</f>
        <v>1.1760687612456757</v>
      </c>
      <c r="J25" s="29">
        <f>SQRT(I25)</f>
        <v>1.0844670401841061</v>
      </c>
      <c r="L25" s="15"/>
      <c r="M25" s="14" t="s">
        <v>38</v>
      </c>
      <c r="N25" s="3">
        <v>100</v>
      </c>
      <c r="O25" t="s">
        <v>201</v>
      </c>
      <c r="Q25" s="190">
        <f>N21+Q22*(N19-N21)</f>
        <v>0.12453125000000001</v>
      </c>
      <c r="V25" s="15"/>
    </row>
    <row r="26" spans="1:22" ht="15.75" thickBot="1">
      <c r="A26" s="14"/>
      <c r="D26" s="52">
        <v>-0.29670588235294137</v>
      </c>
      <c r="E26" s="9"/>
      <c r="F26" s="9"/>
      <c r="G26" s="9"/>
      <c r="H26" s="9"/>
      <c r="L26" s="15"/>
      <c r="M26" s="16"/>
      <c r="N26" s="17"/>
      <c r="O26" s="17"/>
      <c r="P26" s="17"/>
      <c r="Q26" s="17"/>
      <c r="R26" s="17"/>
      <c r="S26" s="17"/>
      <c r="T26" s="17"/>
      <c r="U26" s="17"/>
      <c r="V26" s="18"/>
    </row>
    <row r="27" spans="1:22">
      <c r="A27" s="14"/>
      <c r="D27" s="53">
        <v>0.50000000000000011</v>
      </c>
      <c r="E27" s="9"/>
      <c r="F27" s="9"/>
      <c r="G27" s="9"/>
      <c r="H27" s="9"/>
      <c r="L27" s="15"/>
      <c r="M27" s="322" t="s">
        <v>202</v>
      </c>
      <c r="N27" s="323"/>
      <c r="O27" s="323"/>
      <c r="P27" s="323"/>
      <c r="Q27" s="323"/>
      <c r="R27" s="323"/>
      <c r="S27" s="323"/>
      <c r="T27" s="323"/>
      <c r="U27" s="323"/>
      <c r="V27" s="324"/>
    </row>
    <row r="28" spans="1:22" ht="15.75" thickBot="1">
      <c r="A28" s="16"/>
      <c r="B28" s="17"/>
      <c r="C28" s="17"/>
      <c r="D28" s="56"/>
      <c r="E28" s="56"/>
      <c r="F28" s="56"/>
      <c r="G28" s="56"/>
      <c r="H28" s="56"/>
      <c r="I28" s="17"/>
      <c r="J28" s="17"/>
      <c r="K28" s="17"/>
      <c r="L28" s="18"/>
      <c r="M28" s="14"/>
      <c r="N28" s="6"/>
      <c r="Q28" s="6" t="s">
        <v>6</v>
      </c>
      <c r="S28" s="6"/>
      <c r="V28" s="15"/>
    </row>
    <row r="29" spans="1:22">
      <c r="A29" s="322" t="s">
        <v>271</v>
      </c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4"/>
      <c r="M29" s="63"/>
      <c r="O29" s="6"/>
      <c r="Q29" s="85">
        <f>B7</f>
        <v>3.5000000000000003E-2</v>
      </c>
      <c r="S29" s="6">
        <f>M30</f>
        <v>0.1</v>
      </c>
      <c r="V29" s="15"/>
    </row>
    <row r="30" spans="1:22">
      <c r="A30" s="14"/>
      <c r="L30" s="15"/>
      <c r="M30" s="86">
        <v>0.1</v>
      </c>
      <c r="N30" s="78">
        <v>0.3</v>
      </c>
      <c r="O30" s="78">
        <v>0.6</v>
      </c>
      <c r="Q30" s="85">
        <f>B8</f>
        <v>0.8</v>
      </c>
      <c r="S30" s="6">
        <f>N30</f>
        <v>0.3</v>
      </c>
      <c r="V30" s="15"/>
    </row>
    <row r="31" spans="1:22">
      <c r="A31" s="14"/>
      <c r="L31" s="15"/>
      <c r="M31" s="14"/>
      <c r="Q31" s="85">
        <f>B9</f>
        <v>0.8</v>
      </c>
      <c r="S31" s="6">
        <f>O30</f>
        <v>0.6</v>
      </c>
      <c r="V31" s="15"/>
    </row>
    <row r="32" spans="1:22">
      <c r="A32" s="14"/>
      <c r="L32" s="15"/>
      <c r="M32" s="14"/>
      <c r="V32" s="15"/>
    </row>
    <row r="33" spans="1:25">
      <c r="A33" s="14"/>
      <c r="D33" s="6"/>
      <c r="G33" s="6" t="s">
        <v>25</v>
      </c>
      <c r="I33" s="6" t="s">
        <v>10</v>
      </c>
      <c r="K33" s="6" t="s">
        <v>24</v>
      </c>
      <c r="L33" s="15"/>
      <c r="M33" s="14"/>
      <c r="N33" s="62"/>
      <c r="O33" s="30">
        <f>MMULT(M30:O30,Q29:Q31)</f>
        <v>0.72350000000000003</v>
      </c>
      <c r="V33" s="15"/>
    </row>
    <row r="34" spans="1:25">
      <c r="A34" s="14"/>
      <c r="B34" s="51">
        <f t="array" ref="B34:B36">D34*MMULT(J7:L9,D7:D9)</f>
        <v>0.50000000000000011</v>
      </c>
      <c r="C34" s="29">
        <f>P11/R11</f>
        <v>0.41750000000000015</v>
      </c>
      <c r="D34" s="237">
        <f t="array" ref="D34">1/R11</f>
        <v>1.0000000000000002</v>
      </c>
      <c r="E34" s="29">
        <f>SQRT(D34)</f>
        <v>1</v>
      </c>
      <c r="G34" s="237">
        <f>N7</f>
        <v>0.46691875000000016</v>
      </c>
      <c r="H34" s="9"/>
      <c r="I34" s="237">
        <f>O7</f>
        <v>0.41750000000000009</v>
      </c>
      <c r="J34" s="9"/>
      <c r="K34" s="237">
        <f>O8</f>
        <v>0.99999999999999989</v>
      </c>
      <c r="L34" s="15"/>
      <c r="M34" s="14"/>
      <c r="V34" s="15"/>
    </row>
    <row r="35" spans="1:25">
      <c r="A35" s="14"/>
      <c r="B35" s="52">
        <v>5.5511151231257839E-17</v>
      </c>
      <c r="L35" s="15"/>
      <c r="M35" s="14"/>
      <c r="N35" s="68"/>
      <c r="O35">
        <f>MMULT(M30:O30,MMULT(F7:H9,S29:S31))</f>
        <v>1.3399999999999999</v>
      </c>
      <c r="V35" s="15"/>
    </row>
    <row r="36" spans="1:25">
      <c r="A36" s="14"/>
      <c r="B36" s="53">
        <v>0.5</v>
      </c>
      <c r="F36" s="238"/>
      <c r="G36" s="238"/>
      <c r="H36" s="238"/>
      <c r="L36" s="15"/>
      <c r="M36" s="14"/>
      <c r="O36" s="30">
        <f>SQRT(O35)</f>
        <v>1.1575836902790224</v>
      </c>
      <c r="V36" s="15"/>
    </row>
    <row r="37" spans="1:25">
      <c r="A37" s="14"/>
      <c r="B37" s="9"/>
      <c r="E37" s="68" t="s">
        <v>40</v>
      </c>
      <c r="F37" s="238" t="s">
        <v>273</v>
      </c>
      <c r="G37" s="238"/>
      <c r="H37" s="238"/>
      <c r="I37" t="s">
        <v>41</v>
      </c>
      <c r="L37" s="15"/>
      <c r="M37" s="14"/>
      <c r="V37" s="15"/>
    </row>
    <row r="38" spans="1:25">
      <c r="A38" s="14"/>
      <c r="F38" s="238"/>
      <c r="G38" s="238"/>
      <c r="H38" s="238"/>
      <c r="L38" s="15"/>
      <c r="M38" s="14"/>
      <c r="V38" s="15"/>
    </row>
    <row r="39" spans="1:25" ht="15.75" thickBot="1">
      <c r="A39" s="14"/>
      <c r="L39" s="15"/>
      <c r="M39" s="16"/>
      <c r="N39" s="17"/>
      <c r="O39" s="17"/>
      <c r="V39" s="15"/>
    </row>
    <row r="40" spans="1:25">
      <c r="A40" s="322" t="s">
        <v>277</v>
      </c>
      <c r="B40" s="323"/>
      <c r="C40" s="323"/>
      <c r="D40" s="323"/>
      <c r="E40" s="323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2" t="s">
        <v>272</v>
      </c>
      <c r="Q40" s="323"/>
      <c r="R40" s="323"/>
      <c r="S40" s="323"/>
      <c r="T40" s="323"/>
      <c r="U40" s="323"/>
      <c r="V40" s="323"/>
      <c r="W40" s="323"/>
      <c r="X40" s="323"/>
      <c r="Y40" s="324"/>
    </row>
    <row r="41" spans="1:25">
      <c r="A41" s="14"/>
      <c r="P41" s="14"/>
      <c r="Y41" s="15"/>
    </row>
    <row r="42" spans="1:25">
      <c r="A42" s="14"/>
      <c r="B42" s="72">
        <v>0.02</v>
      </c>
      <c r="D42" s="57">
        <f t="array" ref="D42:D44">B7:B9-(D7:D9)*B42</f>
        <v>1.5000000000000003E-2</v>
      </c>
      <c r="F42" s="39">
        <f>D42</f>
        <v>1.5000000000000003E-2</v>
      </c>
      <c r="G42" s="40">
        <f>D43</f>
        <v>0.78</v>
      </c>
      <c r="H42" s="41">
        <f>D44</f>
        <v>0.78</v>
      </c>
      <c r="P42" s="14"/>
      <c r="Q42" s="62" t="s">
        <v>42</v>
      </c>
      <c r="R42" s="78">
        <v>0.2</v>
      </c>
      <c r="S42" s="78" t="s">
        <v>43</v>
      </c>
      <c r="T42" s="78">
        <v>0.1</v>
      </c>
      <c r="U42" s="6" t="s">
        <v>44</v>
      </c>
      <c r="Y42" s="15"/>
    </row>
    <row r="43" spans="1:25">
      <c r="A43" s="14"/>
      <c r="D43" s="58">
        <v>0.78</v>
      </c>
      <c r="P43" s="14"/>
      <c r="Y43" s="15"/>
    </row>
    <row r="44" spans="1:25">
      <c r="A44" s="14"/>
      <c r="D44" s="58">
        <v>0.78</v>
      </c>
      <c r="P44" s="14"/>
      <c r="Q44" s="62" t="s">
        <v>45</v>
      </c>
      <c r="R44" s="78">
        <v>0.09</v>
      </c>
      <c r="S44" s="78" t="s">
        <v>43</v>
      </c>
      <c r="T44" s="78">
        <v>0.18</v>
      </c>
      <c r="U44" s="6" t="s">
        <v>44</v>
      </c>
      <c r="V44" s="105" t="s">
        <v>15</v>
      </c>
      <c r="W44" s="78">
        <v>0.25</v>
      </c>
      <c r="X44" s="6" t="s">
        <v>46</v>
      </c>
      <c r="Y44" s="15"/>
    </row>
    <row r="45" spans="1:25">
      <c r="A45" s="14"/>
      <c r="P45" s="14"/>
      <c r="Y45" s="15"/>
    </row>
    <row r="46" spans="1:25" ht="87.75">
      <c r="A46" s="14"/>
      <c r="C46" s="126"/>
      <c r="L46" s="192"/>
      <c r="M46" s="191"/>
      <c r="P46" s="333" t="s">
        <v>47</v>
      </c>
      <c r="Q46" s="318"/>
      <c r="R46" s="332" t="s">
        <v>48</v>
      </c>
      <c r="S46" s="6" t="s">
        <v>44</v>
      </c>
      <c r="U46" s="110">
        <v>0.1</v>
      </c>
      <c r="W46" s="2"/>
      <c r="X46" s="2"/>
      <c r="Y46" s="15"/>
    </row>
    <row r="47" spans="1:25">
      <c r="A47" s="14"/>
      <c r="B47" t="s">
        <v>275</v>
      </c>
      <c r="J47" t="s">
        <v>49</v>
      </c>
      <c r="P47" s="333"/>
      <c r="Q47" s="318"/>
      <c r="R47" s="332"/>
      <c r="S47" s="6" t="s">
        <v>50</v>
      </c>
      <c r="U47" s="113">
        <v>0.2</v>
      </c>
      <c r="Y47" s="15"/>
    </row>
    <row r="48" spans="1:25">
      <c r="A48" s="14"/>
      <c r="B48" s="92">
        <v>0.2</v>
      </c>
      <c r="C48" s="80">
        <f>B48-B42</f>
        <v>0.18000000000000002</v>
      </c>
      <c r="E48" s="51">
        <f t="array" ref="E48:E50">C48*MMULT(J7:L9,D42:D44)/(MMULT( F42:H42, MMULT(   J7:L9,  D42:D44 ) ))</f>
        <v>-7.3399076270128594E-2</v>
      </c>
      <c r="G48" s="54">
        <f>E48</f>
        <v>-7.3399076270128594E-2</v>
      </c>
      <c r="H48" s="46">
        <f>E49</f>
        <v>0.15278991386843097</v>
      </c>
      <c r="I48" s="47">
        <f>E50</f>
        <v>7.939083759830233E-2</v>
      </c>
      <c r="J48" s="59">
        <f>E53*B42+MMULT(B12:D12,E48:E50)</f>
        <v>0.20000000000000007</v>
      </c>
      <c r="L48" s="59">
        <f>J48-B42</f>
        <v>0.18000000000000008</v>
      </c>
      <c r="M48" s="29">
        <f t="array" ref="M48">MMULT(G48:I48,MMULT(F7:H9,E48:E50))</f>
        <v>7.190113593808517E-2</v>
      </c>
      <c r="N48" s="60">
        <f>SQRT(M48)</f>
        <v>0.26814387171458004</v>
      </c>
      <c r="P48" s="14"/>
      <c r="Y48" s="15"/>
    </row>
    <row r="49" spans="1:25">
      <c r="A49" s="14"/>
      <c r="E49" s="52">
        <v>0.15278991386843097</v>
      </c>
      <c r="P49" s="22" t="s">
        <v>51</v>
      </c>
      <c r="Q49" s="6" t="s">
        <v>42</v>
      </c>
      <c r="R49" s="6" t="s">
        <v>52</v>
      </c>
      <c r="S49" s="6" t="str">
        <f>S46</f>
        <v>α</v>
      </c>
      <c r="T49" s="125">
        <f>U46</f>
        <v>0.1</v>
      </c>
      <c r="U49" s="75" t="s">
        <v>15</v>
      </c>
      <c r="V49" s="6" t="str">
        <f>S47</f>
        <v>(1-α)</v>
      </c>
      <c r="W49" s="106">
        <f>U47</f>
        <v>0.2</v>
      </c>
      <c r="X49" s="75" t="s">
        <v>53</v>
      </c>
      <c r="Y49" s="15"/>
    </row>
    <row r="50" spans="1:25">
      <c r="A50" s="14"/>
      <c r="E50" s="53">
        <v>7.939083759830233E-2</v>
      </c>
      <c r="P50" s="14"/>
      <c r="Y50" s="15"/>
    </row>
    <row r="51" spans="1:25" ht="15.75" thickBot="1">
      <c r="A51" s="14"/>
      <c r="P51" s="14"/>
      <c r="Y51" s="15"/>
    </row>
    <row r="52" spans="1:25">
      <c r="A52" s="14"/>
      <c r="P52" s="114">
        <v>0.16</v>
      </c>
      <c r="Q52" s="239">
        <f>P53</f>
        <v>0</v>
      </c>
      <c r="Y52" s="15"/>
    </row>
    <row r="53" spans="1:25" ht="15.75" thickBot="1">
      <c r="A53" s="14"/>
      <c r="E53" s="29">
        <f>1-MMULT(F12:H12,E48:E50)</f>
        <v>0.84121832480339531</v>
      </c>
      <c r="P53" s="23">
        <v>0</v>
      </c>
      <c r="Q53" s="115">
        <v>0.09</v>
      </c>
      <c r="Y53" s="15"/>
    </row>
    <row r="54" spans="1:25">
      <c r="A54" s="14"/>
      <c r="P54" s="14"/>
      <c r="Y54" s="15"/>
    </row>
    <row r="55" spans="1:25">
      <c r="A55" s="14"/>
      <c r="P55" s="341" t="s">
        <v>54</v>
      </c>
      <c r="Q55" s="332" t="s">
        <v>55</v>
      </c>
      <c r="R55" s="332"/>
      <c r="S55" s="332"/>
      <c r="T55" s="11">
        <f>P52</f>
        <v>0.16</v>
      </c>
      <c r="U55" s="64">
        <f>Q52</f>
        <v>0</v>
      </c>
      <c r="V55" s="318" t="s">
        <v>13</v>
      </c>
      <c r="W55" s="6" t="str">
        <f>S46</f>
        <v>α</v>
      </c>
      <c r="X55" s="329" t="s">
        <v>56</v>
      </c>
      <c r="Y55" s="15"/>
    </row>
    <row r="56" spans="1:25">
      <c r="A56" s="14"/>
      <c r="P56" s="341"/>
      <c r="Q56" s="332"/>
      <c r="R56" s="332"/>
      <c r="S56" s="332"/>
      <c r="T56" s="11">
        <f>P53</f>
        <v>0</v>
      </c>
      <c r="U56" s="79">
        <f>Q53</f>
        <v>0.09</v>
      </c>
      <c r="V56" s="318"/>
      <c r="W56" s="6" t="str">
        <f>S47</f>
        <v>(1-α)</v>
      </c>
      <c r="X56" s="318"/>
      <c r="Y56" s="15"/>
    </row>
    <row r="57" spans="1:25" ht="15.75" thickBot="1">
      <c r="A57" s="14"/>
      <c r="P57" s="66"/>
      <c r="Q57" s="65"/>
      <c r="R57" s="65"/>
      <c r="S57" s="65"/>
      <c r="T57" s="65"/>
      <c r="U57" s="65"/>
      <c r="V57" s="65"/>
      <c r="W57" s="65"/>
      <c r="X57" s="65"/>
      <c r="Y57" s="67"/>
    </row>
    <row r="58" spans="1:25">
      <c r="A58" s="322" t="s">
        <v>270</v>
      </c>
      <c r="B58" s="323"/>
      <c r="C58" s="323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334" t="s">
        <v>57</v>
      </c>
      <c r="Q58" s="335"/>
      <c r="R58" s="335"/>
      <c r="S58" s="335"/>
      <c r="T58" s="335"/>
      <c r="U58" s="335"/>
      <c r="V58" s="335"/>
      <c r="W58" s="335"/>
      <c r="X58" s="335"/>
      <c r="Y58" s="336"/>
    </row>
    <row r="59" spans="1:25">
      <c r="A59" s="14"/>
      <c r="P59" s="339" t="s">
        <v>58</v>
      </c>
      <c r="Q59" s="337"/>
      <c r="R59" s="337"/>
      <c r="S59" s="337"/>
      <c r="T59" s="337"/>
      <c r="U59" s="337"/>
      <c r="V59" s="337"/>
      <c r="W59" s="337"/>
      <c r="X59" s="337"/>
      <c r="Y59" s="342"/>
    </row>
    <row r="60" spans="1:25">
      <c r="A60" s="14"/>
      <c r="P60" s="14"/>
      <c r="Y60" s="15"/>
    </row>
    <row r="61" spans="1:25">
      <c r="A61" s="14"/>
      <c r="B61" s="61">
        <f t="array" ref="B61:B63">MMULT(J7:L9,D42:D44)/MMULT(F12:H12,MMULT(J7:L9,D42:D44))</f>
        <v>-0.46226415094339629</v>
      </c>
      <c r="C61" s="9"/>
      <c r="D61" s="13">
        <f>B61</f>
        <v>-0.46226415094339629</v>
      </c>
      <c r="E61" s="13">
        <f>B62</f>
        <v>0.96226415094339635</v>
      </c>
      <c r="F61" s="13">
        <f>B63</f>
        <v>0.49999999999999983</v>
      </c>
      <c r="H61" s="243">
        <f>1-MMULT(F12:H12,B61:B63)</f>
        <v>0</v>
      </c>
      <c r="J61" s="61">
        <f>MMULT(D61:F61,B7:B9)</f>
        <v>1.1536320754716982</v>
      </c>
      <c r="K61" s="61">
        <f>MMULT(D61:F61,D42:D44)</f>
        <v>1.1336320754716982</v>
      </c>
      <c r="L61" s="61">
        <f>MMULT(D61:F61, MMULT(F7:H9,B61:B63))</f>
        <v>2.8519045923816302</v>
      </c>
      <c r="M61" s="61">
        <f>SQRT(L61)</f>
        <v>1.6887582989823116</v>
      </c>
      <c r="N61" s="328">
        <f>(J61-B42)/M61</f>
        <v>0.67128142384546896</v>
      </c>
      <c r="O61" s="328"/>
      <c r="P61" s="14"/>
      <c r="Q61" s="107" t="s">
        <v>59</v>
      </c>
      <c r="R61" s="343" t="s">
        <v>60</v>
      </c>
      <c r="S61" s="345">
        <v>0.77600000000000002</v>
      </c>
      <c r="T61" t="s">
        <v>61</v>
      </c>
      <c r="Y61" s="15"/>
    </row>
    <row r="62" spans="1:25">
      <c r="A62" s="14"/>
      <c r="B62" s="61">
        <v>0.96226415094339635</v>
      </c>
      <c r="C62" s="9"/>
      <c r="D62" s="9"/>
      <c r="E62" s="9"/>
      <c r="F62" s="9"/>
      <c r="N62" t="s">
        <v>62</v>
      </c>
      <c r="P62" s="14"/>
      <c r="Q62" s="6" t="s">
        <v>63</v>
      </c>
      <c r="R62" s="344"/>
      <c r="S62" s="345"/>
      <c r="Y62" s="15"/>
    </row>
    <row r="63" spans="1:25">
      <c r="A63" s="14"/>
      <c r="B63" s="61">
        <v>0.49999999999999983</v>
      </c>
      <c r="C63" s="9"/>
      <c r="J63" t="s">
        <v>64</v>
      </c>
      <c r="P63" s="66"/>
      <c r="Q63" s="65"/>
      <c r="R63" s="65"/>
      <c r="S63" s="65"/>
      <c r="T63" s="65"/>
      <c r="U63" s="65"/>
      <c r="V63" s="65"/>
      <c r="W63" s="65"/>
      <c r="X63" s="65"/>
      <c r="Y63" s="67"/>
    </row>
    <row r="64" spans="1:25">
      <c r="A64" s="14"/>
      <c r="D64" s="241">
        <f>B42</f>
        <v>0.02</v>
      </c>
      <c r="F64" s="242">
        <f>D42</f>
        <v>1.5000000000000003E-2</v>
      </c>
      <c r="K64" s="81" t="s">
        <v>198</v>
      </c>
      <c r="L64" s="82">
        <f>B42</f>
        <v>0.02</v>
      </c>
      <c r="M64" s="76" t="s">
        <v>15</v>
      </c>
      <c r="N64" s="61">
        <f>N61</f>
        <v>0.67128142384546896</v>
      </c>
      <c r="O64" s="30" t="s">
        <v>108</v>
      </c>
      <c r="P64" s="334" t="s">
        <v>65</v>
      </c>
      <c r="Q64" s="335"/>
      <c r="R64" s="335"/>
      <c r="S64" s="335"/>
      <c r="T64" s="335"/>
      <c r="U64" s="335"/>
      <c r="V64" s="335"/>
      <c r="W64" s="335"/>
      <c r="X64" s="335"/>
      <c r="Y64" s="336"/>
    </row>
    <row r="65" spans="1:25">
      <c r="A65" s="14"/>
      <c r="D65" t="s">
        <v>275</v>
      </c>
      <c r="F65" s="242">
        <f t="shared" ref="F65:F66" si="0">D43</f>
        <v>0.78</v>
      </c>
      <c r="P65" s="14"/>
      <c r="Y65" s="15"/>
    </row>
    <row r="66" spans="1:25">
      <c r="A66" s="14"/>
      <c r="D66" s="241">
        <f>B48</f>
        <v>0.2</v>
      </c>
      <c r="F66" s="242">
        <f t="shared" si="0"/>
        <v>0.78</v>
      </c>
      <c r="J66" t="s">
        <v>66</v>
      </c>
      <c r="O66" s="15"/>
      <c r="P66" s="346" t="s">
        <v>48</v>
      </c>
      <c r="Q66" s="6" t="s">
        <v>44</v>
      </c>
      <c r="R66" s="329" t="s">
        <v>5</v>
      </c>
      <c r="S66">
        <f>S61</f>
        <v>0.77600000000000002</v>
      </c>
      <c r="U66" s="62" t="s">
        <v>67</v>
      </c>
      <c r="V66">
        <f>S66</f>
        <v>0.77600000000000002</v>
      </c>
      <c r="W66">
        <f>S67</f>
        <v>0.22399999999999998</v>
      </c>
      <c r="Y66" s="15"/>
    </row>
    <row r="67" spans="1:25">
      <c r="A67" s="14"/>
      <c r="H67" s="68"/>
      <c r="I67" s="75" t="s">
        <v>5</v>
      </c>
      <c r="J67" s="30">
        <f>G34/Q7</f>
        <v>1.5956896919988044</v>
      </c>
      <c r="K67" s="118" t="s">
        <v>68</v>
      </c>
      <c r="L67" s="30">
        <f>2*I34/Q7</f>
        <v>2.8536033149643307</v>
      </c>
      <c r="M67" s="119" t="s">
        <v>199</v>
      </c>
      <c r="N67" s="30">
        <f>K34/Q7</f>
        <v>3.4174889999572811</v>
      </c>
      <c r="O67" s="120" t="s">
        <v>200</v>
      </c>
      <c r="P67" s="346"/>
      <c r="Q67" s="6" t="s">
        <v>50</v>
      </c>
      <c r="R67" s="318"/>
      <c r="S67">
        <f>1-S61</f>
        <v>0.22399999999999998</v>
      </c>
      <c r="Y67" s="15"/>
    </row>
    <row r="68" spans="1:25" ht="15.75" thickBot="1">
      <c r="A68" s="16"/>
      <c r="B68" s="17"/>
      <c r="C68" s="17"/>
      <c r="G68" s="17"/>
      <c r="H68" s="17"/>
      <c r="I68" s="17"/>
      <c r="J68" s="17"/>
      <c r="K68" s="17"/>
      <c r="L68" s="17"/>
      <c r="M68" s="17"/>
      <c r="N68" s="17"/>
      <c r="O68" s="18"/>
      <c r="P68" s="14"/>
      <c r="Y68" s="15"/>
    </row>
    <row r="69" spans="1:25">
      <c r="A69" s="322" t="s">
        <v>276</v>
      </c>
      <c r="B69" s="323"/>
      <c r="C69" s="323"/>
      <c r="D69" s="323"/>
      <c r="E69" s="323"/>
      <c r="F69" s="323"/>
      <c r="G69" s="323"/>
      <c r="H69" s="323"/>
      <c r="I69" s="323"/>
      <c r="J69" s="323"/>
      <c r="K69" s="323"/>
      <c r="L69" s="323"/>
      <c r="M69" s="323"/>
      <c r="N69" s="323"/>
      <c r="O69" s="324"/>
      <c r="Q69" s="337" t="s">
        <v>69</v>
      </c>
      <c r="R69" s="337"/>
      <c r="S69" s="188">
        <f>S66*U46+S67*U47</f>
        <v>0.12240000000000001</v>
      </c>
      <c r="U69" s="338" t="s">
        <v>70</v>
      </c>
      <c r="V69" s="338"/>
      <c r="W69" s="30">
        <f>SQRT(MMULT(V66:W66,MMULT(P52:Q53,S66:S67)))</f>
        <v>0.31759093186046733</v>
      </c>
      <c r="Y69" s="15"/>
    </row>
    <row r="70" spans="1:25" ht="15.75" thickBot="1">
      <c r="A70" s="14" t="s">
        <v>71</v>
      </c>
      <c r="O70" s="15"/>
      <c r="P70" s="17"/>
      <c r="Q70" s="17"/>
      <c r="R70" s="17"/>
      <c r="S70" s="17"/>
      <c r="T70" s="17"/>
      <c r="U70" s="17"/>
      <c r="V70" s="17"/>
      <c r="W70" s="17"/>
      <c r="X70" s="17"/>
      <c r="Y70" s="18"/>
    </row>
    <row r="71" spans="1:25">
      <c r="A71" s="14"/>
      <c r="O71" s="15"/>
      <c r="P71" s="322" t="s">
        <v>72</v>
      </c>
      <c r="Q71" s="323"/>
      <c r="R71" s="323"/>
      <c r="S71" s="323"/>
      <c r="T71" s="323"/>
      <c r="U71" s="323"/>
      <c r="V71" s="323"/>
      <c r="W71" s="323"/>
      <c r="X71" s="323"/>
      <c r="Y71" s="324"/>
    </row>
    <row r="72" spans="1:25">
      <c r="A72" s="14"/>
      <c r="B72" s="51">
        <f>B61</f>
        <v>-0.46226415094339629</v>
      </c>
      <c r="C72" s="9"/>
      <c r="D72" s="54">
        <f t="array" ref="D72:F72">TRANSPOSE(B72:B74)</f>
        <v>-0.46226415094339629</v>
      </c>
      <c r="E72" s="46">
        <v>0.96226415094339635</v>
      </c>
      <c r="F72" s="47">
        <v>0.49999999999999983</v>
      </c>
      <c r="H72" s="61">
        <f>L61</f>
        <v>2.8519045923816302</v>
      </c>
      <c r="J72" s="25">
        <v>1</v>
      </c>
      <c r="L72" s="39">
        <f t="array" ref="L72:N72">TRANSPOSE(J72:J74)</f>
        <v>1</v>
      </c>
      <c r="M72" s="40">
        <v>0</v>
      </c>
      <c r="N72" s="41">
        <v>0</v>
      </c>
      <c r="O72" s="15"/>
      <c r="P72" s="42"/>
      <c r="Q72" s="43"/>
      <c r="R72" s="43"/>
      <c r="S72" s="43"/>
      <c r="T72" s="43"/>
      <c r="U72" s="43"/>
      <c r="V72" s="43" t="s">
        <v>29</v>
      </c>
      <c r="W72" s="43"/>
      <c r="X72" s="43"/>
      <c r="Y72" s="15"/>
    </row>
    <row r="73" spans="1:25">
      <c r="A73" s="14"/>
      <c r="B73" s="52">
        <f>B62</f>
        <v>0.96226415094339635</v>
      </c>
      <c r="C73" s="9"/>
      <c r="D73" s="9"/>
      <c r="E73" s="9"/>
      <c r="F73" s="9"/>
      <c r="J73" s="31">
        <v>0</v>
      </c>
      <c r="O73" s="15"/>
      <c r="P73" s="14" t="s">
        <v>30</v>
      </c>
      <c r="V73" s="6" t="s">
        <v>31</v>
      </c>
      <c r="Y73" s="15"/>
    </row>
    <row r="74" spans="1:25">
      <c r="A74" s="14"/>
      <c r="B74" s="53">
        <f>B63</f>
        <v>0.49999999999999983</v>
      </c>
      <c r="C74" s="9"/>
      <c r="E74" s="9"/>
      <c r="F74" s="9"/>
      <c r="J74" s="35">
        <v>0</v>
      </c>
      <c r="O74" s="15"/>
      <c r="P74" s="14">
        <v>1</v>
      </c>
      <c r="Q74" s="116">
        <v>0.4</v>
      </c>
      <c r="R74" s="54">
        <f t="array" ref="R74:S74">TRANSPOSE(Q74:Q75)</f>
        <v>0.4</v>
      </c>
      <c r="S74" s="47">
        <v>0.6</v>
      </c>
      <c r="T74" s="9"/>
      <c r="U74" s="29">
        <f t="array" ref="U74">MMULT(R74:S74,U46:U47)</f>
        <v>0.16</v>
      </c>
      <c r="V74" s="55">
        <f t="array" ref="V74">MMULT(R74:S74,MMULT(P52:Q53,Q74:Q75))</f>
        <v>5.7999999999999996E-2</v>
      </c>
      <c r="W74" s="29">
        <f>SQRT(V74)</f>
        <v>0.24083189157584589</v>
      </c>
      <c r="Y74" s="15"/>
    </row>
    <row r="75" spans="1:25">
      <c r="A75" s="14"/>
      <c r="B75" s="9"/>
      <c r="C75" s="9"/>
      <c r="D75" s="9"/>
      <c r="E75" s="9"/>
      <c r="F75" s="9"/>
      <c r="L75" s="3">
        <v>6</v>
      </c>
      <c r="O75" s="15"/>
      <c r="P75" s="14">
        <v>2</v>
      </c>
      <c r="Q75" s="116">
        <v>0.6</v>
      </c>
      <c r="U75" t="s">
        <v>32</v>
      </c>
      <c r="W75" t="s">
        <v>33</v>
      </c>
      <c r="Y75" s="15"/>
    </row>
    <row r="76" spans="1:25" ht="15.75" thickBot="1">
      <c r="A76" s="14"/>
      <c r="O76" s="15"/>
      <c r="P76" s="16"/>
      <c r="Q76" s="56"/>
      <c r="R76" s="17"/>
      <c r="S76" s="17"/>
      <c r="T76" s="17"/>
      <c r="U76" s="17"/>
      <c r="V76" s="17"/>
      <c r="W76" s="17"/>
      <c r="X76" s="17"/>
      <c r="Y76" s="18"/>
    </row>
    <row r="77" spans="1:25">
      <c r="A77" s="14"/>
      <c r="B77" s="61">
        <f>MMULT(L72:N72,MMULT(F7:H9,B72:B74))</f>
        <v>3.7735849056603765E-2</v>
      </c>
      <c r="H77" t="s">
        <v>73</v>
      </c>
      <c r="N77" s="184">
        <f>B7</f>
        <v>3.5000000000000003E-2</v>
      </c>
      <c r="O77" s="15"/>
      <c r="P77" s="322" t="s">
        <v>74</v>
      </c>
      <c r="Q77" s="323"/>
      <c r="R77" s="323"/>
      <c r="S77" s="323"/>
      <c r="T77" s="323"/>
      <c r="U77" s="323"/>
      <c r="V77" s="323"/>
      <c r="W77" s="323"/>
      <c r="X77" s="323"/>
      <c r="Y77" s="324"/>
    </row>
    <row r="78" spans="1:25">
      <c r="A78" s="14"/>
      <c r="J78" s="187">
        <f>B42+B80*K61</f>
        <v>3.5000000000000003E-2</v>
      </c>
      <c r="N78" s="185">
        <f>B8</f>
        <v>0.8</v>
      </c>
      <c r="O78" s="15"/>
      <c r="P78" s="14"/>
      <c r="Y78" s="15"/>
    </row>
    <row r="79" spans="1:25" ht="15.75" thickBot="1">
      <c r="A79" s="14"/>
      <c r="D79" s="30" t="s">
        <v>269</v>
      </c>
      <c r="E79" s="30"/>
      <c r="F79" s="80">
        <f>B42</f>
        <v>0.02</v>
      </c>
      <c r="G79" s="76" t="s">
        <v>15</v>
      </c>
      <c r="H79" s="30"/>
      <c r="I79" s="61">
        <f>K61</f>
        <v>1.1336320754716982</v>
      </c>
      <c r="N79" s="186">
        <f>B9</f>
        <v>0.8</v>
      </c>
      <c r="O79" s="15"/>
      <c r="P79" s="14"/>
      <c r="Q79" s="331" t="s">
        <v>5</v>
      </c>
      <c r="R79" s="30">
        <f t="array" ref="R79:R80">(MMULT(P52:Q53,Q74:Q75))/(MMULT(R74:S74,MMULT(P52:Q53,Q74:Q75)))</f>
        <v>1.1034482758620692</v>
      </c>
      <c r="S79" s="83" t="s">
        <v>75</v>
      </c>
      <c r="Y79" s="15"/>
    </row>
    <row r="80" spans="1:25">
      <c r="A80" s="14"/>
      <c r="B80" s="61">
        <f>B77/H72</f>
        <v>1.3231806266383721E-2</v>
      </c>
      <c r="I80" s="183"/>
      <c r="J80" s="182"/>
      <c r="K80" s="182"/>
      <c r="L80" s="181"/>
      <c r="M80" s="180"/>
      <c r="N80" s="180"/>
      <c r="O80" s="178"/>
      <c r="P80" s="14"/>
      <c r="Q80" s="332"/>
      <c r="R80" s="30">
        <v>0.93103448275862077</v>
      </c>
      <c r="S80" s="83" t="s">
        <v>76</v>
      </c>
      <c r="Y80" s="15"/>
    </row>
    <row r="81" spans="1:25">
      <c r="A81" s="14"/>
      <c r="J81" s="179"/>
      <c r="K81" s="179"/>
      <c r="L81" s="179"/>
      <c r="N81" s="179"/>
      <c r="O81" s="15"/>
      <c r="P81" s="14"/>
      <c r="Y81" s="15"/>
    </row>
    <row r="82" spans="1:25" ht="15.75" thickBot="1">
      <c r="A82" s="325" t="s">
        <v>39</v>
      </c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7"/>
      <c r="P82" s="16"/>
      <c r="Q82" s="17"/>
      <c r="R82" s="17"/>
      <c r="S82" s="17"/>
      <c r="T82" s="17"/>
      <c r="U82" s="17"/>
      <c r="V82" s="17"/>
      <c r="W82" s="17"/>
      <c r="X82" s="17"/>
      <c r="Y82" s="18"/>
    </row>
    <row r="83" spans="1:25">
      <c r="A83" s="14"/>
      <c r="B83" s="123" t="s">
        <v>77</v>
      </c>
      <c r="C83" s="124"/>
      <c r="D83" s="123" t="s">
        <v>78</v>
      </c>
      <c r="E83" s="124"/>
      <c r="O83" s="15"/>
      <c r="P83" s="322" t="s">
        <v>79</v>
      </c>
      <c r="Q83" s="323"/>
      <c r="R83" s="323"/>
      <c r="S83" s="323"/>
      <c r="T83" s="323"/>
      <c r="U83" s="323"/>
      <c r="V83" s="323"/>
      <c r="W83" s="323"/>
      <c r="X83" s="323"/>
      <c r="Y83" s="324"/>
    </row>
    <row r="84" spans="1:25">
      <c r="A84" s="14"/>
      <c r="B84" s="11" t="s">
        <v>80</v>
      </c>
      <c r="C84" s="64" t="s">
        <v>81</v>
      </c>
      <c r="D84" s="11" t="s">
        <v>80</v>
      </c>
      <c r="E84" s="64" t="s">
        <v>81</v>
      </c>
      <c r="O84" s="15"/>
      <c r="P84" s="14"/>
      <c r="Y84" s="15"/>
    </row>
    <row r="85" spans="1:25">
      <c r="A85" s="14"/>
      <c r="B85" s="33">
        <f>H72*B80^2</f>
        <v>4.9931344401447995E-4</v>
      </c>
      <c r="C85" s="34">
        <f>L75-B85</f>
        <v>5.9995006865559857</v>
      </c>
      <c r="D85" s="33">
        <f>SQRT(B85)</f>
        <v>2.2345322642881662E-2</v>
      </c>
      <c r="E85" s="34">
        <f>SQRT(C85)</f>
        <v>2.4493878187326699</v>
      </c>
      <c r="O85" s="15"/>
      <c r="P85" s="333" t="s">
        <v>82</v>
      </c>
      <c r="Q85" t="s">
        <v>4</v>
      </c>
      <c r="R85" s="3">
        <v>250</v>
      </c>
      <c r="T85" s="6" t="s">
        <v>6</v>
      </c>
      <c r="U85" s="5">
        <v>3.0000000000000001E-3</v>
      </c>
      <c r="W85" s="62" t="s">
        <v>83</v>
      </c>
      <c r="X85" s="30">
        <f>R85/(1+U85+R79*(U74-U85))</f>
        <v>212.54140892967078</v>
      </c>
      <c r="Y85" s="15"/>
    </row>
    <row r="86" spans="1:25">
      <c r="A86" s="14"/>
      <c r="O86" s="15"/>
      <c r="P86" s="333"/>
      <c r="Q86" t="s">
        <v>84</v>
      </c>
      <c r="R86" s="3">
        <v>180</v>
      </c>
      <c r="W86" s="62" t="s">
        <v>85</v>
      </c>
      <c r="X86" s="30">
        <f>R86/(1+U85+R80*(U74-U85))</f>
        <v>156.63445958110785</v>
      </c>
      <c r="Y86" s="15"/>
    </row>
    <row r="87" spans="1:25" ht="15.75" thickBot="1">
      <c r="A87" s="14"/>
      <c r="O87" s="15"/>
      <c r="P87" s="16"/>
      <c r="Q87" s="17"/>
      <c r="R87" s="17"/>
      <c r="S87" s="17"/>
      <c r="T87" s="17"/>
      <c r="U87" s="17"/>
      <c r="V87" s="17"/>
      <c r="W87" s="17"/>
      <c r="X87" s="17"/>
      <c r="Y87" s="18"/>
    </row>
    <row r="88" spans="1:25" ht="15.75" thickBot="1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8"/>
    </row>
    <row r="89" spans="1:25">
      <c r="A89" s="322" t="s">
        <v>86</v>
      </c>
      <c r="B89" s="323"/>
      <c r="C89" s="323"/>
      <c r="D89" s="323"/>
      <c r="E89" s="323"/>
      <c r="F89" s="323"/>
      <c r="G89" s="323"/>
      <c r="H89" s="323"/>
      <c r="I89" s="323"/>
      <c r="J89" s="323"/>
      <c r="K89" s="323"/>
      <c r="L89" s="323"/>
      <c r="M89" s="323"/>
      <c r="N89" s="323"/>
      <c r="O89" s="324"/>
    </row>
    <row r="90" spans="1:25">
      <c r="A90" s="14" t="s">
        <v>87</v>
      </c>
      <c r="K90" s="6" t="s">
        <v>88</v>
      </c>
      <c r="L90" s="6" t="s">
        <v>89</v>
      </c>
      <c r="O90" s="15"/>
    </row>
    <row r="91" spans="1:25">
      <c r="A91" s="14"/>
      <c r="F91" s="30">
        <f t="array" ref="F91:F93">K91:K93+K95:K97</f>
        <v>1.0196078431372557</v>
      </c>
      <c r="H91" s="6"/>
      <c r="I91" s="6" t="s">
        <v>90</v>
      </c>
      <c r="J91" s="6"/>
      <c r="K91" s="6">
        <f>H92</f>
        <v>-0.46226415094339629</v>
      </c>
      <c r="L91" s="93">
        <f>B34</f>
        <v>0.50000000000000011</v>
      </c>
      <c r="M91" s="6"/>
      <c r="N91" s="6" t="s">
        <v>91</v>
      </c>
      <c r="O91" s="74"/>
    </row>
    <row r="92" spans="1:25">
      <c r="A92" s="14"/>
      <c r="E92" s="62" t="s">
        <v>5</v>
      </c>
      <c r="F92" s="30">
        <v>-0.51960784313725539</v>
      </c>
      <c r="H92" s="96">
        <f>B61</f>
        <v>-0.46226415094339629</v>
      </c>
      <c r="I92" s="96">
        <f>B62</f>
        <v>0.96226415094339635</v>
      </c>
      <c r="J92" s="96">
        <f>B63</f>
        <v>0.49999999999999983</v>
      </c>
      <c r="K92" s="6">
        <f>I92</f>
        <v>0.96226415094339635</v>
      </c>
      <c r="L92" s="93">
        <f>B35</f>
        <v>5.5511151231257839E-17</v>
      </c>
      <c r="M92" s="93">
        <f>L91</f>
        <v>0.50000000000000011</v>
      </c>
      <c r="N92" s="93">
        <f>L92</f>
        <v>5.5511151231257839E-17</v>
      </c>
      <c r="O92" s="94">
        <f>L93</f>
        <v>0.5</v>
      </c>
    </row>
    <row r="93" spans="1:25">
      <c r="A93" s="14"/>
      <c r="F93" s="30">
        <v>0.49999999999999983</v>
      </c>
      <c r="K93" s="6">
        <f>J92</f>
        <v>0.49999999999999983</v>
      </c>
      <c r="L93" s="93">
        <f>B36</f>
        <v>0.5</v>
      </c>
      <c r="O93" s="15"/>
    </row>
    <row r="94" spans="1:25">
      <c r="A94" s="14"/>
      <c r="J94" s="6"/>
      <c r="L94" s="93"/>
      <c r="O94" s="15"/>
    </row>
    <row r="95" spans="1:25">
      <c r="A95" s="14"/>
      <c r="C95">
        <f>MMULT(M92:O92,MMULT(F7:H9,L91:L93))</f>
        <v>1.0000000000000004</v>
      </c>
      <c r="E95" s="9"/>
      <c r="F95" s="9">
        <f>L91-K91</f>
        <v>0.96226415094339646</v>
      </c>
      <c r="J95" s="6"/>
      <c r="K95">
        <f>C97*F95</f>
        <v>1.481871994080652</v>
      </c>
      <c r="L95" s="93"/>
      <c r="O95" s="15"/>
    </row>
    <row r="96" spans="1:25">
      <c r="A96" s="14"/>
      <c r="C96">
        <f>MMULT(H92:J92,MMULT(F7:H9,K91:K93))-C95</f>
        <v>1.8519045923816297</v>
      </c>
      <c r="F96" s="9">
        <f>L92-K92</f>
        <v>-0.96226415094339623</v>
      </c>
      <c r="J96" s="6"/>
      <c r="K96">
        <f>C97*F96</f>
        <v>-1.4818719940806517</v>
      </c>
      <c r="L96" s="93"/>
      <c r="O96" s="15"/>
    </row>
    <row r="97" spans="1:15">
      <c r="A97" s="14"/>
      <c r="C97" s="318">
        <f>1+C95/C96</f>
        <v>1.5399846212995008</v>
      </c>
      <c r="F97" s="9">
        <f>L93-K93</f>
        <v>0</v>
      </c>
      <c r="K97">
        <f>C97*F97</f>
        <v>0</v>
      </c>
      <c r="O97" s="15"/>
    </row>
    <row r="98" spans="1:15">
      <c r="A98" s="14"/>
      <c r="C98" s="318"/>
      <c r="F98" s="9"/>
      <c r="O98" s="15"/>
    </row>
    <row r="99" spans="1:15">
      <c r="A99" s="14"/>
      <c r="B99" s="319" t="s">
        <v>14</v>
      </c>
      <c r="C99" s="319"/>
      <c r="D99" s="319"/>
      <c r="F99" s="321" t="s">
        <v>31</v>
      </c>
      <c r="G99" s="321"/>
      <c r="H99" s="321"/>
      <c r="O99" s="15"/>
    </row>
    <row r="100" spans="1:15">
      <c r="A100" s="14"/>
      <c r="C100" s="12">
        <f>G34-I34*(MMULT(H92:J92,B7:B9))</f>
        <v>-1.4722641509433976E-2</v>
      </c>
      <c r="F100" s="93"/>
      <c r="G100" s="6" t="s">
        <v>92</v>
      </c>
      <c r="H100" s="6"/>
      <c r="O100" s="15"/>
    </row>
    <row r="101" spans="1:15">
      <c r="A101" s="14"/>
      <c r="C101" s="83" t="s">
        <v>93</v>
      </c>
      <c r="D101" s="97">
        <f>C100/C102</f>
        <v>2.0000000000000025E-2</v>
      </c>
      <c r="F101" s="93">
        <f>F91</f>
        <v>1.0196078431372557</v>
      </c>
      <c r="G101" s="6">
        <f>F92</f>
        <v>-0.51960784313725539</v>
      </c>
      <c r="H101" s="6">
        <f>F93</f>
        <v>0.49999999999999983</v>
      </c>
      <c r="O101" s="15"/>
    </row>
    <row r="102" spans="1:15">
      <c r="A102" s="14"/>
      <c r="C102" s="12">
        <f>I34-K34*(MMULT(H92:J92,B7:B9))</f>
        <v>-0.7361320754716979</v>
      </c>
      <c r="F102" s="9"/>
      <c r="O102" s="15"/>
    </row>
    <row r="103" spans="1:15">
      <c r="A103" s="14"/>
      <c r="C103" s="12"/>
      <c r="E103" s="320" t="s">
        <v>94</v>
      </c>
      <c r="F103" s="320"/>
      <c r="G103" s="30">
        <f>MMULT(F101:H101,MMULT(F7:H9,F91:F93))</f>
        <v>1.5399846212995023</v>
      </c>
      <c r="O103" s="15"/>
    </row>
    <row r="104" spans="1:15" ht="15.75" thickBot="1">
      <c r="A104" s="16"/>
      <c r="B104" s="17"/>
      <c r="C104" s="95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8"/>
    </row>
    <row r="105" spans="1:15">
      <c r="A105" s="322" t="s">
        <v>95</v>
      </c>
      <c r="B105" s="323"/>
      <c r="C105" s="323"/>
      <c r="D105" s="323"/>
      <c r="E105" s="323"/>
      <c r="F105" s="323"/>
      <c r="G105" s="323"/>
      <c r="H105" s="323"/>
      <c r="I105" s="323"/>
      <c r="J105" s="323"/>
      <c r="K105" s="323"/>
      <c r="L105" s="323"/>
      <c r="M105" s="323"/>
      <c r="N105" s="323"/>
      <c r="O105" s="324"/>
    </row>
    <row r="106" spans="1:15">
      <c r="A106" s="14"/>
      <c r="D106" s="6" t="s">
        <v>96</v>
      </c>
      <c r="E106" s="6" t="s">
        <v>97</v>
      </c>
      <c r="F106" s="6" t="s">
        <v>98</v>
      </c>
      <c r="O106" s="15"/>
    </row>
    <row r="107" spans="1:15">
      <c r="A107" s="14"/>
      <c r="B107" t="s">
        <v>99</v>
      </c>
      <c r="D107" s="330" t="s">
        <v>100</v>
      </c>
      <c r="E107" s="330"/>
      <c r="F107" s="330"/>
      <c r="H107" s="7" t="s">
        <v>101</v>
      </c>
      <c r="I107" s="7"/>
      <c r="J107" s="7"/>
      <c r="M107" t="s">
        <v>102</v>
      </c>
      <c r="O107" s="15"/>
    </row>
    <row r="108" spans="1:15">
      <c r="A108" s="14"/>
      <c r="B108" s="3">
        <v>0.1</v>
      </c>
      <c r="D108" s="3">
        <v>-0.05</v>
      </c>
      <c r="E108" s="3">
        <v>0.15</v>
      </c>
      <c r="F108" s="3">
        <v>-0.2</v>
      </c>
      <c r="H108">
        <f t="shared" ref="H108:J111" si="1">D108^2</f>
        <v>2.5000000000000005E-3</v>
      </c>
      <c r="I108">
        <f t="shared" si="1"/>
        <v>2.2499999999999999E-2</v>
      </c>
      <c r="J108">
        <f t="shared" si="1"/>
        <v>4.0000000000000008E-2</v>
      </c>
      <c r="L108" s="30">
        <f>B108*D108+B109*D109+B110*D110+B111*D111</f>
        <v>3.5000000000000003E-2</v>
      </c>
      <c r="M108" s="30">
        <f>B108*E108+B109*E109+B110*E110+B111*E111</f>
        <v>4.2999999999999997E-2</v>
      </c>
      <c r="N108" s="30">
        <f>B108*F108+B109*F109+B110*F110+B111*F111</f>
        <v>0.125</v>
      </c>
      <c r="O108" s="15"/>
    </row>
    <row r="109" spans="1:15">
      <c r="A109" s="14"/>
      <c r="B109" s="3">
        <v>0.3</v>
      </c>
      <c r="D109" s="3">
        <v>0</v>
      </c>
      <c r="E109" s="3">
        <v>0.06</v>
      </c>
      <c r="F109" s="3">
        <v>-0.05</v>
      </c>
      <c r="H109">
        <f t="shared" si="1"/>
        <v>0</v>
      </c>
      <c r="I109">
        <f t="shared" si="1"/>
        <v>3.5999999999999999E-3</v>
      </c>
      <c r="J109">
        <f t="shared" si="1"/>
        <v>2.5000000000000005E-3</v>
      </c>
      <c r="O109" s="15"/>
    </row>
    <row r="110" spans="1:15">
      <c r="A110" s="14"/>
      <c r="B110" s="3">
        <v>0.4</v>
      </c>
      <c r="D110" s="3">
        <v>0.06</v>
      </c>
      <c r="E110" s="3">
        <v>-0.05</v>
      </c>
      <c r="F110" s="3">
        <v>0.15</v>
      </c>
      <c r="H110">
        <f t="shared" si="1"/>
        <v>3.5999999999999999E-3</v>
      </c>
      <c r="I110">
        <f t="shared" si="1"/>
        <v>2.5000000000000005E-3</v>
      </c>
      <c r="J110">
        <f t="shared" si="1"/>
        <v>2.2499999999999999E-2</v>
      </c>
      <c r="M110" t="s">
        <v>103</v>
      </c>
      <c r="O110" s="15"/>
    </row>
    <row r="111" spans="1:15">
      <c r="A111" s="14"/>
      <c r="B111" s="3">
        <v>0.2</v>
      </c>
      <c r="D111" s="3">
        <v>0.08</v>
      </c>
      <c r="E111" s="3">
        <v>0.15</v>
      </c>
      <c r="F111" s="3">
        <v>0.5</v>
      </c>
      <c r="H111">
        <f t="shared" si="1"/>
        <v>6.4000000000000003E-3</v>
      </c>
      <c r="I111">
        <f t="shared" si="1"/>
        <v>2.2499999999999999E-2</v>
      </c>
      <c r="J111">
        <f t="shared" si="1"/>
        <v>0.25</v>
      </c>
      <c r="L111">
        <f>L108^2</f>
        <v>1.2250000000000002E-3</v>
      </c>
      <c r="M111">
        <f>M108^2</f>
        <v>1.8489999999999997E-3</v>
      </c>
      <c r="N111">
        <f>N108^2</f>
        <v>1.5625E-2</v>
      </c>
      <c r="O111" s="15"/>
    </row>
    <row r="112" spans="1:15">
      <c r="A112" s="14"/>
      <c r="O112" s="15"/>
    </row>
    <row r="113" spans="1:15">
      <c r="A113" s="14"/>
      <c r="M113" s="6" t="s">
        <v>104</v>
      </c>
      <c r="N113" t="s">
        <v>105</v>
      </c>
      <c r="O113" s="15"/>
    </row>
    <row r="114" spans="1:15">
      <c r="A114" s="14"/>
      <c r="L114" s="30">
        <f>(B108*H108+B109*H109+B110*H110+B111*H111)-L111</f>
        <v>1.7450000000000002E-3</v>
      </c>
      <c r="M114" s="30">
        <f>(B108*I108+B109*I109+B110*I110+B111*I111)-M111</f>
        <v>6.9809999999999994E-3</v>
      </c>
      <c r="N114" s="30">
        <f>(B108*J108+B109*J109+B110*J110+B111*J111)-N111</f>
        <v>4.8125000000000001E-2</v>
      </c>
      <c r="O114" s="15"/>
    </row>
    <row r="115" spans="1:15">
      <c r="A115" s="14"/>
      <c r="O115" s="15"/>
    </row>
    <row r="116" spans="1:15">
      <c r="A116" s="14"/>
      <c r="M116" s="6" t="s">
        <v>106</v>
      </c>
      <c r="O116" s="15"/>
    </row>
    <row r="117" spans="1:15">
      <c r="A117" s="14"/>
      <c r="L117" s="30">
        <f>SQRT(L114)</f>
        <v>4.1773197148410851E-2</v>
      </c>
      <c r="M117" s="30">
        <f>SQRT(M114)</f>
        <v>8.3552378781217226E-2</v>
      </c>
      <c r="N117" s="30">
        <f>SQRT(N114)</f>
        <v>0.21937410968480306</v>
      </c>
      <c r="O117" s="15"/>
    </row>
    <row r="118" spans="1:15" ht="15.75" thickBot="1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8"/>
    </row>
    <row r="119" spans="1:15">
      <c r="A119" s="322" t="s">
        <v>107</v>
      </c>
      <c r="B119" s="323"/>
      <c r="C119" s="323"/>
      <c r="D119" s="323"/>
      <c r="E119" s="323"/>
      <c r="F119" s="323"/>
      <c r="G119" s="323"/>
      <c r="H119" s="323"/>
      <c r="I119" s="323"/>
      <c r="J119" s="323"/>
      <c r="K119" s="323"/>
      <c r="L119" s="323"/>
      <c r="M119" s="323"/>
      <c r="N119" s="323"/>
      <c r="O119" s="324"/>
    </row>
    <row r="120" spans="1:15">
      <c r="A120" s="14"/>
      <c r="L120" s="111" t="s">
        <v>12</v>
      </c>
      <c r="M120" s="111" t="s">
        <v>108</v>
      </c>
      <c r="N120" s="62" t="s">
        <v>16</v>
      </c>
      <c r="O120" s="15"/>
    </row>
    <row r="121" spans="1:15">
      <c r="A121" s="14"/>
      <c r="L121" s="117">
        <v>0.12</v>
      </c>
      <c r="M121" s="117">
        <v>0.2</v>
      </c>
      <c r="N121" s="62" t="s">
        <v>109</v>
      </c>
      <c r="O121" s="112">
        <v>0.5</v>
      </c>
    </row>
    <row r="122" spans="1:15">
      <c r="A122" s="14"/>
      <c r="L122" s="117">
        <v>0.08</v>
      </c>
      <c r="M122" s="117">
        <v>0.15</v>
      </c>
      <c r="O122" s="15"/>
    </row>
    <row r="123" spans="1:15">
      <c r="A123" s="14"/>
      <c r="I123" t="s">
        <v>110</v>
      </c>
      <c r="K123">
        <f>B108*D108*E108+(B109*D109*E109)+(B110*D110*E110)+(B111*D111*E111)</f>
        <v>4.4999999999999945E-4</v>
      </c>
      <c r="L123" s="11"/>
      <c r="O123" s="15"/>
    </row>
    <row r="124" spans="1:15">
      <c r="A124" s="14"/>
      <c r="F124" t="s">
        <v>111</v>
      </c>
      <c r="I124" t="s">
        <v>112</v>
      </c>
      <c r="K124">
        <f>K123-(L108*M108)</f>
        <v>-1.0550000000000006E-3</v>
      </c>
      <c r="L124" s="11"/>
      <c r="O124" s="15"/>
    </row>
    <row r="125" spans="1:15">
      <c r="A125" s="14"/>
      <c r="L125" s="11"/>
      <c r="O125" s="15"/>
    </row>
    <row r="126" spans="1:15">
      <c r="A126" s="14"/>
      <c r="F126" s="61">
        <f>L114</f>
        <v>1.7450000000000002E-3</v>
      </c>
      <c r="G126" s="61">
        <f>K124</f>
        <v>-1.0550000000000006E-3</v>
      </c>
      <c r="H126" s="61">
        <f>K127</f>
        <v>8.2249999999999997E-3</v>
      </c>
      <c r="I126" t="s">
        <v>113</v>
      </c>
      <c r="K126">
        <f>B108*D108*F108+B109*D109*F109+B110*D110*F110+B111*D111*F111</f>
        <v>1.26E-2</v>
      </c>
      <c r="L126" s="193">
        <f>M121^2</f>
        <v>4.0000000000000008E-2</v>
      </c>
      <c r="M126" s="76">
        <f>M121*M122*O121</f>
        <v>1.4999999999999999E-2</v>
      </c>
      <c r="O126" s="15" t="s">
        <v>114</v>
      </c>
    </row>
    <row r="127" spans="1:15">
      <c r="A127" s="14"/>
      <c r="E127" s="75" t="s">
        <v>5</v>
      </c>
      <c r="F127" s="61">
        <f>K124</f>
        <v>-1.0550000000000006E-3</v>
      </c>
      <c r="G127" s="61">
        <f>M114</f>
        <v>6.9809999999999994E-3</v>
      </c>
      <c r="H127" s="61">
        <f>K130</f>
        <v>2.725E-3</v>
      </c>
      <c r="I127" t="s">
        <v>115</v>
      </c>
      <c r="K127">
        <f>K126-(L108*N108)</f>
        <v>8.2249999999999997E-3</v>
      </c>
      <c r="L127" s="193">
        <f>M121*M122*O121</f>
        <v>1.4999999999999999E-2</v>
      </c>
      <c r="M127" s="76">
        <f>M122^2</f>
        <v>2.2499999999999999E-2</v>
      </c>
      <c r="O127" s="15" t="s">
        <v>116</v>
      </c>
    </row>
    <row r="128" spans="1:15">
      <c r="A128" s="14"/>
      <c r="F128" s="61">
        <f>K127</f>
        <v>8.2249999999999997E-3</v>
      </c>
      <c r="G128" s="61">
        <f>K130</f>
        <v>2.725E-3</v>
      </c>
      <c r="H128" s="61">
        <f>N114</f>
        <v>4.8125000000000001E-2</v>
      </c>
      <c r="L128" s="11"/>
      <c r="O128" s="15"/>
    </row>
    <row r="129" spans="1:23">
      <c r="A129" s="14"/>
      <c r="I129" t="s">
        <v>117</v>
      </c>
      <c r="K129">
        <f>B108*E108*F108+B109*E109*F109+B110*E110*F110+B111*E111*F111</f>
        <v>8.0999999999999996E-3</v>
      </c>
      <c r="L129" s="11"/>
      <c r="O129" s="15"/>
    </row>
    <row r="130" spans="1:23">
      <c r="A130" s="14"/>
      <c r="F130" t="s">
        <v>118</v>
      </c>
      <c r="I130" t="s">
        <v>119</v>
      </c>
      <c r="K130">
        <f>K129-(M108*N108)</f>
        <v>2.725E-3</v>
      </c>
      <c r="L130" s="11"/>
      <c r="O130" s="15"/>
    </row>
    <row r="131" spans="1:23" ht="15.75" thickBot="1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24"/>
      <c r="M131" s="17"/>
      <c r="N131" s="17"/>
      <c r="O131" s="18"/>
    </row>
    <row r="132" spans="1:23">
      <c r="A132" s="322" t="s">
        <v>120</v>
      </c>
      <c r="B132" s="323"/>
      <c r="C132" s="323"/>
      <c r="D132" s="323"/>
      <c r="E132" s="323"/>
      <c r="F132" s="323"/>
      <c r="G132" s="323"/>
      <c r="H132" s="323"/>
      <c r="I132" s="323"/>
      <c r="J132" s="323"/>
      <c r="K132" s="323"/>
      <c r="L132" s="323"/>
      <c r="M132" s="323"/>
      <c r="N132" s="323"/>
      <c r="O132" s="324"/>
    </row>
    <row r="133" spans="1:23">
      <c r="A133" s="14"/>
      <c r="J133" s="77"/>
      <c r="K133" t="s">
        <v>121</v>
      </c>
      <c r="O133" s="15"/>
      <c r="P133" s="339" t="s">
        <v>122</v>
      </c>
      <c r="Q133" s="330"/>
      <c r="R133" s="330"/>
      <c r="S133" s="330"/>
      <c r="T133" s="330"/>
      <c r="U133" s="330"/>
      <c r="V133" s="330"/>
      <c r="W133" s="330"/>
    </row>
    <row r="134" spans="1:23">
      <c r="A134" s="14"/>
      <c r="C134" t="s">
        <v>123</v>
      </c>
      <c r="D134" t="s">
        <v>124</v>
      </c>
      <c r="E134" t="s">
        <v>125</v>
      </c>
      <c r="G134" s="73">
        <f>F126/(L117*L117)</f>
        <v>0.99999999999999989</v>
      </c>
      <c r="H134" s="73">
        <f>G126/(L117*M117)</f>
        <v>-0.30227061176316439</v>
      </c>
      <c r="I134" s="73">
        <f>H126/(L117*N117)</f>
        <v>0.89753794812536158</v>
      </c>
      <c r="J134" s="77"/>
      <c r="K134" s="76">
        <f>F7/(SQRT(F7)*SQRT(F7))</f>
        <v>0.99999999999999978</v>
      </c>
      <c r="L134" s="76">
        <f>G7/(SQRT(F7)*SQRT(G8))</f>
        <v>0.49999999999999989</v>
      </c>
      <c r="M134" s="76">
        <f>H7/(SQRT(F7)*SQRT(H9))</f>
        <v>0</v>
      </c>
      <c r="O134" s="15"/>
      <c r="P134" s="340"/>
      <c r="Q134" s="330"/>
      <c r="R134" s="330"/>
      <c r="S134" s="330"/>
      <c r="T134" s="330"/>
      <c r="U134" s="330"/>
      <c r="V134" s="330"/>
      <c r="W134" s="330"/>
    </row>
    <row r="135" spans="1:23">
      <c r="A135" s="14"/>
      <c r="B135" t="s">
        <v>109</v>
      </c>
      <c r="C135" t="s">
        <v>126</v>
      </c>
      <c r="D135" t="s">
        <v>127</v>
      </c>
      <c r="E135" t="s">
        <v>128</v>
      </c>
      <c r="F135" t="s">
        <v>5</v>
      </c>
      <c r="G135" s="73">
        <f>H134</f>
        <v>-0.30227061176316439</v>
      </c>
      <c r="H135" s="73">
        <v>1</v>
      </c>
      <c r="I135" s="73">
        <f>H127/(M117*N117)</f>
        <v>0.14866964909074457</v>
      </c>
      <c r="J135" s="102" t="s">
        <v>5</v>
      </c>
      <c r="K135" s="76">
        <f>F8/(SQRT(F7)*SQRT(G8))</f>
        <v>0.49999999999999989</v>
      </c>
      <c r="L135" s="76">
        <f>G8/(SQRT(G8)^2)</f>
        <v>0.99999999999999978</v>
      </c>
      <c r="M135" s="76">
        <f>H8/(SQRT(G8)*SQRT(H9))</f>
        <v>0.49999999999999989</v>
      </c>
      <c r="O135" s="15"/>
      <c r="P135" s="340"/>
      <c r="Q135" s="330"/>
      <c r="R135" s="330"/>
      <c r="S135" s="330"/>
      <c r="T135" s="330"/>
      <c r="U135" s="330"/>
      <c r="V135" s="330"/>
      <c r="W135" s="330"/>
    </row>
    <row r="136" spans="1:23">
      <c r="A136" s="14"/>
      <c r="C136" t="s">
        <v>129</v>
      </c>
      <c r="D136" t="s">
        <v>130</v>
      </c>
      <c r="E136" t="s">
        <v>131</v>
      </c>
      <c r="G136" s="73">
        <f>I134</f>
        <v>0.89753794812536158</v>
      </c>
      <c r="H136" s="73">
        <f>I135</f>
        <v>0.14866964909074457</v>
      </c>
      <c r="I136" s="73">
        <v>1</v>
      </c>
      <c r="J136" s="77"/>
      <c r="K136" s="76">
        <f>F9/(SQRT(H9)*SQRT(F7))</f>
        <v>0</v>
      </c>
      <c r="L136" s="76">
        <f>G9/(SQRT(H9)*SQRT(G8))</f>
        <v>0.49999999999999989</v>
      </c>
      <c r="M136" s="76">
        <f>H9/(SQRT(H9)^2)</f>
        <v>0.99999999999999978</v>
      </c>
      <c r="O136" s="15"/>
      <c r="P136" s="340"/>
      <c r="Q136" s="330"/>
      <c r="R136" s="330"/>
      <c r="S136" s="330"/>
      <c r="T136" s="330"/>
      <c r="U136" s="330"/>
      <c r="V136" s="330"/>
      <c r="W136" s="330"/>
    </row>
    <row r="137" spans="1:23" ht="15.75" thickBot="1">
      <c r="A137" s="16"/>
      <c r="B137" s="17"/>
      <c r="C137" s="17"/>
      <c r="D137" s="17"/>
      <c r="E137" s="17"/>
      <c r="F137" s="17"/>
      <c r="G137" s="17"/>
      <c r="H137" s="17"/>
      <c r="I137" s="17"/>
      <c r="J137" s="103"/>
      <c r="K137" s="17" t="s">
        <v>132</v>
      </c>
      <c r="L137" s="17"/>
      <c r="M137" s="17"/>
      <c r="N137" s="17"/>
      <c r="O137" s="18"/>
      <c r="P137" s="340"/>
      <c r="Q137" s="330"/>
      <c r="R137" s="330"/>
      <c r="S137" s="330"/>
      <c r="T137" s="330"/>
      <c r="U137" s="330"/>
      <c r="V137" s="330"/>
      <c r="W137" s="330"/>
    </row>
    <row r="138" spans="1:23">
      <c r="A138" s="323"/>
      <c r="B138" s="323"/>
      <c r="C138" s="323"/>
      <c r="D138" s="323"/>
      <c r="E138" s="323"/>
      <c r="F138" s="323"/>
      <c r="G138" s="323"/>
      <c r="H138" s="323"/>
      <c r="I138" s="323"/>
      <c r="J138" s="323"/>
      <c r="K138" s="323"/>
      <c r="L138" s="323"/>
      <c r="M138" s="323"/>
      <c r="N138" s="323"/>
      <c r="O138" s="323"/>
    </row>
  </sheetData>
  <mergeCells count="43">
    <mergeCell ref="P64:Y64"/>
    <mergeCell ref="Q69:R69"/>
    <mergeCell ref="U69:V69"/>
    <mergeCell ref="P133:W137"/>
    <mergeCell ref="P40:Y40"/>
    <mergeCell ref="P46:Q47"/>
    <mergeCell ref="R46:R47"/>
    <mergeCell ref="V55:V56"/>
    <mergeCell ref="X55:X56"/>
    <mergeCell ref="Q55:S56"/>
    <mergeCell ref="P55:P56"/>
    <mergeCell ref="P58:Y58"/>
    <mergeCell ref="P59:Y59"/>
    <mergeCell ref="R61:R62"/>
    <mergeCell ref="S61:S62"/>
    <mergeCell ref="P66:P67"/>
    <mergeCell ref="R66:R67"/>
    <mergeCell ref="A132:O132"/>
    <mergeCell ref="A138:O138"/>
    <mergeCell ref="A119:O119"/>
    <mergeCell ref="A105:O105"/>
    <mergeCell ref="D107:F107"/>
    <mergeCell ref="P71:Y71"/>
    <mergeCell ref="P77:Y77"/>
    <mergeCell ref="Q79:Q80"/>
    <mergeCell ref="P83:Y83"/>
    <mergeCell ref="P85:P86"/>
    <mergeCell ref="A1:O2"/>
    <mergeCell ref="C97:C98"/>
    <mergeCell ref="B99:D99"/>
    <mergeCell ref="E103:F103"/>
    <mergeCell ref="F99:H99"/>
    <mergeCell ref="A69:O69"/>
    <mergeCell ref="A82:O82"/>
    <mergeCell ref="A89:O89"/>
    <mergeCell ref="A15:L15"/>
    <mergeCell ref="A22:L22"/>
    <mergeCell ref="A29:L29"/>
    <mergeCell ref="A40:O40"/>
    <mergeCell ref="A58:O58"/>
    <mergeCell ref="N61:O61"/>
    <mergeCell ref="M15:V15"/>
    <mergeCell ref="M27:V2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B23A-0DBA-5742-B9C2-219270D4C95F}">
  <dimension ref="A1:O34"/>
  <sheetViews>
    <sheetView zoomScale="87" workbookViewId="0">
      <selection activeCell="E32" sqref="E32"/>
    </sheetView>
  </sheetViews>
  <sheetFormatPr defaultColWidth="11.5703125" defaultRowHeight="15"/>
  <sheetData>
    <row r="1" spans="1:15">
      <c r="A1" s="314" t="s">
        <v>11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47"/>
    </row>
    <row r="2" spans="1:15" ht="15.75" thickBot="1">
      <c r="A2" s="316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48"/>
    </row>
    <row r="3" spans="1:15">
      <c r="A3" s="21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5">
      <c r="A4" s="14" t="s">
        <v>203</v>
      </c>
      <c r="H4" t="s">
        <v>205</v>
      </c>
      <c r="K4" s="15"/>
    </row>
    <row r="5" spans="1:15" ht="15.75" thickBot="1">
      <c r="A5" s="14"/>
      <c r="K5" s="15"/>
    </row>
    <row r="6" spans="1:15">
      <c r="A6" s="14"/>
      <c r="C6" s="134">
        <v>5</v>
      </c>
      <c r="D6" s="127">
        <v>2</v>
      </c>
      <c r="E6" s="128">
        <v>5</v>
      </c>
      <c r="H6" s="149">
        <v>1</v>
      </c>
      <c r="I6" s="150">
        <v>1</v>
      </c>
      <c r="K6" s="131">
        <v>12</v>
      </c>
    </row>
    <row r="7" spans="1:15" ht="15.75" thickBot="1">
      <c r="A7" s="14"/>
      <c r="C7" s="42">
        <v>8</v>
      </c>
      <c r="D7" s="78">
        <v>3</v>
      </c>
      <c r="E7" s="112">
        <v>2</v>
      </c>
      <c r="H7" s="151">
        <v>1</v>
      </c>
      <c r="I7" s="152">
        <v>1</v>
      </c>
      <c r="K7" s="132">
        <v>13</v>
      </c>
    </row>
    <row r="8" spans="1:15" ht="15.75" thickBot="1">
      <c r="A8" s="14"/>
      <c r="C8" s="135">
        <v>3</v>
      </c>
      <c r="D8" s="129">
        <v>1</v>
      </c>
      <c r="E8" s="130">
        <v>3</v>
      </c>
      <c r="H8" s="153">
        <v>0</v>
      </c>
      <c r="K8" s="133">
        <v>7</v>
      </c>
    </row>
    <row r="9" spans="1:15">
      <c r="A9" s="14"/>
      <c r="K9" s="15"/>
    </row>
    <row r="10" spans="1:15" ht="15.75" thickBo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8"/>
    </row>
    <row r="11" spans="1:15" ht="15.75" thickBot="1">
      <c r="A11" s="14"/>
      <c r="D11" t="s">
        <v>204</v>
      </c>
      <c r="K11" s="15"/>
    </row>
    <row r="12" spans="1:15">
      <c r="A12" s="14"/>
      <c r="C12" s="210">
        <v>1</v>
      </c>
      <c r="D12" s="211">
        <f>D6</f>
        <v>2</v>
      </c>
      <c r="E12" s="212">
        <f>E6</f>
        <v>5</v>
      </c>
      <c r="G12" s="202" cm="1">
        <f t="array" ref="G12:I14">MINVERSE(C12:E14)</f>
        <v>-1.4000000000000004</v>
      </c>
      <c r="H12" s="203">
        <v>0.20000000000000018</v>
      </c>
      <c r="I12" s="204">
        <v>2.2000000000000002</v>
      </c>
      <c r="K12" s="15"/>
    </row>
    <row r="13" spans="1:15">
      <c r="A13" s="14"/>
      <c r="C13" s="213">
        <v>1</v>
      </c>
      <c r="D13" s="76">
        <f t="shared" ref="D13:E14" si="0">D7</f>
        <v>3</v>
      </c>
      <c r="E13" s="84">
        <f t="shared" si="0"/>
        <v>2</v>
      </c>
      <c r="G13" s="205">
        <v>0.20000000000000018</v>
      </c>
      <c r="H13" s="30">
        <v>0.39999999999999991</v>
      </c>
      <c r="I13" s="206">
        <v>-0.60000000000000009</v>
      </c>
      <c r="K13" s="15"/>
    </row>
    <row r="14" spans="1:15" ht="15.75" thickBot="1">
      <c r="A14" s="14"/>
      <c r="C14" s="214">
        <v>1</v>
      </c>
      <c r="D14" s="215">
        <f t="shared" si="0"/>
        <v>1</v>
      </c>
      <c r="E14" s="216">
        <f>E8</f>
        <v>3</v>
      </c>
      <c r="G14" s="207">
        <v>0.4</v>
      </c>
      <c r="H14" s="208">
        <v>-0.2</v>
      </c>
      <c r="I14" s="209">
        <v>-0.2</v>
      </c>
      <c r="K14" s="15"/>
    </row>
    <row r="15" spans="1:15" ht="15.75" thickBot="1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8"/>
    </row>
    <row r="16" spans="1:15">
      <c r="A16" s="21"/>
      <c r="B16" s="19"/>
      <c r="C16" s="19"/>
      <c r="D16" s="19"/>
      <c r="E16" s="19"/>
      <c r="F16" s="19"/>
      <c r="G16" s="19"/>
      <c r="H16" s="19"/>
      <c r="I16" s="19"/>
      <c r="J16" s="19"/>
      <c r="K16" s="20"/>
    </row>
    <row r="17" spans="1:11">
      <c r="A17" s="14"/>
      <c r="K17" s="15"/>
    </row>
    <row r="18" spans="1:11" ht="15.75" thickBot="1">
      <c r="A18" s="14"/>
      <c r="J18" s="30">
        <f>C20/((SQRT(C19)*SQRT(D20)))</f>
        <v>0.82404192419936773</v>
      </c>
      <c r="K18" s="15"/>
    </row>
    <row r="19" spans="1:11">
      <c r="A19" s="14"/>
      <c r="C19" s="304">
        <f>D12*D12*I6+E12*E12*I6+(D12*E12+D12*E12)*H8</f>
        <v>29</v>
      </c>
      <c r="D19" s="305">
        <f>C20</f>
        <v>16</v>
      </c>
      <c r="E19" s="306">
        <f>C21</f>
        <v>17</v>
      </c>
      <c r="K19" s="15"/>
    </row>
    <row r="20" spans="1:11">
      <c r="A20" s="14"/>
      <c r="C20" s="307">
        <f>D6*D7*I$6+E6*E7*I$7+(D6*E7+D7*E6)*H$8</f>
        <v>16</v>
      </c>
      <c r="D20" s="303">
        <f>D7*D7*I6+E7*E7*I7+(D7*E7+D7*E7)*H8</f>
        <v>13</v>
      </c>
      <c r="E20" s="308">
        <f>D21</f>
        <v>9</v>
      </c>
      <c r="J20" s="30">
        <f>C21/((SQRT(C19)*SQRT(E21)))</f>
        <v>0.99827437317499579</v>
      </c>
      <c r="K20" s="15"/>
    </row>
    <row r="21" spans="1:11" ht="15.75" thickBot="1">
      <c r="A21" s="14"/>
      <c r="C21" s="309">
        <f>D6*D8*I6+E6*E8*I7+(D6*E8+E6*D8)*H8</f>
        <v>17</v>
      </c>
      <c r="D21" s="310">
        <f>D7*D8*I6+E7*E8*I7+(D7*E8+D8*E7)*H8</f>
        <v>9</v>
      </c>
      <c r="E21" s="311">
        <f>D8*D8*I6+E8*E8*I7+(D8*E8+D8*E8)*H8</f>
        <v>10</v>
      </c>
      <c r="K21" s="15"/>
    </row>
    <row r="22" spans="1:11" ht="15.75" thickBot="1">
      <c r="A22" s="16"/>
      <c r="B22" s="17"/>
      <c r="C22" s="17"/>
      <c r="D22" s="17"/>
      <c r="E22" s="17"/>
      <c r="F22" s="17"/>
      <c r="G22" s="17"/>
      <c r="H22" s="17"/>
      <c r="J22" s="208">
        <f>D21/(SQRT(D20)*SQRT(E21))</f>
        <v>0.78935221737632633</v>
      </c>
      <c r="K22" s="18"/>
    </row>
    <row r="23" spans="1:11" ht="15.75" thickBot="1">
      <c r="A23" s="21"/>
      <c r="B23" s="19" t="s">
        <v>206</v>
      </c>
      <c r="C23" s="19"/>
      <c r="D23" s="19"/>
      <c r="E23" s="19"/>
      <c r="F23" s="20"/>
      <c r="G23" s="21"/>
      <c r="H23" s="19" t="s">
        <v>207</v>
      </c>
      <c r="I23" s="19"/>
      <c r="J23" s="19"/>
      <c r="K23" s="20"/>
    </row>
    <row r="24" spans="1:11">
      <c r="A24" s="14"/>
      <c r="D24" s="199" cm="1">
        <f t="array" ref="D24:D26">MMULT(_xlfn.ANCHORARRAY(G12),K6:K8)</f>
        <v>1.1999999999999993</v>
      </c>
      <c r="F24" s="15"/>
      <c r="G24" s="14"/>
      <c r="I24" s="199">
        <f>K6-D6*H6-E6*H7</f>
        <v>5</v>
      </c>
      <c r="K24" s="15"/>
    </row>
    <row r="25" spans="1:11">
      <c r="A25" s="14"/>
      <c r="D25" s="200">
        <v>3.4000000000000004</v>
      </c>
      <c r="F25" s="15"/>
      <c r="G25" s="14"/>
      <c r="I25" s="200">
        <f>K7-D7*H6-E7*H7</f>
        <v>8</v>
      </c>
      <c r="K25" s="15"/>
    </row>
    <row r="26" spans="1:11" ht="15.75" thickBot="1">
      <c r="A26" s="14"/>
      <c r="D26" s="201">
        <v>0.80000000000000049</v>
      </c>
      <c r="F26" s="15"/>
      <c r="G26" s="14"/>
      <c r="I26" s="201">
        <f>K8-D8*H6-E8*H7</f>
        <v>3</v>
      </c>
      <c r="K26" s="15"/>
    </row>
    <row r="27" spans="1:11">
      <c r="A27" s="14"/>
      <c r="F27" s="15"/>
      <c r="G27" s="14"/>
      <c r="K27" s="15"/>
    </row>
    <row r="28" spans="1:11" ht="15.75" thickBot="1">
      <c r="A28" s="14"/>
      <c r="F28" s="15"/>
      <c r="G28" s="16"/>
      <c r="H28" s="17"/>
      <c r="I28" s="17"/>
      <c r="J28" s="17"/>
      <c r="K28" s="18"/>
    </row>
    <row r="29" spans="1:11">
      <c r="A29" s="138"/>
      <c r="B29" s="139"/>
      <c r="C29" s="139"/>
      <c r="D29" s="139"/>
      <c r="E29" s="139"/>
      <c r="F29" s="140"/>
      <c r="G29" s="19"/>
    </row>
    <row r="30" spans="1:11" ht="15.75" thickBot="1">
      <c r="A30" s="141"/>
      <c r="B30" s="136"/>
      <c r="C30" s="136"/>
      <c r="D30" s="147"/>
      <c r="E30" s="147" t="s">
        <v>208</v>
      </c>
      <c r="F30" s="142"/>
    </row>
    <row r="31" spans="1:11">
      <c r="A31" s="141"/>
      <c r="B31" s="136"/>
      <c r="C31" s="137"/>
      <c r="D31" s="194">
        <f>K6</f>
        <v>12</v>
      </c>
      <c r="E31" s="312">
        <f>C19</f>
        <v>29</v>
      </c>
      <c r="F31" s="146"/>
    </row>
    <row r="32" spans="1:11">
      <c r="A32" s="141"/>
      <c r="B32" s="136"/>
      <c r="C32" s="137"/>
      <c r="D32" s="195">
        <f>K7</f>
        <v>13</v>
      </c>
      <c r="E32" s="196">
        <f>D20</f>
        <v>13</v>
      </c>
      <c r="F32" s="146"/>
    </row>
    <row r="33" spans="1:6" ht="15.75" thickBot="1">
      <c r="A33" s="141"/>
      <c r="B33" s="136"/>
      <c r="C33" s="137"/>
      <c r="D33" s="197">
        <f>K8</f>
        <v>7</v>
      </c>
      <c r="E33" s="198">
        <f>E21</f>
        <v>10</v>
      </c>
      <c r="F33" s="146"/>
    </row>
    <row r="34" spans="1:6" ht="15.75" thickBot="1">
      <c r="A34" s="143"/>
      <c r="B34" s="144"/>
      <c r="C34" s="144"/>
      <c r="D34" s="148"/>
      <c r="E34" s="148"/>
      <c r="F34" s="145"/>
    </row>
  </sheetData>
  <mergeCells count="1">
    <mergeCell ref="A1:O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4A18-F23C-7441-B320-FEF8761312AB}">
  <dimension ref="A1:U117"/>
  <sheetViews>
    <sheetView tabSelected="1" zoomScale="123" zoomScaleNormal="100" workbookViewId="0">
      <selection activeCell="I3" sqref="I3"/>
    </sheetView>
  </sheetViews>
  <sheetFormatPr defaultColWidth="11" defaultRowHeight="15.75"/>
  <cols>
    <col min="1" max="1" width="12.42578125" style="154" customWidth="1"/>
    <col min="2" max="3" width="11" style="154"/>
    <col min="4" max="4" width="12.42578125" style="154" bestFit="1" customWidth="1"/>
    <col min="5" max="5" width="11" style="154"/>
    <col min="6" max="6" width="11" style="154" bestFit="1" customWidth="1"/>
    <col min="7" max="7" width="12.28515625" style="154" bestFit="1" customWidth="1"/>
    <col min="8" max="8" width="11" style="154"/>
    <col min="9" max="9" width="15" style="154" customWidth="1"/>
    <col min="10" max="10" width="11" style="154"/>
    <col min="11" max="11" width="12.42578125" style="154" bestFit="1" customWidth="1"/>
    <col min="12" max="12" width="12" style="154" customWidth="1"/>
    <col min="13" max="14" width="11" style="154"/>
    <col min="15" max="15" width="12.140625" style="154" bestFit="1" customWidth="1"/>
    <col min="16" max="20" width="11" style="154"/>
    <col min="21" max="21" width="12.140625" style="154" bestFit="1" customWidth="1"/>
    <col min="22" max="16384" width="11" style="154"/>
  </cols>
  <sheetData>
    <row r="1" spans="1:21" ht="26.25">
      <c r="A1" s="164" t="s">
        <v>227</v>
      </c>
      <c r="K1" s="155"/>
      <c r="U1" s="248"/>
    </row>
    <row r="2" spans="1:21">
      <c r="K2" s="155"/>
      <c r="U2" s="248"/>
    </row>
    <row r="3" spans="1:21">
      <c r="A3" s="154" t="s">
        <v>226</v>
      </c>
      <c r="K3" s="155"/>
      <c r="L3" s="154" t="s">
        <v>226</v>
      </c>
      <c r="U3" s="248"/>
    </row>
    <row r="4" spans="1:21">
      <c r="E4" s="154" t="s">
        <v>225</v>
      </c>
      <c r="K4" s="155"/>
      <c r="L4" s="159"/>
      <c r="M4" s="159"/>
      <c r="N4" s="159"/>
      <c r="O4" s="175">
        <v>133.1</v>
      </c>
      <c r="Q4" s="154" t="s">
        <v>225</v>
      </c>
      <c r="U4" s="248"/>
    </row>
    <row r="5" spans="1:21">
      <c r="A5" s="159"/>
      <c r="B5" s="159"/>
      <c r="C5" s="175">
        <v>74.08</v>
      </c>
      <c r="F5" s="154" t="s">
        <v>3</v>
      </c>
      <c r="G5" s="159" t="s">
        <v>2</v>
      </c>
      <c r="K5" s="155"/>
      <c r="L5" s="159"/>
      <c r="M5" s="159"/>
      <c r="N5" s="175">
        <v>121</v>
      </c>
      <c r="O5" s="159"/>
      <c r="R5" s="154" t="s">
        <v>3</v>
      </c>
      <c r="S5" s="154" t="s">
        <v>2</v>
      </c>
      <c r="U5" s="248"/>
    </row>
    <row r="6" spans="1:21">
      <c r="A6" s="159"/>
      <c r="B6" s="354">
        <v>64.98</v>
      </c>
      <c r="C6" s="159"/>
      <c r="E6" s="159" t="s">
        <v>17</v>
      </c>
      <c r="F6" s="217">
        <f>(EXP(B11*B12)-F11)/(F10-F11)</f>
        <v>0.70826698291878853</v>
      </c>
      <c r="G6" s="218">
        <f>((1+B11*B12)-F11)/(F10-F11)</f>
        <v>0.70588235294117629</v>
      </c>
      <c r="J6" s="256"/>
      <c r="K6" s="155"/>
      <c r="L6" s="159"/>
      <c r="M6" s="175">
        <v>110</v>
      </c>
      <c r="N6" s="159"/>
      <c r="O6" s="175">
        <v>108.9</v>
      </c>
      <c r="Q6" s="159" t="s">
        <v>17</v>
      </c>
      <c r="R6" s="217">
        <f>(EXP(B11*B12)-R10)/(R9-R10)</f>
        <v>0.70405387096194072</v>
      </c>
      <c r="S6" s="220">
        <f>((1+B11*B12)-R10)/(R9-R10)</f>
        <v>0.69999999999999984</v>
      </c>
      <c r="U6" s="248"/>
    </row>
    <row r="7" spans="1:21">
      <c r="A7" s="175">
        <v>57</v>
      </c>
      <c r="B7" s="159"/>
      <c r="C7" s="175">
        <v>51.98</v>
      </c>
      <c r="E7" s="159" t="s">
        <v>224</v>
      </c>
      <c r="F7" s="217">
        <f>1-F6</f>
        <v>0.29173301708121147</v>
      </c>
      <c r="G7" s="218">
        <f>1-G6</f>
        <v>0.29411764705882371</v>
      </c>
      <c r="J7" s="257"/>
      <c r="K7" s="155"/>
      <c r="L7" s="175">
        <v>100</v>
      </c>
      <c r="M7" s="159"/>
      <c r="N7" s="175">
        <v>99</v>
      </c>
      <c r="O7" s="159"/>
      <c r="Q7" s="159" t="s">
        <v>224</v>
      </c>
      <c r="R7" s="217">
        <f>1-R6</f>
        <v>0.29594612903805928</v>
      </c>
      <c r="S7" s="220">
        <f>1-S6</f>
        <v>0.30000000000000016</v>
      </c>
      <c r="U7" s="248"/>
    </row>
    <row r="8" spans="1:21">
      <c r="A8" s="159"/>
      <c r="B8" s="354">
        <v>45.6</v>
      </c>
      <c r="C8" s="159"/>
      <c r="J8" s="257"/>
      <c r="K8" s="155"/>
      <c r="L8" s="159"/>
      <c r="M8" s="175">
        <v>90</v>
      </c>
      <c r="N8" s="159"/>
      <c r="O8" s="175">
        <v>89.1</v>
      </c>
      <c r="U8" s="248"/>
    </row>
    <row r="9" spans="1:21">
      <c r="A9" s="159"/>
      <c r="B9" s="159"/>
      <c r="C9" s="175">
        <v>36.479999999999997</v>
      </c>
      <c r="I9" s="353" t="s">
        <v>301</v>
      </c>
      <c r="J9" s="257"/>
      <c r="K9" s="155"/>
      <c r="L9" s="159"/>
      <c r="M9" s="159"/>
      <c r="N9" s="175">
        <v>81</v>
      </c>
      <c r="O9" s="159"/>
      <c r="Q9" s="159" t="s">
        <v>133</v>
      </c>
      <c r="R9" s="219">
        <f>M6/L7</f>
        <v>1.1000000000000001</v>
      </c>
      <c r="U9" s="248"/>
    </row>
    <row r="10" spans="1:21">
      <c r="E10" s="159" t="s">
        <v>133</v>
      </c>
      <c r="F10" s="219">
        <f>(B6-A7)/A7+1</f>
        <v>1.1400000000000001</v>
      </c>
      <c r="H10" s="219">
        <f>F11</f>
        <v>0.8</v>
      </c>
      <c r="I10" s="246">
        <f>G12</f>
        <v>1.04</v>
      </c>
      <c r="J10" s="272">
        <f>F10</f>
        <v>1.1400000000000001</v>
      </c>
      <c r="K10" s="155"/>
      <c r="L10" s="159"/>
      <c r="M10" s="159"/>
      <c r="N10" s="159"/>
      <c r="O10" s="175">
        <v>72.900000000000006</v>
      </c>
      <c r="Q10" s="159" t="s">
        <v>7</v>
      </c>
      <c r="R10" s="219">
        <f>M8/L7</f>
        <v>0.9</v>
      </c>
      <c r="U10" s="248"/>
    </row>
    <row r="11" spans="1:21">
      <c r="A11" s="159" t="s">
        <v>223</v>
      </c>
      <c r="B11" s="175">
        <v>0.04</v>
      </c>
      <c r="E11" s="159" t="s">
        <v>7</v>
      </c>
      <c r="F11" s="219">
        <f>(B8-A7)/A7+1</f>
        <v>0.8</v>
      </c>
      <c r="H11" s="273" t="s">
        <v>7</v>
      </c>
      <c r="I11" s="313" t="s">
        <v>298</v>
      </c>
      <c r="J11" s="274" t="s">
        <v>133</v>
      </c>
      <c r="K11" s="155"/>
      <c r="P11" s="163" t="s">
        <v>221</v>
      </c>
      <c r="R11" s="219">
        <f>EXP(B11*B12)</f>
        <v>1.0408107741923882</v>
      </c>
      <c r="S11" s="219">
        <f>(1+B11*B12)</f>
        <v>1.04</v>
      </c>
      <c r="U11" s="248"/>
    </row>
    <row r="12" spans="1:21">
      <c r="A12" s="159" t="s">
        <v>222</v>
      </c>
      <c r="B12" s="175">
        <v>1</v>
      </c>
      <c r="D12" s="163" t="s">
        <v>221</v>
      </c>
      <c r="F12" s="219">
        <f>EXP(B11*B12)</f>
        <v>1.0408107741923882</v>
      </c>
      <c r="G12" s="219">
        <f>(1+B11)^B12</f>
        <v>1.04</v>
      </c>
      <c r="J12" s="257"/>
      <c r="K12" s="155"/>
      <c r="U12" s="248"/>
    </row>
    <row r="13" spans="1:21">
      <c r="A13" s="159" t="s">
        <v>220</v>
      </c>
      <c r="B13" s="175">
        <v>55</v>
      </c>
      <c r="J13" s="257"/>
      <c r="K13" s="155"/>
      <c r="U13" s="248"/>
    </row>
    <row r="14" spans="1:21">
      <c r="J14" s="258"/>
      <c r="K14" s="155"/>
      <c r="U14" s="248"/>
    </row>
    <row r="15" spans="1:21" ht="18.75">
      <c r="A15" s="161" t="s">
        <v>219</v>
      </c>
      <c r="J15" s="259"/>
      <c r="K15" s="155"/>
      <c r="L15" s="161" t="s">
        <v>219</v>
      </c>
      <c r="U15" s="248"/>
    </row>
    <row r="16" spans="1:21">
      <c r="A16" s="163" t="s">
        <v>212</v>
      </c>
      <c r="G16" s="154" t="s">
        <v>217</v>
      </c>
      <c r="J16" s="259"/>
      <c r="K16" s="155"/>
      <c r="L16" s="154" t="s">
        <v>218</v>
      </c>
      <c r="R16" s="154" t="s">
        <v>217</v>
      </c>
      <c r="U16" s="248"/>
    </row>
    <row r="17" spans="1:21">
      <c r="A17" s="276" t="s">
        <v>210</v>
      </c>
      <c r="B17" s="170"/>
      <c r="C17" s="170"/>
      <c r="D17" s="169"/>
      <c r="G17" s="276" t="s">
        <v>210</v>
      </c>
      <c r="H17" s="170"/>
      <c r="I17" s="169"/>
      <c r="J17" s="261"/>
      <c r="L17" s="276" t="s">
        <v>210</v>
      </c>
      <c r="M17" s="284"/>
      <c r="N17" s="284"/>
      <c r="O17" s="284"/>
      <c r="P17" s="285">
        <f>MAX(O4-$B$13,0)</f>
        <v>78.099999999999994</v>
      </c>
      <c r="R17" s="286" t="s">
        <v>210</v>
      </c>
      <c r="S17" s="284"/>
      <c r="T17" s="284"/>
      <c r="U17" s="285">
        <f>MAX($O$4-$B$13,0)</f>
        <v>78.099999999999994</v>
      </c>
    </row>
    <row r="18" spans="1:21">
      <c r="A18" s="168"/>
      <c r="B18" s="159"/>
      <c r="C18" s="159"/>
      <c r="D18" s="277">
        <f>MAX($C$5-$B$13,0)</f>
        <v>19.079999999999998</v>
      </c>
      <c r="E18" s="159"/>
      <c r="F18" s="159"/>
      <c r="G18" s="281"/>
      <c r="H18" s="159"/>
      <c r="I18" s="277">
        <f>MAX($C$5-$B$13,0)</f>
        <v>19.079999999999998</v>
      </c>
      <c r="J18" s="262"/>
      <c r="K18" s="159"/>
      <c r="L18" s="168"/>
      <c r="M18" s="159"/>
      <c r="N18" s="159"/>
      <c r="O18" s="220">
        <f>EXP(-$B$11*B12)*($R$6*P17+P19*$R$7)</f>
        <v>68.156580846622205</v>
      </c>
      <c r="P18" s="158"/>
      <c r="R18" s="281"/>
      <c r="S18" s="159"/>
      <c r="T18" s="220">
        <f>(1+$B$11*$B$12)^(-1)*($S$6*U17+U19*$S$7)</f>
        <v>68.115384615384599</v>
      </c>
      <c r="U18" s="158"/>
    </row>
    <row r="19" spans="1:21">
      <c r="A19" s="168"/>
      <c r="B19" s="159"/>
      <c r="C19" s="220">
        <f>EXP(-$B$11*B12)*($F$6*$D$18+$F$7*$D$20)</f>
        <v>12.983852943467458</v>
      </c>
      <c r="D19" s="158"/>
      <c r="E19" s="159"/>
      <c r="F19" s="162"/>
      <c r="G19" s="281"/>
      <c r="H19" s="220">
        <f>(1+$B$11*B12)^(-1)*($G$6*I18+$G$7*I20)</f>
        <v>12.950226244343886</v>
      </c>
      <c r="I19" s="158"/>
      <c r="J19" s="262"/>
      <c r="K19" s="159"/>
      <c r="L19" s="168"/>
      <c r="M19" s="159"/>
      <c r="N19" s="290">
        <f>EXP(-$B$11*B12)*($R$6*O18+O20*$R$7)</f>
        <v>59.228600948735007</v>
      </c>
      <c r="O19" s="159"/>
      <c r="P19" s="277">
        <f>MAX(O6-$B$13,0)</f>
        <v>53.900000000000006</v>
      </c>
      <c r="R19" s="281"/>
      <c r="S19" s="290">
        <f>(1+$B$11*$B$12)^(-1)*($S$6*T18+T20*$S$7)</f>
        <v>59.149408284023643</v>
      </c>
      <c r="T19" s="159"/>
      <c r="U19" s="277">
        <f>MAX($O$6-$B$13,0)</f>
        <v>53.900000000000006</v>
      </c>
    </row>
    <row r="20" spans="1:21">
      <c r="A20" s="168"/>
      <c r="B20" s="220">
        <f>EXP(-$B$11*B12)*($F$6*$C$19+$F$7*$C$21)</f>
        <v>8.8354526864564242</v>
      </c>
      <c r="C20" s="159"/>
      <c r="D20" s="277">
        <f>MAX($C$7-$B$13,0)</f>
        <v>0</v>
      </c>
      <c r="E20" s="162"/>
      <c r="F20" s="159"/>
      <c r="G20" s="282">
        <f>(1+$B$11*B12)^(-1)*($G$6*H19+$G$7*H21)</f>
        <v>8.7897463196904173</v>
      </c>
      <c r="H20" s="159"/>
      <c r="I20" s="277">
        <f>MAX($C$7-$B$13,0)</f>
        <v>0</v>
      </c>
      <c r="J20" s="262"/>
      <c r="K20" s="159"/>
      <c r="L20" s="168"/>
      <c r="M20" s="220">
        <f>EXP(-$B$11*B12)*($R$6*N19+N21*$R$7)</f>
        <v>51.219375980556308</v>
      </c>
      <c r="N20" s="159"/>
      <c r="O20" s="220">
        <f>EXP(-$B$11*B12)*($R$6*P19+P21*$R$7)</f>
        <v>46.156580846622219</v>
      </c>
      <c r="P20" s="158"/>
      <c r="R20" s="282">
        <f>(1+$B$11*$B$12)^(-1)*($S$6*S19+S21*$S$7)</f>
        <v>51.105200273099655</v>
      </c>
      <c r="S20" s="159"/>
      <c r="T20" s="220">
        <f>(1+$B$11*$B$12)^(-1)*($S$6*U19+U21*$S$7)</f>
        <v>46.115384615384613</v>
      </c>
      <c r="U20" s="158"/>
    </row>
    <row r="21" spans="1:21">
      <c r="A21" s="168"/>
      <c r="B21" s="159"/>
      <c r="C21" s="220">
        <f>EXP(-$B$11*B12)*($F$6*$D$20+$F$7*$D$22)</f>
        <v>0</v>
      </c>
      <c r="D21" s="158"/>
      <c r="E21" s="159"/>
      <c r="F21" s="159"/>
      <c r="G21" s="281"/>
      <c r="H21" s="219">
        <f>(1+$B$11*B12)^(-1)*($G$6*I20+$G$7*I22)</f>
        <v>0</v>
      </c>
      <c r="I21" s="158"/>
      <c r="J21" s="262"/>
      <c r="K21" s="159"/>
      <c r="L21" s="168"/>
      <c r="M21" s="159"/>
      <c r="N21" s="220">
        <f>EXP(-$B$11*B12)*($R$6*O20+O22*$R$7)</f>
        <v>39.228600948735021</v>
      </c>
      <c r="O21" s="159"/>
      <c r="P21" s="217">
        <f>MAX(O8-$B$13,0)</f>
        <v>34.099999999999994</v>
      </c>
      <c r="R21" s="281"/>
      <c r="S21" s="220">
        <f>(1+$B$11*$B$12)^(-1)*($S$6*T20+T22*$S$7)</f>
        <v>39.149408284023657</v>
      </c>
      <c r="T21" s="159"/>
      <c r="U21" s="217">
        <f>MAX($O$8-$B$13,0)</f>
        <v>34.099999999999994</v>
      </c>
    </row>
    <row r="22" spans="1:21">
      <c r="A22" s="168"/>
      <c r="B22" s="159"/>
      <c r="C22" s="159"/>
      <c r="D22" s="277">
        <f>MAX($C$9-$B$13,0)</f>
        <v>0</v>
      </c>
      <c r="E22" s="159"/>
      <c r="F22" s="159"/>
      <c r="G22" s="278"/>
      <c r="H22" s="172"/>
      <c r="I22" s="283">
        <f>MAX($C$9-$B$13,0)</f>
        <v>0</v>
      </c>
      <c r="J22" s="262"/>
      <c r="K22" s="159"/>
      <c r="L22" s="168"/>
      <c r="M22" s="159"/>
      <c r="N22" s="159"/>
      <c r="O22" s="220">
        <f>EXP(-$B$11*B12)*($R$6*P21+P23*$R$7)</f>
        <v>28.156580846622216</v>
      </c>
      <c r="P22" s="158"/>
      <c r="R22" s="281"/>
      <c r="S22" s="159"/>
      <c r="T22" s="220">
        <f>(1+$B$11*$B$12)^(-1)*($S$6*U21+U23*$S$7)</f>
        <v>28.11538461538461</v>
      </c>
      <c r="U22" s="158"/>
    </row>
    <row r="23" spans="1:21">
      <c r="A23" s="168"/>
      <c r="D23" s="155"/>
      <c r="J23" s="259"/>
      <c r="L23" s="167"/>
      <c r="M23" s="172"/>
      <c r="N23" s="172"/>
      <c r="O23" s="172"/>
      <c r="P23" s="291">
        <f>MAX(O10-$B$13,0)</f>
        <v>17.900000000000006</v>
      </c>
      <c r="R23" s="278"/>
      <c r="S23" s="172"/>
      <c r="T23" s="172"/>
      <c r="U23" s="291">
        <f>MAX($O$10-$B$13,0)</f>
        <v>17.900000000000006</v>
      </c>
    </row>
    <row r="24" spans="1:21">
      <c r="A24" s="278" t="s">
        <v>216</v>
      </c>
      <c r="B24" s="279">
        <f>((F6^2)*MAX(C5-B13,0)+2*F6*F7*MAX(C7-B13,0)+(F7^2)*MAX(C9-B13,0))</f>
        <v>9.5713316322922157</v>
      </c>
      <c r="C24" s="172" t="s">
        <v>137</v>
      </c>
      <c r="D24" s="280">
        <f>EXP(-B11*2)*B24</f>
        <v>8.8354526864564242</v>
      </c>
      <c r="H24" s="353"/>
      <c r="I24" s="160"/>
      <c r="J24" s="259"/>
      <c r="K24" s="155"/>
      <c r="M24" s="159"/>
      <c r="N24" s="159"/>
      <c r="O24" s="159"/>
      <c r="P24" s="159"/>
      <c r="U24" s="248"/>
    </row>
    <row r="25" spans="1:21">
      <c r="J25" s="259"/>
      <c r="K25" s="155"/>
      <c r="M25" s="159"/>
      <c r="N25" s="159"/>
      <c r="O25" s="159"/>
      <c r="P25" s="159"/>
      <c r="U25" s="248"/>
    </row>
    <row r="26" spans="1:21">
      <c r="J26" s="259"/>
      <c r="L26" s="276" t="s">
        <v>209</v>
      </c>
      <c r="M26" s="284"/>
      <c r="N26" s="284"/>
      <c r="O26" s="284"/>
      <c r="P26" s="292">
        <f>MAX($B$13-O4,0)</f>
        <v>0</v>
      </c>
      <c r="R26" s="286" t="s">
        <v>209</v>
      </c>
      <c r="S26" s="284"/>
      <c r="T26" s="284"/>
      <c r="U26" s="285">
        <f>MAX((-1)*($O$4-$B$13),0)</f>
        <v>0</v>
      </c>
    </row>
    <row r="27" spans="1:21">
      <c r="A27" s="276" t="s">
        <v>209</v>
      </c>
      <c r="B27" s="284"/>
      <c r="C27" s="284"/>
      <c r="D27" s="285">
        <f>MAX(($B$13-$C$5),0)</f>
        <v>0</v>
      </c>
      <c r="G27" s="286" t="s">
        <v>209</v>
      </c>
      <c r="H27" s="284"/>
      <c r="I27" s="285">
        <f>MAX((-1)*($C$5-$B$13),0)</f>
        <v>0</v>
      </c>
      <c r="J27" s="262"/>
      <c r="L27" s="168"/>
      <c r="M27" s="159"/>
      <c r="N27" s="159"/>
      <c r="O27" s="220">
        <f>EXP(-$B$11*B12)*($R$6*P26+$R$7*P28)</f>
        <v>0</v>
      </c>
      <c r="P27" s="158"/>
      <c r="R27" s="281"/>
      <c r="S27" s="159"/>
      <c r="T27" s="220">
        <f>(1+$B$11*$B$12)^(-1)*($S$6*U26+U28*$S$7)</f>
        <v>0</v>
      </c>
      <c r="U27" s="158"/>
    </row>
    <row r="28" spans="1:21">
      <c r="A28" s="168"/>
      <c r="B28" s="159"/>
      <c r="C28" s="220">
        <f>EXP(-B11*B12)*(F6*D27+F7*D29)</f>
        <v>0.84648788562829114</v>
      </c>
      <c r="D28" s="158"/>
      <c r="G28" s="281"/>
      <c r="H28" s="220">
        <f>(1+$B$11*B12)^(-1)*($G$6*I27+$G$7*I29)</f>
        <v>0.85407239819004666</v>
      </c>
      <c r="I28" s="158"/>
      <c r="J28" s="262"/>
      <c r="L28" s="168"/>
      <c r="M28" s="159"/>
      <c r="N28" s="220">
        <f>EXP(-$B$11*B12)*($R$6*O27+$R$7*O29)</f>
        <v>0</v>
      </c>
      <c r="O28" s="159"/>
      <c r="P28" s="217">
        <f>MAX($B$13-O6,0)</f>
        <v>0</v>
      </c>
      <c r="R28" s="281"/>
      <c r="S28" s="290">
        <f>(1+$B$11*$B$12)^(-1)*($S$6*T27+T29*$S$7)</f>
        <v>0</v>
      </c>
      <c r="T28" s="159"/>
      <c r="U28" s="277">
        <f>MAX((-1)*($O$6-$B$13),0)</f>
        <v>0</v>
      </c>
    </row>
    <row r="29" spans="1:21">
      <c r="A29" s="168"/>
      <c r="B29" s="220">
        <f>EXP(-B11*B12)*(F6*C28+F7*C30)</f>
        <v>2.6070810407238727</v>
      </c>
      <c r="C29" s="159"/>
      <c r="D29" s="277">
        <f>MAX(($B$13-$C$7),0)</f>
        <v>3.0200000000000031</v>
      </c>
      <c r="G29" s="282">
        <f>(1+$B$11*B12)^(-1)*($G$6*H28+$G$7*H30)</f>
        <v>2.6405837308818443</v>
      </c>
      <c r="H29" s="159"/>
      <c r="I29" s="277">
        <f>MAX((-1)*($C$7-$B$13),0)</f>
        <v>3.0200000000000031</v>
      </c>
      <c r="J29" s="262"/>
      <c r="L29" s="168"/>
      <c r="M29" s="220">
        <f>EXP(-$B$11*B12)*($R$6*N28+$R$7*N30)</f>
        <v>0</v>
      </c>
      <c r="N29" s="159"/>
      <c r="O29" s="220">
        <f>EXP(-$B$11*B12)*($R$6*P28+$R$7*P30)</f>
        <v>0</v>
      </c>
      <c r="P29" s="158"/>
      <c r="R29" s="282">
        <f>(1+$B$11*$B$12)^(-1)*($S$6*S28+S30*$S$7)</f>
        <v>0</v>
      </c>
      <c r="S29" s="159"/>
      <c r="T29" s="220">
        <f>(1+$B$11*$B$12)^(-1)*($S$6*U28+U30*$S$7)</f>
        <v>0</v>
      </c>
      <c r="U29" s="158"/>
    </row>
    <row r="30" spans="1:21">
      <c r="A30" s="168"/>
      <c r="B30" s="159"/>
      <c r="C30" s="220">
        <f>EXP(-B11*B12)*(F6*D29+F7*D31)</f>
        <v>7.2461411351269396</v>
      </c>
      <c r="D30" s="158"/>
      <c r="G30" s="281"/>
      <c r="H30" s="220">
        <f>(1+$B$11*B12)^(-1)*($G$6*I29+$G$7*I31)</f>
        <v>7.2873303167420866</v>
      </c>
      <c r="I30" s="158"/>
      <c r="J30" s="262"/>
      <c r="L30" s="168"/>
      <c r="M30" s="159"/>
      <c r="N30" s="220">
        <f>EXP(-$B$11*B12)*($R$6*O29+$R$7*O31)</f>
        <v>0</v>
      </c>
      <c r="O30" s="159"/>
      <c r="P30" s="217">
        <f>MAX($B$13-O8,0)</f>
        <v>0</v>
      </c>
      <c r="R30" s="281"/>
      <c r="S30" s="220">
        <f>(1+$B$11*$B$12)^(-1)*($S$6*T29+T31*$S$7)</f>
        <v>0</v>
      </c>
      <c r="T30" s="159"/>
      <c r="U30" s="217">
        <f>MAX((-1)*($O$8-$B$13),0)</f>
        <v>0</v>
      </c>
    </row>
    <row r="31" spans="1:21">
      <c r="A31" s="168"/>
      <c r="B31" s="159"/>
      <c r="C31" s="159"/>
      <c r="D31" s="277">
        <f>MAX(($B$13-$C$9),0)</f>
        <v>18.520000000000003</v>
      </c>
      <c r="G31" s="278"/>
      <c r="H31" s="172"/>
      <c r="I31" s="283">
        <f>MAX((-1)*($C$9-$B$13),0)</f>
        <v>18.520000000000003</v>
      </c>
      <c r="J31" s="262"/>
      <c r="L31" s="168"/>
      <c r="M31" s="159"/>
      <c r="N31" s="159"/>
      <c r="O31" s="220">
        <f>EXP(-$B$11*B12)*($R$6*P30+$R$7*P32)</f>
        <v>0</v>
      </c>
      <c r="P31" s="158"/>
      <c r="R31" s="281"/>
      <c r="S31" s="159"/>
      <c r="T31" s="220">
        <f>(1+$B$11*$B$12)^(-1)*($S$6*U30+U32*$S$7)</f>
        <v>0</v>
      </c>
      <c r="U31" s="158"/>
    </row>
    <row r="32" spans="1:21">
      <c r="A32" s="168"/>
      <c r="D32" s="155"/>
      <c r="J32" s="260"/>
      <c r="L32" s="167"/>
      <c r="M32" s="172"/>
      <c r="N32" s="172"/>
      <c r="O32" s="172"/>
      <c r="P32" s="291">
        <f>MAX($B$13-O10,0)</f>
        <v>0</v>
      </c>
      <c r="R32" s="278"/>
      <c r="S32" s="172"/>
      <c r="T32" s="172"/>
      <c r="U32" s="291">
        <f>MAX((-1)*($O$10-$B$13),0)</f>
        <v>0</v>
      </c>
    </row>
    <row r="33" spans="1:21">
      <c r="A33" s="278" t="s">
        <v>215</v>
      </c>
      <c r="B33" s="279">
        <f>D24-A7+EXP(-2*B11)*B13</f>
        <v>2.6068517377213851</v>
      </c>
      <c r="C33" s="166" t="s">
        <v>214</v>
      </c>
      <c r="D33" s="165"/>
      <c r="H33" s="353"/>
      <c r="J33" s="259"/>
      <c r="K33" s="155"/>
      <c r="U33" s="248"/>
    </row>
    <row r="34" spans="1:21">
      <c r="J34" s="259"/>
      <c r="K34" s="155"/>
      <c r="U34" s="248"/>
    </row>
    <row r="35" spans="1:21" ht="18.75">
      <c r="A35" s="161" t="s">
        <v>213</v>
      </c>
      <c r="J35" s="259"/>
      <c r="K35" s="155"/>
      <c r="L35" s="161" t="s">
        <v>213</v>
      </c>
      <c r="P35" s="159"/>
      <c r="U35" s="248"/>
    </row>
    <row r="36" spans="1:21">
      <c r="A36" s="154" t="s">
        <v>212</v>
      </c>
      <c r="G36" s="154" t="s">
        <v>211</v>
      </c>
      <c r="J36" s="259"/>
      <c r="K36" s="155"/>
      <c r="L36" s="154" t="s">
        <v>211</v>
      </c>
      <c r="R36" s="154" t="s">
        <v>212</v>
      </c>
      <c r="U36" s="248"/>
    </row>
    <row r="37" spans="1:21">
      <c r="A37" s="276" t="s">
        <v>210</v>
      </c>
      <c r="B37" s="170"/>
      <c r="C37" s="170"/>
      <c r="D37" s="169"/>
      <c r="G37" s="276" t="s">
        <v>210</v>
      </c>
      <c r="H37" s="170"/>
      <c r="I37" s="169"/>
      <c r="J37" s="261"/>
      <c r="L37" s="276" t="s">
        <v>210</v>
      </c>
      <c r="M37" s="284"/>
      <c r="N37" s="284"/>
      <c r="O37" s="284"/>
      <c r="P37" s="285">
        <f>MAX(O4-$B$13,0)</f>
        <v>78.099999999999994</v>
      </c>
      <c r="R37" s="286" t="s">
        <v>210</v>
      </c>
      <c r="S37" s="284"/>
      <c r="T37" s="284"/>
      <c r="U37" s="285">
        <f>MAX($O$4-$B$13,0)</f>
        <v>78.099999999999994</v>
      </c>
    </row>
    <row r="38" spans="1:21">
      <c r="A38" s="168"/>
      <c r="B38" s="159"/>
      <c r="C38" s="159"/>
      <c r="D38" s="277">
        <f>MAX($C$5-$B$13,0)</f>
        <v>19.079999999999998</v>
      </c>
      <c r="G38" s="281"/>
      <c r="H38" s="159"/>
      <c r="I38" s="277">
        <f>MAX($C$5-$B$13,0)</f>
        <v>19.079999999999998</v>
      </c>
      <c r="J38" s="262"/>
      <c r="L38" s="168"/>
      <c r="M38" s="159"/>
      <c r="N38" s="159"/>
      <c r="O38" s="220">
        <f>EXP(-$B$11*B12)*($R$6*P37+P39*$R$7)</f>
        <v>68.156580846622205</v>
      </c>
      <c r="P38" s="158"/>
      <c r="R38" s="281"/>
      <c r="S38" s="159"/>
      <c r="T38" s="220">
        <f>(1+$B$11*$B$12)^(-1)*($S$6*U37+U39*$S$7)</f>
        <v>68.115384615384599</v>
      </c>
      <c r="U38" s="158"/>
    </row>
    <row r="39" spans="1:21">
      <c r="A39" s="168"/>
      <c r="B39" s="159"/>
      <c r="C39" s="220">
        <f>EXP(-$B$11*B12)*($F$6*$D$18+$F$7*$D$20)</f>
        <v>12.983852943467458</v>
      </c>
      <c r="D39" s="158"/>
      <c r="G39" s="281"/>
      <c r="H39" s="220">
        <f>(1+B11*B12)^(-1)*($G$6*$I$18+$G$7*$I$20)</f>
        <v>12.950226244343886</v>
      </c>
      <c r="I39" s="158"/>
      <c r="J39" s="262"/>
      <c r="L39" s="168"/>
      <c r="M39" s="159"/>
      <c r="N39" s="290">
        <f>EXP(-$B$11*B12)*($R$6*O38+O40*$R$7)</f>
        <v>59.228600948735007</v>
      </c>
      <c r="O39" s="159"/>
      <c r="P39" s="277">
        <f>MAX(O6-$B$13,0)</f>
        <v>53.900000000000006</v>
      </c>
      <c r="R39" s="281"/>
      <c r="S39" s="290">
        <f>(1+$B$11*$B$12)^(-1)*($S$6*T38+T40*$S$7)</f>
        <v>59.149408284023643</v>
      </c>
      <c r="T39" s="159"/>
      <c r="U39" s="277">
        <f>MAX($O$6-$B$13,0)</f>
        <v>53.900000000000006</v>
      </c>
    </row>
    <row r="40" spans="1:21">
      <c r="A40" s="168"/>
      <c r="B40" s="220">
        <f>EXP(-$B$11*B12)*($F$6*$C$19+$F$7*$C$21)</f>
        <v>8.8354526864564242</v>
      </c>
      <c r="C40" s="159"/>
      <c r="D40" s="277">
        <f>MAX($C$7-$B$13,0)</f>
        <v>0</v>
      </c>
      <c r="G40" s="282">
        <f>(1+$B$11*B12)^(-1)*($G$6*$H$39+$G$7*$H$41)</f>
        <v>8.7897463196904173</v>
      </c>
      <c r="H40" s="159"/>
      <c r="I40" s="277">
        <f>MAX($C$7-$B$13,0)</f>
        <v>0</v>
      </c>
      <c r="J40" s="262"/>
      <c r="L40" s="168"/>
      <c r="M40" s="220">
        <f>EXP(-$B$11*B12)*($R$6*N39+N41*$R$7)</f>
        <v>51.219375980556308</v>
      </c>
      <c r="N40" s="159"/>
      <c r="O40" s="220">
        <f>EXP(-$B$11*B12)*($R$6*P39+P41*$R$7)</f>
        <v>46.156580846622219</v>
      </c>
      <c r="P40" s="158"/>
      <c r="R40" s="282">
        <f>(1+$B$11*$B$12)^(-1)*($S$6*S39+S41*$S$7)</f>
        <v>51.105200273099655</v>
      </c>
      <c r="S40" s="159"/>
      <c r="T40" s="220">
        <f>(1+$B$11*$B$12)^(-1)*($S$6*U39+U41*$S$7)</f>
        <v>46.115384615384613</v>
      </c>
      <c r="U40" s="158"/>
    </row>
    <row r="41" spans="1:21">
      <c r="A41" s="168"/>
      <c r="B41" s="159"/>
      <c r="C41" s="275">
        <f>EXP(-$B$11*B12)*($F$6*$D$20+$F$7*$D$22)</f>
        <v>0</v>
      </c>
      <c r="D41" s="158"/>
      <c r="G41" s="281"/>
      <c r="H41" s="219">
        <f>(1+B11*B12)^(-1)*($G$6*$I$20+$G$7*$I$22)</f>
        <v>0</v>
      </c>
      <c r="I41" s="158"/>
      <c r="J41" s="262"/>
      <c r="L41" s="168"/>
      <c r="M41" s="159"/>
      <c r="N41" s="220">
        <f>EXP(-$B$11*B12)*($R$6*O40+O42*$R$7)</f>
        <v>39.228600948735021</v>
      </c>
      <c r="O41" s="159"/>
      <c r="P41" s="217">
        <f>MAX(O8-$B$13,0)</f>
        <v>34.099999999999994</v>
      </c>
      <c r="R41" s="281"/>
      <c r="S41" s="220">
        <f>(1+$B$11*$B$12)^(-1)*($S$6*T40+T42*$S$7)</f>
        <v>39.149408284023657</v>
      </c>
      <c r="T41" s="159"/>
      <c r="U41" s="217">
        <f>MAX($O$8-$B$13,0)</f>
        <v>34.099999999999994</v>
      </c>
    </row>
    <row r="42" spans="1:21">
      <c r="A42" s="167"/>
      <c r="B42" s="172"/>
      <c r="C42" s="174"/>
      <c r="D42" s="283">
        <f>MAX($C$9-$B$13,0)</f>
        <v>0</v>
      </c>
      <c r="G42" s="278"/>
      <c r="H42" s="172"/>
      <c r="I42" s="283">
        <f>MAX($C$9-$B$13,0)</f>
        <v>0</v>
      </c>
      <c r="J42" s="262"/>
      <c r="L42" s="168"/>
      <c r="M42" s="159"/>
      <c r="N42" s="159"/>
      <c r="O42" s="220">
        <f>EXP(-$B$11*B12)*($R$6*P41+P43*$R$7)</f>
        <v>28.156580846622216</v>
      </c>
      <c r="P42" s="158"/>
      <c r="R42" s="281"/>
      <c r="S42" s="159"/>
      <c r="T42" s="220">
        <f>(1+$B$11*$B$12)^(-1)*($S$6*U41+U43*$S$7)</f>
        <v>28.11538461538461</v>
      </c>
      <c r="U42" s="158"/>
    </row>
    <row r="43" spans="1:21">
      <c r="J43" s="259"/>
      <c r="L43" s="167"/>
      <c r="M43" s="172"/>
      <c r="N43" s="172"/>
      <c r="O43" s="172"/>
      <c r="P43" s="291">
        <f>MAX(O10-$B$13,0)</f>
        <v>17.900000000000006</v>
      </c>
      <c r="R43" s="278"/>
      <c r="S43" s="172"/>
      <c r="T43" s="172"/>
      <c r="U43" s="291">
        <f>MAX($O$10-$B$13,0)</f>
        <v>17.900000000000006</v>
      </c>
    </row>
    <row r="44" spans="1:21">
      <c r="J44" s="259"/>
      <c r="K44" s="155"/>
      <c r="P44" s="159"/>
      <c r="U44" s="248"/>
    </row>
    <row r="45" spans="1:21">
      <c r="J45" s="259"/>
      <c r="K45" s="155"/>
      <c r="P45" s="159"/>
      <c r="U45" s="248"/>
    </row>
    <row r="46" spans="1:21">
      <c r="A46" s="276" t="s">
        <v>209</v>
      </c>
      <c r="B46" s="170"/>
      <c r="C46" s="170"/>
      <c r="D46" s="169"/>
      <c r="G46" s="287" t="s">
        <v>209</v>
      </c>
      <c r="H46" s="288"/>
      <c r="I46" s="289"/>
      <c r="J46" s="261"/>
      <c r="L46" s="276" t="s">
        <v>209</v>
      </c>
      <c r="M46" s="284"/>
      <c r="N46" s="284"/>
      <c r="O46" s="284"/>
      <c r="P46" s="285">
        <f>MAX((-1)*($O$4-$B$13),0)</f>
        <v>0</v>
      </c>
      <c r="R46" s="286" t="s">
        <v>209</v>
      </c>
      <c r="S46" s="284"/>
      <c r="T46" s="284"/>
      <c r="U46" s="285">
        <f>MAX((-1)*($O$4-$B$13),0)</f>
        <v>0</v>
      </c>
    </row>
    <row r="47" spans="1:21">
      <c r="A47" s="168"/>
      <c r="B47" s="159"/>
      <c r="C47" s="159"/>
      <c r="D47" s="277">
        <f>MAX($B$13-$C$5,0)</f>
        <v>0</v>
      </c>
      <c r="G47" s="168"/>
      <c r="H47" s="159"/>
      <c r="I47" s="277">
        <f>MAX($B$13-$C$5,0)</f>
        <v>0</v>
      </c>
      <c r="J47" s="262"/>
      <c r="L47" s="168"/>
      <c r="M47" s="159"/>
      <c r="N47" s="159"/>
      <c r="O47" s="220">
        <f>MAX($B$13-$N$5,O27)</f>
        <v>0</v>
      </c>
      <c r="P47" s="158"/>
      <c r="R47" s="281"/>
      <c r="S47" s="159"/>
      <c r="T47" s="220">
        <f>MAX($B$13-$N$5,T27)</f>
        <v>0</v>
      </c>
      <c r="U47" s="158"/>
    </row>
    <row r="48" spans="1:21">
      <c r="A48" s="168"/>
      <c r="B48" s="159"/>
      <c r="C48" s="220">
        <f>MAX(C28,B13-B6)</f>
        <v>0.84648788562829114</v>
      </c>
      <c r="D48" s="158"/>
      <c r="G48" s="281"/>
      <c r="H48" s="220">
        <f>MAX(H28,B13-B6)</f>
        <v>0.85407239819004666</v>
      </c>
      <c r="I48" s="158"/>
      <c r="J48" s="262"/>
      <c r="L48" s="168"/>
      <c r="M48" s="159"/>
      <c r="N48" s="290">
        <f>MAX($B$13-$M$6,N28)</f>
        <v>0</v>
      </c>
      <c r="O48" s="159"/>
      <c r="P48" s="277">
        <f>MAX((-1)*($O$6-$B$13),0)</f>
        <v>0</v>
      </c>
      <c r="R48" s="281"/>
      <c r="S48" s="290">
        <f>MAX($B$13-$M$6,S28)</f>
        <v>0</v>
      </c>
      <c r="T48" s="159"/>
      <c r="U48" s="277">
        <f>MAX((-1)*($O$6-$B$13),0)</f>
        <v>0</v>
      </c>
    </row>
    <row r="49" spans="1:21">
      <c r="A49" s="168"/>
      <c r="B49" s="220">
        <f>(C48*F6+F7*C50)*EXP(-B11*B12)</f>
        <v>3.2107947614086885</v>
      </c>
      <c r="C49" s="159"/>
      <c r="D49" s="277">
        <f>MAX($B$13-$C$7,0)</f>
        <v>3.0200000000000031</v>
      </c>
      <c r="G49" s="282">
        <f>(H48*G6+G7*H50)*(1+B11*B12)^(-1)</f>
        <v>3.2380581888167743</v>
      </c>
      <c r="H49" s="159"/>
      <c r="I49" s="277">
        <f>MAX($B$13-$C$7,0)</f>
        <v>3.0200000000000031</v>
      </c>
      <c r="J49" s="262"/>
      <c r="L49" s="168"/>
      <c r="M49" s="220">
        <f>(1+$B$11*$B$12)^(-1)*($S$6*N48+$S$7*N50)</f>
        <v>0</v>
      </c>
      <c r="N49" s="159"/>
      <c r="O49" s="220">
        <f>MAX($B$13-$N$7,O29)</f>
        <v>0</v>
      </c>
      <c r="P49" s="158"/>
      <c r="R49" s="282">
        <f>(1+$B$11*$B$12)^(-1)*($S$6*S48+$S$7*S50)</f>
        <v>0</v>
      </c>
      <c r="S49" s="159"/>
      <c r="T49" s="220">
        <f>MAX($B$13-$N$7,T29)</f>
        <v>0</v>
      </c>
      <c r="U49" s="158"/>
    </row>
    <row r="50" spans="1:21">
      <c r="A50" s="168"/>
      <c r="B50" s="159"/>
      <c r="C50" s="220">
        <f>MAX(B13-B8,C30)</f>
        <v>9.3999999999999986</v>
      </c>
      <c r="D50" s="158"/>
      <c r="G50" s="281"/>
      <c r="H50" s="220">
        <f>MAX(B13-B8,H30)</f>
        <v>9.3999999999999986</v>
      </c>
      <c r="I50" s="158"/>
      <c r="J50" s="262"/>
      <c r="L50" s="168"/>
      <c r="M50" s="159"/>
      <c r="N50" s="220">
        <f>MAX($B$13-$M$8,N30)</f>
        <v>0</v>
      </c>
      <c r="O50" s="159"/>
      <c r="P50" s="217">
        <f>MAX((-1)*($O$8-$B$13),0)</f>
        <v>0</v>
      </c>
      <c r="R50" s="281"/>
      <c r="S50" s="220">
        <f>MAX($B$13-$M$8,S30)</f>
        <v>0</v>
      </c>
      <c r="T50" s="159"/>
      <c r="U50" s="217">
        <f>MAX((-1)*($O$8-$B$13),0)</f>
        <v>0</v>
      </c>
    </row>
    <row r="51" spans="1:21">
      <c r="A51" s="167"/>
      <c r="B51" s="172"/>
      <c r="C51" s="172"/>
      <c r="D51" s="283">
        <f>MAX($B$13-$C$9,0)</f>
        <v>18.520000000000003</v>
      </c>
      <c r="G51" s="278"/>
      <c r="H51" s="172"/>
      <c r="I51" s="283">
        <f>MAX($B$13-$C$9,0)</f>
        <v>18.520000000000003</v>
      </c>
      <c r="J51" s="262"/>
      <c r="L51" s="168"/>
      <c r="M51" s="159"/>
      <c r="N51" s="159"/>
      <c r="O51" s="220">
        <f>MAX($B$13-$N$9,O31)</f>
        <v>0</v>
      </c>
      <c r="P51" s="158"/>
      <c r="R51" s="281"/>
      <c r="S51" s="159"/>
      <c r="T51" s="220">
        <f>MAX($B$13-$N$9,T31)</f>
        <v>0</v>
      </c>
      <c r="U51" s="158"/>
    </row>
    <row r="52" spans="1:21">
      <c r="J52" s="259"/>
      <c r="L52" s="167"/>
      <c r="M52" s="172"/>
      <c r="N52" s="172"/>
      <c r="O52" s="172"/>
      <c r="P52" s="291">
        <f>MAX((-1)*($O$10-$B$13),0)</f>
        <v>0</v>
      </c>
      <c r="R52" s="278"/>
      <c r="S52" s="172"/>
      <c r="T52" s="172"/>
      <c r="U52" s="291">
        <f>MAX((-1)*($O$10-$B$13),0)</f>
        <v>0</v>
      </c>
    </row>
    <row r="53" spans="1:21">
      <c r="J53" s="260"/>
      <c r="K53" s="155"/>
      <c r="U53" s="248"/>
    </row>
    <row r="54" spans="1:21">
      <c r="A54" s="244"/>
      <c r="B54" s="244"/>
      <c r="C54" s="244"/>
      <c r="D54" s="244"/>
      <c r="E54" s="244"/>
      <c r="F54" s="244"/>
      <c r="G54" s="244"/>
      <c r="H54" s="244"/>
      <c r="I54" s="244"/>
      <c r="J54" s="244"/>
      <c r="K54" s="244"/>
      <c r="L54" s="266"/>
      <c r="M54" s="247"/>
      <c r="N54" s="247"/>
      <c r="O54" s="244"/>
      <c r="P54" s="244"/>
      <c r="Q54" s="244"/>
      <c r="R54" s="244"/>
      <c r="S54" s="244"/>
      <c r="T54" s="244"/>
      <c r="U54" s="252"/>
    </row>
    <row r="55" spans="1:21">
      <c r="D55" s="154" t="s">
        <v>278</v>
      </c>
      <c r="L55" s="265"/>
      <c r="M55" s="159"/>
      <c r="N55" s="159"/>
      <c r="O55" s="154" t="s">
        <v>278</v>
      </c>
      <c r="U55" s="249"/>
    </row>
    <row r="56" spans="1:21">
      <c r="B56" s="159"/>
      <c r="C56" s="159"/>
      <c r="K56" s="159"/>
      <c r="L56" s="265"/>
      <c r="M56" s="159"/>
      <c r="N56" s="159"/>
      <c r="U56" s="249"/>
    </row>
    <row r="57" spans="1:21">
      <c r="B57" s="159"/>
      <c r="C57" s="159"/>
      <c r="K57" s="159"/>
      <c r="L57" s="265"/>
      <c r="M57" s="159"/>
      <c r="N57" s="159"/>
      <c r="U57" s="249"/>
    </row>
    <row r="58" spans="1:21">
      <c r="B58" s="159"/>
      <c r="C58" s="159"/>
      <c r="J58" s="159"/>
      <c r="L58" s="265" t="s">
        <v>2</v>
      </c>
      <c r="M58" s="160"/>
      <c r="N58" s="159"/>
      <c r="R58" s="154" t="s">
        <v>3</v>
      </c>
      <c r="U58" s="249"/>
    </row>
    <row r="59" spans="1:21">
      <c r="A59" s="154" t="s">
        <v>2</v>
      </c>
      <c r="B59" s="160"/>
      <c r="C59" s="159"/>
      <c r="G59" s="154" t="s">
        <v>3</v>
      </c>
      <c r="J59" s="159"/>
      <c r="L59" s="265" t="s">
        <v>210</v>
      </c>
      <c r="M59" s="246">
        <f>(S19-S21)/((R$9-R$10)*L7)</f>
        <v>0.99999999999999889</v>
      </c>
      <c r="O59" s="246">
        <f>(N21*R9-R10*N19)/((S11)*(R$9-R$10))</f>
        <v>-48.818652933908538</v>
      </c>
      <c r="R59" s="154" t="s">
        <v>210</v>
      </c>
      <c r="S59" s="246">
        <f>(P19-P21)/((R$9-R$10)*99)</f>
        <v>1.0000000000000002</v>
      </c>
      <c r="U59" s="253">
        <f>(R9*P21-R10*P19)/(R$11*(R$9-R$10))</f>
        <v>-52.843419153377795</v>
      </c>
    </row>
    <row r="60" spans="1:21">
      <c r="A60" s="154" t="s">
        <v>210</v>
      </c>
      <c r="B60" s="246">
        <f>(H19-H21)/((F$10-F$11)*A7)</f>
        <v>0.66822632839751717</v>
      </c>
      <c r="D60" s="246">
        <f>(F10*H21-H19*F11)/((1+B$11)*(F$10-F$11))</f>
        <v>-29.299154398968064</v>
      </c>
      <c r="G60" s="154" t="s">
        <v>210</v>
      </c>
      <c r="H60" s="246">
        <f>(C39-C41)/((F$10-F$11)*A$7)</f>
        <v>0.6699614521913031</v>
      </c>
      <c r="J60" s="246">
        <f>(C41*F10-C39*F12)/(F$12*(F$10-F$11))</f>
        <v>-38.187802774904277</v>
      </c>
      <c r="L60" s="265"/>
      <c r="U60" s="248"/>
    </row>
    <row r="61" spans="1:21">
      <c r="L61" s="265"/>
      <c r="U61" s="248"/>
    </row>
    <row r="62" spans="1:21">
      <c r="L62" s="265"/>
      <c r="U62" s="248"/>
    </row>
    <row r="63" spans="1:21">
      <c r="L63" s="265" t="s">
        <v>209</v>
      </c>
      <c r="M63" s="246">
        <f>(S28-S30)/((R$9-R$10)*L7)</f>
        <v>0</v>
      </c>
      <c r="O63" s="246">
        <f>(R9*N30-R10*N28)/(S$11*(R$9-R$10))</f>
        <v>0</v>
      </c>
      <c r="R63" s="154" t="s">
        <v>209</v>
      </c>
      <c r="S63" s="246">
        <f>(N28-N30)/((R$9-R$10)*L$7)</f>
        <v>0</v>
      </c>
      <c r="U63" s="253">
        <f>(R9*S50-R10*S48)/(R$11*(R$9-R$10))</f>
        <v>0</v>
      </c>
    </row>
    <row r="64" spans="1:21">
      <c r="A64" s="154" t="s">
        <v>209</v>
      </c>
      <c r="B64" s="246">
        <f>(H28-H30)/((F$10-F$11)*A7)</f>
        <v>-0.33195345296966139</v>
      </c>
      <c r="D64" s="246">
        <f>(F10*H30-F11*H28)/((G$12*(F$10-F$11)))</f>
        <v>21.561930550152546</v>
      </c>
      <c r="G64" s="154" t="s">
        <v>209</v>
      </c>
      <c r="H64" s="246">
        <f>(C48-C50)/((F$10-F$11)*A$7)</f>
        <v>-0.44135769424002608</v>
      </c>
      <c r="J64" s="246">
        <f>(H50*F10-H48*F11)/(F$12*(F$10-F$11))</f>
        <v>28.351037169394992</v>
      </c>
      <c r="L64" s="265"/>
      <c r="U64" s="248"/>
    </row>
    <row r="65" spans="1:21">
      <c r="L65" s="265"/>
      <c r="M65" s="159"/>
      <c r="N65" s="159"/>
      <c r="U65" s="249"/>
    </row>
    <row r="66" spans="1:21">
      <c r="A66" s="244"/>
      <c r="B66" s="247"/>
      <c r="C66" s="247"/>
      <c r="D66" s="244"/>
      <c r="E66" s="244"/>
      <c r="F66" s="244"/>
      <c r="G66" s="244"/>
      <c r="H66" s="244"/>
      <c r="I66" s="244"/>
      <c r="J66" s="172"/>
      <c r="K66" s="166"/>
      <c r="L66" s="266"/>
      <c r="M66" s="247"/>
      <c r="N66" s="247"/>
      <c r="O66" s="244"/>
      <c r="P66" s="244"/>
      <c r="Q66" s="244"/>
      <c r="R66" s="244"/>
      <c r="S66" s="244"/>
      <c r="T66" s="244"/>
      <c r="U66" s="252"/>
    </row>
    <row r="67" spans="1:21">
      <c r="B67" s="159"/>
      <c r="C67" s="159"/>
      <c r="D67" s="154" t="s">
        <v>281</v>
      </c>
      <c r="J67" s="159"/>
      <c r="K67" s="170"/>
      <c r="L67" s="265"/>
      <c r="M67" s="159"/>
      <c r="N67" s="159"/>
      <c r="O67" s="154" t="s">
        <v>281</v>
      </c>
      <c r="U67" s="249"/>
    </row>
    <row r="68" spans="1:21">
      <c r="B68" s="159"/>
      <c r="C68" s="159"/>
      <c r="J68" s="159"/>
      <c r="L68" s="265"/>
      <c r="M68" s="159"/>
      <c r="N68" s="159"/>
      <c r="U68" s="249"/>
    </row>
    <row r="69" spans="1:21">
      <c r="B69" s="159"/>
      <c r="C69" s="159"/>
      <c r="J69" s="159"/>
      <c r="L69" s="265"/>
      <c r="M69" s="159"/>
      <c r="N69" s="159"/>
      <c r="U69" s="249"/>
    </row>
    <row r="70" spans="1:21">
      <c r="B70" s="159"/>
      <c r="C70" s="159"/>
      <c r="J70" s="159"/>
      <c r="L70" s="265" t="s">
        <v>2</v>
      </c>
      <c r="M70" s="160"/>
      <c r="N70" s="159"/>
      <c r="R70" s="154" t="s">
        <v>3</v>
      </c>
      <c r="U70" s="249"/>
    </row>
    <row r="71" spans="1:21">
      <c r="A71" s="154" t="s">
        <v>2</v>
      </c>
      <c r="B71" s="160"/>
      <c r="C71" s="159"/>
      <c r="G71" s="154" t="s">
        <v>3</v>
      </c>
      <c r="J71" s="159"/>
      <c r="L71" s="265" t="s">
        <v>210</v>
      </c>
      <c r="M71" s="246">
        <f>(N39-N41)/((R$9-R$10)*L7)</f>
        <v>0.99999999999999889</v>
      </c>
      <c r="O71" s="246">
        <f>(R9*N41-R10*N39)/((S$11)*(R$9-R$10))</f>
        <v>-48.818652933908538</v>
      </c>
      <c r="R71" s="154" t="s">
        <v>210</v>
      </c>
      <c r="S71" s="246">
        <f>(S39-S41)/((R$9-R$10)*L$7)</f>
        <v>0.99999999999999889</v>
      </c>
      <c r="U71" s="253">
        <f>(S41*R9-S39*R10)/(R$11*(R$9-R$10))</f>
        <v>-48.856711495356571</v>
      </c>
    </row>
    <row r="72" spans="1:21">
      <c r="A72" s="154" t="s">
        <v>210</v>
      </c>
      <c r="B72" s="246">
        <f>(H39-H41)/((F$10-F$11)*A7)</f>
        <v>0.66822632839751717</v>
      </c>
      <c r="D72" s="246">
        <f>(F$11*H41-H39*F$12)/((1+B$11)*(F$10-F$11))</f>
        <v>-38.118594466465332</v>
      </c>
      <c r="G72" s="154" t="s">
        <v>210</v>
      </c>
      <c r="H72" s="246">
        <f>(C39-C41)/((F$10-F$11)*A$7)</f>
        <v>0.6699614521913031</v>
      </c>
      <c r="J72" s="246">
        <f>(C50*F10-C48*F11)/(F$12*(F$10-F$11))</f>
        <v>28.368183333090172</v>
      </c>
      <c r="L72" s="265"/>
      <c r="U72" s="248"/>
    </row>
    <row r="73" spans="1:21">
      <c r="L73" s="265"/>
      <c r="U73" s="248"/>
    </row>
    <row r="74" spans="1:21">
      <c r="L74" s="265"/>
      <c r="U74" s="248"/>
    </row>
    <row r="75" spans="1:21">
      <c r="L75" s="265" t="s">
        <v>209</v>
      </c>
      <c r="M75" s="246">
        <f>(N48-N50)/((R$9-R$10)*L7)</f>
        <v>0</v>
      </c>
      <c r="O75" s="246">
        <f>(R9*N50-R10*N48)/(S$11*(R$9-R$10))</f>
        <v>0</v>
      </c>
      <c r="R75" s="154" t="s">
        <v>209</v>
      </c>
      <c r="S75" s="246">
        <f>(S48-S50)/((R$9-R$10)*L$7)</f>
        <v>0</v>
      </c>
      <c r="U75" s="253">
        <f>(S50*R9-S48*R10)/(R$11*(R$9-R$10))</f>
        <v>0</v>
      </c>
    </row>
    <row r="76" spans="1:21">
      <c r="A76" s="154" t="s">
        <v>209</v>
      </c>
      <c r="B76" s="246">
        <f>(H48-H50)/((F$10-F$11)*A7)</f>
        <v>-0.44096633652270117</v>
      </c>
      <c r="D76" s="246">
        <f>(F$10*H50-F$11*H48)/(G$12*(F$10-F$11))</f>
        <v>28.373139370610744</v>
      </c>
      <c r="G76" s="154" t="s">
        <v>209</v>
      </c>
      <c r="H76" s="246">
        <f>(C48-C50)/((F$10-F$11)*A$7)</f>
        <v>-0.44135769424002608</v>
      </c>
      <c r="J76" s="246">
        <f>(H50*F10-H48*F11)/(F$12*(F$10-F$11))</f>
        <v>28.351037169394992</v>
      </c>
      <c r="L76" s="265"/>
      <c r="U76" s="248"/>
    </row>
    <row r="77" spans="1:21">
      <c r="A77" s="244"/>
      <c r="B77" s="250"/>
      <c r="C77" s="244"/>
      <c r="D77" s="244"/>
      <c r="E77" s="244"/>
      <c r="F77" s="244"/>
      <c r="G77" s="244"/>
      <c r="H77" s="244"/>
      <c r="I77" s="244"/>
      <c r="J77" s="244"/>
      <c r="K77" s="245"/>
      <c r="L77" s="244"/>
      <c r="M77" s="244"/>
      <c r="N77" s="244"/>
      <c r="O77" s="244"/>
      <c r="P77" s="244"/>
      <c r="Q77" s="244"/>
      <c r="R77" s="244"/>
      <c r="S77" s="244"/>
      <c r="T77" s="244"/>
      <c r="U77" s="251"/>
    </row>
    <row r="78" spans="1:21">
      <c r="L78" s="267"/>
      <c r="U78" s="264"/>
    </row>
    <row r="79" spans="1:21" ht="18.75">
      <c r="A79" s="161" t="s">
        <v>293</v>
      </c>
      <c r="L79" s="268" t="s">
        <v>293</v>
      </c>
      <c r="U79" s="248"/>
    </row>
    <row r="80" spans="1:21">
      <c r="L80" s="265"/>
      <c r="U80" s="248"/>
    </row>
    <row r="81" spans="1:21">
      <c r="A81" s="254" t="s">
        <v>283</v>
      </c>
      <c r="D81" s="254" t="s">
        <v>284</v>
      </c>
      <c r="L81" s="269" t="s">
        <v>283</v>
      </c>
      <c r="O81" s="254" t="s">
        <v>284</v>
      </c>
      <c r="U81" s="248"/>
    </row>
    <row r="82" spans="1:21">
      <c r="C82" s="255">
        <f>A7*G12^2</f>
        <v>61.65120000000001</v>
      </c>
      <c r="F82" s="246">
        <f>A7*F12^2</f>
        <v>61.747362857472631</v>
      </c>
      <c r="L82" s="265"/>
      <c r="N82" s="255">
        <f>S11^3*L7</f>
        <v>112.4864</v>
      </c>
      <c r="Q82" s="246">
        <f>L7*R11^3</f>
        <v>112.74968515793755</v>
      </c>
      <c r="U82" s="248"/>
    </row>
    <row r="83" spans="1:21">
      <c r="L83" s="265"/>
      <c r="U83" s="248"/>
    </row>
    <row r="84" spans="1:21">
      <c r="A84" s="254" t="s">
        <v>285</v>
      </c>
      <c r="D84" s="254" t="s">
        <v>286</v>
      </c>
      <c r="L84" s="269" t="s">
        <v>285</v>
      </c>
      <c r="O84" s="254" t="s">
        <v>286</v>
      </c>
      <c r="U84" s="248"/>
    </row>
    <row r="85" spans="1:21">
      <c r="C85" s="246">
        <f>B6*G12</f>
        <v>67.5792</v>
      </c>
      <c r="F85" s="246">
        <f>B6*F12</f>
        <v>67.631884107021392</v>
      </c>
      <c r="L85" s="265"/>
      <c r="N85" s="246">
        <f>M6*S11^2</f>
        <v>118.97600000000001</v>
      </c>
      <c r="Q85" s="246">
        <f>M6*R11^2</f>
        <v>119.16157744424542</v>
      </c>
      <c r="U85" s="248"/>
    </row>
    <row r="86" spans="1:21">
      <c r="C86" s="246">
        <f>B8*G12</f>
        <v>47.424000000000007</v>
      </c>
      <c r="F86" s="246">
        <f>B8*F12</f>
        <v>47.460971303172904</v>
      </c>
      <c r="L86" s="265"/>
      <c r="N86" s="246">
        <f>M8*S11^2</f>
        <v>97.344000000000008</v>
      </c>
      <c r="Q86" s="246">
        <f>M8*R11^2</f>
        <v>97.495836090746252</v>
      </c>
      <c r="U86" s="248"/>
    </row>
    <row r="87" spans="1:21">
      <c r="L87" s="265"/>
      <c r="U87" s="248"/>
    </row>
    <row r="88" spans="1:21">
      <c r="A88" s="254" t="s">
        <v>287</v>
      </c>
      <c r="D88" s="254" t="s">
        <v>288</v>
      </c>
      <c r="L88" s="269" t="s">
        <v>287</v>
      </c>
      <c r="O88" s="254" t="s">
        <v>288</v>
      </c>
      <c r="U88" s="248"/>
    </row>
    <row r="89" spans="1:21">
      <c r="C89" s="246">
        <f>C5</f>
        <v>74.08</v>
      </c>
      <c r="F89" s="246">
        <f>C89</f>
        <v>74.08</v>
      </c>
      <c r="L89" s="265"/>
      <c r="N89" s="246">
        <f>N5*S11</f>
        <v>125.84</v>
      </c>
      <c r="O89" s="265"/>
      <c r="Q89" s="246">
        <f>N5*R11</f>
        <v>125.93810367727897</v>
      </c>
      <c r="U89" s="248"/>
    </row>
    <row r="90" spans="1:21">
      <c r="C90" s="246">
        <f>C7</f>
        <v>51.98</v>
      </c>
      <c r="F90" s="246">
        <f t="shared" ref="F90:F91" si="0">C90</f>
        <v>51.98</v>
      </c>
      <c r="L90" s="265"/>
      <c r="N90" s="246">
        <f>N7*S11</f>
        <v>102.96000000000001</v>
      </c>
      <c r="O90" s="265"/>
      <c r="Q90" s="246">
        <f>N7*R11</f>
        <v>103.04026664504643</v>
      </c>
      <c r="U90" s="248"/>
    </row>
    <row r="91" spans="1:21">
      <c r="C91" s="246">
        <f>C9</f>
        <v>36.479999999999997</v>
      </c>
      <c r="F91" s="246">
        <f t="shared" si="0"/>
        <v>36.479999999999997</v>
      </c>
      <c r="L91" s="265"/>
      <c r="N91" s="246">
        <f>N9*S11</f>
        <v>84.240000000000009</v>
      </c>
      <c r="O91" s="265"/>
      <c r="Q91" s="246">
        <f>N9*R11</f>
        <v>84.305672709583447</v>
      </c>
      <c r="U91" s="248"/>
    </row>
    <row r="92" spans="1:21">
      <c r="L92" s="265"/>
      <c r="O92" s="265"/>
      <c r="U92" s="248"/>
    </row>
    <row r="93" spans="1:21">
      <c r="L93" s="269" t="s">
        <v>294</v>
      </c>
      <c r="O93" s="254" t="s">
        <v>295</v>
      </c>
      <c r="U93" s="248"/>
    </row>
    <row r="94" spans="1:21">
      <c r="A94" s="254" t="s">
        <v>289</v>
      </c>
      <c r="D94" s="254" t="s">
        <v>290</v>
      </c>
      <c r="L94" s="265"/>
      <c r="U94" s="248"/>
    </row>
    <row r="95" spans="1:21">
      <c r="C95" s="255">
        <f>C85-C82</f>
        <v>5.9279999999999902</v>
      </c>
      <c r="F95" s="246">
        <f>F85-F82</f>
        <v>5.8845212495487615</v>
      </c>
      <c r="L95" s="265"/>
      <c r="N95" s="246">
        <f>O4</f>
        <v>133.1</v>
      </c>
      <c r="Q95" s="246">
        <f>N95</f>
        <v>133.1</v>
      </c>
      <c r="U95" s="248"/>
    </row>
    <row r="96" spans="1:21">
      <c r="C96" s="255">
        <f>C86-C82</f>
        <v>-14.227200000000003</v>
      </c>
      <c r="F96" s="246">
        <f>F86-F82</f>
        <v>-14.286391554299726</v>
      </c>
      <c r="L96" s="265"/>
      <c r="N96" s="246">
        <f>O6</f>
        <v>108.9</v>
      </c>
      <c r="Q96" s="246">
        <f t="shared" ref="Q96:Q98" si="1">N96</f>
        <v>108.9</v>
      </c>
      <c r="U96" s="248"/>
    </row>
    <row r="97" spans="1:21">
      <c r="L97" s="265"/>
      <c r="N97" s="246">
        <f>O8</f>
        <v>89.1</v>
      </c>
      <c r="Q97" s="246">
        <f t="shared" si="1"/>
        <v>89.1</v>
      </c>
      <c r="U97" s="248"/>
    </row>
    <row r="98" spans="1:21">
      <c r="A98" s="254" t="s">
        <v>291</v>
      </c>
      <c r="D98" s="254" t="s">
        <v>292</v>
      </c>
      <c r="L98" s="265"/>
      <c r="N98" s="246">
        <f>O10</f>
        <v>72.900000000000006</v>
      </c>
      <c r="Q98" s="246">
        <f t="shared" si="1"/>
        <v>72.900000000000006</v>
      </c>
      <c r="U98" s="248"/>
    </row>
    <row r="99" spans="1:21">
      <c r="C99" s="246">
        <f>C89-C85</f>
        <v>6.5007999999999981</v>
      </c>
      <c r="F99" s="246">
        <f>F89-F85</f>
        <v>6.4481158929786062</v>
      </c>
      <c r="L99" s="265"/>
      <c r="U99" s="248"/>
    </row>
    <row r="100" spans="1:21">
      <c r="C100" s="246">
        <f>C90-C85</f>
        <v>-15.599200000000003</v>
      </c>
      <c r="F100" s="246">
        <f>F90-F85</f>
        <v>-15.651884107021395</v>
      </c>
      <c r="L100" s="265"/>
      <c r="U100" s="248"/>
    </row>
    <row r="101" spans="1:21">
      <c r="C101" s="263">
        <f>C90-C86</f>
        <v>4.5559999999999903</v>
      </c>
      <c r="F101" s="246">
        <f>F90-F86</f>
        <v>4.5190286968270925</v>
      </c>
      <c r="L101" s="269" t="s">
        <v>289</v>
      </c>
      <c r="O101" s="254" t="s">
        <v>290</v>
      </c>
      <c r="U101" s="248"/>
    </row>
    <row r="102" spans="1:21">
      <c r="C102" s="263">
        <f>C91-C86</f>
        <v>-10.94400000000001</v>
      </c>
      <c r="F102" s="246">
        <f>F91-F86</f>
        <v>-10.980971303172907</v>
      </c>
      <c r="L102" s="265"/>
      <c r="N102" s="255">
        <f>N85-N82</f>
        <v>6.48960000000001</v>
      </c>
      <c r="Q102" s="246">
        <f>Q85-Q82</f>
        <v>6.4118922863078751</v>
      </c>
      <c r="U102" s="248"/>
    </row>
    <row r="103" spans="1:21">
      <c r="L103" s="265"/>
      <c r="N103" s="255">
        <f>N86-N82</f>
        <v>-15.142399999999995</v>
      </c>
      <c r="Q103" s="246">
        <f>Q86-Q82</f>
        <v>-15.253849067191297</v>
      </c>
      <c r="U103" s="248"/>
    </row>
    <row r="104" spans="1:21">
      <c r="L104" s="265"/>
      <c r="U104" s="248"/>
    </row>
    <row r="105" spans="1:21">
      <c r="L105" s="269" t="s">
        <v>291</v>
      </c>
      <c r="O105" s="254" t="s">
        <v>292</v>
      </c>
      <c r="U105" s="248"/>
    </row>
    <row r="106" spans="1:21">
      <c r="L106" s="265"/>
      <c r="N106" s="246">
        <f>N89-N85</f>
        <v>6.8639999999999901</v>
      </c>
      <c r="Q106" s="246">
        <f>Q89-Q85</f>
        <v>6.7765262330335503</v>
      </c>
      <c r="U106" s="248"/>
    </row>
    <row r="107" spans="1:21">
      <c r="L107" s="265"/>
      <c r="N107" s="246">
        <f>N90-N85</f>
        <v>-16.016000000000005</v>
      </c>
      <c r="Q107" s="246">
        <f>Q90-Q85</f>
        <v>-16.121310799198994</v>
      </c>
      <c r="U107" s="248"/>
    </row>
    <row r="108" spans="1:21">
      <c r="L108" s="265"/>
      <c r="N108" s="263">
        <f>N90-N86</f>
        <v>5.6159999999999997</v>
      </c>
      <c r="Q108" s="246">
        <f>Q90-Q86</f>
        <v>5.5444305543001775</v>
      </c>
      <c r="U108" s="248"/>
    </row>
    <row r="109" spans="1:21">
      <c r="L109" s="265"/>
      <c r="N109" s="263">
        <f>N91-N86</f>
        <v>-13.103999999999999</v>
      </c>
      <c r="Q109" s="246">
        <f>Q91-Q86</f>
        <v>-13.190163381162805</v>
      </c>
      <c r="U109" s="248"/>
    </row>
    <row r="110" spans="1:21">
      <c r="L110" s="265"/>
      <c r="U110" s="248"/>
    </row>
    <row r="111" spans="1:21">
      <c r="L111" s="269" t="s">
        <v>296</v>
      </c>
      <c r="O111" s="254" t="s">
        <v>297</v>
      </c>
      <c r="U111" s="248"/>
    </row>
    <row r="112" spans="1:21">
      <c r="L112" s="265"/>
      <c r="N112" s="246">
        <f>N95-N89</f>
        <v>7.2599999999999909</v>
      </c>
      <c r="O112" s="265"/>
      <c r="Q112" s="246">
        <f>Q95-Q89</f>
        <v>7.1618963227210202</v>
      </c>
      <c r="U112" s="248"/>
    </row>
    <row r="113" spans="2:21">
      <c r="L113" s="265"/>
      <c r="N113" s="246">
        <f>N96-N89</f>
        <v>-16.939999999999998</v>
      </c>
      <c r="O113" s="265"/>
      <c r="Q113" s="246">
        <f>Q96-Q89</f>
        <v>-17.038103677278968</v>
      </c>
      <c r="U113" s="248"/>
    </row>
    <row r="114" spans="2:21">
      <c r="L114" s="265"/>
      <c r="N114" s="246">
        <f>N96-N90</f>
        <v>5.9399999999999977</v>
      </c>
      <c r="O114" s="265"/>
      <c r="Q114" s="246">
        <f>Q96-Q90</f>
        <v>5.8597333549535762</v>
      </c>
      <c r="U114" s="248"/>
    </row>
    <row r="115" spans="2:21">
      <c r="L115" s="265"/>
      <c r="N115" s="246">
        <f>N97-N90</f>
        <v>-13.860000000000014</v>
      </c>
      <c r="O115" s="265"/>
      <c r="Q115" s="246">
        <f>Q97-Q90</f>
        <v>-13.940266645046435</v>
      </c>
      <c r="U115" s="248"/>
    </row>
    <row r="116" spans="2:21">
      <c r="L116" s="265"/>
      <c r="N116" s="246">
        <f>N97-N91</f>
        <v>4.8599999999999852</v>
      </c>
      <c r="O116" s="265"/>
      <c r="Q116" s="246">
        <f>Q97-Q91</f>
        <v>4.7943272904165468</v>
      </c>
      <c r="U116" s="248"/>
    </row>
    <row r="117" spans="2:21"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66"/>
      <c r="M117" s="244"/>
      <c r="N117" s="270">
        <f>N98-N91</f>
        <v>-11.340000000000003</v>
      </c>
      <c r="O117" s="266"/>
      <c r="P117" s="244"/>
      <c r="Q117" s="271">
        <f>Q98-Q91</f>
        <v>-11.405672709583442</v>
      </c>
      <c r="R117" s="244"/>
      <c r="S117" s="244"/>
      <c r="T117" s="244"/>
      <c r="U117" s="25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96"/>
  <sheetViews>
    <sheetView zoomScale="119" workbookViewId="0">
      <selection activeCell="L11" sqref="L11"/>
    </sheetView>
  </sheetViews>
  <sheetFormatPr defaultColWidth="8.7109375" defaultRowHeight="15"/>
  <sheetData>
    <row r="1" spans="1:26" ht="29.25" thickBot="1">
      <c r="A1" s="349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</row>
    <row r="2" spans="1:26" ht="28.5">
      <c r="A2" s="350" t="s">
        <v>139</v>
      </c>
      <c r="B2" s="350"/>
      <c r="C2" s="350"/>
      <c r="D2" s="350"/>
      <c r="K2" s="351" t="s">
        <v>140</v>
      </c>
      <c r="L2" s="350"/>
      <c r="M2" s="350"/>
      <c r="N2" s="350"/>
    </row>
    <row r="3" spans="1:26">
      <c r="A3" s="71" t="s">
        <v>141</v>
      </c>
      <c r="B3" s="71"/>
      <c r="C3" s="71"/>
      <c r="D3" s="8" t="s">
        <v>136</v>
      </c>
      <c r="E3" s="3">
        <v>300</v>
      </c>
      <c r="G3" s="98" t="s">
        <v>134</v>
      </c>
      <c r="H3" s="99" t="s">
        <v>142</v>
      </c>
      <c r="I3" s="224">
        <f>H72*H64-H70*H66</f>
        <v>26.940993083498256</v>
      </c>
      <c r="K3" s="100" t="s">
        <v>143</v>
      </c>
      <c r="L3" s="71"/>
      <c r="M3" s="8" t="s">
        <v>8</v>
      </c>
      <c r="N3" s="3">
        <v>1</v>
      </c>
      <c r="O3" s="6" t="s">
        <v>144</v>
      </c>
      <c r="P3" t="s">
        <v>145</v>
      </c>
    </row>
    <row r="4" spans="1:26">
      <c r="A4" s="71" t="s">
        <v>146</v>
      </c>
      <c r="B4" s="71"/>
      <c r="C4" s="71"/>
      <c r="D4" s="8" t="s">
        <v>18</v>
      </c>
      <c r="E4" s="3">
        <v>295</v>
      </c>
      <c r="G4" t="s">
        <v>147</v>
      </c>
      <c r="H4" s="8" t="s">
        <v>148</v>
      </c>
      <c r="I4" s="30">
        <f>H71*H64</f>
        <v>0.71022994781914384</v>
      </c>
      <c r="K4" s="14" t="s">
        <v>149</v>
      </c>
      <c r="P4" t="s">
        <v>150</v>
      </c>
    </row>
    <row r="5" spans="1:26">
      <c r="A5" s="71" t="s">
        <v>151</v>
      </c>
      <c r="B5" s="71"/>
      <c r="C5" s="71"/>
      <c r="D5" s="8" t="s">
        <v>152</v>
      </c>
      <c r="E5" s="5">
        <v>0.13478999999999999</v>
      </c>
      <c r="H5" s="8" t="s">
        <v>153</v>
      </c>
      <c r="I5" s="30">
        <f>(H71/(E3*H59))*H73</f>
        <v>8.461971423075712E-3</v>
      </c>
      <c r="K5" s="14"/>
      <c r="L5" s="98" t="s">
        <v>134</v>
      </c>
      <c r="M5" s="99" t="s">
        <v>142</v>
      </c>
      <c r="N5" s="224">
        <f>E3*Z17-E4*Z12*Z18</f>
        <v>26.940993083498256</v>
      </c>
      <c r="P5" t="s">
        <v>154</v>
      </c>
    </row>
    <row r="6" spans="1:26">
      <c r="A6" s="71" t="s">
        <v>155</v>
      </c>
      <c r="B6" s="71"/>
      <c r="C6" s="71"/>
      <c r="D6" s="8" t="s">
        <v>6</v>
      </c>
      <c r="E6" s="5">
        <v>4.879E-2</v>
      </c>
      <c r="H6" s="8" t="s">
        <v>156</v>
      </c>
      <c r="I6" s="30">
        <f>1/E9*(-(((E3*E5*H71)/(2*SQRT(E8)))*H73)-E6*E4*H69*H66+E7*E3*H71*H64)</f>
        <v>-1.3332904233109339</v>
      </c>
      <c r="K6" s="14"/>
      <c r="L6" t="s">
        <v>147</v>
      </c>
      <c r="M6" s="8" t="s">
        <v>148</v>
      </c>
      <c r="N6" s="30">
        <f>Z17</f>
        <v>0.71022994781914384</v>
      </c>
      <c r="P6" t="s">
        <v>157</v>
      </c>
    </row>
    <row r="7" spans="1:26">
      <c r="A7" s="71" t="s">
        <v>158</v>
      </c>
      <c r="B7" s="71"/>
      <c r="C7" s="71"/>
      <c r="D7" s="8" t="s">
        <v>17</v>
      </c>
      <c r="E7" s="4">
        <v>0</v>
      </c>
      <c r="H7" s="8" t="s">
        <v>159</v>
      </c>
      <c r="I7" s="30">
        <f>1/100*E3*H71*SQRT(E8)*H73</f>
        <v>1.0265302153047378</v>
      </c>
      <c r="K7" s="14"/>
      <c r="M7" s="8" t="s">
        <v>153</v>
      </c>
      <c r="N7" s="30">
        <f>_xlfn.NORM.DIST(Z14,0,1,FALSE)/(E3*E5*SQRT(N3))</f>
        <v>8.4619714230757138E-3</v>
      </c>
    </row>
    <row r="8" spans="1:26">
      <c r="A8" s="71" t="s">
        <v>160</v>
      </c>
      <c r="B8" s="71"/>
      <c r="C8" s="71"/>
      <c r="D8" s="8" t="s">
        <v>9</v>
      </c>
      <c r="E8" s="5">
        <v>1</v>
      </c>
      <c r="H8" s="8" t="s">
        <v>161</v>
      </c>
      <c r="I8" s="30">
        <f>1/100*E4*E8*H69*H66</f>
        <v>1.8612799126224491</v>
      </c>
      <c r="K8" s="14"/>
      <c r="M8" s="8" t="s">
        <v>156</v>
      </c>
      <c r="N8" s="30">
        <f>-(E3*_xlfn.NORM.S.DIST(Z14,FALSE)*E5)/(2*SQRT(N3))-E6*E4*Z12*_xlfn.NORM.S.DIST(Z15,TRUE)</f>
        <v>-15.999485079731208</v>
      </c>
    </row>
    <row r="9" spans="1:26">
      <c r="A9" s="71" t="s">
        <v>162</v>
      </c>
      <c r="B9" s="71"/>
      <c r="C9" s="71"/>
      <c r="D9" s="8" t="s">
        <v>8</v>
      </c>
      <c r="E9" s="3">
        <v>12</v>
      </c>
      <c r="K9" s="14"/>
      <c r="M9" s="8" t="s">
        <v>159</v>
      </c>
      <c r="N9" s="30">
        <f>E3*SQRT(N3)*_xlfn.NORM.S.DIST(Z14,FALSE)</f>
        <v>102.65302153047378</v>
      </c>
    </row>
    <row r="10" spans="1:26">
      <c r="D10" t="s">
        <v>163</v>
      </c>
      <c r="G10" s="98" t="s">
        <v>135</v>
      </c>
      <c r="H10" s="99" t="s">
        <v>142</v>
      </c>
      <c r="I10" s="224">
        <f>H70*H67-H72*H65</f>
        <v>7.8934201596758129</v>
      </c>
      <c r="K10" s="14"/>
      <c r="M10" s="8" t="s">
        <v>161</v>
      </c>
      <c r="N10" s="30">
        <f>E4*N3*Z12*_xlfn.NORM.S.DIST(Z15,TRUE)</f>
        <v>186.1279912622449</v>
      </c>
      <c r="Y10" t="s">
        <v>164</v>
      </c>
    </row>
    <row r="11" spans="1:26">
      <c r="D11" t="s">
        <v>165</v>
      </c>
      <c r="G11" t="s">
        <v>147</v>
      </c>
      <c r="H11" s="8" t="s">
        <v>148</v>
      </c>
      <c r="I11" s="30">
        <f>H71*(H64-1)</f>
        <v>-0.28977005218085616</v>
      </c>
      <c r="K11" s="14"/>
    </row>
    <row r="12" spans="1:26">
      <c r="H12" s="8" t="s">
        <v>153</v>
      </c>
      <c r="I12" s="30">
        <f>I5</f>
        <v>8.461971423075712E-3</v>
      </c>
      <c r="K12" s="14"/>
      <c r="L12" s="98" t="s">
        <v>135</v>
      </c>
      <c r="M12" s="99" t="s">
        <v>142</v>
      </c>
      <c r="N12" s="224">
        <f>E4*Z12*Z20-E3*Z19</f>
        <v>7.8934201596758129</v>
      </c>
      <c r="Y12" t="s">
        <v>166</v>
      </c>
      <c r="Z12">
        <f>EXP(-(E6*N3))</f>
        <v>0.95238110873280524</v>
      </c>
    </row>
    <row r="13" spans="1:26">
      <c r="H13" s="8" t="s">
        <v>156</v>
      </c>
      <c r="I13" s="30">
        <f>1/E9*(-(((E3*E5*H71)/(2*SQRT(E8)))*H73)+E6*E4*H69*H67-E7*E3*H71*H65)</f>
        <v>-0.19098468022370874</v>
      </c>
      <c r="K13" s="14"/>
      <c r="L13" t="s">
        <v>147</v>
      </c>
      <c r="M13" s="8" t="s">
        <v>148</v>
      </c>
      <c r="N13" s="30">
        <f>N6-1</f>
        <v>-0.28977005218085616</v>
      </c>
      <c r="Y13" t="s">
        <v>167</v>
      </c>
      <c r="Z13">
        <f>EXP(-(E7*N3))</f>
        <v>1</v>
      </c>
    </row>
    <row r="14" spans="1:26">
      <c r="H14" s="8" t="s">
        <v>159</v>
      </c>
      <c r="I14" s="30">
        <f>I7</f>
        <v>1.0265302153047378</v>
      </c>
      <c r="K14" s="14"/>
      <c r="Y14" t="s">
        <v>0</v>
      </c>
      <c r="Z14" s="10">
        <f>(H57+N3*(E6-E7+(E5^2)/2))/(E5*SQRT(N3))</f>
        <v>0.55405660929135092</v>
      </c>
    </row>
    <row r="15" spans="1:26">
      <c r="H15" s="8" t="s">
        <v>161</v>
      </c>
      <c r="I15" s="30">
        <f>-1/100*E4*E8*H69*H67</f>
        <v>-0.94824435813932673</v>
      </c>
      <c r="K15" s="14"/>
      <c r="Y15" t="s">
        <v>1</v>
      </c>
      <c r="Z15" s="10">
        <f>Z14-E5*SQRT(N3)</f>
        <v>0.41926660929135096</v>
      </c>
    </row>
    <row r="16" spans="1:26">
      <c r="K16" s="14"/>
    </row>
    <row r="17" spans="3:33">
      <c r="K17" s="14"/>
      <c r="Y17" t="s">
        <v>168</v>
      </c>
      <c r="Z17">
        <f>_xlfn.NORM.S.DIST(Z14,TRUE)</f>
        <v>0.71022994781914384</v>
      </c>
    </row>
    <row r="18" spans="3:33">
      <c r="D18" s="352" t="s">
        <v>169</v>
      </c>
      <c r="E18" s="352"/>
      <c r="F18" s="352"/>
      <c r="K18" s="14"/>
      <c r="P18" s="352" t="s">
        <v>170</v>
      </c>
      <c r="Q18" s="352"/>
      <c r="Y18" t="s">
        <v>171</v>
      </c>
      <c r="Z18">
        <f>_xlfn.NORM.S.DIST(Z15,TRUE)</f>
        <v>0.6624893516644299</v>
      </c>
    </row>
    <row r="19" spans="3:33" ht="15.75" thickBot="1">
      <c r="D19" t="s">
        <v>172</v>
      </c>
      <c r="K19" s="14"/>
      <c r="P19" t="s">
        <v>172</v>
      </c>
      <c r="R19" s="83" t="s">
        <v>5</v>
      </c>
      <c r="Y19" t="s">
        <v>173</v>
      </c>
      <c r="Z19">
        <f>_xlfn.NORM.S.DIST(-Z14,TRUE)</f>
        <v>0.28977005218085616</v>
      </c>
    </row>
    <row r="20" spans="3:33" ht="15.75" thickBot="1">
      <c r="K20" s="14"/>
      <c r="P20" s="8"/>
      <c r="Q20" s="8"/>
      <c r="R20" s="8"/>
      <c r="S20" s="8"/>
      <c r="T20" s="8"/>
      <c r="Y20" t="s">
        <v>174</v>
      </c>
      <c r="Z20">
        <f>_xlfn.NORM.S.DIST(-Z15,TRUE)</f>
        <v>0.3375106483355701</v>
      </c>
      <c r="AG20" s="101"/>
    </row>
    <row r="21" spans="3:33">
      <c r="C21" t="s">
        <v>175</v>
      </c>
      <c r="K21" s="14"/>
      <c r="P21" s="8"/>
      <c r="Q21" s="8"/>
      <c r="R21" s="8"/>
      <c r="S21" s="8"/>
      <c r="T21" s="8"/>
    </row>
    <row r="22" spans="3:33">
      <c r="K22" s="14"/>
    </row>
    <row r="23" spans="3:33">
      <c r="C23" t="s">
        <v>176</v>
      </c>
      <c r="K23" s="14"/>
    </row>
    <row r="24" spans="3:33">
      <c r="K24" s="14"/>
      <c r="T24" t="s">
        <v>177</v>
      </c>
    </row>
    <row r="25" spans="3:33">
      <c r="K25" s="14"/>
    </row>
    <row r="26" spans="3:33">
      <c r="K26" s="14"/>
    </row>
    <row r="27" spans="3:33">
      <c r="K27" s="14"/>
    </row>
    <row r="28" spans="3:33">
      <c r="K28" s="14"/>
    </row>
    <row r="29" spans="3:33">
      <c r="K29" s="14"/>
      <c r="O29" t="s">
        <v>178</v>
      </c>
    </row>
    <row r="30" spans="3:33">
      <c r="K30" s="14"/>
    </row>
    <row r="31" spans="3:33">
      <c r="C31" t="s">
        <v>179</v>
      </c>
      <c r="K31" s="14"/>
    </row>
    <row r="32" spans="3:33">
      <c r="K32" s="14"/>
    </row>
    <row r="33" spans="3:16">
      <c r="C33" t="s">
        <v>180</v>
      </c>
      <c r="K33" s="14"/>
    </row>
    <row r="34" spans="3:16">
      <c r="C34" t="s">
        <v>181</v>
      </c>
      <c r="K34" s="14"/>
    </row>
    <row r="35" spans="3:16">
      <c r="J35" s="15"/>
    </row>
    <row r="36" spans="3:16">
      <c r="J36" s="15"/>
    </row>
    <row r="37" spans="3:16">
      <c r="J37" s="15"/>
    </row>
    <row r="38" spans="3:16">
      <c r="J38" s="15"/>
    </row>
    <row r="39" spans="3:16">
      <c r="J39" s="15"/>
    </row>
    <row r="40" spans="3:16">
      <c r="J40" s="15"/>
    </row>
    <row r="41" spans="3:16">
      <c r="J41" s="15"/>
      <c r="P41" t="s">
        <v>182</v>
      </c>
    </row>
    <row r="42" spans="3:16">
      <c r="J42" s="15"/>
      <c r="O42" t="s">
        <v>183</v>
      </c>
    </row>
    <row r="43" spans="3:16">
      <c r="J43" s="15"/>
    </row>
    <row r="44" spans="3:16">
      <c r="J44" s="15"/>
    </row>
    <row r="45" spans="3:16">
      <c r="J45" s="15"/>
    </row>
    <row r="46" spans="3:16">
      <c r="J46" s="15"/>
    </row>
    <row r="47" spans="3:16">
      <c r="J47" s="15"/>
    </row>
    <row r="48" spans="3:16">
      <c r="J48" s="15"/>
    </row>
    <row r="49" spans="4:10">
      <c r="J49" s="15"/>
    </row>
    <row r="50" spans="4:10">
      <c r="J50" s="15"/>
    </row>
    <row r="51" spans="4:10">
      <c r="J51" s="15"/>
    </row>
    <row r="55" spans="4:10">
      <c r="D55" t="s">
        <v>164</v>
      </c>
    </row>
    <row r="57" spans="4:10">
      <c r="E57" t="s">
        <v>184</v>
      </c>
      <c r="H57">
        <f>LN(E3/E4)</f>
        <v>1.6807118316381191E-2</v>
      </c>
    </row>
    <row r="58" spans="4:10">
      <c r="E58" t="s">
        <v>185</v>
      </c>
      <c r="H58">
        <f>E8*(E6-E7+E5^2/2)</f>
        <v>5.7874172049999999E-2</v>
      </c>
    </row>
    <row r="59" spans="4:10">
      <c r="E59" t="s">
        <v>186</v>
      </c>
      <c r="H59" s="10">
        <f>E5*SQRT(E8)</f>
        <v>0.13478999999999999</v>
      </c>
    </row>
    <row r="61" spans="4:10">
      <c r="E61" t="s">
        <v>0</v>
      </c>
      <c r="H61" s="70">
        <f>((H57+H58)/H59)</f>
        <v>0.55405660929135092</v>
      </c>
    </row>
    <row r="62" spans="4:10">
      <c r="E62" t="s">
        <v>1</v>
      </c>
      <c r="H62" s="10">
        <f>H61-H59</f>
        <v>0.41926660929135096</v>
      </c>
    </row>
    <row r="64" spans="4:10">
      <c r="E64" t="s">
        <v>168</v>
      </c>
      <c r="H64">
        <f>_xlfn.NORM.S.DIST(H61,TRUE)</f>
        <v>0.71022994781914384</v>
      </c>
    </row>
    <row r="65" spans="3:8">
      <c r="C65" t="s">
        <v>172</v>
      </c>
      <c r="E65" t="s">
        <v>173</v>
      </c>
      <c r="H65">
        <f>_xlfn.NORM.S.DIST(-H61,TRUE)</f>
        <v>0.28977005218085616</v>
      </c>
    </row>
    <row r="66" spans="3:8">
      <c r="E66" t="s">
        <v>171</v>
      </c>
      <c r="H66">
        <f>_xlfn.NORM.S.DIST(H62,TRUE)</f>
        <v>0.6624893516644299</v>
      </c>
    </row>
    <row r="67" spans="3:8">
      <c r="E67" t="s">
        <v>174</v>
      </c>
      <c r="H67">
        <f>_xlfn.NORM.S.DIST(-H62,TRUE)</f>
        <v>0.3375106483355701</v>
      </c>
    </row>
    <row r="69" spans="3:8">
      <c r="E69" t="s">
        <v>187</v>
      </c>
      <c r="H69">
        <f>EXP(-E6*E8)</f>
        <v>0.95238110873280524</v>
      </c>
    </row>
    <row r="70" spans="3:8">
      <c r="E70" t="s">
        <v>188</v>
      </c>
      <c r="H70">
        <f>E4*H69</f>
        <v>280.95242707617757</v>
      </c>
    </row>
    <row r="71" spans="3:8">
      <c r="E71" t="s">
        <v>189</v>
      </c>
      <c r="H71">
        <f>EXP(-E7*E8)</f>
        <v>1</v>
      </c>
    </row>
    <row r="72" spans="3:8">
      <c r="E72" t="s">
        <v>190</v>
      </c>
      <c r="H72">
        <f>E3*H71</f>
        <v>300</v>
      </c>
    </row>
    <row r="73" spans="3:8">
      <c r="E73" t="s">
        <v>191</v>
      </c>
      <c r="H73">
        <f>1/(SQRT(2*PI())*EXP((-H61^2)/2))</f>
        <v>0.34217673843491259</v>
      </c>
    </row>
    <row r="90" spans="4:4">
      <c r="D90" t="s">
        <v>192</v>
      </c>
    </row>
    <row r="92" spans="4:4">
      <c r="D92" t="s">
        <v>193</v>
      </c>
    </row>
    <row r="93" spans="4:4">
      <c r="D93" t="s">
        <v>194</v>
      </c>
    </row>
    <row r="94" spans="4:4">
      <c r="D94" t="s">
        <v>195</v>
      </c>
    </row>
    <row r="95" spans="4:4">
      <c r="D95" t="s">
        <v>196</v>
      </c>
    </row>
    <row r="96" spans="4:4">
      <c r="D96" t="s">
        <v>197</v>
      </c>
    </row>
  </sheetData>
  <mergeCells count="5">
    <mergeCell ref="A1:V1"/>
    <mergeCell ref="A2:D2"/>
    <mergeCell ref="K2:N2"/>
    <mergeCell ref="D18:F18"/>
    <mergeCell ref="P18:Q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9659-3C90-D642-8578-87D55EC9FD5E}">
  <dimension ref="A1:K65"/>
  <sheetViews>
    <sheetView topLeftCell="A36" zoomScale="125" zoomScaleNormal="125" workbookViewId="0">
      <selection activeCell="I6" sqref="I6"/>
    </sheetView>
  </sheetViews>
  <sheetFormatPr defaultColWidth="11" defaultRowHeight="15.75"/>
  <cols>
    <col min="1" max="2" width="11" style="154"/>
    <col min="3" max="3" width="12.42578125" style="154" customWidth="1"/>
    <col min="4" max="4" width="12.42578125" style="154" bestFit="1" customWidth="1"/>
    <col min="5" max="16384" width="11" style="154"/>
  </cols>
  <sheetData>
    <row r="1" spans="1:10" ht="26.25">
      <c r="A1" s="164" t="s">
        <v>274</v>
      </c>
    </row>
    <row r="3" spans="1:10">
      <c r="A3" s="154" t="s">
        <v>268</v>
      </c>
      <c r="H3" s="154" t="s">
        <v>267</v>
      </c>
    </row>
    <row r="4" spans="1:10">
      <c r="B4" s="300"/>
      <c r="C4" s="300"/>
      <c r="D4" s="301">
        <v>0.04</v>
      </c>
      <c r="E4" s="302"/>
      <c r="F4" s="298"/>
      <c r="J4" s="176">
        <v>0.3</v>
      </c>
    </row>
    <row r="5" spans="1:10">
      <c r="B5" s="300"/>
      <c r="C5" s="301">
        <v>0.03</v>
      </c>
      <c r="D5" s="300"/>
      <c r="E5" s="302"/>
      <c r="F5" s="298"/>
      <c r="I5" s="176">
        <v>0.4</v>
      </c>
    </row>
    <row r="6" spans="1:10">
      <c r="B6" s="301">
        <v>0.02</v>
      </c>
      <c r="C6" s="300"/>
      <c r="D6" s="301">
        <v>0.03</v>
      </c>
      <c r="E6" s="302"/>
      <c r="J6" s="176">
        <v>0.7</v>
      </c>
    </row>
    <row r="7" spans="1:10">
      <c r="B7" s="300"/>
      <c r="C7" s="301">
        <v>1.4999999999999999E-2</v>
      </c>
      <c r="D7" s="300"/>
      <c r="E7" s="302"/>
      <c r="H7" s="296"/>
    </row>
    <row r="8" spans="1:10">
      <c r="B8" s="300"/>
      <c r="C8" s="300"/>
      <c r="D8" s="301">
        <v>0.01</v>
      </c>
      <c r="E8" s="302"/>
      <c r="J8" s="176">
        <v>0.5</v>
      </c>
    </row>
    <row r="9" spans="1:10">
      <c r="B9" s="302"/>
      <c r="C9" s="302"/>
      <c r="D9" s="302"/>
      <c r="E9" s="302"/>
      <c r="I9" s="176">
        <v>0.5</v>
      </c>
    </row>
    <row r="10" spans="1:10">
      <c r="J10" s="176">
        <v>0.5</v>
      </c>
    </row>
    <row r="11" spans="1:10">
      <c r="A11" s="157" t="s">
        <v>266</v>
      </c>
    </row>
    <row r="13" spans="1:10">
      <c r="B13" s="171" t="s">
        <v>265</v>
      </c>
      <c r="C13" s="170"/>
      <c r="D13" s="170"/>
      <c r="E13" s="170"/>
      <c r="F13" s="170"/>
      <c r="G13" s="170"/>
      <c r="H13" s="170"/>
      <c r="I13" s="170"/>
      <c r="J13" s="169"/>
    </row>
    <row r="14" spans="1:10">
      <c r="B14" s="168"/>
      <c r="J14" s="155"/>
    </row>
    <row r="15" spans="1:10">
      <c r="B15" s="168"/>
      <c r="C15" s="154" t="s">
        <v>264</v>
      </c>
      <c r="D15" s="176">
        <v>5.0000000000000001E-3</v>
      </c>
      <c r="J15" s="155"/>
    </row>
    <row r="16" spans="1:10">
      <c r="B16" s="168"/>
      <c r="C16" s="154" t="s">
        <v>263</v>
      </c>
      <c r="D16" s="174">
        <v>1</v>
      </c>
      <c r="E16" s="174">
        <v>2</v>
      </c>
      <c r="F16" s="174">
        <v>3</v>
      </c>
      <c r="J16" s="155"/>
    </row>
    <row r="17" spans="2:10">
      <c r="B17" s="168"/>
      <c r="C17" s="154" t="s">
        <v>262</v>
      </c>
      <c r="D17" s="177">
        <v>0.02</v>
      </c>
      <c r="E17" s="177">
        <v>2.2499999999999999E-2</v>
      </c>
      <c r="F17" s="177">
        <v>2.3E-2</v>
      </c>
      <c r="J17" s="155"/>
    </row>
    <row r="18" spans="2:10">
      <c r="B18" s="168"/>
      <c r="J18" s="155"/>
    </row>
    <row r="19" spans="2:10">
      <c r="B19" s="168"/>
      <c r="D19" s="174" t="s">
        <v>261</v>
      </c>
      <c r="E19" s="174" t="s">
        <v>260</v>
      </c>
      <c r="F19" s="173"/>
      <c r="J19" s="155"/>
    </row>
    <row r="20" spans="2:10">
      <c r="B20" s="168"/>
      <c r="C20" s="154" t="s">
        <v>259</v>
      </c>
      <c r="D20" s="221">
        <f>((1+E17)^(E16))/((1+D17)^D16)-1</f>
        <v>2.5006127450980298E-2</v>
      </c>
      <c r="E20" s="221">
        <f>((1+F17)^F16)/((1+E17)^E16)-1</f>
        <v>2.4000733615891612E-2</v>
      </c>
      <c r="F20" s="222"/>
      <c r="J20" s="155"/>
    </row>
    <row r="21" spans="2:10">
      <c r="B21" s="168"/>
      <c r="J21" s="155"/>
    </row>
    <row r="22" spans="2:10">
      <c r="B22" s="168"/>
      <c r="J22" s="155"/>
    </row>
    <row r="23" spans="2:10">
      <c r="B23" s="168"/>
      <c r="J23" s="155"/>
    </row>
    <row r="24" spans="2:10">
      <c r="B24" s="168"/>
      <c r="C24" s="154" t="s">
        <v>258</v>
      </c>
      <c r="J24" s="155"/>
    </row>
    <row r="25" spans="2:10">
      <c r="B25" s="168"/>
      <c r="C25" s="159" t="s">
        <v>257</v>
      </c>
      <c r="D25" s="219">
        <v>2.2499999999999964E-2</v>
      </c>
      <c r="E25" s="159">
        <f>I9*(D25+D15)+(I5*D25)</f>
        <v>2.2749999999999968E-2</v>
      </c>
      <c r="F25" s="154" t="s">
        <v>256</v>
      </c>
      <c r="J25" s="155"/>
    </row>
    <row r="26" spans="2:10">
      <c r="B26" s="168"/>
      <c r="C26" s="159" t="s">
        <v>255</v>
      </c>
      <c r="D26" s="219">
        <v>1.9000000000000017E-2</v>
      </c>
      <c r="E26" s="159">
        <f>(I5^2)*(D26+D15*2)+2*I5*I9*(D26+D15)+(I9^2)*D26</f>
        <v>1.8990000000000014E-2</v>
      </c>
      <c r="F26" s="154" t="s">
        <v>254</v>
      </c>
      <c r="J26" s="155"/>
    </row>
    <row r="27" spans="2:10">
      <c r="B27" s="168"/>
      <c r="J27" s="155"/>
    </row>
    <row r="28" spans="2:10">
      <c r="B28" s="168"/>
      <c r="C28" s="154" t="s">
        <v>253</v>
      </c>
      <c r="J28" s="155"/>
    </row>
    <row r="29" spans="2:10">
      <c r="B29" s="168"/>
      <c r="C29" s="159"/>
      <c r="D29" s="159"/>
      <c r="E29" s="219">
        <f>D26+2*D15</f>
        <v>2.9000000000000019E-2</v>
      </c>
      <c r="J29" s="155"/>
    </row>
    <row r="30" spans="2:10">
      <c r="B30" s="168"/>
      <c r="C30" s="159"/>
      <c r="D30" s="219">
        <f>D25+D15</f>
        <v>2.7499999999999965E-2</v>
      </c>
      <c r="E30" s="159"/>
      <c r="J30" s="155"/>
    </row>
    <row r="31" spans="2:10">
      <c r="B31" s="168"/>
      <c r="C31" s="219">
        <f>B6</f>
        <v>0.02</v>
      </c>
      <c r="D31" s="159"/>
      <c r="E31" s="219">
        <f>D26+D15</f>
        <v>2.4000000000000018E-2</v>
      </c>
      <c r="J31" s="155"/>
    </row>
    <row r="32" spans="2:10">
      <c r="B32" s="168"/>
      <c r="C32" s="159"/>
      <c r="D32" s="219">
        <f>D25</f>
        <v>2.2499999999999964E-2</v>
      </c>
      <c r="E32" s="159"/>
      <c r="J32" s="155"/>
    </row>
    <row r="33" spans="2:10">
      <c r="B33" s="167"/>
      <c r="C33" s="172"/>
      <c r="D33" s="172"/>
      <c r="E33" s="223">
        <f>D26</f>
        <v>1.9000000000000017E-2</v>
      </c>
      <c r="F33" s="166"/>
      <c r="G33" s="166"/>
      <c r="H33" s="166"/>
      <c r="I33" s="166"/>
      <c r="J33" s="165"/>
    </row>
    <row r="35" spans="2:10">
      <c r="B35" s="171" t="s">
        <v>252</v>
      </c>
      <c r="C35" s="170"/>
      <c r="D35" s="170"/>
      <c r="E35" s="170"/>
      <c r="F35" s="170"/>
      <c r="G35" s="170"/>
      <c r="H35" s="170"/>
      <c r="I35" s="170"/>
      <c r="J35" s="169"/>
    </row>
    <row r="36" spans="2:10">
      <c r="B36" s="168"/>
      <c r="J36" s="155"/>
    </row>
    <row r="37" spans="2:10">
      <c r="B37" s="168"/>
      <c r="C37" s="154" t="s">
        <v>251</v>
      </c>
      <c r="J37" s="155"/>
    </row>
    <row r="38" spans="2:10">
      <c r="B38" s="168"/>
      <c r="J38" s="155"/>
    </row>
    <row r="39" spans="2:10">
      <c r="B39" s="168"/>
      <c r="F39" s="219">
        <v>1</v>
      </c>
      <c r="J39" s="155"/>
    </row>
    <row r="40" spans="2:10">
      <c r="B40" s="168"/>
      <c r="E40" s="220">
        <f>(1/(1+D4))</f>
        <v>0.96153846153846145</v>
      </c>
      <c r="F40" s="159"/>
      <c r="J40" s="155"/>
    </row>
    <row r="41" spans="2:10">
      <c r="B41" s="168"/>
      <c r="D41" s="220">
        <f>(1/(1+C5))*(J4*E40+J6*E42)</f>
        <v>0.93987688247279155</v>
      </c>
      <c r="F41" s="219">
        <v>1</v>
      </c>
      <c r="J41" s="155"/>
    </row>
    <row r="42" spans="2:10">
      <c r="B42" s="168"/>
      <c r="C42" s="220">
        <f>(1/(1+B6))*(D41*I5+I9*D43)</f>
        <v>0.84210684184404783</v>
      </c>
      <c r="E42" s="220">
        <f>(1/(1+D6))</f>
        <v>0.970873786407767</v>
      </c>
      <c r="F42" s="159"/>
      <c r="J42" s="155"/>
    </row>
    <row r="43" spans="2:10">
      <c r="B43" s="168"/>
      <c r="D43" s="220">
        <f>(1/(1+C7))*(J8*E42+J10*E44)</f>
        <v>0.96599645138362433</v>
      </c>
      <c r="F43" s="219">
        <v>1</v>
      </c>
      <c r="J43" s="155"/>
    </row>
    <row r="44" spans="2:10">
      <c r="B44" s="168"/>
      <c r="E44" s="220">
        <f>(1/(1+D8))</f>
        <v>0.99009900990099009</v>
      </c>
      <c r="F44" s="159"/>
      <c r="J44" s="155"/>
    </row>
    <row r="45" spans="2:10">
      <c r="B45" s="168"/>
      <c r="F45" s="219">
        <v>1</v>
      </c>
      <c r="J45" s="155"/>
    </row>
    <row r="46" spans="2:10">
      <c r="B46" s="168"/>
      <c r="J46" s="155"/>
    </row>
    <row r="47" spans="2:10">
      <c r="B47" s="168"/>
      <c r="J47" s="155"/>
    </row>
    <row r="48" spans="2:10">
      <c r="B48" s="168"/>
      <c r="J48" s="155"/>
    </row>
    <row r="49" spans="2:11">
      <c r="B49" s="167"/>
      <c r="C49" s="166"/>
      <c r="D49" s="166"/>
      <c r="E49" s="166"/>
      <c r="F49" s="166"/>
      <c r="G49" s="166"/>
      <c r="H49" s="166"/>
      <c r="I49" s="166"/>
      <c r="J49" s="165"/>
    </row>
    <row r="51" spans="2:11">
      <c r="B51" s="171" t="s">
        <v>250</v>
      </c>
      <c r="C51" s="170"/>
      <c r="D51" s="170"/>
      <c r="E51" s="170"/>
      <c r="F51" s="170"/>
      <c r="G51" s="297"/>
      <c r="H51" s="297"/>
      <c r="I51" s="297"/>
      <c r="J51" s="264"/>
    </row>
    <row r="52" spans="2:11">
      <c r="B52" s="299" t="s">
        <v>299</v>
      </c>
      <c r="J52" s="248"/>
    </row>
    <row r="53" spans="2:11">
      <c r="B53" s="168"/>
      <c r="J53" s="253">
        <f>I54*J4/(1+D$4)</f>
        <v>3.2948205421078063E-2</v>
      </c>
    </row>
    <row r="54" spans="2:11">
      <c r="B54" s="168"/>
      <c r="I54" s="246">
        <f>H55*J4/(1+C5)</f>
        <v>0.11422044545973729</v>
      </c>
      <c r="J54" s="248"/>
    </row>
    <row r="55" spans="2:11">
      <c r="B55" s="168"/>
      <c r="H55" s="246">
        <f>G56*I5/(1+B6)</f>
        <v>0.39215686274509803</v>
      </c>
      <c r="J55" s="253">
        <f>I54*J6/(1+D4)+I56*J8/(1+D6)</f>
        <v>0.32347636610120317</v>
      </c>
    </row>
    <row r="56" spans="2:11">
      <c r="B56" s="168"/>
      <c r="G56" s="246">
        <v>1</v>
      </c>
      <c r="I56" s="246">
        <f>H55*J6/(1+C5)+J8*H57/(1+C7)</f>
        <v>0.50799027344449665</v>
      </c>
      <c r="J56" s="248"/>
    </row>
    <row r="57" spans="2:11">
      <c r="B57" s="168"/>
      <c r="H57" s="246">
        <f>G56*I9/(1+B6)</f>
        <v>0.49019607843137253</v>
      </c>
      <c r="J57" s="253">
        <f>I56*J6/(1+D6)+I58*J8/(1+D8)</f>
        <v>0.46477863326770219</v>
      </c>
    </row>
    <row r="58" spans="2:11">
      <c r="B58" s="168"/>
      <c r="I58" s="246">
        <f>H57*J10/(C7+1)</f>
        <v>0.24147590070510963</v>
      </c>
      <c r="J58" s="248"/>
    </row>
    <row r="59" spans="2:11">
      <c r="B59" s="168"/>
      <c r="J59" s="253">
        <f>J10*I58/(1+D$8)</f>
        <v>0.11954252510153943</v>
      </c>
    </row>
    <row r="60" spans="2:11">
      <c r="B60" s="168"/>
      <c r="J60" s="248"/>
    </row>
    <row r="61" spans="2:11">
      <c r="B61" s="168"/>
      <c r="J61" s="248"/>
    </row>
    <row r="62" spans="2:11">
      <c r="B62" s="168"/>
      <c r="G62" s="246">
        <f>G56</f>
        <v>1</v>
      </c>
      <c r="H62" s="246">
        <f>H55+H57</f>
        <v>0.88235294117647056</v>
      </c>
      <c r="I62" s="246">
        <f>I54+I56+I58</f>
        <v>0.86368661960934356</v>
      </c>
      <c r="J62" s="253">
        <f>I54/(1+D4)+I56/(1+D6)+I58/(1+D8)</f>
        <v>0.84210684184404783</v>
      </c>
    </row>
    <row r="63" spans="2:11" customFormat="1" ht="15">
      <c r="B63" s="11"/>
      <c r="K63" s="11"/>
    </row>
    <row r="64" spans="2:11" customFormat="1" ht="15">
      <c r="B64" s="11"/>
      <c r="H64" s="6"/>
      <c r="K64" s="11"/>
    </row>
    <row r="65" spans="2:10">
      <c r="B65" s="167"/>
      <c r="C65" s="166"/>
      <c r="D65" s="166"/>
      <c r="E65" s="166"/>
      <c r="F65" s="166"/>
      <c r="G65" s="295"/>
      <c r="H65" s="293">
        <f>H62^(-1/1)-1</f>
        <v>0.1333333333333333</v>
      </c>
      <c r="I65" s="293">
        <f>I62^(-1/2)-1</f>
        <v>7.6023866632853876E-2</v>
      </c>
      <c r="J65" s="294">
        <f>J62^(-1/3)-1</f>
        <v>5.8955234326608874E-2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B5B7-404E-054B-945F-C313E0DC8C39}">
  <dimension ref="A1:U44"/>
  <sheetViews>
    <sheetView topLeftCell="A2" workbookViewId="0">
      <selection activeCell="B6" sqref="B6"/>
    </sheetView>
  </sheetViews>
  <sheetFormatPr defaultColWidth="8.7109375" defaultRowHeight="15"/>
  <cols>
    <col min="1" max="1" width="21.7109375" bestFit="1" customWidth="1"/>
    <col min="2" max="2" width="5.7109375" bestFit="1" customWidth="1"/>
    <col min="3" max="3" width="12.7109375" bestFit="1" customWidth="1"/>
    <col min="4" max="4" width="23" bestFit="1" customWidth="1"/>
    <col min="10" max="10" width="10.28515625" customWidth="1"/>
    <col min="12" max="12" width="12.7109375" customWidth="1"/>
    <col min="14" max="14" width="13.42578125" bestFit="1" customWidth="1"/>
    <col min="15" max="15" width="14.42578125" bestFit="1" customWidth="1"/>
    <col min="17" max="17" width="14.42578125" bestFit="1" customWidth="1"/>
    <col min="18" max="18" width="10.140625" bestFit="1" customWidth="1"/>
  </cols>
  <sheetData>
    <row r="1" spans="1:21">
      <c r="A1" s="1" t="s">
        <v>249</v>
      </c>
      <c r="D1" s="1" t="s">
        <v>238</v>
      </c>
      <c r="E1">
        <v>1</v>
      </c>
      <c r="F1">
        <v>2</v>
      </c>
      <c r="G1">
        <v>3</v>
      </c>
      <c r="H1">
        <v>4</v>
      </c>
      <c r="I1">
        <v>5</v>
      </c>
      <c r="J1">
        <v>7</v>
      </c>
      <c r="K1">
        <v>10</v>
      </c>
      <c r="L1">
        <v>15</v>
      </c>
      <c r="M1">
        <v>20</v>
      </c>
      <c r="N1">
        <v>30</v>
      </c>
    </row>
    <row r="2" spans="1:21">
      <c r="C2" s="1" t="s">
        <v>248</v>
      </c>
      <c r="D2" s="1" t="s">
        <v>247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 spans="1:21">
      <c r="A3" t="s">
        <v>246</v>
      </c>
      <c r="B3">
        <v>0.03</v>
      </c>
      <c r="C3">
        <v>0.11404496700442009</v>
      </c>
      <c r="D3" s="1" t="s">
        <v>245</v>
      </c>
      <c r="E3">
        <f t="array" ref="E3">MMULT(TRANSPOSE($Q$15:$Q$44),E15:E44)</f>
        <v>98.181511115477846</v>
      </c>
      <c r="F3">
        <f t="array" ref="F3">MMULT(TRANSPOSE($Q$15:$Q$44),F15:F44)</f>
        <v>96.95351663489852</v>
      </c>
      <c r="G3">
        <f t="array" ref="G3">MMULT(TRANSPOSE($Q$15:$Q$44),G15:G44)</f>
        <v>96.653749965464115</v>
      </c>
      <c r="H3">
        <f t="array" ref="H3">MMULT(TRANSPOSE($Q$15:$Q$44),H15:H44)</f>
        <v>97.09779580336793</v>
      </c>
      <c r="I3">
        <f t="array" ref="I3">MMULT(TRANSPOSE($Q$15:$Q$44),I15:I44)</f>
        <v>98.042172674603023</v>
      </c>
      <c r="J3">
        <f t="array" ref="J3">MMULT(TRANSPOSE($Q$15:$Q$44),J15:J44)</f>
        <v>101.23823148866192</v>
      </c>
      <c r="K3">
        <f t="array" ref="K3">MMULT(TRANSPOSE($Q$15:$Q$44),K15:K44)</f>
        <v>108.99986996953079</v>
      </c>
      <c r="L3">
        <f t="array" ref="L3">MMULT(TRANSPOSE($Q$15:$Q$44),L15:L44)</f>
        <v>127.07789496248624</v>
      </c>
      <c r="M3">
        <f t="array" ref="M3">MMULT(TRANSPOSE($Q$15:$Q$44),M15:M44)</f>
        <v>152.97701960510182</v>
      </c>
      <c r="N3">
        <f t="array" ref="N3">MMULT(TRANSPOSE($Q$15:$Q$44),N15:N44)</f>
        <v>214.8197401901817</v>
      </c>
    </row>
    <row r="4" spans="1:21">
      <c r="A4" t="s">
        <v>244</v>
      </c>
      <c r="B4">
        <v>-0.01</v>
      </c>
      <c r="C4">
        <v>-0.11404496700442007</v>
      </c>
      <c r="D4" s="1" t="s">
        <v>243</v>
      </c>
      <c r="E4">
        <f t="shared" ref="E4:N4" si="0">(E2-E3)^2</f>
        <v>3.3069018231306266</v>
      </c>
      <c r="F4">
        <f t="shared" si="0"/>
        <v>9.2810608938400367</v>
      </c>
      <c r="G4">
        <f t="shared" si="0"/>
        <v>11.19738929363141</v>
      </c>
      <c r="H4">
        <f t="shared" si="0"/>
        <v>8.4227891989487986</v>
      </c>
      <c r="I4">
        <f t="shared" si="0"/>
        <v>3.8330878360710803</v>
      </c>
      <c r="J4">
        <f t="shared" si="0"/>
        <v>1.5332172195139246</v>
      </c>
      <c r="K4">
        <f t="shared" si="0"/>
        <v>80.997659468462174</v>
      </c>
      <c r="L4">
        <f t="shared" si="0"/>
        <v>733.21239559943774</v>
      </c>
      <c r="M4">
        <f t="shared" si="0"/>
        <v>2806.5646062393421</v>
      </c>
      <c r="N4">
        <f t="shared" si="0"/>
        <v>13183.572737340828</v>
      </c>
    </row>
    <row r="5" spans="1:21">
      <c r="A5" t="s">
        <v>242</v>
      </c>
      <c r="B5">
        <v>0.01</v>
      </c>
      <c r="C5">
        <v>-5.1348258302075629E-2</v>
      </c>
      <c r="D5" s="1" t="s">
        <v>239</v>
      </c>
      <c r="E5">
        <f>SUM(E4:N4)</f>
        <v>16841.921844913206</v>
      </c>
    </row>
    <row r="6" spans="1:21">
      <c r="A6" t="s">
        <v>241</v>
      </c>
      <c r="B6">
        <v>-0.2</v>
      </c>
      <c r="C6">
        <v>-0.34295091918054554</v>
      </c>
    </row>
    <row r="7" spans="1:21">
      <c r="A7" t="s">
        <v>240</v>
      </c>
      <c r="B7">
        <v>10</v>
      </c>
      <c r="C7">
        <v>12.210310702533537</v>
      </c>
    </row>
    <row r="8" spans="1:21">
      <c r="A8" t="s">
        <v>239</v>
      </c>
      <c r="C8">
        <v>0.70768903740630984</v>
      </c>
    </row>
    <row r="10" spans="1:21">
      <c r="D10" s="1" t="s">
        <v>238</v>
      </c>
      <c r="E10">
        <v>1</v>
      </c>
      <c r="F10">
        <v>2</v>
      </c>
      <c r="G10">
        <v>3</v>
      </c>
      <c r="H10">
        <v>4</v>
      </c>
      <c r="I10">
        <v>5</v>
      </c>
      <c r="J10">
        <v>7</v>
      </c>
      <c r="K10">
        <v>10</v>
      </c>
      <c r="L10">
        <v>15</v>
      </c>
      <c r="M10">
        <v>20</v>
      </c>
      <c r="N10">
        <v>30</v>
      </c>
    </row>
    <row r="11" spans="1:21">
      <c r="D11" s="1" t="s">
        <v>237</v>
      </c>
      <c r="E11">
        <v>3.2000000000000002E-3</v>
      </c>
      <c r="F11">
        <v>6.7999999999999996E-3</v>
      </c>
      <c r="G11">
        <v>1.0999999999999999E-2</v>
      </c>
      <c r="H11">
        <v>1.46E-2</v>
      </c>
      <c r="I11">
        <v>1.7299999999999999E-2</v>
      </c>
      <c r="J11">
        <v>2.1000000000000001E-2</v>
      </c>
      <c r="K11">
        <v>2.4299999999999999E-2</v>
      </c>
      <c r="L11">
        <v>2.5999999999999999E-2</v>
      </c>
      <c r="M11">
        <v>2.7699999999999999E-2</v>
      </c>
      <c r="N11">
        <v>0.03</v>
      </c>
    </row>
    <row r="13" spans="1:21">
      <c r="A13" s="1" t="s">
        <v>236</v>
      </c>
      <c r="E13" s="1" t="s">
        <v>235</v>
      </c>
      <c r="F13" s="1"/>
      <c r="O13" s="1"/>
      <c r="P13" s="1" t="s">
        <v>234</v>
      </c>
      <c r="R13" s="1" t="s">
        <v>233</v>
      </c>
    </row>
    <row r="14" spans="1:21">
      <c r="A14" s="1" t="s">
        <v>232</v>
      </c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7</v>
      </c>
      <c r="K14" s="1">
        <v>10</v>
      </c>
      <c r="L14" s="1">
        <v>15</v>
      </c>
      <c r="M14" s="1">
        <v>20</v>
      </c>
      <c r="N14" s="1">
        <v>30</v>
      </c>
      <c r="O14" s="1"/>
      <c r="P14" s="1" t="s">
        <v>229</v>
      </c>
      <c r="Q14" s="1" t="s">
        <v>231</v>
      </c>
      <c r="R14" s="1" t="s">
        <v>8</v>
      </c>
      <c r="S14" s="1" t="s">
        <v>230</v>
      </c>
      <c r="T14" s="1" t="s">
        <v>229</v>
      </c>
      <c r="U14" s="1" t="s">
        <v>228</v>
      </c>
    </row>
    <row r="15" spans="1:21">
      <c r="A15">
        <v>1</v>
      </c>
      <c r="E15">
        <f>100+E$11*100</f>
        <v>100.32</v>
      </c>
      <c r="F15">
        <f t="shared" ref="F15:N15" si="1">F$11*100</f>
        <v>0.67999999999999994</v>
      </c>
      <c r="G15">
        <f t="shared" si="1"/>
        <v>1.0999999999999999</v>
      </c>
      <c r="H15">
        <f t="shared" si="1"/>
        <v>1.46</v>
      </c>
      <c r="I15">
        <f t="shared" si="1"/>
        <v>1.73</v>
      </c>
      <c r="J15">
        <f t="shared" si="1"/>
        <v>2.1</v>
      </c>
      <c r="K15">
        <f t="shared" si="1"/>
        <v>2.4299999999999997</v>
      </c>
      <c r="L15">
        <f t="shared" si="1"/>
        <v>2.6</v>
      </c>
      <c r="M15">
        <f t="shared" si="1"/>
        <v>2.77</v>
      </c>
      <c r="N15">
        <f t="shared" si="1"/>
        <v>3</v>
      </c>
      <c r="P15">
        <f t="shared" ref="P15:P44" si="2">$B$3+$B$4*EXP(-A15/$B$7)+($B$5*A15)/$B$7*EXP(-A15/$B$7)+$B$6*((1-EXP(-A15/$B$7))/(A15/$B$7)-(1+0.5*A15/$B$7)*EXP(-A15/$B$7))</f>
        <v>2.1547157097146899E-2</v>
      </c>
      <c r="Q15">
        <f>EXP(-P15*A15)</f>
        <v>0.97868332451632623</v>
      </c>
      <c r="R15">
        <v>0.5</v>
      </c>
      <c r="S15">
        <v>2</v>
      </c>
      <c r="T15">
        <f t="shared" ref="T15:T38" si="3">$B$3+$B$4*EXP(-R15/$B$7)+($B$5*R15)/$B$7*EXP(-R15/$B$7)+$B$6*((1-EXP(-R15/$B$7))/(R15/$B$7)-(1+0.5*R15/$B$7)*EXP(-R15/$B$7))</f>
        <v>2.0883050492745647E-2</v>
      </c>
      <c r="U15">
        <f t="shared" ref="U15:U38" si="4">S15*EXP(-T15*R15)</f>
        <v>1.9792255964812113</v>
      </c>
    </row>
    <row r="16" spans="1:21">
      <c r="A16">
        <f t="shared" ref="A16:A44" si="5">A15+1</f>
        <v>2</v>
      </c>
      <c r="E16">
        <v>0</v>
      </c>
      <c r="F16">
        <f>100+F$11*100</f>
        <v>100.68</v>
      </c>
      <c r="G16">
        <f t="shared" ref="G16:N16" si="6">G$11*100</f>
        <v>1.0999999999999999</v>
      </c>
      <c r="H16">
        <f t="shared" si="6"/>
        <v>1.46</v>
      </c>
      <c r="I16">
        <f t="shared" si="6"/>
        <v>1.73</v>
      </c>
      <c r="J16">
        <f t="shared" si="6"/>
        <v>2.1</v>
      </c>
      <c r="K16">
        <f t="shared" si="6"/>
        <v>2.4299999999999997</v>
      </c>
      <c r="L16">
        <f t="shared" si="6"/>
        <v>2.6</v>
      </c>
      <c r="M16">
        <f t="shared" si="6"/>
        <v>2.77</v>
      </c>
      <c r="N16">
        <f t="shared" si="6"/>
        <v>3</v>
      </c>
      <c r="P16">
        <f t="shared" si="2"/>
        <v>2.2301672730513988E-2</v>
      </c>
      <c r="Q16">
        <f t="shared" ref="Q16:Q44" si="7">EXP(-P16*A16)</f>
        <v>0.95637675778930686</v>
      </c>
      <c r="R16">
        <f t="shared" ref="R16:R38" si="8">R15+0.5</f>
        <v>1</v>
      </c>
      <c r="S16">
        <v>2</v>
      </c>
      <c r="T16">
        <f t="shared" si="3"/>
        <v>2.1547157097146899E-2</v>
      </c>
      <c r="U16">
        <f t="shared" si="4"/>
        <v>1.9573666490326525</v>
      </c>
    </row>
    <row r="17" spans="1:21">
      <c r="A17">
        <f t="shared" si="5"/>
        <v>3</v>
      </c>
      <c r="E17">
        <v>0</v>
      </c>
      <c r="F17">
        <v>0</v>
      </c>
      <c r="G17">
        <f>100+G$11*100</f>
        <v>101.1</v>
      </c>
      <c r="H17">
        <f t="shared" ref="H17:N17" si="9">H$11*100</f>
        <v>1.46</v>
      </c>
      <c r="I17">
        <f t="shared" si="9"/>
        <v>1.73</v>
      </c>
      <c r="J17">
        <f t="shared" si="9"/>
        <v>2.1</v>
      </c>
      <c r="K17">
        <f t="shared" si="9"/>
        <v>2.4299999999999997</v>
      </c>
      <c r="L17">
        <f t="shared" si="9"/>
        <v>2.6</v>
      </c>
      <c r="M17">
        <f t="shared" si="9"/>
        <v>2.77</v>
      </c>
      <c r="N17">
        <f t="shared" si="9"/>
        <v>3</v>
      </c>
      <c r="P17">
        <f t="shared" si="2"/>
        <v>2.2414610333168307E-2</v>
      </c>
      <c r="Q17">
        <f t="shared" si="7"/>
        <v>0.93496719955418328</v>
      </c>
      <c r="R17">
        <f t="shared" si="8"/>
        <v>1.5</v>
      </c>
      <c r="S17">
        <v>2</v>
      </c>
      <c r="T17">
        <f t="shared" si="3"/>
        <v>2.2013499031851503E-2</v>
      </c>
      <c r="U17">
        <f t="shared" si="4"/>
        <v>1.9350379370732553</v>
      </c>
    </row>
    <row r="18" spans="1:21">
      <c r="A18">
        <f t="shared" si="5"/>
        <v>4</v>
      </c>
      <c r="E18">
        <v>0</v>
      </c>
      <c r="F18">
        <v>0</v>
      </c>
      <c r="G18">
        <v>0</v>
      </c>
      <c r="H18">
        <f>100+H$11*100</f>
        <v>101.46</v>
      </c>
      <c r="I18">
        <f t="shared" ref="I18:N18" si="10">I$11*100</f>
        <v>1.73</v>
      </c>
      <c r="J18">
        <f t="shared" si="10"/>
        <v>2.1</v>
      </c>
      <c r="K18">
        <f t="shared" si="10"/>
        <v>2.4299999999999997</v>
      </c>
      <c r="L18">
        <f t="shared" si="10"/>
        <v>2.6</v>
      </c>
      <c r="M18">
        <f t="shared" si="10"/>
        <v>2.77</v>
      </c>
      <c r="N18">
        <f t="shared" si="10"/>
        <v>3</v>
      </c>
      <c r="P18">
        <f t="shared" si="2"/>
        <v>2.2014913790159255E-2</v>
      </c>
      <c r="Q18">
        <f t="shared" si="7"/>
        <v>0.91570624849056381</v>
      </c>
      <c r="R18">
        <f t="shared" si="8"/>
        <v>2</v>
      </c>
      <c r="S18">
        <v>2</v>
      </c>
      <c r="T18">
        <f t="shared" si="3"/>
        <v>2.2301672730513988E-2</v>
      </c>
      <c r="U18">
        <f t="shared" si="4"/>
        <v>1.9127535155786137</v>
      </c>
    </row>
    <row r="19" spans="1:21">
      <c r="A19">
        <f t="shared" si="5"/>
        <v>5</v>
      </c>
      <c r="E19">
        <v>0</v>
      </c>
      <c r="F19">
        <v>0</v>
      </c>
      <c r="G19">
        <v>0</v>
      </c>
      <c r="H19">
        <v>0</v>
      </c>
      <c r="I19">
        <f>100+I$11*100</f>
        <v>101.73</v>
      </c>
      <c r="J19">
        <f t="shared" ref="J19:N20" si="11">J$11*100</f>
        <v>2.1</v>
      </c>
      <c r="K19">
        <f t="shared" si="11"/>
        <v>2.4299999999999997</v>
      </c>
      <c r="L19">
        <f t="shared" si="11"/>
        <v>2.6</v>
      </c>
      <c r="M19">
        <f t="shared" si="11"/>
        <v>2.77</v>
      </c>
      <c r="N19">
        <f t="shared" si="11"/>
        <v>3</v>
      </c>
      <c r="P19">
        <f t="shared" si="2"/>
        <v>2.1212275514648545E-2</v>
      </c>
      <c r="Q19">
        <f t="shared" si="7"/>
        <v>0.89936944526783502</v>
      </c>
      <c r="R19">
        <f t="shared" si="8"/>
        <v>2.5</v>
      </c>
      <c r="S19">
        <v>2</v>
      </c>
      <c r="T19">
        <f t="shared" si="3"/>
        <v>2.2429796775154456E-2</v>
      </c>
      <c r="U19">
        <f t="shared" si="4"/>
        <v>1.8909374069423457</v>
      </c>
    </row>
    <row r="20" spans="1:21">
      <c r="A20">
        <f t="shared" si="5"/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11"/>
        <v>2.1</v>
      </c>
      <c r="K20">
        <f t="shared" si="11"/>
        <v>2.4299999999999997</v>
      </c>
      <c r="L20">
        <f t="shared" si="11"/>
        <v>2.6</v>
      </c>
      <c r="M20">
        <f t="shared" si="11"/>
        <v>2.77</v>
      </c>
      <c r="N20">
        <f t="shared" si="11"/>
        <v>3</v>
      </c>
      <c r="P20">
        <f t="shared" si="2"/>
        <v>2.0099657538079553E-2</v>
      </c>
      <c r="Q20">
        <f t="shared" si="7"/>
        <v>0.88639026539648558</v>
      </c>
      <c r="R20">
        <f t="shared" si="8"/>
        <v>3</v>
      </c>
      <c r="S20">
        <v>2</v>
      </c>
      <c r="T20">
        <f t="shared" si="3"/>
        <v>2.2414610333168307E-2</v>
      </c>
      <c r="U20">
        <f t="shared" si="4"/>
        <v>1.8699343991083666</v>
      </c>
    </row>
    <row r="21" spans="1:21">
      <c r="A21">
        <f t="shared" si="5"/>
        <v>7</v>
      </c>
      <c r="E21">
        <v>0</v>
      </c>
      <c r="F21">
        <v>0</v>
      </c>
      <c r="G21">
        <v>0</v>
      </c>
      <c r="H21">
        <v>0</v>
      </c>
      <c r="I21">
        <v>0</v>
      </c>
      <c r="J21">
        <f>100+J$11*100</f>
        <v>102.1</v>
      </c>
      <c r="K21">
        <f t="shared" ref="K21:N23" si="12">K$11*100</f>
        <v>2.4299999999999997</v>
      </c>
      <c r="L21">
        <f t="shared" si="12"/>
        <v>2.6</v>
      </c>
      <c r="M21">
        <f t="shared" si="12"/>
        <v>2.77</v>
      </c>
      <c r="N21">
        <f t="shared" si="12"/>
        <v>3</v>
      </c>
      <c r="P21">
        <f t="shared" si="2"/>
        <v>1.8755505766994786E-2</v>
      </c>
      <c r="Q21">
        <f t="shared" si="7"/>
        <v>0.87696469816386924</v>
      </c>
      <c r="R21">
        <f t="shared" si="8"/>
        <v>3.5</v>
      </c>
      <c r="S21">
        <v>2</v>
      </c>
      <c r="T21">
        <f t="shared" si="3"/>
        <v>2.2271565482847991E-2</v>
      </c>
      <c r="U21">
        <f t="shared" si="4"/>
        <v>1.8500204653307226</v>
      </c>
    </row>
    <row r="22" spans="1:21">
      <c r="A22">
        <f t="shared" si="5"/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12"/>
        <v>2.4299999999999997</v>
      </c>
      <c r="L22">
        <f t="shared" si="12"/>
        <v>2.6</v>
      </c>
      <c r="M22">
        <f t="shared" si="12"/>
        <v>2.77</v>
      </c>
      <c r="N22">
        <f t="shared" si="12"/>
        <v>3</v>
      </c>
      <c r="P22">
        <f t="shared" si="2"/>
        <v>1.724569305389298E-2</v>
      </c>
      <c r="Q22">
        <f t="shared" si="7"/>
        <v>0.87112870646383644</v>
      </c>
      <c r="R22">
        <f t="shared" si="8"/>
        <v>4</v>
      </c>
      <c r="S22">
        <v>2</v>
      </c>
      <c r="T22">
        <f t="shared" si="3"/>
        <v>2.2014913790159255E-2</v>
      </c>
      <c r="U22">
        <f t="shared" si="4"/>
        <v>1.8314124969811276</v>
      </c>
    </row>
    <row r="23" spans="1:21">
      <c r="A23">
        <f t="shared" si="5"/>
        <v>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12"/>
        <v>2.4299999999999997</v>
      </c>
      <c r="L23">
        <f t="shared" si="12"/>
        <v>2.6</v>
      </c>
      <c r="M23">
        <f t="shared" si="12"/>
        <v>2.77</v>
      </c>
      <c r="N23">
        <f t="shared" si="12"/>
        <v>3</v>
      </c>
      <c r="P23">
        <f t="shared" si="2"/>
        <v>1.5625222718499608E-2</v>
      </c>
      <c r="Q23">
        <f t="shared" si="7"/>
        <v>0.86881331475391665</v>
      </c>
      <c r="R23">
        <f t="shared" si="8"/>
        <v>4.5</v>
      </c>
      <c r="S23">
        <v>2</v>
      </c>
      <c r="T23">
        <f t="shared" si="3"/>
        <v>2.1657787478647331E-2</v>
      </c>
      <c r="U23">
        <f t="shared" si="4"/>
        <v>1.8142771735500114</v>
      </c>
    </row>
    <row r="24" spans="1:21">
      <c r="A24">
        <f t="shared" si="5"/>
        <v>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>100+K$11*100</f>
        <v>102.43</v>
      </c>
      <c r="L24">
        <f t="shared" ref="L24:N28" si="13">L$11*100</f>
        <v>2.6</v>
      </c>
      <c r="M24">
        <f t="shared" si="13"/>
        <v>2.77</v>
      </c>
      <c r="N24">
        <f t="shared" si="13"/>
        <v>3</v>
      </c>
      <c r="P24">
        <f t="shared" si="2"/>
        <v>1.3939720585721165E-2</v>
      </c>
      <c r="Q24">
        <f t="shared" si="7"/>
        <v>0.86988243742817262</v>
      </c>
      <c r="R24">
        <f t="shared" si="8"/>
        <v>5</v>
      </c>
      <c r="S24">
        <v>2</v>
      </c>
      <c r="T24">
        <f t="shared" si="3"/>
        <v>2.1212275514648545E-2</v>
      </c>
      <c r="U24">
        <f t="shared" si="4"/>
        <v>1.79873889053567</v>
      </c>
    </row>
    <row r="25" spans="1:21">
      <c r="A25">
        <f t="shared" si="5"/>
        <v>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13"/>
        <v>2.6</v>
      </c>
      <c r="M25">
        <f t="shared" si="13"/>
        <v>2.77</v>
      </c>
      <c r="N25">
        <f t="shared" si="13"/>
        <v>3</v>
      </c>
      <c r="P25">
        <f t="shared" si="2"/>
        <v>1.2226740429753569E-2</v>
      </c>
      <c r="Q25">
        <f t="shared" si="7"/>
        <v>0.87415799729505361</v>
      </c>
      <c r="R25">
        <f t="shared" si="8"/>
        <v>5.5</v>
      </c>
      <c r="S25">
        <v>2</v>
      </c>
      <c r="T25">
        <f t="shared" si="3"/>
        <v>2.0689494911397953E-2</v>
      </c>
      <c r="U25">
        <f t="shared" si="4"/>
        <v>1.7848867334122418</v>
      </c>
    </row>
    <row r="26" spans="1:21">
      <c r="A26">
        <f t="shared" si="5"/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13"/>
        <v>2.6</v>
      </c>
      <c r="M26">
        <f t="shared" si="13"/>
        <v>2.77</v>
      </c>
      <c r="N26">
        <f t="shared" si="13"/>
        <v>3</v>
      </c>
      <c r="P26">
        <f t="shared" si="2"/>
        <v>1.051690488776277E-2</v>
      </c>
      <c r="Q26">
        <f t="shared" si="7"/>
        <v>0.88143602172171653</v>
      </c>
      <c r="R26">
        <f t="shared" si="8"/>
        <v>6</v>
      </c>
      <c r="S26">
        <v>2</v>
      </c>
      <c r="T26">
        <f t="shared" si="3"/>
        <v>2.0099657538079553E-2</v>
      </c>
      <c r="U26">
        <f t="shared" si="4"/>
        <v>1.7727805307929712</v>
      </c>
    </row>
    <row r="27" spans="1:21">
      <c r="A27">
        <f t="shared" si="5"/>
        <v>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13"/>
        <v>2.6</v>
      </c>
      <c r="M27">
        <f t="shared" si="13"/>
        <v>2.77</v>
      </c>
      <c r="N27">
        <f t="shared" si="13"/>
        <v>3</v>
      </c>
      <c r="P27">
        <f t="shared" si="2"/>
        <v>8.8349013932511947E-3</v>
      </c>
      <c r="Q27">
        <f t="shared" si="7"/>
        <v>0.89149654416639024</v>
      </c>
      <c r="R27">
        <f t="shared" si="8"/>
        <v>6.5</v>
      </c>
      <c r="S27">
        <v>2</v>
      </c>
      <c r="T27">
        <f t="shared" si="3"/>
        <v>1.945213270331831E-2</v>
      </c>
      <c r="U27">
        <f t="shared" si="4"/>
        <v>1.7624560478237437</v>
      </c>
    </row>
    <row r="28" spans="1:21">
      <c r="A28">
        <f t="shared" si="5"/>
        <v>14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13"/>
        <v>2.6</v>
      </c>
      <c r="M28">
        <f t="shared" si="13"/>
        <v>2.77</v>
      </c>
      <c r="N28">
        <f t="shared" si="13"/>
        <v>3</v>
      </c>
      <c r="P28">
        <f t="shared" si="2"/>
        <v>7.2003504447135415E-3</v>
      </c>
      <c r="Q28">
        <f t="shared" si="7"/>
        <v>0.90410940179638122</v>
      </c>
      <c r="R28">
        <f t="shared" si="8"/>
        <v>7</v>
      </c>
      <c r="S28">
        <v>2</v>
      </c>
      <c r="T28">
        <f t="shared" si="3"/>
        <v>1.8755505766994786E-2</v>
      </c>
      <c r="U28">
        <f t="shared" si="4"/>
        <v>1.7539293963277385</v>
      </c>
    </row>
    <row r="29" spans="1:21">
      <c r="A29">
        <f t="shared" si="5"/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f>100+L$11*100</f>
        <v>102.6</v>
      </c>
      <c r="M29">
        <f t="shared" ref="M29:N33" si="14">M$11*100</f>
        <v>2.77</v>
      </c>
      <c r="N29">
        <f t="shared" si="14"/>
        <v>3</v>
      </c>
      <c r="P29">
        <f t="shared" si="2"/>
        <v>5.6285615391498921E-3</v>
      </c>
      <c r="Q29">
        <f t="shared" si="7"/>
        <v>0.91903743488494882</v>
      </c>
      <c r="R29">
        <f t="shared" si="8"/>
        <v>7.5</v>
      </c>
      <c r="S29">
        <v>2</v>
      </c>
      <c r="T29">
        <f t="shared" si="3"/>
        <v>1.8017633019530428E-2</v>
      </c>
      <c r="U29">
        <f t="shared" si="4"/>
        <v>1.7472007449101747</v>
      </c>
    </row>
    <row r="30" spans="1:21">
      <c r="A30">
        <f t="shared" si="5"/>
        <v>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14"/>
        <v>2.77</v>
      </c>
      <c r="N30">
        <f t="shared" si="14"/>
        <v>3</v>
      </c>
      <c r="P30">
        <f t="shared" si="2"/>
        <v>4.1311903353757999E-3</v>
      </c>
      <c r="Q30">
        <f t="shared" si="7"/>
        <v>0.93603814945909225</v>
      </c>
      <c r="R30">
        <f t="shared" si="8"/>
        <v>8</v>
      </c>
      <c r="S30">
        <v>2</v>
      </c>
      <c r="T30">
        <f t="shared" si="3"/>
        <v>1.724569305389298E-2</v>
      </c>
      <c r="U30">
        <f t="shared" si="4"/>
        <v>1.7422574129276729</v>
      </c>
    </row>
    <row r="31" spans="1:21">
      <c r="A31">
        <f t="shared" si="5"/>
        <v>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f t="shared" si="14"/>
        <v>2.77</v>
      </c>
      <c r="N31">
        <f t="shared" si="14"/>
        <v>3</v>
      </c>
      <c r="P31">
        <f t="shared" si="2"/>
        <v>2.716809044673283E-3</v>
      </c>
      <c r="Q31">
        <f t="shared" si="7"/>
        <v>0.9548645760313923</v>
      </c>
      <c r="R31">
        <f t="shared" si="8"/>
        <v>8.5</v>
      </c>
      <c r="S31">
        <v>2</v>
      </c>
      <c r="T31">
        <f t="shared" si="3"/>
        <v>1.6446234842458544E-2</v>
      </c>
      <c r="U31">
        <f t="shared" si="4"/>
        <v>1.7390764290372607</v>
      </c>
    </row>
    <row r="32" spans="1:21">
      <c r="A32">
        <f t="shared" si="5"/>
        <v>18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f t="shared" si="14"/>
        <v>2.77</v>
      </c>
      <c r="N32">
        <f t="shared" si="14"/>
        <v>3</v>
      </c>
      <c r="P32">
        <f t="shared" si="2"/>
        <v>1.3914006545963052E-3</v>
      </c>
      <c r="Q32">
        <f t="shared" si="7"/>
        <v>0.97526581752529529</v>
      </c>
      <c r="R32">
        <f t="shared" si="8"/>
        <v>9</v>
      </c>
      <c r="S32">
        <v>2</v>
      </c>
      <c r="T32">
        <f t="shared" si="3"/>
        <v>1.5625222718499608E-2</v>
      </c>
      <c r="U32">
        <f t="shared" si="4"/>
        <v>1.7376266295078333</v>
      </c>
    </row>
    <row r="33" spans="1:21">
      <c r="A33">
        <f t="shared" si="5"/>
        <v>19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14"/>
        <v>2.77</v>
      </c>
      <c r="N33">
        <f t="shared" si="14"/>
        <v>3</v>
      </c>
      <c r="P33">
        <f t="shared" si="2"/>
        <v>1.5878635642455063E-4</v>
      </c>
      <c r="Q33">
        <f t="shared" si="7"/>
        <v>0.99698760562052968</v>
      </c>
      <c r="R33">
        <f t="shared" si="8"/>
        <v>9.5</v>
      </c>
      <c r="S33">
        <v>2</v>
      </c>
      <c r="T33">
        <f t="shared" si="3"/>
        <v>1.4788078450403502E-2</v>
      </c>
      <c r="U33">
        <f t="shared" si="4"/>
        <v>1.7378703647000004</v>
      </c>
    </row>
    <row r="34" spans="1:21">
      <c r="A34">
        <f t="shared" si="5"/>
        <v>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f>100+M$11*100</f>
        <v>102.77</v>
      </c>
      <c r="N34">
        <f t="shared" ref="N34:N43" si="15">N$11*100</f>
        <v>3</v>
      </c>
      <c r="P34">
        <f t="shared" si="2"/>
        <v>-9.7900554932751904E-4</v>
      </c>
      <c r="Q34">
        <f t="shared" si="7"/>
        <v>1.0197730586141942</v>
      </c>
      <c r="R34">
        <f t="shared" si="8"/>
        <v>10</v>
      </c>
      <c r="S34">
        <v>2</v>
      </c>
      <c r="T34">
        <f t="shared" si="3"/>
        <v>1.3939720585721165E-2</v>
      </c>
      <c r="U34">
        <f t="shared" si="4"/>
        <v>1.7397648748563452</v>
      </c>
    </row>
    <row r="35" spans="1:21">
      <c r="A35">
        <f t="shared" si="5"/>
        <v>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f t="shared" si="15"/>
        <v>3</v>
      </c>
      <c r="P35">
        <f t="shared" si="2"/>
        <v>-2.0214219671154041E-3</v>
      </c>
      <c r="Q35">
        <f t="shared" si="7"/>
        <v>1.0433637421703787</v>
      </c>
      <c r="R35">
        <f t="shared" si="8"/>
        <v>10.5</v>
      </c>
      <c r="S35">
        <v>2</v>
      </c>
      <c r="T35">
        <f t="shared" si="3"/>
        <v>1.3084601231773244E-2</v>
      </c>
      <c r="U35">
        <f t="shared" si="4"/>
        <v>1.7432633890958436</v>
      </c>
    </row>
    <row r="36" spans="1:21">
      <c r="A36">
        <f t="shared" si="5"/>
        <v>22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f t="shared" si="15"/>
        <v>3</v>
      </c>
      <c r="P36">
        <f t="shared" si="2"/>
        <v>-2.9691120999868689E-3</v>
      </c>
      <c r="Q36">
        <f t="shared" si="7"/>
        <v>1.0675010675849395</v>
      </c>
      <c r="R36">
        <f t="shared" si="8"/>
        <v>11</v>
      </c>
      <c r="S36">
        <v>2</v>
      </c>
      <c r="T36">
        <f t="shared" si="3"/>
        <v>1.2226740429753569E-2</v>
      </c>
      <c r="U36">
        <f t="shared" si="4"/>
        <v>1.7483159945901072</v>
      </c>
    </row>
    <row r="37" spans="1:21">
      <c r="A37">
        <f t="shared" si="5"/>
        <v>23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f t="shared" si="15"/>
        <v>3</v>
      </c>
      <c r="P37">
        <f t="shared" si="2"/>
        <v>-3.8236936462063206E-3</v>
      </c>
      <c r="Q37">
        <f t="shared" si="7"/>
        <v>1.0919280139545258</v>
      </c>
      <c r="R37">
        <f t="shared" si="8"/>
        <v>11.5</v>
      </c>
      <c r="S37">
        <v>2</v>
      </c>
      <c r="T37">
        <f t="shared" si="3"/>
        <v>1.1369758270044831E-2</v>
      </c>
      <c r="U37">
        <f t="shared" si="4"/>
        <v>1.7548703164983692</v>
      </c>
    </row>
    <row r="38" spans="1:21">
      <c r="A38">
        <f t="shared" si="5"/>
        <v>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f t="shared" si="15"/>
        <v>3</v>
      </c>
      <c r="P38">
        <f t="shared" si="2"/>
        <v>-4.5875530991556918E-3</v>
      </c>
      <c r="Q38">
        <f t="shared" si="7"/>
        <v>1.1163911265528168</v>
      </c>
      <c r="R38">
        <f t="shared" si="8"/>
        <v>12</v>
      </c>
      <c r="S38">
        <v>102</v>
      </c>
      <c r="T38">
        <f t="shared" si="3"/>
        <v>1.051690488776277E-2</v>
      </c>
      <c r="U38">
        <f t="shared" si="4"/>
        <v>89.906474215615091</v>
      </c>
    </row>
    <row r="39" spans="1:21">
      <c r="A39">
        <f t="shared" si="5"/>
        <v>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f t="shared" si="15"/>
        <v>3</v>
      </c>
      <c r="P39">
        <f t="shared" si="2"/>
        <v>-5.2636757499751538E-3</v>
      </c>
      <c r="Q39">
        <f t="shared" si="7"/>
        <v>1.1406427208427821</v>
      </c>
    </row>
    <row r="40" spans="1:21">
      <c r="A40">
        <f t="shared" si="5"/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f t="shared" si="15"/>
        <v>3</v>
      </c>
      <c r="P40">
        <f t="shared" si="2"/>
        <v>-5.8555015227206193E-3</v>
      </c>
      <c r="Q40">
        <f t="shared" si="7"/>
        <v>1.1644432078447613</v>
      </c>
      <c r="T40" t="s">
        <v>142</v>
      </c>
      <c r="U40">
        <f>SUM(U15:U38)</f>
        <v>131.51047761070939</v>
      </c>
    </row>
    <row r="41" spans="1:21">
      <c r="A41">
        <f t="shared" si="5"/>
        <v>27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f t="shared" si="15"/>
        <v>3</v>
      </c>
      <c r="P41">
        <f t="shared" si="2"/>
        <v>-6.3668032409455837E-3</v>
      </c>
      <c r="Q41">
        <f t="shared" si="7"/>
        <v>1.1875634505074935</v>
      </c>
    </row>
    <row r="42" spans="1:21">
      <c r="A42">
        <f t="shared" si="5"/>
        <v>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f t="shared" si="15"/>
        <v>3</v>
      </c>
      <c r="P42">
        <f t="shared" si="2"/>
        <v>-6.8015843394116059E-3</v>
      </c>
      <c r="Q42">
        <f t="shared" si="7"/>
        <v>1.2097870610317762</v>
      </c>
    </row>
    <row r="43" spans="1:21">
      <c r="A43">
        <f t="shared" si="5"/>
        <v>29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f t="shared" si="15"/>
        <v>3</v>
      </c>
      <c r="P43">
        <f t="shared" si="2"/>
        <v>-7.1639934011916706E-3</v>
      </c>
      <c r="Q43">
        <f t="shared" si="7"/>
        <v>1.2309125546291235</v>
      </c>
    </row>
    <row r="44" spans="1:21">
      <c r="A44">
        <f t="shared" si="5"/>
        <v>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f>100+N$11*100</f>
        <v>103</v>
      </c>
      <c r="P44">
        <f t="shared" si="2"/>
        <v>-7.4582532241864868E-3</v>
      </c>
      <c r="Q44">
        <f t="shared" si="7"/>
        <v>1.2507552848544412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Instruktioner</vt:lpstr>
      <vt:lpstr>Portefølge</vt:lpstr>
      <vt:lpstr>APT</vt:lpstr>
      <vt:lpstr>Option pricing unraveling</vt:lpstr>
      <vt:lpstr>Black-Scholes Optioner</vt:lpstr>
      <vt:lpstr>Interest rate structur</vt:lpstr>
      <vt:lpstr>Nelson-Siegel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Jørgensen</dc:creator>
  <cp:keywords/>
  <dc:description/>
  <cp:lastModifiedBy>asger konradi</cp:lastModifiedBy>
  <cp:revision/>
  <dcterms:created xsi:type="dcterms:W3CDTF">2017-05-16T15:44:37Z</dcterms:created>
  <dcterms:modified xsi:type="dcterms:W3CDTF">2024-12-03T10:44:42Z</dcterms:modified>
  <cp:category/>
  <cp:contentStatus/>
</cp:coreProperties>
</file>