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ha1\Downloads\"/>
    </mc:Choice>
  </mc:AlternateContent>
  <xr:revisionPtr revIDLastSave="0" documentId="13_ncr:1_{6F666EAC-ECBA-4D10-8BC7-2F149D97B04C}" xr6:coauthVersionLast="47" xr6:coauthVersionMax="47" xr10:uidLastSave="{00000000-0000-0000-0000-000000000000}"/>
  <bookViews>
    <workbookView xWindow="8700" yWindow="0" windowWidth="10500" windowHeight="10200" activeTab="1" xr2:uid="{00000000-000D-0000-FFFF-FFFF00000000}"/>
  </bookViews>
  <sheets>
    <sheet name="WILTSHIRE LTD " sheetId="10" r:id="rId1"/>
    <sheet name="ACME FILTERS CASE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3" l="1"/>
  <c r="G23" i="13"/>
  <c r="F23" i="13"/>
  <c r="F25" i="13" s="1"/>
  <c r="E23" i="13"/>
  <c r="E25" i="13" s="1"/>
  <c r="C23" i="13"/>
  <c r="C25" i="13" s="1"/>
  <c r="H22" i="13"/>
  <c r="H23" i="13" s="1"/>
  <c r="G24" i="13" s="1"/>
  <c r="G25" i="13" s="1"/>
  <c r="F22" i="13"/>
  <c r="D22" i="13"/>
  <c r="D23" i="13" s="1"/>
  <c r="D25" i="13" s="1"/>
  <c r="F15" i="13"/>
  <c r="E15" i="13"/>
  <c r="D15" i="13"/>
  <c r="C15" i="13"/>
  <c r="B17" i="13" s="1"/>
  <c r="G14" i="13"/>
  <c r="G15" i="13" s="1"/>
  <c r="G13" i="13"/>
  <c r="H13" i="13" s="1"/>
  <c r="F13" i="13"/>
  <c r="E13" i="13"/>
  <c r="D13" i="13"/>
  <c r="C13" i="13"/>
  <c r="B27" i="13" l="1"/>
  <c r="B30" i="13" s="1"/>
  <c r="B34" i="13" s="1"/>
  <c r="B36" i="10" l="1"/>
  <c r="D26" i="10"/>
  <c r="D28" i="10" s="1"/>
  <c r="E26" i="10"/>
  <c r="E27" i="10" s="1"/>
  <c r="C26" i="10"/>
  <c r="C28" i="10" s="1"/>
  <c r="B14" i="10"/>
  <c r="D8" i="10"/>
  <c r="E8" i="10"/>
  <c r="C8" i="10"/>
  <c r="L32" i="10"/>
  <c r="E11" i="10" s="1"/>
  <c r="K32" i="10"/>
  <c r="D11" i="10" s="1"/>
  <c r="J32" i="10"/>
  <c r="C11" i="10" s="1"/>
  <c r="L29" i="10"/>
  <c r="E10" i="10" s="1"/>
  <c r="K29" i="10"/>
  <c r="D10" i="10" s="1"/>
  <c r="J29" i="10"/>
  <c r="C10" i="10" s="1"/>
  <c r="L18" i="10"/>
  <c r="L20" i="10" s="1"/>
  <c r="K18" i="10"/>
  <c r="K20" i="10" s="1"/>
  <c r="J18" i="10"/>
  <c r="J20" i="10" s="1"/>
  <c r="I18" i="10"/>
  <c r="I20" i="10" s="1"/>
  <c r="L10" i="10"/>
  <c r="L13" i="10" s="1"/>
  <c r="K10" i="10"/>
  <c r="K13" i="10" s="1"/>
  <c r="J10" i="10"/>
  <c r="J13" i="10" s="1"/>
  <c r="C7" i="10" l="1"/>
  <c r="C14" i="10" s="1"/>
  <c r="C18" i="10" s="1"/>
  <c r="C20" i="10" s="1"/>
  <c r="E28" i="10"/>
  <c r="F26" i="10"/>
  <c r="J35" i="10"/>
  <c r="L35" i="10"/>
  <c r="E7" i="10"/>
  <c r="E14" i="10" s="1"/>
  <c r="E18" i="10" s="1"/>
  <c r="K35" i="10"/>
  <c r="K36" i="10" s="1"/>
  <c r="D7" i="10"/>
  <c r="D14" i="10" s="1"/>
  <c r="D18" i="10" s="1"/>
  <c r="D20" i="10" s="1"/>
  <c r="I35" i="10"/>
  <c r="L36" i="10" l="1"/>
  <c r="J36" i="10"/>
  <c r="F18" i="10"/>
  <c r="E19" i="10"/>
  <c r="E20" i="10" s="1"/>
  <c r="B21" i="10" s="1"/>
  <c r="B34" i="10" s="1"/>
  <c r="B35" i="10" s="1"/>
  <c r="B37" i="10" s="1"/>
  <c r="B2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Asha khatri</author>
  </authors>
  <commentList>
    <comment ref="A26" authorId="0" shapeId="0" xr:uid="{3F53EE7B-ED7F-4B28-BED7-D77336B60CF9}">
      <text>
        <r>
          <rPr>
            <b/>
            <sz val="9"/>
            <color indexed="81"/>
            <rFont val="Tahoma"/>
            <family val="2"/>
          </rPr>
          <t>Asha khatri:</t>
        </r>
        <r>
          <rPr>
            <sz val="9"/>
            <color indexed="81"/>
            <rFont val="Tahoma"/>
            <family val="2"/>
          </rPr>
          <t xml:space="preserve">
Tax sheild because it’s the amount your saving interims of interest since that’s less tax you pay</t>
        </r>
      </text>
    </comment>
  </commentList>
</comments>
</file>

<file path=xl/sharedStrings.xml><?xml version="1.0" encoding="utf-8"?>
<sst xmlns="http://schemas.openxmlformats.org/spreadsheetml/2006/main" count="81" uniqueCount="69">
  <si>
    <t>EBIT</t>
  </si>
  <si>
    <t>Less Interest Expenses</t>
  </si>
  <si>
    <t>Less Taxes</t>
  </si>
  <si>
    <t>Equals: Net Income</t>
  </si>
  <si>
    <t>Capital expenditures</t>
  </si>
  <si>
    <t>Gross Capital expenditure</t>
  </si>
  <si>
    <t>Ch in NWC</t>
  </si>
  <si>
    <t>Tax rate</t>
  </si>
  <si>
    <t>FCFF</t>
  </si>
  <si>
    <t>Reminder: WACC = [E/V * Cost of Equity] + [D/V * Cost of Debt* (1-Tax rate)]</t>
  </si>
  <si>
    <t>Timeline</t>
  </si>
  <si>
    <t>Infinite Horizon</t>
  </si>
  <si>
    <t>FCF - million</t>
  </si>
  <si>
    <t>TV - million</t>
  </si>
  <si>
    <t xml:space="preserve">PV </t>
  </si>
  <si>
    <t>Pro Forma Income Statement</t>
  </si>
  <si>
    <t>EBITDA</t>
  </si>
  <si>
    <t>Less Depreciation</t>
  </si>
  <si>
    <t>Equals: EBIT</t>
  </si>
  <si>
    <t>Pro Forma Balance Sheet</t>
  </si>
  <si>
    <t>Cash</t>
  </si>
  <si>
    <t>Accounts receivable</t>
  </si>
  <si>
    <t>Inventories</t>
  </si>
  <si>
    <t>Current assets</t>
  </si>
  <si>
    <t>Net Fixed Assets</t>
  </si>
  <si>
    <t>Total Assets</t>
  </si>
  <si>
    <t>Accounts payable</t>
  </si>
  <si>
    <t>Long tem debt</t>
  </si>
  <si>
    <t>Stockholders'equity</t>
  </si>
  <si>
    <t>Total liabilities &amp; equity</t>
  </si>
  <si>
    <t>Ch in Net Working Capital</t>
  </si>
  <si>
    <t xml:space="preserve">Depreciation </t>
  </si>
  <si>
    <t>Sensitive assumptions</t>
  </si>
  <si>
    <t>COE</t>
  </si>
  <si>
    <t>COD</t>
  </si>
  <si>
    <t>Growth Rate</t>
  </si>
  <si>
    <t>Base Case Value</t>
  </si>
  <si>
    <t>Tx Shield Benefits - million</t>
  </si>
  <si>
    <t>Value provided by financial leverage</t>
  </si>
  <si>
    <t>Operating Value</t>
  </si>
  <si>
    <t>Entity Value</t>
  </si>
  <si>
    <t>Long Term Debt</t>
  </si>
  <si>
    <t>Equity Value</t>
  </si>
  <si>
    <t>Assumptions</t>
  </si>
  <si>
    <t>Cost of Unlevered Equity</t>
  </si>
  <si>
    <t>Cost of Debt</t>
  </si>
  <si>
    <t>Growth rate</t>
  </si>
  <si>
    <t>Offer Price</t>
  </si>
  <si>
    <t>INFINITE HORIZON</t>
  </si>
  <si>
    <t>1/ Base Case Value</t>
  </si>
  <si>
    <t>…</t>
  </si>
  <si>
    <t>TV</t>
  </si>
  <si>
    <t>PV (FCFF+TV)</t>
  </si>
  <si>
    <t>2/ Value provided by financial leverage</t>
  </si>
  <si>
    <t>INTEREST EXPENSES</t>
  </si>
  <si>
    <t>TAX SHIELD BENEFITS</t>
  </si>
  <si>
    <t>APV</t>
  </si>
  <si>
    <t>Sales Price</t>
  </si>
  <si>
    <t>Cost</t>
  </si>
  <si>
    <t xml:space="preserve">always unlevereaged equity </t>
  </si>
  <si>
    <t xml:space="preserve">Given </t>
  </si>
  <si>
    <t>If NWC is not given (CA-CL)</t>
  </si>
  <si>
    <t xml:space="preserve">The FCF uses the cost of equity </t>
  </si>
  <si>
    <t>Add the cash today</t>
  </si>
  <si>
    <t>Entity value - long-term debt</t>
  </si>
  <si>
    <t>Uses the values from 2016 since you disocunted it all today</t>
  </si>
  <si>
    <t>If there is no growth rate for interest, make g = 0, the T3 Tax sheild will be the same for Infinite horizon, and the TV would divide by r-g(=0)</t>
  </si>
  <si>
    <t>need interest tax sheild</t>
  </si>
  <si>
    <t xml:space="preserve">They underpaid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</si>
</sst>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#,##0_ ;\-#,##0\ "/>
    <numFmt numFmtId="167" formatCode="_-[$$-409]* #,##0.0_ ;_-[$$-409]* \-#,##0.0\ ;_-[$$-409]* &quot;-&quot;??_ ;_-@_ "/>
  </numFmts>
  <fonts count="10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rgb="FF000000"/>
      <name val="Verdana"/>
      <family val="2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theme="9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 vertical="center" readingOrder="1"/>
    </xf>
    <xf numFmtId="0" fontId="0" fillId="0" borderId="0" xfId="0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166" fontId="3" fillId="5" borderId="0" xfId="0" applyNumberFormat="1" applyFont="1" applyFill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2" borderId="3" xfId="0" applyFill="1" applyBorder="1"/>
    <xf numFmtId="165" fontId="0" fillId="0" borderId="1" xfId="0" applyNumberFormat="1" applyBorder="1"/>
    <xf numFmtId="0" fontId="0" fillId="3" borderId="1" xfId="0" applyFill="1" applyBorder="1"/>
    <xf numFmtId="165" fontId="0" fillId="3" borderId="1" xfId="0" applyNumberFormat="1" applyFill="1" applyBorder="1"/>
    <xf numFmtId="10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5" fontId="3" fillId="0" borderId="0" xfId="0" applyNumberFormat="1" applyFont="1"/>
    <xf numFmtId="0" fontId="4" fillId="0" borderId="0" xfId="0" applyFont="1"/>
    <xf numFmtId="0" fontId="0" fillId="6" borderId="0" xfId="0" applyFill="1"/>
    <xf numFmtId="0" fontId="0" fillId="0" borderId="2" xfId="0" applyBorder="1"/>
    <xf numFmtId="165" fontId="0" fillId="4" borderId="0" xfId="0" applyNumberFormat="1" applyFill="1"/>
    <xf numFmtId="165" fontId="0" fillId="4" borderId="2" xfId="0" applyNumberFormat="1" applyFill="1" applyBorder="1"/>
    <xf numFmtId="164" fontId="4" fillId="0" borderId="0" xfId="0" applyNumberFormat="1" applyFont="1"/>
    <xf numFmtId="0" fontId="3" fillId="5" borderId="2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6" borderId="2" xfId="0" applyFill="1" applyBorder="1" applyAlignment="1">
      <alignment horizontal="center"/>
    </xf>
    <xf numFmtId="165" fontId="0" fillId="0" borderId="4" xfId="0" applyNumberFormat="1" applyBorder="1"/>
    <xf numFmtId="0" fontId="0" fillId="0" borderId="0" xfId="0" applyAlignment="1">
      <alignment horizontal="center" vertical="center"/>
    </xf>
    <xf numFmtId="0" fontId="0" fillId="2" borderId="0" xfId="0" applyFill="1" applyBorder="1"/>
    <xf numFmtId="0" fontId="0" fillId="0" borderId="0" xfId="0" applyFill="1" applyBorder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Border="1" applyAlignment="1">
      <alignment horizontal="left" wrapText="1"/>
    </xf>
    <xf numFmtId="165" fontId="0" fillId="0" borderId="0" xfId="0" applyNumberFormat="1" applyBorder="1"/>
    <xf numFmtId="167" fontId="0" fillId="2" borderId="0" xfId="0" applyNumberFormat="1" applyFill="1"/>
    <xf numFmtId="0" fontId="9" fillId="0" borderId="0" xfId="0" applyFont="1"/>
    <xf numFmtId="10" fontId="9" fillId="7" borderId="0" xfId="0" applyNumberFormat="1" applyFont="1" applyFill="1"/>
    <xf numFmtId="8" fontId="9" fillId="7" borderId="0" xfId="0" applyNumberFormat="1" applyFont="1" applyFill="1"/>
    <xf numFmtId="0" fontId="9" fillId="0" borderId="2" xfId="0" applyFont="1" applyBorder="1"/>
    <xf numFmtId="8" fontId="9" fillId="8" borderId="0" xfId="0" applyNumberFormat="1" applyFont="1" applyFill="1"/>
    <xf numFmtId="8" fontId="9" fillId="8" borderId="2" xfId="0" applyNumberFormat="1" applyFont="1" applyFill="1" applyBorder="1"/>
    <xf numFmtId="0" fontId="9" fillId="8" borderId="0" xfId="0" applyFont="1" applyFill="1"/>
    <xf numFmtId="8" fontId="8" fillId="8" borderId="0" xfId="0" applyNumberFormat="1" applyFont="1" applyFill="1"/>
    <xf numFmtId="0" fontId="0" fillId="6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295274</xdr:colOff>
      <xdr:row>0</xdr:row>
      <xdr:rowOff>0</xdr:rowOff>
    </xdr:from>
    <xdr:to>
      <xdr:col>13</xdr:col>
      <xdr:colOff>3349</xdr:colOff>
      <xdr:row>25</xdr:row>
      <xdr:rowOff>133557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785488-9115-3345-98FE-B0F47623B8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023" t="19831" r="44678" b="12055"/>
        <a:stretch/>
      </xdr:blipFill>
      <xdr:spPr>
        <a:xfrm>
          <a:off x="9109074" y="0"/>
          <a:ext cx="3032125" cy="5213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46"/>
  <sheetViews>
    <sheetView topLeftCell="A11" workbookViewId="0">
      <selection activeCell="C38" sqref="C38"/>
    </sheetView>
  </sheetViews>
  <sheetFormatPr defaultColWidth="11" defaultRowHeight="15.5" x14ac:dyDescent="0.35"/>
  <cols>
    <col min="1" max="1" width="24.1640625" bestFit="1" customWidth="1"/>
    <col min="2" max="2" width="11" style="7"/>
    <col min="8" max="8" width="25.5" bestFit="1" customWidth="1"/>
    <col min="10" max="10" width="13.6640625" bestFit="1" customWidth="1"/>
    <col min="12" max="12" width="11.83203125" bestFit="1" customWidth="1"/>
  </cols>
  <sheetData>
    <row r="1" spans="1:12" x14ac:dyDescent="0.35">
      <c r="A1" t="s">
        <v>32</v>
      </c>
    </row>
    <row r="2" spans="1:12" x14ac:dyDescent="0.35">
      <c r="A2" s="12" t="s">
        <v>33</v>
      </c>
      <c r="B2" s="20">
        <v>9.5000000000000001E-2</v>
      </c>
      <c r="C2" t="s">
        <v>59</v>
      </c>
      <c r="F2" s="33" t="s">
        <v>60</v>
      </c>
    </row>
    <row r="3" spans="1:12" x14ac:dyDescent="0.35">
      <c r="A3" s="12" t="s">
        <v>34</v>
      </c>
      <c r="B3" s="20">
        <v>8.3000000000000004E-2</v>
      </c>
      <c r="F3" s="33"/>
    </row>
    <row r="4" spans="1:12" x14ac:dyDescent="0.35">
      <c r="A4" s="12" t="s">
        <v>35</v>
      </c>
      <c r="B4" s="21">
        <v>0.03</v>
      </c>
      <c r="F4" s="33"/>
    </row>
    <row r="6" spans="1:12" x14ac:dyDescent="0.35">
      <c r="A6" s="4"/>
      <c r="B6" s="5">
        <v>2016</v>
      </c>
      <c r="C6" s="5">
        <v>2017</v>
      </c>
      <c r="D6" s="5">
        <v>2018</v>
      </c>
      <c r="E6" s="5">
        <v>2019</v>
      </c>
      <c r="I6" s="16">
        <v>2016</v>
      </c>
      <c r="J6" s="16">
        <v>2017</v>
      </c>
      <c r="K6" s="3">
        <v>2018</v>
      </c>
      <c r="L6" s="3">
        <v>2019</v>
      </c>
    </row>
    <row r="7" spans="1:12" ht="14.25" customHeight="1" x14ac:dyDescent="0.35">
      <c r="A7" s="4" t="s">
        <v>0</v>
      </c>
      <c r="B7" s="9"/>
      <c r="C7" s="9">
        <f t="shared" ref="C7:E7" si="0">J10</f>
        <v>56</v>
      </c>
      <c r="D7" s="9">
        <f t="shared" si="0"/>
        <v>61.6</v>
      </c>
      <c r="E7" s="9">
        <f t="shared" si="0"/>
        <v>67.8</v>
      </c>
      <c r="H7" s="1" t="s">
        <v>15</v>
      </c>
      <c r="I7" s="2"/>
      <c r="J7" s="2"/>
      <c r="K7" s="2"/>
      <c r="L7" s="2"/>
    </row>
    <row r="8" spans="1:12" x14ac:dyDescent="0.35">
      <c r="A8" s="4" t="s">
        <v>31</v>
      </c>
      <c r="B8" s="9"/>
      <c r="C8" s="9">
        <f>-J9</f>
        <v>44</v>
      </c>
      <c r="D8" s="9">
        <f t="shared" ref="D8:E8" si="1">-K9</f>
        <v>48.4</v>
      </c>
      <c r="E8" s="9">
        <f t="shared" si="1"/>
        <v>53.2</v>
      </c>
      <c r="H8" s="3" t="s">
        <v>16</v>
      </c>
      <c r="I8" s="17"/>
      <c r="J8" s="17">
        <v>100</v>
      </c>
      <c r="K8" s="17">
        <v>110</v>
      </c>
      <c r="L8" s="17">
        <v>121</v>
      </c>
    </row>
    <row r="9" spans="1:12" x14ac:dyDescent="0.35">
      <c r="A9" s="4" t="s">
        <v>7</v>
      </c>
      <c r="B9" s="10"/>
      <c r="C9" s="10">
        <v>0.3</v>
      </c>
      <c r="D9" s="10">
        <v>0.3</v>
      </c>
      <c r="E9" s="10">
        <v>0.3</v>
      </c>
      <c r="H9" s="3" t="s">
        <v>17</v>
      </c>
      <c r="I9" s="17"/>
      <c r="J9" s="17">
        <v>-44</v>
      </c>
      <c r="K9" s="17">
        <v>-48.4</v>
      </c>
      <c r="L9" s="17">
        <v>-53.2</v>
      </c>
    </row>
    <row r="10" spans="1:12" x14ac:dyDescent="0.35">
      <c r="A10" s="4" t="s">
        <v>5</v>
      </c>
      <c r="B10" s="9"/>
      <c r="C10" s="9">
        <f t="shared" ref="C10:E10" si="2">J29</f>
        <v>40</v>
      </c>
      <c r="D10" s="9">
        <f t="shared" si="2"/>
        <v>44.000000000000021</v>
      </c>
      <c r="E10" s="9">
        <f t="shared" si="2"/>
        <v>48.399999999999991</v>
      </c>
      <c r="H10" s="3" t="s">
        <v>18</v>
      </c>
      <c r="I10" s="17"/>
      <c r="J10" s="17">
        <f>J8+J9</f>
        <v>56</v>
      </c>
      <c r="K10" s="17">
        <f t="shared" ref="K10:L10" si="3">K8+K9</f>
        <v>61.6</v>
      </c>
      <c r="L10" s="17">
        <f t="shared" si="3"/>
        <v>67.8</v>
      </c>
    </row>
    <row r="11" spans="1:12" x14ac:dyDescent="0.35">
      <c r="A11" s="4" t="s">
        <v>6</v>
      </c>
      <c r="B11" s="9"/>
      <c r="C11" s="9">
        <f>J32</f>
        <v>5</v>
      </c>
      <c r="D11" s="9">
        <f t="shared" ref="D11:E11" si="4">K32</f>
        <v>5.4999999999999858</v>
      </c>
      <c r="E11" s="9">
        <f t="shared" si="4"/>
        <v>6.0000000000000142</v>
      </c>
      <c r="H11" s="3" t="s">
        <v>1</v>
      </c>
      <c r="I11" s="17"/>
      <c r="J11" s="17">
        <v>-25.5</v>
      </c>
      <c r="K11" s="17">
        <v>-23.5</v>
      </c>
      <c r="L11" s="17">
        <v>-21.2</v>
      </c>
    </row>
    <row r="12" spans="1:12" x14ac:dyDescent="0.35">
      <c r="H12" s="3" t="s">
        <v>2</v>
      </c>
      <c r="I12" s="17"/>
      <c r="J12" s="17">
        <v>-9.1999999999999993</v>
      </c>
      <c r="K12" s="17">
        <v>-11.4</v>
      </c>
      <c r="L12" s="17">
        <v>-14</v>
      </c>
    </row>
    <row r="13" spans="1:12" x14ac:dyDescent="0.35">
      <c r="H13" s="3" t="s">
        <v>3</v>
      </c>
      <c r="I13" s="17"/>
      <c r="J13" s="17">
        <f>J10+J11+J12</f>
        <v>21.3</v>
      </c>
      <c r="K13" s="17">
        <f t="shared" ref="K13:L13" si="5">K10+K11+K12</f>
        <v>26.700000000000003</v>
      </c>
      <c r="L13" s="17">
        <f t="shared" si="5"/>
        <v>32.599999999999994</v>
      </c>
    </row>
    <row r="14" spans="1:12" x14ac:dyDescent="0.35">
      <c r="A14" s="4" t="s">
        <v>8</v>
      </c>
      <c r="B14" s="8">
        <f>B7*(1-B9)+B8-B10-B11</f>
        <v>0</v>
      </c>
      <c r="C14" s="8">
        <f>C7*(1-C9)+C8-C10-C11</f>
        <v>38.199999999999989</v>
      </c>
      <c r="D14" s="8">
        <f>D7*(1-D9)+D8-D10-D11</f>
        <v>42.019999999999989</v>
      </c>
      <c r="E14" s="8">
        <f t="shared" ref="E14" si="6">E7*(1-E9)+E8-E10-E11</f>
        <v>46.259999999999991</v>
      </c>
      <c r="H14" s="1" t="s">
        <v>19</v>
      </c>
      <c r="I14" s="2"/>
      <c r="J14" s="2"/>
      <c r="K14" s="2"/>
      <c r="L14" s="2"/>
    </row>
    <row r="15" spans="1:12" x14ac:dyDescent="0.35">
      <c r="H15" s="3" t="s">
        <v>20</v>
      </c>
      <c r="I15" s="17">
        <v>10</v>
      </c>
      <c r="J15" s="17">
        <v>10.3</v>
      </c>
      <c r="K15" s="17">
        <v>15.9</v>
      </c>
      <c r="L15" s="17">
        <v>17.3</v>
      </c>
    </row>
    <row r="16" spans="1:12" x14ac:dyDescent="0.35">
      <c r="H16" s="3" t="s">
        <v>21</v>
      </c>
      <c r="I16" s="17">
        <v>40</v>
      </c>
      <c r="J16" s="17">
        <v>44</v>
      </c>
      <c r="K16" s="17">
        <v>48.4</v>
      </c>
      <c r="L16" s="17">
        <v>53.2</v>
      </c>
    </row>
    <row r="17" spans="1:85" x14ac:dyDescent="0.35">
      <c r="A17" s="11" t="s">
        <v>10</v>
      </c>
      <c r="B17" s="13">
        <v>0</v>
      </c>
      <c r="C17" s="13">
        <v>1</v>
      </c>
      <c r="D17" s="13">
        <v>2</v>
      </c>
      <c r="E17" s="13">
        <v>3</v>
      </c>
      <c r="F17" s="29" t="s">
        <v>11</v>
      </c>
      <c r="G17" s="30"/>
      <c r="H17" s="3" t="s">
        <v>22</v>
      </c>
      <c r="I17" s="17">
        <v>30</v>
      </c>
      <c r="J17" s="17">
        <v>33</v>
      </c>
      <c r="K17" s="17">
        <v>36.299999999999997</v>
      </c>
      <c r="L17" s="17">
        <v>39.9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</row>
    <row r="18" spans="1:85" x14ac:dyDescent="0.35">
      <c r="A18" t="s">
        <v>12</v>
      </c>
      <c r="B18" s="2"/>
      <c r="C18" s="2">
        <f t="shared" ref="C18:E18" si="7">C14</f>
        <v>38.199999999999989</v>
      </c>
      <c r="D18" s="2">
        <f t="shared" si="7"/>
        <v>42.019999999999989</v>
      </c>
      <c r="E18" s="32">
        <f t="shared" si="7"/>
        <v>46.259999999999991</v>
      </c>
      <c r="F18" s="2">
        <f>E18*(1+B4)</f>
        <v>47.647799999999989</v>
      </c>
      <c r="H18" s="3" t="s">
        <v>23</v>
      </c>
      <c r="I18" s="17">
        <f>I15+I16+I17</f>
        <v>80</v>
      </c>
      <c r="J18" s="17">
        <f t="shared" ref="J18:L18" si="8">J15+J16+J17</f>
        <v>87.3</v>
      </c>
      <c r="K18" s="17">
        <f t="shared" si="8"/>
        <v>100.6</v>
      </c>
      <c r="L18" s="17">
        <f t="shared" si="8"/>
        <v>110.4</v>
      </c>
    </row>
    <row r="19" spans="1:85" x14ac:dyDescent="0.35">
      <c r="A19" t="s">
        <v>13</v>
      </c>
      <c r="E19" s="2">
        <f>(E18*(1+B4))/(B2-B4)</f>
        <v>733.04307692307668</v>
      </c>
      <c r="H19" s="3" t="s">
        <v>24</v>
      </c>
      <c r="I19" s="17">
        <v>400</v>
      </c>
      <c r="J19" s="17">
        <v>396</v>
      </c>
      <c r="K19" s="17">
        <v>391.6</v>
      </c>
      <c r="L19" s="17">
        <v>386.8</v>
      </c>
    </row>
    <row r="20" spans="1:85" x14ac:dyDescent="0.35">
      <c r="A20" t="s">
        <v>14</v>
      </c>
      <c r="B20"/>
      <c r="C20" s="2">
        <f>C18/((1+$B$2)^C17)</f>
        <v>34.885844748858439</v>
      </c>
      <c r="D20" s="2">
        <f>D18/((1+$B$2)^D17)</f>
        <v>35.045140843602084</v>
      </c>
      <c r="E20" s="2">
        <f>(E18+E19)/((1+B2)^E17)</f>
        <v>593.55918991873193</v>
      </c>
      <c r="F20" s="2"/>
      <c r="H20" s="3" t="s">
        <v>25</v>
      </c>
      <c r="I20" s="17">
        <f>I19+I18</f>
        <v>480</v>
      </c>
      <c r="J20" s="17">
        <f t="shared" ref="J20:L20" si="9">J19+J18</f>
        <v>483.3</v>
      </c>
      <c r="K20" s="17">
        <f t="shared" si="9"/>
        <v>492.20000000000005</v>
      </c>
      <c r="L20" s="17">
        <f t="shared" si="9"/>
        <v>497.20000000000005</v>
      </c>
    </row>
    <row r="21" spans="1:85" x14ac:dyDescent="0.35">
      <c r="A21" s="11" t="s">
        <v>36</v>
      </c>
      <c r="B21" s="22">
        <f>SUM(C20:E20)</f>
        <v>663.49017551119243</v>
      </c>
      <c r="H21" s="3"/>
      <c r="I21" s="17"/>
      <c r="J21" s="17"/>
      <c r="K21" s="17"/>
      <c r="L21" s="17"/>
    </row>
    <row r="22" spans="1:85" x14ac:dyDescent="0.35">
      <c r="A22" s="11"/>
      <c r="B22" s="22"/>
      <c r="H22" s="18"/>
      <c r="I22" s="19"/>
      <c r="J22" s="19"/>
      <c r="K22" s="19"/>
      <c r="L22" s="19"/>
    </row>
    <row r="23" spans="1:85" x14ac:dyDescent="0.35">
      <c r="A23" s="36" t="s">
        <v>62</v>
      </c>
      <c r="B23" s="36"/>
      <c r="C23" s="36"/>
      <c r="D23" s="36"/>
      <c r="E23" s="36"/>
      <c r="F23" s="36"/>
      <c r="H23" s="3" t="s">
        <v>26</v>
      </c>
      <c r="I23" s="17">
        <v>20</v>
      </c>
      <c r="J23" s="17">
        <v>22</v>
      </c>
      <c r="K23" s="17">
        <v>24.2</v>
      </c>
      <c r="L23" s="17">
        <v>26.6</v>
      </c>
    </row>
    <row r="24" spans="1:85" x14ac:dyDescent="0.35">
      <c r="B24" s="2"/>
      <c r="H24" s="3" t="s">
        <v>27</v>
      </c>
      <c r="I24" s="17">
        <v>310</v>
      </c>
      <c r="J24" s="17">
        <v>290</v>
      </c>
      <c r="K24" s="17">
        <v>270</v>
      </c>
      <c r="L24" s="17">
        <v>240</v>
      </c>
    </row>
    <row r="25" spans="1:85" x14ac:dyDescent="0.35">
      <c r="A25" s="11" t="s">
        <v>10</v>
      </c>
      <c r="B25" s="13">
        <v>0</v>
      </c>
      <c r="C25" s="13">
        <v>1</v>
      </c>
      <c r="D25" s="13">
        <v>2</v>
      </c>
      <c r="E25" s="13">
        <v>3</v>
      </c>
      <c r="F25" s="29" t="s">
        <v>11</v>
      </c>
      <c r="G25" s="30"/>
      <c r="H25" s="3" t="s">
        <v>28</v>
      </c>
      <c r="I25" s="17">
        <v>150</v>
      </c>
      <c r="J25" s="17">
        <v>171.4</v>
      </c>
      <c r="K25" s="17">
        <v>198</v>
      </c>
      <c r="L25" s="17">
        <v>230.6</v>
      </c>
    </row>
    <row r="26" spans="1:85" x14ac:dyDescent="0.35">
      <c r="A26" t="s">
        <v>37</v>
      </c>
      <c r="B26" s="2"/>
      <c r="C26" s="2">
        <f>-J11*C9</f>
        <v>7.6499999999999995</v>
      </c>
      <c r="D26" s="2">
        <f t="shared" ref="D26:E26" si="10">-K11*D9</f>
        <v>7.05</v>
      </c>
      <c r="E26" s="2">
        <f t="shared" si="10"/>
        <v>6.3599999999999994</v>
      </c>
      <c r="F26" s="2">
        <f>E26*(1+B4)</f>
        <v>6.5507999999999997</v>
      </c>
      <c r="H26" s="18"/>
      <c r="I26" s="19"/>
      <c r="J26" s="19"/>
      <c r="K26" s="19"/>
      <c r="L26" s="19"/>
    </row>
    <row r="27" spans="1:85" x14ac:dyDescent="0.35">
      <c r="A27" t="s">
        <v>13</v>
      </c>
      <c r="E27" s="2">
        <f>(E26*(1+B4))/(B3-B4)</f>
        <v>123.59999999999998</v>
      </c>
      <c r="H27" s="3" t="s">
        <v>29</v>
      </c>
      <c r="I27" s="17">
        <v>480</v>
      </c>
      <c r="J27" s="17">
        <v>483.3</v>
      </c>
      <c r="K27" s="17">
        <v>492.2</v>
      </c>
      <c r="L27" s="17">
        <v>497.2</v>
      </c>
    </row>
    <row r="28" spans="1:85" x14ac:dyDescent="0.35">
      <c r="A28" t="s">
        <v>14</v>
      </c>
      <c r="B28" s="2"/>
      <c r="C28" s="2">
        <f>C26/(1+$B$3)^C25</f>
        <v>7.0637119113573403</v>
      </c>
      <c r="D28" s="2">
        <f t="shared" ref="D28" si="11">D26/(1+$B$3)^D25</f>
        <v>6.0107989758621665</v>
      </c>
      <c r="E28" s="2">
        <f>(E26+E27)/(1+$B$3)^E25</f>
        <v>102.31147192956878</v>
      </c>
      <c r="F28" s="2"/>
      <c r="H28" s="18"/>
      <c r="I28" s="19"/>
      <c r="J28" s="19"/>
      <c r="K28" s="19"/>
      <c r="L28" s="19"/>
    </row>
    <row r="29" spans="1:85" x14ac:dyDescent="0.35">
      <c r="A29" s="11" t="s">
        <v>38</v>
      </c>
      <c r="B29" s="22">
        <f>SUM(C28:E28)</f>
        <v>115.38598281678829</v>
      </c>
      <c r="H29" s="3" t="s">
        <v>4</v>
      </c>
      <c r="I29" s="17"/>
      <c r="J29" s="17">
        <f>J19-I19-J9</f>
        <v>40</v>
      </c>
      <c r="K29" s="17">
        <f t="shared" ref="K29:L29" si="12">K19-J19-K9</f>
        <v>44.000000000000021</v>
      </c>
      <c r="L29" s="17">
        <f t="shared" si="12"/>
        <v>48.399999999999991</v>
      </c>
    </row>
    <row r="30" spans="1:85" x14ac:dyDescent="0.35">
      <c r="A30" s="11"/>
      <c r="B30" s="22"/>
      <c r="H30" s="3"/>
      <c r="I30" s="17"/>
      <c r="J30" s="17"/>
      <c r="K30" s="17"/>
      <c r="L30" s="17"/>
    </row>
    <row r="31" spans="1:85" x14ac:dyDescent="0.35">
      <c r="A31" s="38" t="s">
        <v>66</v>
      </c>
      <c r="B31" s="38"/>
      <c r="C31" s="38"/>
      <c r="D31" s="38"/>
      <c r="E31" s="38"/>
      <c r="F31" s="38"/>
      <c r="G31" s="39"/>
      <c r="H31" s="3"/>
      <c r="I31" s="17"/>
      <c r="J31" s="17"/>
      <c r="K31" s="17"/>
      <c r="L31" s="17"/>
    </row>
    <row r="32" spans="1:85" x14ac:dyDescent="0.35">
      <c r="A32" s="38"/>
      <c r="B32" s="38"/>
      <c r="C32" s="38"/>
      <c r="D32" s="38"/>
      <c r="E32" s="38"/>
      <c r="F32" s="38"/>
      <c r="G32" s="39"/>
      <c r="H32" s="3" t="s">
        <v>30</v>
      </c>
      <c r="I32" s="17"/>
      <c r="J32" s="17">
        <f>((J16+J17)-J23)-((I16+I17)-I23)</f>
        <v>5</v>
      </c>
      <c r="K32" s="17">
        <f t="shared" ref="K32:L32" si="13">((K16+K17)-K23)-((J16+J17)-J23)</f>
        <v>5.4999999999999858</v>
      </c>
      <c r="L32" s="17">
        <f t="shared" si="13"/>
        <v>6.0000000000000142</v>
      </c>
    </row>
    <row r="33" spans="1:12" x14ac:dyDescent="0.35">
      <c r="A33" s="40"/>
      <c r="B33" s="40"/>
      <c r="C33" s="40"/>
      <c r="D33" s="40"/>
      <c r="E33" s="40"/>
      <c r="F33" s="40"/>
      <c r="G33" s="41"/>
      <c r="H33" s="34"/>
      <c r="I33" s="42"/>
      <c r="J33" s="42"/>
      <c r="K33" s="42"/>
      <c r="L33" s="42"/>
    </row>
    <row r="34" spans="1:12" x14ac:dyDescent="0.35">
      <c r="A34" s="11" t="s">
        <v>39</v>
      </c>
      <c r="B34" s="22">
        <f>B21+B29</f>
        <v>778.87615832798076</v>
      </c>
    </row>
    <row r="35" spans="1:12" x14ac:dyDescent="0.35">
      <c r="A35" s="11" t="s">
        <v>40</v>
      </c>
      <c r="B35" s="22">
        <f>B34+I15</f>
        <v>788.87615832798076</v>
      </c>
      <c r="C35" s="37" t="s">
        <v>63</v>
      </c>
      <c r="H35" s="35" t="s">
        <v>61</v>
      </c>
      <c r="I35" s="2">
        <f>I18-I23</f>
        <v>60</v>
      </c>
      <c r="J35" s="2">
        <f>J18-J23</f>
        <v>65.3</v>
      </c>
      <c r="K35" s="2">
        <f t="shared" ref="K35:L35" si="14">K18-K23</f>
        <v>76.399999999999991</v>
      </c>
      <c r="L35" s="2">
        <f t="shared" si="14"/>
        <v>83.800000000000011</v>
      </c>
    </row>
    <row r="36" spans="1:12" x14ac:dyDescent="0.35">
      <c r="A36" s="11" t="s">
        <v>41</v>
      </c>
      <c r="B36" s="22">
        <f>I24</f>
        <v>310</v>
      </c>
      <c r="C36" s="37" t="s">
        <v>65</v>
      </c>
      <c r="H36" t="s">
        <v>6</v>
      </c>
      <c r="J36" s="2">
        <f>(J35-I35)/I35</f>
        <v>8.8333333333333292E-2</v>
      </c>
      <c r="K36" s="2">
        <f t="shared" ref="K36:L36" si="15">K35-J35</f>
        <v>11.099999999999994</v>
      </c>
      <c r="L36" s="2">
        <f t="shared" si="15"/>
        <v>7.4000000000000199</v>
      </c>
    </row>
    <row r="37" spans="1:12" x14ac:dyDescent="0.35">
      <c r="A37" s="11" t="s">
        <v>42</v>
      </c>
      <c r="B37" s="22">
        <f>B35-B36</f>
        <v>478.87615832798076</v>
      </c>
      <c r="C37" s="37" t="s">
        <v>64</v>
      </c>
    </row>
    <row r="42" spans="1:12" x14ac:dyDescent="0.35">
      <c r="A42" s="6"/>
    </row>
    <row r="46" spans="1:12" x14ac:dyDescent="0.35">
      <c r="A46" t="s">
        <v>9</v>
      </c>
    </row>
  </sheetData>
  <mergeCells count="5">
    <mergeCell ref="F17:G17"/>
    <mergeCell ref="F25:G25"/>
    <mergeCell ref="F2:F4"/>
    <mergeCell ref="A23:F23"/>
    <mergeCell ref="A31:G3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abSelected="1" topLeftCell="A10" zoomScale="47" workbookViewId="0">
      <selection activeCell="C33" sqref="C33"/>
    </sheetView>
  </sheetViews>
  <sheetFormatPr defaultColWidth="11.1640625" defaultRowHeight="15.5" x14ac:dyDescent="0.35"/>
  <cols>
    <col min="1" max="1" width="19.6640625" customWidth="1"/>
    <col min="2" max="13" width="10.6640625"/>
  </cols>
  <sheetData>
    <row r="1" spans="1:14" x14ac:dyDescent="0.35">
      <c r="A1" s="23" t="s">
        <v>43</v>
      </c>
    </row>
    <row r="2" spans="1:14" x14ac:dyDescent="0.35">
      <c r="A2" s="12" t="s">
        <v>44</v>
      </c>
      <c r="B2" s="45">
        <v>0.13500000000000001</v>
      </c>
      <c r="C2" t="s">
        <v>67</v>
      </c>
    </row>
    <row r="3" spans="1:14" x14ac:dyDescent="0.35">
      <c r="A3" s="12" t="s">
        <v>45</v>
      </c>
      <c r="B3" s="45">
        <v>9.5000000000000001E-2</v>
      </c>
    </row>
    <row r="4" spans="1:14" x14ac:dyDescent="0.35">
      <c r="A4" s="12" t="s">
        <v>46</v>
      </c>
      <c r="B4" s="45">
        <v>0.05</v>
      </c>
    </row>
    <row r="5" spans="1:14" s="14" customFormat="1" x14ac:dyDescent="0.35">
      <c r="A5" s="12" t="s">
        <v>7</v>
      </c>
      <c r="B5" s="45">
        <v>0.34</v>
      </c>
      <c r="C5"/>
      <c r="D5"/>
      <c r="E5"/>
      <c r="F5"/>
      <c r="G5"/>
      <c r="H5"/>
      <c r="I5"/>
      <c r="J5"/>
      <c r="K5"/>
      <c r="L5"/>
      <c r="M5"/>
      <c r="N5"/>
    </row>
    <row r="6" spans="1:14" x14ac:dyDescent="0.35">
      <c r="A6" s="12" t="s">
        <v>47</v>
      </c>
      <c r="B6" s="46">
        <v>307</v>
      </c>
    </row>
    <row r="8" spans="1:14" x14ac:dyDescent="0.35">
      <c r="B8" s="24">
        <v>0</v>
      </c>
      <c r="C8" s="24">
        <v>1</v>
      </c>
      <c r="D8" s="24">
        <v>2</v>
      </c>
      <c r="E8" s="24">
        <v>3</v>
      </c>
      <c r="F8" s="24">
        <v>4</v>
      </c>
      <c r="G8" s="24">
        <v>5</v>
      </c>
      <c r="H8" s="31" t="s">
        <v>48</v>
      </c>
      <c r="I8" s="52"/>
      <c r="J8" s="52"/>
      <c r="K8" s="52"/>
      <c r="L8" s="52"/>
    </row>
    <row r="9" spans="1:14" x14ac:dyDescent="0.35">
      <c r="A9" t="s">
        <v>8</v>
      </c>
      <c r="C9" s="43">
        <v>47</v>
      </c>
      <c r="D9" s="43">
        <v>28.1</v>
      </c>
      <c r="E9" s="43">
        <v>24.8</v>
      </c>
      <c r="F9" s="43">
        <v>21.8</v>
      </c>
      <c r="G9" s="43">
        <v>21.3</v>
      </c>
      <c r="H9" s="25"/>
    </row>
    <row r="10" spans="1:14" x14ac:dyDescent="0.35">
      <c r="H10" s="25"/>
    </row>
    <row r="11" spans="1:14" x14ac:dyDescent="0.35">
      <c r="A11" s="23" t="s">
        <v>49</v>
      </c>
      <c r="H11" s="25"/>
    </row>
    <row r="12" spans="1:14" x14ac:dyDescent="0.35">
      <c r="H12" s="25"/>
    </row>
    <row r="13" spans="1:14" x14ac:dyDescent="0.35">
      <c r="A13" t="s">
        <v>8</v>
      </c>
      <c r="C13" s="26">
        <f>C9</f>
        <v>47</v>
      </c>
      <c r="D13" s="26">
        <f t="shared" ref="D13:G13" si="0">D9</f>
        <v>28.1</v>
      </c>
      <c r="E13" s="26">
        <f t="shared" si="0"/>
        <v>24.8</v>
      </c>
      <c r="F13" s="26">
        <f t="shared" si="0"/>
        <v>21.8</v>
      </c>
      <c r="G13" s="26">
        <f t="shared" si="0"/>
        <v>21.3</v>
      </c>
      <c r="H13" s="27">
        <f>G13*(1+B4)</f>
        <v>22.365000000000002</v>
      </c>
      <c r="I13" t="s">
        <v>50</v>
      </c>
    </row>
    <row r="14" spans="1:14" x14ac:dyDescent="0.35">
      <c r="A14" t="s">
        <v>51</v>
      </c>
      <c r="B14" s="44"/>
      <c r="C14" s="44"/>
      <c r="D14" s="44"/>
      <c r="E14" s="44"/>
      <c r="F14" s="44"/>
      <c r="G14" s="50">
        <f>H13/(B2-B4)</f>
        <v>263.11764705882354</v>
      </c>
      <c r="H14" s="47"/>
    </row>
    <row r="15" spans="1:14" x14ac:dyDescent="0.35">
      <c r="A15" t="s">
        <v>52</v>
      </c>
      <c r="B15" s="44"/>
      <c r="C15" s="48">
        <f>C13/(1+$B$2)^C8</f>
        <v>41.409691629955944</v>
      </c>
      <c r="D15" s="48">
        <f t="shared" ref="D15:F15" si="1">D13/(1+$B$2)^D8</f>
        <v>21.812959692600284</v>
      </c>
      <c r="E15" s="48">
        <f t="shared" si="1"/>
        <v>16.961493733095679</v>
      </c>
      <c r="F15" s="48">
        <f t="shared" si="1"/>
        <v>13.136299679603731</v>
      </c>
      <c r="G15" s="50">
        <f>(G13+G14)/(1+B2)^G8</f>
        <v>151.00009885351295</v>
      </c>
      <c r="H15" s="47"/>
    </row>
    <row r="16" spans="1:14" x14ac:dyDescent="0.35">
      <c r="B16" s="44"/>
      <c r="C16" s="44"/>
      <c r="D16" s="44"/>
      <c r="E16" s="44"/>
      <c r="F16" s="44"/>
      <c r="G16" s="44"/>
      <c r="H16" s="47"/>
    </row>
    <row r="17" spans="1:8" x14ac:dyDescent="0.35">
      <c r="A17" s="28" t="s">
        <v>36</v>
      </c>
      <c r="B17" s="51">
        <f>SUM(C15:G15)</f>
        <v>244.3205435887686</v>
      </c>
      <c r="C17" s="44"/>
      <c r="D17" s="44"/>
      <c r="E17" s="44"/>
      <c r="F17" s="44"/>
      <c r="G17" s="44"/>
      <c r="H17" s="47"/>
    </row>
    <row r="18" spans="1:8" x14ac:dyDescent="0.35">
      <c r="B18" s="44"/>
      <c r="C18" s="44"/>
      <c r="D18" s="44"/>
      <c r="E18" s="44"/>
      <c r="F18" s="44"/>
      <c r="G18" s="44"/>
      <c r="H18" s="47"/>
    </row>
    <row r="19" spans="1:8" x14ac:dyDescent="0.35">
      <c r="B19" s="44"/>
      <c r="C19" s="44"/>
      <c r="D19" s="44"/>
      <c r="E19" s="44"/>
      <c r="F19" s="44"/>
      <c r="G19" s="44"/>
      <c r="H19" s="47"/>
    </row>
    <row r="20" spans="1:8" x14ac:dyDescent="0.35">
      <c r="A20" s="23" t="s">
        <v>53</v>
      </c>
      <c r="B20" s="44"/>
      <c r="C20" s="44"/>
      <c r="D20" s="44"/>
      <c r="E20" s="44"/>
      <c r="F20" s="44"/>
      <c r="G20" s="44"/>
      <c r="H20" s="47"/>
    </row>
    <row r="21" spans="1:8" x14ac:dyDescent="0.35">
      <c r="B21" s="44"/>
      <c r="C21" s="44"/>
      <c r="D21" s="44"/>
      <c r="E21" s="44"/>
      <c r="F21" s="44"/>
      <c r="G21" s="44"/>
      <c r="H21" s="47"/>
    </row>
    <row r="22" spans="1:8" x14ac:dyDescent="0.35">
      <c r="A22" t="s">
        <v>54</v>
      </c>
      <c r="B22" s="44"/>
      <c r="C22" s="46">
        <v>21.6</v>
      </c>
      <c r="D22" s="46">
        <f>19.1</f>
        <v>19.100000000000001</v>
      </c>
      <c r="E22" s="46">
        <v>17.8</v>
      </c>
      <c r="F22" s="46">
        <f>16.7</f>
        <v>16.7</v>
      </c>
      <c r="G22" s="46">
        <v>15.8</v>
      </c>
      <c r="H22" s="49">
        <f>G22*(1+B4)</f>
        <v>16.59</v>
      </c>
    </row>
    <row r="23" spans="1:8" x14ac:dyDescent="0.35">
      <c r="A23" t="s">
        <v>55</v>
      </c>
      <c r="B23" s="44"/>
      <c r="C23" s="48">
        <f t="shared" ref="C23:H23" si="2">C22*$B$5</f>
        <v>7.3440000000000012</v>
      </c>
      <c r="D23" s="48">
        <f t="shared" si="2"/>
        <v>6.4940000000000007</v>
      </c>
      <c r="E23" s="48">
        <f t="shared" si="2"/>
        <v>6.0520000000000005</v>
      </c>
      <c r="F23" s="48">
        <f t="shared" si="2"/>
        <v>5.6779999999999999</v>
      </c>
      <c r="G23" s="48">
        <f t="shared" si="2"/>
        <v>5.3720000000000008</v>
      </c>
      <c r="H23" s="48">
        <f t="shared" si="2"/>
        <v>5.6406000000000001</v>
      </c>
    </row>
    <row r="24" spans="1:8" x14ac:dyDescent="0.35">
      <c r="A24" t="s">
        <v>51</v>
      </c>
      <c r="B24" s="44"/>
      <c r="C24" s="44"/>
      <c r="D24" s="44"/>
      <c r="E24" s="44"/>
      <c r="F24" s="44"/>
      <c r="G24" s="48">
        <f>H23/(B3-B4)</f>
        <v>125.34666666666668</v>
      </c>
      <c r="H24" s="47"/>
    </row>
    <row r="25" spans="1:8" x14ac:dyDescent="0.35">
      <c r="A25" t="s">
        <v>52</v>
      </c>
      <c r="B25" s="44"/>
      <c r="C25" s="48">
        <f>C23/(1+$B$3)^C8</f>
        <v>6.706849315068494</v>
      </c>
      <c r="D25" s="48">
        <f>D23/(1+$B$3)^D8</f>
        <v>5.41606722128396</v>
      </c>
      <c r="E25" s="48">
        <f>E23/(1+$B$3)^E8</f>
        <v>4.609529108458462</v>
      </c>
      <c r="F25" s="48">
        <f>F23/(1+$B$3)^F8</f>
        <v>3.9494708384000976</v>
      </c>
      <c r="G25" s="48">
        <f>(G23+G24)/(1+B3)^G8</f>
        <v>83.036113435424554</v>
      </c>
      <c r="H25" s="47"/>
    </row>
    <row r="26" spans="1:8" x14ac:dyDescent="0.35">
      <c r="B26" s="44"/>
      <c r="C26" s="44"/>
      <c r="D26" s="44"/>
      <c r="E26" s="44"/>
      <c r="F26" s="44"/>
      <c r="G26" s="44"/>
      <c r="H26" s="47"/>
    </row>
    <row r="27" spans="1:8" x14ac:dyDescent="0.35">
      <c r="A27" s="28" t="s">
        <v>38</v>
      </c>
      <c r="B27" s="51">
        <f>SUM(C25:G25)</f>
        <v>103.71802991863557</v>
      </c>
      <c r="C27" s="44"/>
      <c r="D27" s="44"/>
      <c r="E27" s="44"/>
      <c r="F27" s="44"/>
      <c r="G27" s="44"/>
      <c r="H27" s="47"/>
    </row>
    <row r="28" spans="1:8" x14ac:dyDescent="0.35">
      <c r="B28" s="44"/>
      <c r="C28" s="44"/>
      <c r="D28" s="44"/>
      <c r="E28" s="44"/>
      <c r="F28" s="44"/>
      <c r="G28" s="44"/>
      <c r="H28" s="47"/>
    </row>
    <row r="29" spans="1:8" x14ac:dyDescent="0.35">
      <c r="B29" s="44"/>
      <c r="C29" s="44"/>
      <c r="D29" s="44"/>
      <c r="E29" s="44"/>
      <c r="F29" s="44"/>
      <c r="G29" s="44"/>
      <c r="H29" s="47"/>
    </row>
    <row r="30" spans="1:8" x14ac:dyDescent="0.35">
      <c r="A30" s="23" t="s">
        <v>56</v>
      </c>
      <c r="B30" s="51">
        <f>B17+B27</f>
        <v>348.03857350740418</v>
      </c>
      <c r="C30" s="44"/>
      <c r="D30" s="44"/>
      <c r="E30" s="44"/>
      <c r="F30" s="44"/>
      <c r="G30" s="44"/>
      <c r="H30" s="47"/>
    </row>
    <row r="31" spans="1:8" x14ac:dyDescent="0.35">
      <c r="B31" s="44"/>
      <c r="C31" s="44"/>
      <c r="D31" s="44"/>
      <c r="E31" s="44"/>
      <c r="F31" s="44"/>
      <c r="G31" s="44"/>
      <c r="H31" s="44"/>
    </row>
    <row r="32" spans="1:8" x14ac:dyDescent="0.35">
      <c r="A32" s="23" t="s">
        <v>57</v>
      </c>
      <c r="B32" s="51">
        <f>B6</f>
        <v>307</v>
      </c>
      <c r="C32" s="44"/>
      <c r="D32" s="44"/>
      <c r="E32" s="44"/>
      <c r="F32" s="44"/>
      <c r="G32" s="44"/>
      <c r="H32" s="44"/>
    </row>
    <row r="33" spans="1:8" x14ac:dyDescent="0.35">
      <c r="B33" s="44"/>
      <c r="C33" s="44"/>
      <c r="D33" s="44"/>
      <c r="E33" s="44"/>
      <c r="F33" s="44"/>
      <c r="G33" s="44"/>
      <c r="H33" s="44"/>
    </row>
    <row r="34" spans="1:8" x14ac:dyDescent="0.35">
      <c r="A34" s="23" t="s">
        <v>58</v>
      </c>
      <c r="B34" s="51">
        <f>B30-B32</f>
        <v>41.03857350740418</v>
      </c>
      <c r="C34" s="44" t="s">
        <v>68</v>
      </c>
      <c r="D34" s="44"/>
      <c r="E34" s="44"/>
      <c r="F34" s="44"/>
      <c r="G34" s="44"/>
      <c r="H34" s="44"/>
    </row>
  </sheetData>
  <mergeCells count="1">
    <mergeCell ref="H8:L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AB55FF64D4994593AA70A443803CD2" ma:contentTypeVersion="2" ma:contentTypeDescription="Create a new document." ma:contentTypeScope="" ma:versionID="498788878ea9c1ff9abcdf405a7125fe">
  <xsd:schema xmlns:xsd="http://www.w3.org/2001/XMLSchema" xmlns:xs="http://www.w3.org/2001/XMLSchema" xmlns:p="http://schemas.microsoft.com/office/2006/metadata/properties" xmlns:ns2="cbbe47ed-573f-4182-83d6-65014ca33df1" targetNamespace="http://schemas.microsoft.com/office/2006/metadata/properties" ma:root="true" ma:fieldsID="79c1cc59cd8ef9c65537ad3c7b618404" ns2:_="">
    <xsd:import namespace="cbbe47ed-573f-4182-83d6-65014ca33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e47ed-573f-4182-83d6-65014ca33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AB5F40-C235-4CAB-BB88-53B9FDEFFB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C956D4-C1B8-4500-9CE8-A02E01ABE7A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D5A7D4-A98B-4854-981B-1D7FEA7EC4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be47ed-573f-4182-83d6-65014ca33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WILTSHIRE LTD </vt:lpstr>
      <vt:lpstr>ACME FILTERS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KHATRI, Asha</cp:lastModifiedBy>
  <dcterms:created xsi:type="dcterms:W3CDTF">2017-01-17T19:27:12Z</dcterms:created>
  <dcterms:modified xsi:type="dcterms:W3CDTF">2024-03-27T21:05:21Z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0x010100BBAB55FF64D4994593AA70A443803CD2</vt:lpwstr>
  </property>
</Properties>
</file>