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ate1904="1"/>
  <mc:AlternateContent xmlns:mc="http://schemas.openxmlformats.org/markup-compatibility/2006">
    <mc:Choice Requires="x15">
      <x15ac:absPath xmlns:x15ac="http://schemas.microsoft.com/office/spreadsheetml/2010/11/ac" url="/Users/souhail/Desktop/SKEMA Teaching/M&amp;A (SKEMA BBA)/Valuation Exercises/"/>
    </mc:Choice>
  </mc:AlternateContent>
  <xr:revisionPtr revIDLastSave="0" documentId="8_{959619E4-70D8-C140-ABD9-DC5B0389746F}" xr6:coauthVersionLast="47" xr6:coauthVersionMax="47" xr10:uidLastSave="{00000000-0000-0000-0000-000000000000}"/>
  <bookViews>
    <workbookView xWindow="0" yWindow="500" windowWidth="28800" windowHeight="16260" xr2:uid="{00000000-000D-0000-FFFF-FFFF00000000}"/>
  </bookViews>
  <sheets>
    <sheet name="Ex 7" sheetId="15" r:id="rId1"/>
    <sheet name="Ex 6 " sheetId="16" r:id="rId2"/>
    <sheet name="Ex 5 " sheetId="17" r:id="rId3"/>
    <sheet name="Ex 3 &amp; 4" sheetId="18" r:id="rId4"/>
    <sheet name="Ex 1 &amp; 2" sheetId="1" r:id="rId5"/>
  </sheets>
  <calcPr calcId="191029" iterateDelta="9.999999999999445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4" i="18" l="1"/>
  <c r="E24" i="18" s="1"/>
  <c r="D25" i="18"/>
  <c r="E25" i="18" s="1"/>
  <c r="C28" i="18"/>
  <c r="B28" i="18"/>
  <c r="E26" i="18"/>
  <c r="E20" i="18"/>
  <c r="D20" i="18"/>
  <c r="C20" i="18"/>
  <c r="B20" i="18"/>
  <c r="B13" i="18" s="1"/>
  <c r="B14" i="18" s="1"/>
  <c r="B12" i="18"/>
  <c r="B16" i="18"/>
  <c r="B17" i="18" s="1"/>
  <c r="C4" i="18"/>
  <c r="D4" i="18" s="1"/>
  <c r="D12" i="18" s="1"/>
  <c r="C16" i="18"/>
  <c r="E16" i="18"/>
  <c r="D16" i="18"/>
  <c r="A12" i="18"/>
  <c r="B11" i="17"/>
  <c r="B15" i="17" s="1"/>
  <c r="B16" i="17" s="1"/>
  <c r="B3" i="17"/>
  <c r="B4" i="17" s="1"/>
  <c r="B5" i="17" s="1"/>
  <c r="D7" i="17" s="1"/>
  <c r="E10" i="16"/>
  <c r="C11" i="16" s="1"/>
  <c r="D12" i="16"/>
  <c r="C13" i="16" s="1"/>
  <c r="E14" i="16" s="1"/>
  <c r="B3" i="16"/>
  <c r="B4" i="16" s="1"/>
  <c r="B5" i="16" s="1"/>
  <c r="B6" i="16"/>
  <c r="C6" i="16" s="1"/>
  <c r="C3" i="16"/>
  <c r="C4" i="16" s="1"/>
  <c r="C5" i="16" s="1"/>
  <c r="E13" i="15"/>
  <c r="E14" i="15"/>
  <c r="E15" i="15"/>
  <c r="E18" i="15"/>
  <c r="E19" i="15"/>
  <c r="D18" i="15"/>
  <c r="D19" i="15"/>
  <c r="C18" i="15"/>
  <c r="C13" i="15"/>
  <c r="C12" i="15" s="1"/>
  <c r="C19" i="15" s="1"/>
  <c r="B18" i="15"/>
  <c r="B19" i="15"/>
  <c r="D13" i="15"/>
  <c r="D14" i="15"/>
  <c r="D15" i="15"/>
  <c r="C14" i="15"/>
  <c r="C15" i="15"/>
  <c r="B13" i="15"/>
  <c r="B14" i="15"/>
  <c r="B15" i="15"/>
  <c r="B10" i="1"/>
  <c r="B12" i="1" s="1"/>
  <c r="B14" i="1"/>
  <c r="E20" i="1"/>
  <c r="D18" i="1"/>
  <c r="C10" i="1"/>
  <c r="D10" i="1"/>
  <c r="E10" i="1"/>
  <c r="F2" i="1"/>
  <c r="E4" i="1"/>
  <c r="F4" i="1" s="1"/>
  <c r="D4" i="1"/>
  <c r="C4" i="1"/>
  <c r="B4" i="1"/>
  <c r="E20" i="15" l="1"/>
  <c r="B20" i="15"/>
  <c r="D12" i="1"/>
  <c r="D16" i="15"/>
  <c r="B7" i="16"/>
  <c r="C11" i="17"/>
  <c r="E16" i="15"/>
  <c r="D22" i="15" s="1"/>
  <c r="B13" i="17"/>
  <c r="C16" i="15"/>
  <c r="B15" i="16"/>
  <c r="B18" i="18"/>
  <c r="D20" i="15"/>
  <c r="F3" i="1"/>
  <c r="E6" i="1" s="1"/>
  <c r="E11" i="1" s="1"/>
  <c r="E12" i="1" s="1"/>
  <c r="C17" i="18"/>
  <c r="D17" i="18" s="1"/>
  <c r="E17" i="18" s="1"/>
  <c r="C12" i="1"/>
  <c r="E28" i="18"/>
  <c r="B16" i="15"/>
  <c r="G24" i="15" s="1"/>
  <c r="D13" i="18"/>
  <c r="D14" i="18" s="1"/>
  <c r="D28" i="18"/>
  <c r="C20" i="15"/>
  <c r="C7" i="16"/>
  <c r="E4" i="18"/>
  <c r="E12" i="18" s="1"/>
  <c r="C12" i="18"/>
  <c r="C13" i="1" l="1"/>
  <c r="C13" i="17"/>
  <c r="C15" i="17"/>
  <c r="C16" i="17" s="1"/>
  <c r="C18" i="17" s="1"/>
  <c r="E16" i="16"/>
  <c r="E13" i="18"/>
  <c r="E14" i="18" s="1"/>
  <c r="D15" i="18" s="1"/>
  <c r="D18" i="18" s="1"/>
  <c r="D7" i="16"/>
  <c r="C13" i="18"/>
  <c r="C14" i="18" s="1"/>
  <c r="C18" i="18" s="1"/>
  <c r="D29" i="18"/>
  <c r="E30" i="18" s="1"/>
  <c r="B19" i="18" l="1"/>
</calcChain>
</file>

<file path=xl/sharedStrings.xml><?xml version="1.0" encoding="utf-8"?>
<sst xmlns="http://schemas.openxmlformats.org/spreadsheetml/2006/main" count="97" uniqueCount="76">
  <si>
    <t xml:space="preserve">New Cost of Equity = </t>
  </si>
  <si>
    <t>New Cost of Capital = 10.67% (0.75) + .08*0.6*.25 =</t>
  </si>
  <si>
    <t>New Value =</t>
  </si>
  <si>
    <t>Value of Synergy = 5747 - (1070+3488) =</t>
  </si>
  <si>
    <t>4 (Terminal year)</t>
  </si>
  <si>
    <t>Total Working Capital</t>
  </si>
  <si>
    <t>Pre-tax Cost of borrowing</t>
  </si>
  <si>
    <t>Cash Flows for next 3 years</t>
  </si>
  <si>
    <t>Terminal year</t>
  </si>
  <si>
    <t>a. Estimated FCFF next year</t>
  </si>
  <si>
    <t>! Reinvestment Rate = g/ ROC = .05/.125 = .4</t>
  </si>
  <si>
    <t>Value of Firm = 151.2/ (.10 - .05) =</t>
  </si>
  <si>
    <t>b. Expected Tax Savings from NOL</t>
  </si>
  <si>
    <t>NOL Carry Forward</t>
  </si>
  <si>
    <t>Taxes</t>
  </si>
  <si>
    <t>PV of Savings</t>
  </si>
  <si>
    <t xml:space="preserve">Total PV of Savings = </t>
  </si>
  <si>
    <t>Problem 1</t>
  </si>
  <si>
    <t>EPS</t>
  </si>
  <si>
    <t>Terminal Year</t>
  </si>
  <si>
    <t>FCFE</t>
  </si>
  <si>
    <t>Net Cap Ex</t>
  </si>
  <si>
    <t>a. Terminal Value of Equity = 1.50/ (.125 - .06) =</t>
  </si>
  <si>
    <t>Cost of Equity</t>
  </si>
  <si>
    <t>PV at 15.25%</t>
  </si>
  <si>
    <t>Value of the Stock =</t>
  </si>
  <si>
    <t>Problem 2</t>
  </si>
  <si>
    <t>d. Value of Synergy if it does not start for 4 years =</t>
  </si>
  <si>
    <t>Novotel</t>
  </si>
  <si>
    <t>VideoGraf</t>
  </si>
  <si>
    <t>ROC</t>
  </si>
  <si>
    <t>Reinv Rate</t>
  </si>
  <si>
    <t>Firm Value</t>
  </si>
  <si>
    <t>b. Value of Synergy</t>
  </si>
  <si>
    <t>New ROC = (450+160)*.6/((1000+2400)*.8) =</t>
  </si>
  <si>
    <t>New Reinvestment Rate =</t>
  </si>
  <si>
    <t xml:space="preserve">New Beta after restructuring = </t>
  </si>
  <si>
    <t>Terminal Value = 60.44/(.0855-.05) =</t>
  </si>
  <si>
    <t>Tax rate</t>
  </si>
  <si>
    <t>EBIT(1-t)</t>
  </si>
  <si>
    <t>chg WC</t>
  </si>
  <si>
    <t>AT Cost of Debt</t>
  </si>
  <si>
    <t>Reinvestment Rate = 5/12.5 =</t>
  </si>
  <si>
    <t>! Discount at the current cost of equity</t>
  </si>
  <si>
    <t>! This year</t>
  </si>
  <si>
    <t>EBIT (1-t)</t>
  </si>
  <si>
    <t>Cost of Debt</t>
  </si>
  <si>
    <t>Debt Ratio</t>
  </si>
  <si>
    <t>Return on Capital</t>
  </si>
  <si>
    <t xml:space="preserve"> - Reinvestment</t>
  </si>
  <si>
    <t>FCFF</t>
  </si>
  <si>
    <t>Firm Value = (150 * .6 - 36)*1.05 / (.10 - .05) =</t>
  </si>
  <si>
    <t>Year</t>
  </si>
  <si>
    <t>Growth rate</t>
  </si>
  <si>
    <t>EBIT</t>
  </si>
  <si>
    <t>Taxable Income</t>
  </si>
  <si>
    <t>Cost of Capital</t>
  </si>
  <si>
    <t>Cumulative WACC</t>
  </si>
  <si>
    <t>PV</t>
  </si>
  <si>
    <t>Value of Firm =</t>
  </si>
  <si>
    <t>Reinv. Rate</t>
  </si>
  <si>
    <t>BancFirst</t>
  </si>
  <si>
    <t>Farmers Bank</t>
  </si>
  <si>
    <t>Without synergy</t>
  </si>
  <si>
    <t>With Synergy</t>
  </si>
  <si>
    <t>Net Income</t>
  </si>
  <si>
    <t>Book Value of Equity</t>
  </si>
  <si>
    <t>Beta</t>
  </si>
  <si>
    <t xml:space="preserve">Reinvestment Amount = </t>
  </si>
  <si>
    <t xml:space="preserve">   Cost of Equity = 7% + 1 (5.5% ) =</t>
  </si>
  <si>
    <t>b. Value per Share today</t>
  </si>
  <si>
    <t>Terminal Value</t>
  </si>
  <si>
    <t>Value of Synergy = $ 3893 - $3315 =</t>
  </si>
  <si>
    <t>Value of firm = 62/1.11+77.50/(1.11*1.0983)+35.25/(1.11*1.0983*1.093)+1702/(1.11*1.09833*1.093) =</t>
  </si>
  <si>
    <t>Ex</t>
  </si>
  <si>
    <t xml:space="preserve">Ex 5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</si>
</sst>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6" formatCode="&quot;$&quot;#,##0.00_);[Red]\(&quot;$&quot;#,##0.00\)"/>
    <numFmt numFmtId="167" formatCode="_(&quot;$&quot;* #,##0.00_);_(&quot;$&quot;* \(#,##0.00\);_(&quot;$&quot;* &quot;-&quot;??_);_(@_)"/>
    <numFmt numFmtId="168" formatCode="_(* #,##0.00_);_(* \(#,##0.00\);_(* &quot;-&quot;??_);_(@_)"/>
    <numFmt numFmtId="169" formatCode="0.0%"/>
    <numFmt numFmtId="171" formatCode="_(&quot;$&quot;* #,##0_);_(&quot;$&quot;* \(#,##0\);_(&quot;$&quot;* &quot;-&quot;??_);_(@_)"/>
    <numFmt numFmtId="172" formatCode="&quot;$&quot;#,##0"/>
  </numFmts>
  <fonts count="5" x14ac:knownFonts="1">
    <font>
      <sz val="9"/>
      <name val="Geneva"/>
    </font>
    <font>
      <b/>
      <sz val="9"/>
      <name val="Geneva"/>
      <family val="2"/>
    </font>
    <font>
      <i/>
      <sz val="9"/>
      <name val="Geneva"/>
      <family val="2"/>
    </font>
    <font>
      <sz val="9"/>
      <name val="Geneva"/>
      <family val="2"/>
    </font>
    <font>
      <sz val="8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168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7" fontId="0" fillId="0" borderId="0" xfId="2" applyFont="1"/>
    <xf numFmtId="167" fontId="0" fillId="0" borderId="0" xfId="0" applyNumberFormat="1"/>
    <xf numFmtId="167" fontId="1" fillId="0" borderId="0" xfId="2" applyFont="1"/>
    <xf numFmtId="10" fontId="0" fillId="0" borderId="0" xfId="0" applyNumberFormat="1"/>
    <xf numFmtId="167" fontId="0" fillId="0" borderId="1" xfId="0" applyNumberFormat="1" applyBorder="1"/>
    <xf numFmtId="167" fontId="0" fillId="0" borderId="1" xfId="2" applyFont="1" applyBorder="1"/>
    <xf numFmtId="0" fontId="1" fillId="0" borderId="0" xfId="0" applyFont="1"/>
    <xf numFmtId="9" fontId="0" fillId="0" borderId="1" xfId="0" applyNumberFormat="1" applyBorder="1"/>
    <xf numFmtId="0" fontId="0" fillId="0" borderId="1" xfId="0" applyBorder="1"/>
    <xf numFmtId="0" fontId="2" fillId="0" borderId="0" xfId="0" applyFont="1"/>
    <xf numFmtId="10" fontId="0" fillId="0" borderId="2" xfId="3" applyNumberFormat="1" applyFont="1" applyBorder="1"/>
    <xf numFmtId="10" fontId="0" fillId="0" borderId="0" xfId="3" applyNumberFormat="1" applyFont="1"/>
    <xf numFmtId="171" fontId="0" fillId="0" borderId="0" xfId="2" applyNumberFormat="1" applyFont="1"/>
    <xf numFmtId="168" fontId="0" fillId="0" borderId="0" xfId="1" applyFont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167" fontId="0" fillId="0" borderId="5" xfId="2" applyFont="1" applyBorder="1"/>
    <xf numFmtId="9" fontId="0" fillId="0" borderId="0" xfId="0" applyNumberFormat="1"/>
    <xf numFmtId="166" fontId="0" fillId="0" borderId="0" xfId="2" applyNumberFormat="1" applyFont="1"/>
    <xf numFmtId="9" fontId="0" fillId="0" borderId="0" xfId="3" applyFont="1"/>
    <xf numFmtId="167" fontId="0" fillId="2" borderId="0" xfId="2" applyFont="1" applyFill="1"/>
    <xf numFmtId="172" fontId="0" fillId="0" borderId="0" xfId="0" applyNumberFormat="1"/>
    <xf numFmtId="0" fontId="3" fillId="0" borderId="0" xfId="0" applyFont="1"/>
    <xf numFmtId="0" fontId="0" fillId="0" borderId="2" xfId="0" applyBorder="1"/>
    <xf numFmtId="9" fontId="0" fillId="0" borderId="2" xfId="0" applyNumberFormat="1" applyBorder="1" applyAlignment="1">
      <alignment horizontal="center"/>
    </xf>
    <xf numFmtId="0" fontId="2" fillId="0" borderId="0" xfId="0" applyFont="1" applyAlignment="1">
      <alignment horizontal="center"/>
    </xf>
    <xf numFmtId="10" fontId="0" fillId="0" borderId="2" xfId="0" applyNumberFormat="1" applyBorder="1" applyAlignment="1">
      <alignment horizontal="center"/>
    </xf>
    <xf numFmtId="9" fontId="0" fillId="0" borderId="0" xfId="0" applyNumberFormat="1" applyAlignment="1">
      <alignment horizontal="center"/>
    </xf>
    <xf numFmtId="167" fontId="0" fillId="0" borderId="2" xfId="2" applyFont="1" applyBorder="1" applyAlignment="1"/>
    <xf numFmtId="167" fontId="0" fillId="0" borderId="2" xfId="2" applyFont="1" applyBorder="1" applyAlignment="1">
      <alignment horizontal="center"/>
    </xf>
    <xf numFmtId="167" fontId="0" fillId="0" borderId="2" xfId="0" applyNumberFormat="1" applyBorder="1" applyAlignment="1">
      <alignment horizontal="center"/>
    </xf>
    <xf numFmtId="169" fontId="0" fillId="0" borderId="2" xfId="0" applyNumberForma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 cent" xfId="3" builtinId="5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57"/>
  <sheetViews>
    <sheetView tabSelected="1" workbookViewId="0">
      <selection activeCell="C30" sqref="C30"/>
    </sheetView>
  </sheetViews>
  <sheetFormatPr baseColWidth="10" defaultRowHeight="13" x14ac:dyDescent="0.2"/>
  <cols>
    <col min="1" max="1" width="30" customWidth="1"/>
  </cols>
  <sheetData>
    <row r="1" spans="1:5" x14ac:dyDescent="0.2">
      <c r="A1" s="7" t="s">
        <v>17</v>
      </c>
    </row>
    <row r="2" spans="1:5" x14ac:dyDescent="0.2">
      <c r="B2">
        <v>1</v>
      </c>
      <c r="C2">
        <v>2</v>
      </c>
      <c r="D2">
        <v>3</v>
      </c>
      <c r="E2" t="s">
        <v>4</v>
      </c>
    </row>
    <row r="3" spans="1:5" x14ac:dyDescent="0.2">
      <c r="A3" t="s">
        <v>54</v>
      </c>
      <c r="B3" s="20">
        <v>100</v>
      </c>
      <c r="C3" s="20">
        <v>125</v>
      </c>
      <c r="D3" s="20">
        <v>156.25</v>
      </c>
      <c r="E3" s="20">
        <v>164.06</v>
      </c>
    </row>
    <row r="4" spans="1:5" x14ac:dyDescent="0.2">
      <c r="A4" t="s">
        <v>21</v>
      </c>
      <c r="B4" s="1">
        <v>30</v>
      </c>
      <c r="C4" s="1">
        <v>37.5</v>
      </c>
      <c r="D4" s="1">
        <v>46.5</v>
      </c>
      <c r="E4" s="1">
        <v>32</v>
      </c>
    </row>
    <row r="5" spans="1:5" x14ac:dyDescent="0.2">
      <c r="A5" t="s">
        <v>5</v>
      </c>
      <c r="B5" s="1">
        <v>60</v>
      </c>
      <c r="C5" s="1">
        <v>70</v>
      </c>
      <c r="D5" s="1">
        <v>82</v>
      </c>
      <c r="E5" s="1">
        <v>88</v>
      </c>
    </row>
    <row r="6" spans="1:5" x14ac:dyDescent="0.2">
      <c r="A6" t="s">
        <v>23</v>
      </c>
      <c r="B6" s="19">
        <v>0.12</v>
      </c>
      <c r="C6" s="19">
        <v>0.11</v>
      </c>
      <c r="D6" s="19">
        <v>0.11</v>
      </c>
      <c r="E6" s="19">
        <v>0.1</v>
      </c>
    </row>
    <row r="7" spans="1:5" x14ac:dyDescent="0.2">
      <c r="A7" t="s">
        <v>6</v>
      </c>
      <c r="B7" s="4">
        <v>0.08</v>
      </c>
      <c r="C7" s="4">
        <v>7.4999999999999997E-2</v>
      </c>
      <c r="D7" s="19">
        <v>7.0000000000000007E-2</v>
      </c>
      <c r="E7" s="19">
        <v>7.0000000000000007E-2</v>
      </c>
    </row>
    <row r="8" spans="1:5" x14ac:dyDescent="0.2">
      <c r="A8" t="s">
        <v>47</v>
      </c>
      <c r="B8" s="19">
        <v>0.25</v>
      </c>
      <c r="C8" s="19">
        <v>0.25</v>
      </c>
      <c r="D8" s="19">
        <v>0.25</v>
      </c>
      <c r="E8" s="19">
        <v>0.25</v>
      </c>
    </row>
    <row r="10" spans="1:5" x14ac:dyDescent="0.2">
      <c r="A10" t="s">
        <v>7</v>
      </c>
    </row>
    <row r="11" spans="1:5" x14ac:dyDescent="0.2">
      <c r="B11">
        <v>1</v>
      </c>
      <c r="C11">
        <v>2</v>
      </c>
      <c r="D11">
        <v>3</v>
      </c>
      <c r="E11" t="s">
        <v>8</v>
      </c>
    </row>
    <row r="12" spans="1:5" x14ac:dyDescent="0.2">
      <c r="A12" t="s">
        <v>38</v>
      </c>
      <c r="B12">
        <v>0</v>
      </c>
      <c r="C12" s="21">
        <f>(C3-C13)/C3</f>
        <v>0.16</v>
      </c>
      <c r="D12" s="19">
        <v>0.4</v>
      </c>
      <c r="E12" s="19">
        <v>0.4</v>
      </c>
    </row>
    <row r="13" spans="1:5" x14ac:dyDescent="0.2">
      <c r="A13" t="s">
        <v>39</v>
      </c>
      <c r="B13">
        <f>B3*(1-B12)</f>
        <v>100</v>
      </c>
      <c r="C13">
        <f>125-(125-75)*0.4</f>
        <v>105</v>
      </c>
      <c r="D13">
        <f>D3*(1-D12)</f>
        <v>93.75</v>
      </c>
      <c r="E13">
        <f>E3*(1-E12)</f>
        <v>98.435999999999993</v>
      </c>
    </row>
    <row r="14" spans="1:5" x14ac:dyDescent="0.2">
      <c r="A14" t="s">
        <v>21</v>
      </c>
      <c r="B14" s="2">
        <f>B4</f>
        <v>30</v>
      </c>
      <c r="C14" s="2">
        <f>C4</f>
        <v>37.5</v>
      </c>
      <c r="D14" s="2">
        <f>D4</f>
        <v>46.5</v>
      </c>
      <c r="E14" s="2">
        <f>E4</f>
        <v>32</v>
      </c>
    </row>
    <row r="15" spans="1:5" x14ac:dyDescent="0.2">
      <c r="A15" t="s">
        <v>40</v>
      </c>
      <c r="B15" s="2">
        <f>B5-52</f>
        <v>8</v>
      </c>
      <c r="C15" s="2">
        <f>C5-B5</f>
        <v>10</v>
      </c>
      <c r="D15" s="2">
        <f>D5-C5</f>
        <v>12</v>
      </c>
      <c r="E15" s="2">
        <f>E5-D5</f>
        <v>6</v>
      </c>
    </row>
    <row r="16" spans="1:5" x14ac:dyDescent="0.2">
      <c r="A16" t="s">
        <v>50</v>
      </c>
      <c r="B16" s="2">
        <f>B13-B14-B15</f>
        <v>62</v>
      </c>
      <c r="C16" s="2">
        <f>C13-C14-C15</f>
        <v>57.5</v>
      </c>
      <c r="D16" s="2">
        <f>D13-D14-D15</f>
        <v>35.25</v>
      </c>
      <c r="E16" s="2">
        <f>E13-E14-E15</f>
        <v>60.435999999999993</v>
      </c>
    </row>
    <row r="18" spans="1:8" x14ac:dyDescent="0.2">
      <c r="A18" t="s">
        <v>23</v>
      </c>
      <c r="B18" s="19">
        <f>B6</f>
        <v>0.12</v>
      </c>
      <c r="C18" s="19">
        <f>C6</f>
        <v>0.11</v>
      </c>
      <c r="D18" s="19">
        <f>D6</f>
        <v>0.11</v>
      </c>
      <c r="E18" s="19">
        <f>E6</f>
        <v>0.1</v>
      </c>
    </row>
    <row r="19" spans="1:8" x14ac:dyDescent="0.2">
      <c r="A19" t="s">
        <v>41</v>
      </c>
      <c r="B19" s="21">
        <f>B7*(1-B12)</f>
        <v>0.08</v>
      </c>
      <c r="C19" s="21">
        <f>C7*(1-C12)</f>
        <v>6.3E-2</v>
      </c>
      <c r="D19" s="21">
        <f>D7*(1-D12)</f>
        <v>4.2000000000000003E-2</v>
      </c>
      <c r="E19" s="21">
        <f>E7*(1-E12)</f>
        <v>4.2000000000000003E-2</v>
      </c>
    </row>
    <row r="20" spans="1:8" x14ac:dyDescent="0.2">
      <c r="A20" t="s">
        <v>56</v>
      </c>
      <c r="B20" s="4">
        <f>B18*(1-B8)+B19*B8</f>
        <v>0.11</v>
      </c>
      <c r="C20" s="4">
        <f>C18*(1-C8)+C19*C8</f>
        <v>9.8250000000000004E-2</v>
      </c>
      <c r="D20" s="4">
        <f>D18*(1-D8)+D19*D8</f>
        <v>9.2999999999999999E-2</v>
      </c>
      <c r="E20" s="4">
        <f>E18*(1-E8)+E19*E8</f>
        <v>8.5500000000000007E-2</v>
      </c>
    </row>
    <row r="22" spans="1:8" x14ac:dyDescent="0.2">
      <c r="A22" t="s">
        <v>37</v>
      </c>
      <c r="D22" s="13">
        <f>E16/(E20-0.05)</f>
        <v>1702.4225352112671</v>
      </c>
    </row>
    <row r="23" spans="1:8" x14ac:dyDescent="0.2">
      <c r="D23" s="13"/>
    </row>
    <row r="24" spans="1:8" x14ac:dyDescent="0.2">
      <c r="A24" t="s">
        <v>73</v>
      </c>
      <c r="D24" s="13"/>
      <c r="G24" s="22">
        <f xml:space="preserve"> B16/1.11+C16/(1.11*1.0983)+D16/(1.11*1.0983*1.093)+D22/(1.11*1.0983*1.093)</f>
        <v>1407.1000283659559</v>
      </c>
      <c r="H24" s="1"/>
    </row>
    <row r="28" spans="1:8" x14ac:dyDescent="0.2">
      <c r="A28" s="23"/>
    </row>
    <row r="29" spans="1:8" x14ac:dyDescent="0.2">
      <c r="A29" s="23"/>
    </row>
    <row r="30" spans="1:8" x14ac:dyDescent="0.2">
      <c r="A30" s="23"/>
    </row>
    <row r="31" spans="1:8" x14ac:dyDescent="0.2">
      <c r="A31" s="23"/>
    </row>
    <row r="56" s="24" customFormat="1" x14ac:dyDescent="0.2"/>
    <row r="57" s="24" customFormat="1" x14ac:dyDescent="0.2"/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6"/>
  <sheetViews>
    <sheetView workbookViewId="0">
      <selection activeCell="I24" sqref="I24"/>
    </sheetView>
  </sheetViews>
  <sheetFormatPr baseColWidth="10" defaultRowHeight="13" x14ac:dyDescent="0.2"/>
  <cols>
    <col min="1" max="1" width="36" customWidth="1"/>
  </cols>
  <sheetData>
    <row r="1" spans="1:5" x14ac:dyDescent="0.2">
      <c r="A1" s="7" t="s">
        <v>17</v>
      </c>
    </row>
    <row r="2" spans="1:5" x14ac:dyDescent="0.2">
      <c r="B2" t="s">
        <v>28</v>
      </c>
      <c r="C2" t="s">
        <v>29</v>
      </c>
    </row>
    <row r="3" spans="1:5" x14ac:dyDescent="0.2">
      <c r="A3" t="s">
        <v>30</v>
      </c>
      <c r="B3" s="12">
        <f>160*0.6/1000</f>
        <v>9.6000000000000002E-2</v>
      </c>
      <c r="C3">
        <f>450*0.6/2400</f>
        <v>0.1125</v>
      </c>
    </row>
    <row r="4" spans="1:5" x14ac:dyDescent="0.2">
      <c r="A4" t="s">
        <v>31</v>
      </c>
      <c r="B4">
        <f>0.05/B3</f>
        <v>0.52083333333333337</v>
      </c>
      <c r="C4">
        <f>0.05/C3</f>
        <v>0.44444444444444448</v>
      </c>
    </row>
    <row r="5" spans="1:5" x14ac:dyDescent="0.2">
      <c r="A5" t="s">
        <v>50</v>
      </c>
      <c r="B5">
        <f>160*0.6*(1-B4)</f>
        <v>46</v>
      </c>
      <c r="C5">
        <f>450*0.6*(1-C4)</f>
        <v>150</v>
      </c>
    </row>
    <row r="6" spans="1:5" ht="14" thickBot="1" x14ac:dyDescent="0.25">
      <c r="A6" t="s">
        <v>56</v>
      </c>
      <c r="B6" s="12">
        <f>(0.05+0.8*0.063)*0.9+0.08*0.6*0.1</f>
        <v>9.5160000000000008E-2</v>
      </c>
      <c r="C6" s="12">
        <f>B6</f>
        <v>9.5160000000000008E-2</v>
      </c>
    </row>
    <row r="7" spans="1:5" ht="14" thickBot="1" x14ac:dyDescent="0.25">
      <c r="A7" s="16" t="s">
        <v>32</v>
      </c>
      <c r="B7" s="17">
        <f>B5*1.05/(B6-0.05)</f>
        <v>1069.5305580159434</v>
      </c>
      <c r="C7" s="17">
        <f>C5*1.05/(C6-0.05)</f>
        <v>3487.5996457041624</v>
      </c>
      <c r="D7" s="18">
        <f>SUM(B7:C7)</f>
        <v>4557.1302037201058</v>
      </c>
    </row>
    <row r="9" spans="1:5" x14ac:dyDescent="0.2">
      <c r="A9" t="s">
        <v>33</v>
      </c>
    </row>
    <row r="10" spans="1:5" x14ac:dyDescent="0.2">
      <c r="A10" t="s">
        <v>34</v>
      </c>
      <c r="E10" s="12">
        <f>(610*0.6)/(3400*0.8)</f>
        <v>0.13455882352941176</v>
      </c>
    </row>
    <row r="11" spans="1:5" x14ac:dyDescent="0.2">
      <c r="A11" t="s">
        <v>35</v>
      </c>
      <c r="C11">
        <f>0.05/E10</f>
        <v>0.37158469945355194</v>
      </c>
    </row>
    <row r="12" spans="1:5" x14ac:dyDescent="0.2">
      <c r="A12" t="s">
        <v>36</v>
      </c>
      <c r="D12">
        <f>(0.8/(1+0.6*(1/9)))*(1+0.6*(25/75))</f>
        <v>0.89999999999999991</v>
      </c>
    </row>
    <row r="13" spans="1:5" x14ac:dyDescent="0.2">
      <c r="A13" t="s">
        <v>0</v>
      </c>
      <c r="C13">
        <f>0.05+D12*0.063</f>
        <v>0.10669999999999999</v>
      </c>
    </row>
    <row r="14" spans="1:5" x14ac:dyDescent="0.2">
      <c r="A14" t="s">
        <v>1</v>
      </c>
      <c r="E14" s="12">
        <f>C13*0.75+0.048*0.25</f>
        <v>9.2024999999999982E-2</v>
      </c>
    </row>
    <row r="15" spans="1:5" ht="14" thickBot="1" x14ac:dyDescent="0.25">
      <c r="A15" t="s">
        <v>2</v>
      </c>
      <c r="B15">
        <f>610*0.6*(1-C11)*1.05/(E14-0.05)</f>
        <v>5746.5794170136851</v>
      </c>
    </row>
    <row r="16" spans="1:5" ht="14" thickBot="1" x14ac:dyDescent="0.25">
      <c r="A16" t="s">
        <v>3</v>
      </c>
      <c r="E16" s="6">
        <f>B15-(B7+C7)</f>
        <v>1189.4492132935793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1"/>
  <sheetViews>
    <sheetView workbookViewId="0">
      <selection activeCell="P39" sqref="P39"/>
    </sheetView>
  </sheetViews>
  <sheetFormatPr baseColWidth="10" defaultRowHeight="13" x14ac:dyDescent="0.2"/>
  <cols>
    <col min="1" max="1" width="36" customWidth="1"/>
  </cols>
  <sheetData>
    <row r="1" spans="1:4" x14ac:dyDescent="0.2">
      <c r="A1" s="7" t="s">
        <v>17</v>
      </c>
    </row>
    <row r="2" spans="1:4" x14ac:dyDescent="0.2">
      <c r="A2" s="10" t="s">
        <v>9</v>
      </c>
    </row>
    <row r="3" spans="1:4" x14ac:dyDescent="0.2">
      <c r="A3" t="s">
        <v>45</v>
      </c>
      <c r="B3">
        <f>0.05*0.6*8000*1.05</f>
        <v>252</v>
      </c>
    </row>
    <row r="4" spans="1:4" x14ac:dyDescent="0.2">
      <c r="A4" t="s">
        <v>49</v>
      </c>
      <c r="B4">
        <f>0.4*B3</f>
        <v>100.80000000000001</v>
      </c>
      <c r="C4" t="s">
        <v>10</v>
      </c>
    </row>
    <row r="5" spans="1:4" x14ac:dyDescent="0.2">
      <c r="A5" t="s">
        <v>50</v>
      </c>
      <c r="B5">
        <f>B3-B4</f>
        <v>151.19999999999999</v>
      </c>
    </row>
    <row r="6" spans="1:4" ht="14" thickBot="1" x14ac:dyDescent="0.25"/>
    <row r="7" spans="1:4" ht="14" thickBot="1" x14ac:dyDescent="0.25">
      <c r="A7" t="s">
        <v>11</v>
      </c>
      <c r="D7" s="9">
        <f>B5/0.05</f>
        <v>3023.9999999999995</v>
      </c>
    </row>
    <row r="9" spans="1:4" x14ac:dyDescent="0.2">
      <c r="A9" s="10" t="s">
        <v>12</v>
      </c>
    </row>
    <row r="10" spans="1:4" x14ac:dyDescent="0.2">
      <c r="B10">
        <v>1</v>
      </c>
      <c r="C10">
        <v>2</v>
      </c>
    </row>
    <row r="11" spans="1:4" x14ac:dyDescent="0.2">
      <c r="A11" t="s">
        <v>54</v>
      </c>
      <c r="B11">
        <f>0.05*8000*1.05</f>
        <v>420</v>
      </c>
      <c r="C11">
        <f>B11*1.05</f>
        <v>441</v>
      </c>
    </row>
    <row r="12" spans="1:4" x14ac:dyDescent="0.2">
      <c r="A12" t="s">
        <v>13</v>
      </c>
      <c r="B12">
        <v>420</v>
      </c>
      <c r="C12">
        <v>441</v>
      </c>
    </row>
    <row r="13" spans="1:4" x14ac:dyDescent="0.2">
      <c r="A13" t="s">
        <v>55</v>
      </c>
      <c r="B13">
        <f>B11-B12</f>
        <v>0</v>
      </c>
      <c r="C13">
        <f>C11-C12</f>
        <v>0</v>
      </c>
    </row>
    <row r="15" spans="1:4" x14ac:dyDescent="0.2">
      <c r="A15" t="s">
        <v>14</v>
      </c>
      <c r="B15" s="1">
        <f>B11*0.4</f>
        <v>168</v>
      </c>
      <c r="C15" s="1">
        <f>C11*0.4</f>
        <v>176.4</v>
      </c>
    </row>
    <row r="16" spans="1:4" x14ac:dyDescent="0.2">
      <c r="A16" t="s">
        <v>15</v>
      </c>
      <c r="B16" s="1">
        <f>B15/1.1</f>
        <v>152.72727272727272</v>
      </c>
      <c r="C16" s="1">
        <f>C15/1.1^2</f>
        <v>145.78512396694214</v>
      </c>
    </row>
    <row r="17" spans="1:3" ht="14" thickBot="1" x14ac:dyDescent="0.25"/>
    <row r="18" spans="1:3" ht="14" thickBot="1" x14ac:dyDescent="0.25">
      <c r="A18" t="s">
        <v>16</v>
      </c>
      <c r="C18" s="5">
        <f>B16+C16</f>
        <v>298.51239669421489</v>
      </c>
    </row>
    <row r="20" spans="1:3" x14ac:dyDescent="0.2">
      <c r="A20" s="24" t="s">
        <v>75</v>
      </c>
    </row>
    <row r="21" spans="1:3" s="27" customFormat="1" x14ac:dyDescent="0.2"/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J35"/>
  <sheetViews>
    <sheetView topLeftCell="A13" workbookViewId="0">
      <selection activeCell="J35" sqref="J35"/>
    </sheetView>
  </sheetViews>
  <sheetFormatPr baseColWidth="10" defaultRowHeight="13" x14ac:dyDescent="0.2"/>
  <cols>
    <col min="1" max="1" width="36" customWidth="1"/>
  </cols>
  <sheetData>
    <row r="1" spans="1:5" x14ac:dyDescent="0.2">
      <c r="A1" s="7" t="s">
        <v>17</v>
      </c>
    </row>
    <row r="2" spans="1:5" x14ac:dyDescent="0.2">
      <c r="A2" s="25" t="s">
        <v>52</v>
      </c>
      <c r="B2" s="15">
        <v>1</v>
      </c>
      <c r="C2" s="15">
        <v>2</v>
      </c>
      <c r="D2" s="15">
        <v>3</v>
      </c>
      <c r="E2" s="15">
        <v>5</v>
      </c>
    </row>
    <row r="3" spans="1:5" x14ac:dyDescent="0.2">
      <c r="A3" s="25" t="s">
        <v>53</v>
      </c>
      <c r="B3" s="26">
        <v>0.2</v>
      </c>
      <c r="C3" s="26">
        <v>0.2</v>
      </c>
      <c r="D3" s="26">
        <v>0.2</v>
      </c>
      <c r="E3" s="26">
        <v>0.05</v>
      </c>
    </row>
    <row r="4" spans="1:5" x14ac:dyDescent="0.2">
      <c r="A4" s="25" t="s">
        <v>45</v>
      </c>
      <c r="B4" s="15">
        <v>100</v>
      </c>
      <c r="C4" s="15">
        <f>B4*1.2</f>
        <v>120</v>
      </c>
      <c r="D4" s="15">
        <f>C4*1.2</f>
        <v>144</v>
      </c>
      <c r="E4" s="15">
        <f>D4*1.05</f>
        <v>151.20000000000002</v>
      </c>
    </row>
    <row r="5" spans="1:5" x14ac:dyDescent="0.2">
      <c r="A5" s="25"/>
      <c r="B5" s="15"/>
      <c r="C5" s="15"/>
      <c r="D5" s="15"/>
      <c r="E5" s="15"/>
    </row>
    <row r="6" spans="1:5" x14ac:dyDescent="0.2">
      <c r="A6" s="25" t="s">
        <v>23</v>
      </c>
      <c r="B6" s="28">
        <v>0.15</v>
      </c>
      <c r="C6" s="28">
        <v>0.14499999999999999</v>
      </c>
      <c r="D6" s="28">
        <v>0.14000000000000001</v>
      </c>
      <c r="E6" s="28">
        <v>0.125</v>
      </c>
    </row>
    <row r="7" spans="1:5" x14ac:dyDescent="0.2">
      <c r="A7" s="25" t="s">
        <v>46</v>
      </c>
      <c r="B7" s="26">
        <v>7.0000000000000007E-2</v>
      </c>
      <c r="C7" s="26">
        <v>7.0000000000000007E-2</v>
      </c>
      <c r="D7" s="26">
        <v>7.0000000000000007E-2</v>
      </c>
      <c r="E7" s="26">
        <v>7.0000000000000007E-2</v>
      </c>
    </row>
    <row r="8" spans="1:5" x14ac:dyDescent="0.2">
      <c r="A8" s="25" t="s">
        <v>47</v>
      </c>
      <c r="B8" s="26">
        <v>0.1</v>
      </c>
      <c r="C8" s="26">
        <v>0.2</v>
      </c>
      <c r="D8" s="26">
        <v>0.3</v>
      </c>
      <c r="E8" s="26">
        <v>0.4</v>
      </c>
    </row>
    <row r="9" spans="1:5" x14ac:dyDescent="0.2">
      <c r="A9" s="25"/>
      <c r="B9" s="15"/>
      <c r="C9" s="15"/>
      <c r="D9" s="15"/>
      <c r="E9" s="15"/>
    </row>
    <row r="10" spans="1:5" x14ac:dyDescent="0.2">
      <c r="A10" s="25" t="s">
        <v>48</v>
      </c>
      <c r="B10" s="26">
        <v>0.25</v>
      </c>
      <c r="C10" s="26">
        <v>0.25</v>
      </c>
      <c r="D10" s="26">
        <v>0.25</v>
      </c>
      <c r="E10" s="26">
        <v>0.15</v>
      </c>
    </row>
    <row r="11" spans="1:5" x14ac:dyDescent="0.2">
      <c r="B11" s="29"/>
      <c r="C11" s="29"/>
      <c r="D11" s="29"/>
      <c r="E11" s="29"/>
    </row>
    <row r="12" spans="1:5" x14ac:dyDescent="0.2">
      <c r="A12" s="25" t="str">
        <f>A4</f>
        <v>EBIT (1-t)</v>
      </c>
      <c r="B12" s="30">
        <f>B4</f>
        <v>100</v>
      </c>
      <c r="C12" s="30">
        <f>C4</f>
        <v>120</v>
      </c>
      <c r="D12" s="30">
        <f>D4</f>
        <v>144</v>
      </c>
      <c r="E12" s="30">
        <f>E4</f>
        <v>151.20000000000002</v>
      </c>
    </row>
    <row r="13" spans="1:5" x14ac:dyDescent="0.2">
      <c r="A13" s="25" t="s">
        <v>49</v>
      </c>
      <c r="B13" s="31">
        <f>B20*B12</f>
        <v>80</v>
      </c>
      <c r="C13" s="31">
        <f>C20*C12</f>
        <v>96</v>
      </c>
      <c r="D13" s="31">
        <f>D20*D12</f>
        <v>115.2</v>
      </c>
      <c r="E13" s="31">
        <f>E20*E12</f>
        <v>50.400000000000013</v>
      </c>
    </row>
    <row r="14" spans="1:5" x14ac:dyDescent="0.2">
      <c r="A14" s="25" t="s">
        <v>50</v>
      </c>
      <c r="B14" s="32">
        <f>B12-B13</f>
        <v>20</v>
      </c>
      <c r="C14" s="32">
        <f>C12-C13</f>
        <v>24</v>
      </c>
      <c r="D14" s="32">
        <f>D12-D13</f>
        <v>28.799999999999997</v>
      </c>
      <c r="E14" s="32">
        <f>E12-E13</f>
        <v>100.80000000000001</v>
      </c>
    </row>
    <row r="15" spans="1:5" x14ac:dyDescent="0.2">
      <c r="A15" s="25" t="s">
        <v>71</v>
      </c>
      <c r="B15" s="32"/>
      <c r="C15" s="26"/>
      <c r="D15" s="31">
        <f>E14/(E16-0.05)</f>
        <v>2411.4832535885175</v>
      </c>
      <c r="E15" s="26"/>
    </row>
    <row r="16" spans="1:5" x14ac:dyDescent="0.2">
      <c r="A16" s="25" t="s">
        <v>56</v>
      </c>
      <c r="B16" s="28">
        <f>B6*(1-B8)+B7*0.6*B8</f>
        <v>0.13920000000000002</v>
      </c>
      <c r="C16" s="28">
        <f>C6*(1-C8)+C7*0.6*C8</f>
        <v>0.1244</v>
      </c>
      <c r="D16" s="28">
        <f>D6*(1-D8)+D7*0.6*D8</f>
        <v>0.1106</v>
      </c>
      <c r="E16" s="28">
        <f>E6*(1-E8)+E7*0.6*E8</f>
        <v>9.1799999999999993E-2</v>
      </c>
    </row>
    <row r="17" spans="1:5" x14ac:dyDescent="0.2">
      <c r="A17" s="25" t="s">
        <v>57</v>
      </c>
      <c r="B17" s="28">
        <f>1+B16</f>
        <v>1.1392</v>
      </c>
      <c r="C17" s="28">
        <f>B17*(1+C16)</f>
        <v>1.2809164800000001</v>
      </c>
      <c r="D17" s="28">
        <f>C17*(1+D16)</f>
        <v>1.4225858426880003</v>
      </c>
      <c r="E17" s="28">
        <f>D17*(1+E16)</f>
        <v>1.5531792230467589</v>
      </c>
    </row>
    <row r="18" spans="1:5" x14ac:dyDescent="0.2">
      <c r="A18" s="25" t="s">
        <v>58</v>
      </c>
      <c r="B18" s="31">
        <f>B14/B17</f>
        <v>17.556179775280899</v>
      </c>
      <c r="C18" s="31">
        <f>C14/C17</f>
        <v>18.736584605422514</v>
      </c>
      <c r="D18" s="31">
        <f>(D14+D15)/D17</f>
        <v>1715.3855889480531</v>
      </c>
      <c r="E18" s="26"/>
    </row>
    <row r="19" spans="1:5" x14ac:dyDescent="0.2">
      <c r="A19" s="25" t="s">
        <v>59</v>
      </c>
      <c r="B19" s="31">
        <f>SUM(B18:D18)</f>
        <v>1751.6783533287564</v>
      </c>
      <c r="C19" s="31"/>
      <c r="D19" s="31"/>
      <c r="E19" s="26"/>
    </row>
    <row r="20" spans="1:5" x14ac:dyDescent="0.2">
      <c r="A20" s="25" t="s">
        <v>60</v>
      </c>
      <c r="B20" s="33">
        <f>B3/B10</f>
        <v>0.8</v>
      </c>
      <c r="C20" s="33">
        <f>C3/C10</f>
        <v>0.8</v>
      </c>
      <c r="D20" s="33">
        <f>D3/D10</f>
        <v>0.8</v>
      </c>
      <c r="E20" s="33">
        <f>E3/E10</f>
        <v>0.33333333333333337</v>
      </c>
    </row>
    <row r="22" spans="1:5" x14ac:dyDescent="0.2">
      <c r="A22" s="7" t="s">
        <v>26</v>
      </c>
    </row>
    <row r="23" spans="1:5" x14ac:dyDescent="0.2">
      <c r="B23" t="s">
        <v>61</v>
      </c>
      <c r="C23" t="s">
        <v>62</v>
      </c>
      <c r="D23" t="s">
        <v>63</v>
      </c>
      <c r="E23" t="s">
        <v>64</v>
      </c>
    </row>
    <row r="24" spans="1:5" x14ac:dyDescent="0.2">
      <c r="A24" t="s">
        <v>65</v>
      </c>
      <c r="B24" s="1">
        <v>144</v>
      </c>
      <c r="C24" s="1">
        <v>250</v>
      </c>
      <c r="D24" s="1">
        <f>B24+C24</f>
        <v>394</v>
      </c>
      <c r="E24" s="1">
        <f>D24+50*0.6</f>
        <v>424</v>
      </c>
    </row>
    <row r="25" spans="1:5" x14ac:dyDescent="0.2">
      <c r="A25" t="s">
        <v>66</v>
      </c>
      <c r="B25" s="1">
        <v>1200</v>
      </c>
      <c r="C25" s="1">
        <v>2500</v>
      </c>
      <c r="D25" s="1">
        <f>B25+C25</f>
        <v>3700</v>
      </c>
      <c r="E25" s="1">
        <f>D25</f>
        <v>3700</v>
      </c>
    </row>
    <row r="26" spans="1:5" x14ac:dyDescent="0.2">
      <c r="A26" t="s">
        <v>67</v>
      </c>
      <c r="B26" s="14">
        <v>1</v>
      </c>
      <c r="C26" s="14">
        <v>1</v>
      </c>
      <c r="D26" s="14">
        <v>1</v>
      </c>
      <c r="E26" s="14">
        <f>D26</f>
        <v>1</v>
      </c>
    </row>
    <row r="27" spans="1:5" x14ac:dyDescent="0.2">
      <c r="B27" s="1"/>
      <c r="C27" s="1"/>
      <c r="D27" s="1"/>
      <c r="E27" s="1"/>
    </row>
    <row r="28" spans="1:5" ht="14" thickBot="1" x14ac:dyDescent="0.25">
      <c r="B28" s="1">
        <f>144*(1-0.06/(B24/B25))*1.06/(0.115-0.06)</f>
        <v>1387.6363636363635</v>
      </c>
      <c r="C28" s="1">
        <f>C24*(1-0.06/(C24/C25))*1.06/(0.115-0.06)</f>
        <v>1927.272727272727</v>
      </c>
      <c r="D28" s="1">
        <f>D24*(1-0.06/(D24/D25))*1.06/(0.115-0.06)</f>
        <v>3314.909090909091</v>
      </c>
      <c r="E28" s="1">
        <f>E24*(1-0.06/(E24/E25))*1.06/(0.115-0.06)</f>
        <v>3893.0909090909081</v>
      </c>
    </row>
    <row r="29" spans="1:5" ht="14" thickBot="1" x14ac:dyDescent="0.25">
      <c r="A29" t="s">
        <v>72</v>
      </c>
      <c r="D29" s="6">
        <f>E28-D28</f>
        <v>578.18181818181711</v>
      </c>
    </row>
    <row r="30" spans="1:5" ht="14" thickBot="1" x14ac:dyDescent="0.25">
      <c r="A30" t="s">
        <v>27</v>
      </c>
      <c r="E30" s="5">
        <f>D29/1.115^4</f>
        <v>374.08040610287622</v>
      </c>
    </row>
    <row r="31" spans="1:5" x14ac:dyDescent="0.2">
      <c r="E31" s="2"/>
    </row>
    <row r="32" spans="1:5" s="7" customFormat="1" x14ac:dyDescent="0.2"/>
    <row r="35" spans="10:10" x14ac:dyDescent="0.2">
      <c r="J35" s="24" t="s">
        <v>74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F20"/>
  <sheetViews>
    <sheetView workbookViewId="0">
      <selection activeCell="I31" sqref="I31"/>
    </sheetView>
  </sheetViews>
  <sheetFormatPr baseColWidth="10" defaultRowHeight="13" x14ac:dyDescent="0.2"/>
  <cols>
    <col min="1" max="1" width="35.33203125" customWidth="1"/>
    <col min="2" max="9" width="12.83203125" customWidth="1"/>
  </cols>
  <sheetData>
    <row r="1" spans="1:6" x14ac:dyDescent="0.2">
      <c r="A1" s="7" t="s">
        <v>17</v>
      </c>
      <c r="B1">
        <v>1</v>
      </c>
      <c r="C1">
        <v>2</v>
      </c>
      <c r="D1">
        <v>3</v>
      </c>
      <c r="E1">
        <v>4</v>
      </c>
      <c r="F1" t="s">
        <v>19</v>
      </c>
    </row>
    <row r="2" spans="1:6" x14ac:dyDescent="0.2">
      <c r="A2" t="s">
        <v>18</v>
      </c>
      <c r="B2" s="1">
        <v>1.5</v>
      </c>
      <c r="C2" s="1">
        <v>1.8</v>
      </c>
      <c r="D2" s="1">
        <v>2.16</v>
      </c>
      <c r="E2" s="1">
        <v>2.59</v>
      </c>
      <c r="F2" s="1">
        <f>E2*(1.06)</f>
        <v>2.7454000000000001</v>
      </c>
    </row>
    <row r="3" spans="1:6" x14ac:dyDescent="0.2">
      <c r="A3" t="s">
        <v>20</v>
      </c>
      <c r="B3" s="1">
        <v>-2</v>
      </c>
      <c r="C3" s="1">
        <v>-1.2</v>
      </c>
      <c r="D3" s="1">
        <v>0.34</v>
      </c>
      <c r="E3" s="1">
        <v>0.09</v>
      </c>
      <c r="F3" s="3">
        <f>F2-F4</f>
        <v>1.4954000000000001</v>
      </c>
    </row>
    <row r="4" spans="1:6" x14ac:dyDescent="0.2">
      <c r="A4" t="s">
        <v>21</v>
      </c>
      <c r="B4" s="2">
        <f>B2-B3</f>
        <v>3.5</v>
      </c>
      <c r="C4" s="2">
        <f>C2-C3</f>
        <v>3</v>
      </c>
      <c r="D4" s="2">
        <f>D2-D3</f>
        <v>1.82</v>
      </c>
      <c r="E4" s="2">
        <f>E2-E3</f>
        <v>2.5</v>
      </c>
      <c r="F4" s="2">
        <f>E4/2</f>
        <v>1.25</v>
      </c>
    </row>
    <row r="5" spans="1:6" ht="14" thickBot="1" x14ac:dyDescent="0.25"/>
    <row r="6" spans="1:6" ht="14" thickBot="1" x14ac:dyDescent="0.25">
      <c r="A6" t="s">
        <v>22</v>
      </c>
      <c r="E6" s="6">
        <f>F3/(0.125-0.06)</f>
        <v>23.006153846153847</v>
      </c>
    </row>
    <row r="7" spans="1:6" x14ac:dyDescent="0.2">
      <c r="A7" t="s">
        <v>69</v>
      </c>
      <c r="D7" s="4">
        <v>0.125</v>
      </c>
    </row>
    <row r="8" spans="1:6" x14ac:dyDescent="0.2">
      <c r="A8" t="s">
        <v>70</v>
      </c>
    </row>
    <row r="9" spans="1:6" x14ac:dyDescent="0.2">
      <c r="B9">
        <v>1</v>
      </c>
      <c r="C9">
        <v>2</v>
      </c>
      <c r="D9">
        <v>3</v>
      </c>
      <c r="E9">
        <v>4</v>
      </c>
    </row>
    <row r="10" spans="1:6" x14ac:dyDescent="0.2">
      <c r="A10" t="s">
        <v>20</v>
      </c>
      <c r="B10" s="2">
        <f>B3</f>
        <v>-2</v>
      </c>
      <c r="C10" s="2">
        <f>C3</f>
        <v>-1.2</v>
      </c>
      <c r="D10" s="2">
        <f>D3</f>
        <v>0.34</v>
      </c>
      <c r="E10" s="2">
        <f>E3</f>
        <v>0.09</v>
      </c>
    </row>
    <row r="11" spans="1:6" x14ac:dyDescent="0.2">
      <c r="A11" t="s">
        <v>71</v>
      </c>
      <c r="E11" s="2">
        <f>E6</f>
        <v>23.006153846153847</v>
      </c>
    </row>
    <row r="12" spans="1:6" ht="14" thickBot="1" x14ac:dyDescent="0.25">
      <c r="A12" t="s">
        <v>24</v>
      </c>
      <c r="B12" s="1">
        <f>B10/(1+$B$14)^B9</f>
        <v>-1.7353579175704987</v>
      </c>
      <c r="C12" s="1">
        <f>C10/(1+$B$14)^C9</f>
        <v>-0.90344013062238537</v>
      </c>
      <c r="D12" s="1">
        <f>D10/(1+$B$14)^D9</f>
        <v>0.22210386436125165</v>
      </c>
      <c r="E12" s="1">
        <f>(E10+E11)/(1+$B$14)^E9</f>
        <v>13.091093584567448</v>
      </c>
      <c r="F12" t="s">
        <v>43</v>
      </c>
    </row>
    <row r="13" spans="1:6" ht="14" thickBot="1" x14ac:dyDescent="0.25">
      <c r="A13" t="s">
        <v>25</v>
      </c>
      <c r="C13" s="5">
        <f>SUM(B12:E12)</f>
        <v>10.674399400735815</v>
      </c>
    </row>
    <row r="14" spans="1:6" x14ac:dyDescent="0.2">
      <c r="A14" t="s">
        <v>23</v>
      </c>
      <c r="B14" s="11">
        <f>0.07+1.5*0.055</f>
        <v>0.15250000000000002</v>
      </c>
    </row>
    <row r="16" spans="1:6" ht="14" thickBot="1" x14ac:dyDescent="0.25">
      <c r="A16" s="7" t="s">
        <v>26</v>
      </c>
    </row>
    <row r="17" spans="1:5" ht="14" thickBot="1" x14ac:dyDescent="0.25">
      <c r="A17" t="s">
        <v>42</v>
      </c>
      <c r="D17" s="8">
        <v>0.4</v>
      </c>
    </row>
    <row r="18" spans="1:5" ht="14" thickBot="1" x14ac:dyDescent="0.25">
      <c r="A18" t="s">
        <v>68</v>
      </c>
      <c r="D18" s="9">
        <f>D17*(150*0.6)</f>
        <v>36</v>
      </c>
      <c r="E18" t="s">
        <v>44</v>
      </c>
    </row>
    <row r="19" spans="1:5" ht="14" thickBot="1" x14ac:dyDescent="0.25"/>
    <row r="20" spans="1:5" ht="14" thickBot="1" x14ac:dyDescent="0.25">
      <c r="A20" t="s">
        <v>51</v>
      </c>
      <c r="E20" s="6">
        <f>(150*0.6-36)*1.05/0.05</f>
        <v>1134</v>
      </c>
    </row>
  </sheetData>
  <phoneticPr fontId="4"/>
  <pageMargins left="0.75" right="0.75" top="1" bottom="1" header="0.5" footer="0.5"/>
  <pageSetup scale="90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 7</vt:lpstr>
      <vt:lpstr>Ex 6 </vt:lpstr>
      <vt:lpstr>Ex 5 </vt:lpstr>
      <vt:lpstr>Ex 3 &amp; 4</vt:lpstr>
      <vt:lpstr>Ex 1 &amp;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Aswath Damodaran</dc:creator>
  <cp:lastModifiedBy>RAMID, Souhail-EXT</cp:lastModifiedBy>
  <cp:lastPrinted>2001-01-03T20:46:32Z</cp:lastPrinted>
  <dcterms:created xsi:type="dcterms:W3CDTF">1998-12-14T18:30:41Z</dcterms:created>
  <dcterms:modified xsi:type="dcterms:W3CDTF">2024-03-25T20:08:51Z</dcterms:modified>
</cp:coreProperties>
</file>