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10" yWindow="-110" windowWidth="19420" windowHeight="10420"/>
  </bookViews>
  <sheets>
    <sheet name="Model" sheetId="1" r:id="rId1"/>
    <sheet name="Working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7" i="2" l="1"/>
  <c r="N47" i="2"/>
  <c r="M47" i="2"/>
  <c r="N124" i="1"/>
  <c r="O124" i="1"/>
  <c r="M124" i="1"/>
  <c r="O59" i="1"/>
  <c r="N59" i="1"/>
  <c r="M59" i="1"/>
  <c r="O93" i="1"/>
  <c r="N93" i="1"/>
  <c r="M93" i="1"/>
  <c r="O92" i="1"/>
  <c r="N92" i="1"/>
  <c r="M92" i="1"/>
  <c r="H49" i="1"/>
  <c r="M132" i="1" l="1"/>
  <c r="N119" i="1"/>
  <c r="O119" i="1"/>
  <c r="N118" i="1"/>
  <c r="O118" i="1"/>
  <c r="N115" i="1"/>
  <c r="O115" i="1"/>
  <c r="N117" i="1"/>
  <c r="O117" i="1"/>
  <c r="M119" i="1"/>
  <c r="M118" i="1"/>
  <c r="M115" i="1"/>
  <c r="N105" i="1"/>
  <c r="O105" i="1"/>
  <c r="M105" i="1"/>
  <c r="M117" i="1"/>
  <c r="M90" i="1"/>
  <c r="N86" i="1"/>
  <c r="O86" i="1"/>
  <c r="M86" i="1"/>
  <c r="N57" i="1"/>
  <c r="O57" i="1"/>
  <c r="M57" i="1"/>
  <c r="M21" i="1"/>
  <c r="N56" i="2"/>
  <c r="O58" i="2"/>
  <c r="N58" i="2"/>
  <c r="M58" i="2"/>
  <c r="M56" i="2" s="1"/>
  <c r="N44" i="2"/>
  <c r="N90" i="1" s="1"/>
  <c r="M44" i="2"/>
  <c r="N32" i="2"/>
  <c r="O32" i="2" s="1"/>
  <c r="O38" i="2" s="1"/>
  <c r="O28" i="1" s="1"/>
  <c r="O104" i="1" s="1"/>
  <c r="M32" i="2"/>
  <c r="M38" i="2" s="1"/>
  <c r="M25" i="2"/>
  <c r="I23" i="2"/>
  <c r="J23" i="2"/>
  <c r="K23" i="2"/>
  <c r="M20" i="2"/>
  <c r="M8" i="2" s="1"/>
  <c r="M15" i="1" s="1"/>
  <c r="N17" i="2"/>
  <c r="M17" i="2"/>
  <c r="M7" i="2" s="1"/>
  <c r="M67" i="1" s="1"/>
  <c r="M9" i="2"/>
  <c r="N9" i="2" s="1"/>
  <c r="O4" i="2"/>
  <c r="N4" i="2"/>
  <c r="M4" i="2"/>
  <c r="I93" i="2"/>
  <c r="J93" i="2"/>
  <c r="K93" i="2"/>
  <c r="M93" i="2"/>
  <c r="N93" i="2"/>
  <c r="O93" i="2"/>
  <c r="D93" i="2"/>
  <c r="E93" i="2"/>
  <c r="F93" i="2"/>
  <c r="G93" i="2"/>
  <c r="H93" i="2"/>
  <c r="D89" i="2"/>
  <c r="E89" i="2"/>
  <c r="F89" i="2"/>
  <c r="G89" i="2"/>
  <c r="H89" i="2"/>
  <c r="D90" i="2"/>
  <c r="E90" i="2"/>
  <c r="F90" i="2"/>
  <c r="G90" i="2"/>
  <c r="H90" i="2"/>
  <c r="D91" i="2"/>
  <c r="E91" i="2"/>
  <c r="F91" i="2"/>
  <c r="G91" i="2"/>
  <c r="H91" i="2"/>
  <c r="D85" i="2"/>
  <c r="E85" i="2"/>
  <c r="F85" i="2"/>
  <c r="G85" i="2"/>
  <c r="H85" i="2"/>
  <c r="I85" i="2"/>
  <c r="J85" i="2"/>
  <c r="K85" i="2"/>
  <c r="D86" i="2"/>
  <c r="E86" i="2"/>
  <c r="F86" i="2"/>
  <c r="G86" i="2"/>
  <c r="H86" i="2"/>
  <c r="I86" i="2"/>
  <c r="J86" i="2"/>
  <c r="K86" i="2"/>
  <c r="C93" i="2"/>
  <c r="C91" i="2"/>
  <c r="C90" i="2"/>
  <c r="C86" i="2"/>
  <c r="C89" i="2"/>
  <c r="C85" i="2"/>
  <c r="O44" i="2" l="1"/>
  <c r="O90" i="1" s="1"/>
  <c r="M33" i="2"/>
  <c r="M34" i="2" s="1"/>
  <c r="M56" i="1" s="1"/>
  <c r="M63" i="1" s="1"/>
  <c r="M28" i="1"/>
  <c r="M104" i="1" s="1"/>
  <c r="N38" i="2"/>
  <c r="N28" i="1" s="1"/>
  <c r="N104" i="1" s="1"/>
  <c r="N20" i="2"/>
  <c r="N8" i="2" s="1"/>
  <c r="N15" i="1" s="1"/>
  <c r="N23" i="2"/>
  <c r="O20" i="2"/>
  <c r="O8" i="2" s="1"/>
  <c r="O15" i="1" s="1"/>
  <c r="M66" i="1"/>
  <c r="M70" i="1" s="1"/>
  <c r="M73" i="1"/>
  <c r="M72" i="1"/>
  <c r="M23" i="2"/>
  <c r="M10" i="1"/>
  <c r="O17" i="2"/>
  <c r="M74" i="1"/>
  <c r="M43" i="2" s="1"/>
  <c r="N7" i="2"/>
  <c r="N21" i="1"/>
  <c r="N25" i="2"/>
  <c r="O9" i="2"/>
  <c r="M121" i="1"/>
  <c r="N121" i="1"/>
  <c r="O121" i="1"/>
  <c r="M11" i="2"/>
  <c r="M14" i="2" s="1"/>
  <c r="M28" i="2" s="1"/>
  <c r="D78" i="2"/>
  <c r="E78" i="2"/>
  <c r="F78" i="2"/>
  <c r="G78" i="2"/>
  <c r="H78" i="2"/>
  <c r="D79" i="2"/>
  <c r="E79" i="2"/>
  <c r="F79" i="2"/>
  <c r="G79" i="2"/>
  <c r="H79" i="2"/>
  <c r="D80" i="2"/>
  <c r="E80" i="2"/>
  <c r="F80" i="2"/>
  <c r="G80" i="2"/>
  <c r="H80" i="2"/>
  <c r="C80" i="2"/>
  <c r="C79" i="2"/>
  <c r="C78" i="2"/>
  <c r="D74" i="2"/>
  <c r="E74" i="2"/>
  <c r="F74" i="2"/>
  <c r="G74" i="2"/>
  <c r="H74" i="2"/>
  <c r="C74" i="2"/>
  <c r="D76" i="2"/>
  <c r="E76" i="2"/>
  <c r="F76" i="2"/>
  <c r="G76" i="2"/>
  <c r="H76" i="2"/>
  <c r="C76" i="2"/>
  <c r="D58" i="2"/>
  <c r="E58" i="2"/>
  <c r="F58" i="2"/>
  <c r="G58" i="2"/>
  <c r="H58" i="2"/>
  <c r="C58" i="2"/>
  <c r="E52" i="2"/>
  <c r="F52" i="2"/>
  <c r="G52" i="2"/>
  <c r="H52" i="2"/>
  <c r="D51" i="2"/>
  <c r="D52" i="2" s="1"/>
  <c r="E51" i="2"/>
  <c r="F51" i="2"/>
  <c r="G51" i="2"/>
  <c r="H51" i="2"/>
  <c r="C51" i="2"/>
  <c r="E47" i="2"/>
  <c r="F47" i="2"/>
  <c r="F49" i="2" s="1"/>
  <c r="G47" i="2"/>
  <c r="G49" i="2" s="1"/>
  <c r="H47" i="2"/>
  <c r="H49" i="2" s="1"/>
  <c r="E48" i="2"/>
  <c r="E49" i="2" s="1"/>
  <c r="F48" i="2"/>
  <c r="G48" i="2"/>
  <c r="H48" i="2"/>
  <c r="D43" i="2"/>
  <c r="E43" i="2"/>
  <c r="F43" i="2"/>
  <c r="G43" i="2"/>
  <c r="G45" i="2" s="1"/>
  <c r="H43" i="2"/>
  <c r="H45" i="2" s="1"/>
  <c r="D44" i="2"/>
  <c r="E44" i="2"/>
  <c r="F44" i="2"/>
  <c r="G44" i="2"/>
  <c r="H44" i="2"/>
  <c r="D45" i="2"/>
  <c r="E45" i="2"/>
  <c r="F45" i="2"/>
  <c r="D48" i="2"/>
  <c r="D47" i="2"/>
  <c r="D49" i="2" s="1"/>
  <c r="C45" i="2"/>
  <c r="C44" i="2"/>
  <c r="C43" i="2"/>
  <c r="D39" i="2"/>
  <c r="E39" i="2"/>
  <c r="F39" i="2"/>
  <c r="G39" i="2"/>
  <c r="H39" i="2"/>
  <c r="C39" i="2"/>
  <c r="H32" i="2"/>
  <c r="D34" i="2"/>
  <c r="D32" i="2" s="1"/>
  <c r="E34" i="2"/>
  <c r="E32" i="2" s="1"/>
  <c r="F34" i="2"/>
  <c r="F32" i="2" s="1"/>
  <c r="G34" i="2"/>
  <c r="G32" i="2" s="1"/>
  <c r="H34" i="2"/>
  <c r="D35" i="2"/>
  <c r="E35" i="2"/>
  <c r="F35" i="2"/>
  <c r="G35" i="2"/>
  <c r="H35" i="2"/>
  <c r="D36" i="2"/>
  <c r="E36" i="2"/>
  <c r="F36" i="2"/>
  <c r="G36" i="2"/>
  <c r="H36" i="2"/>
  <c r="D38" i="2"/>
  <c r="E38" i="2"/>
  <c r="F38" i="2"/>
  <c r="G38" i="2"/>
  <c r="H38" i="2"/>
  <c r="C38" i="2"/>
  <c r="C36" i="2"/>
  <c r="C35" i="2"/>
  <c r="C34" i="2"/>
  <c r="C32" i="2"/>
  <c r="D28" i="2"/>
  <c r="E28" i="2"/>
  <c r="F28" i="2"/>
  <c r="G28" i="2"/>
  <c r="H28" i="2"/>
  <c r="D25" i="2"/>
  <c r="E25" i="2"/>
  <c r="F25" i="2"/>
  <c r="G25" i="2"/>
  <c r="H25" i="2"/>
  <c r="D26" i="2"/>
  <c r="E26" i="2"/>
  <c r="F26" i="2"/>
  <c r="G26" i="2"/>
  <c r="H26" i="2"/>
  <c r="D23" i="2"/>
  <c r="E23" i="2"/>
  <c r="F23" i="2"/>
  <c r="G23" i="2"/>
  <c r="H23" i="2"/>
  <c r="E21" i="2"/>
  <c r="F21" i="2"/>
  <c r="G21" i="2"/>
  <c r="H21" i="2"/>
  <c r="D20" i="2"/>
  <c r="E20" i="2"/>
  <c r="F20" i="2"/>
  <c r="G20" i="2"/>
  <c r="H20" i="2"/>
  <c r="C28" i="2"/>
  <c r="C26" i="2"/>
  <c r="C25" i="2"/>
  <c r="C20" i="2"/>
  <c r="C23" i="2"/>
  <c r="E18" i="2"/>
  <c r="F18" i="2"/>
  <c r="G18" i="2"/>
  <c r="H18" i="2"/>
  <c r="D17" i="2"/>
  <c r="E17" i="2"/>
  <c r="F17" i="2"/>
  <c r="G17" i="2"/>
  <c r="H17" i="2"/>
  <c r="C17" i="2"/>
  <c r="I17" i="2"/>
  <c r="J17" i="2"/>
  <c r="K17" i="2"/>
  <c r="D14" i="2"/>
  <c r="E14" i="2"/>
  <c r="F14" i="2"/>
  <c r="G14" i="2"/>
  <c r="H14" i="2"/>
  <c r="I14" i="2"/>
  <c r="J14" i="2"/>
  <c r="K14" i="2"/>
  <c r="C14" i="2"/>
  <c r="D8" i="2"/>
  <c r="E8" i="2"/>
  <c r="F8" i="2"/>
  <c r="G8" i="2"/>
  <c r="H8" i="2"/>
  <c r="D9" i="2"/>
  <c r="E9" i="2"/>
  <c r="F9" i="2"/>
  <c r="G9" i="2"/>
  <c r="G10" i="2" s="1"/>
  <c r="H9" i="2"/>
  <c r="C8" i="2"/>
  <c r="D12" i="2"/>
  <c r="E12" i="2"/>
  <c r="F12" i="2"/>
  <c r="G12" i="2"/>
  <c r="H12" i="2"/>
  <c r="C12" i="2"/>
  <c r="D11" i="2"/>
  <c r="E11" i="2"/>
  <c r="F11" i="2"/>
  <c r="G11" i="2"/>
  <c r="H11" i="2"/>
  <c r="C11" i="2"/>
  <c r="E10" i="2"/>
  <c r="F10" i="2"/>
  <c r="D10" i="2"/>
  <c r="C9" i="2"/>
  <c r="D7" i="2"/>
  <c r="E7" i="2"/>
  <c r="F7" i="2"/>
  <c r="G7" i="2"/>
  <c r="H7" i="2"/>
  <c r="C7" i="2"/>
  <c r="D5" i="2"/>
  <c r="E5" i="2"/>
  <c r="F5" i="2"/>
  <c r="G5" i="2"/>
  <c r="H5" i="2"/>
  <c r="D135" i="1"/>
  <c r="E135" i="1"/>
  <c r="F135" i="1"/>
  <c r="G135" i="1"/>
  <c r="H135" i="1"/>
  <c r="I135" i="1"/>
  <c r="J135" i="1"/>
  <c r="K135" i="1"/>
  <c r="C135" i="1"/>
  <c r="H132" i="1"/>
  <c r="G132" i="1"/>
  <c r="G133" i="1" s="1"/>
  <c r="F132" i="1"/>
  <c r="F133" i="1" s="1"/>
  <c r="E132" i="1"/>
  <c r="D133" i="1"/>
  <c r="E133" i="1"/>
  <c r="H133" i="1"/>
  <c r="C133" i="1"/>
  <c r="C130" i="1"/>
  <c r="D130" i="1"/>
  <c r="E130" i="1"/>
  <c r="F130" i="1"/>
  <c r="G130" i="1"/>
  <c r="H130" i="1"/>
  <c r="C127" i="1"/>
  <c r="D127" i="1"/>
  <c r="E127" i="1"/>
  <c r="F127" i="1"/>
  <c r="G127" i="1"/>
  <c r="H127" i="1"/>
  <c r="C120" i="1"/>
  <c r="D120" i="1"/>
  <c r="E120" i="1"/>
  <c r="F120" i="1"/>
  <c r="G120" i="1"/>
  <c r="H120" i="1"/>
  <c r="D110" i="1"/>
  <c r="F110" i="1"/>
  <c r="C111" i="1"/>
  <c r="C110" i="1" s="1"/>
  <c r="D111" i="1"/>
  <c r="E111" i="1"/>
  <c r="E110" i="1" s="1"/>
  <c r="F111" i="1"/>
  <c r="G111" i="1"/>
  <c r="G110" i="1" s="1"/>
  <c r="H111" i="1"/>
  <c r="H110" i="1"/>
  <c r="C108" i="1"/>
  <c r="D108" i="1"/>
  <c r="E108" i="1"/>
  <c r="F108" i="1"/>
  <c r="G108" i="1"/>
  <c r="H108" i="1"/>
  <c r="C98" i="1"/>
  <c r="D98" i="1"/>
  <c r="E98" i="1"/>
  <c r="F98" i="1"/>
  <c r="G98" i="1"/>
  <c r="C81" i="1"/>
  <c r="D81" i="1"/>
  <c r="E81" i="1"/>
  <c r="F81" i="1"/>
  <c r="G81" i="1"/>
  <c r="H81" i="1"/>
  <c r="H98" i="1"/>
  <c r="C93" i="1"/>
  <c r="D93" i="1"/>
  <c r="E93" i="1"/>
  <c r="F93" i="1"/>
  <c r="G93" i="1"/>
  <c r="H93" i="1"/>
  <c r="G95" i="1"/>
  <c r="H95" i="1"/>
  <c r="C88" i="1"/>
  <c r="D88" i="1"/>
  <c r="E88" i="1"/>
  <c r="F88" i="1"/>
  <c r="G88" i="1"/>
  <c r="H88" i="1"/>
  <c r="C77" i="1"/>
  <c r="D77" i="1"/>
  <c r="E77" i="1"/>
  <c r="F77" i="1"/>
  <c r="G77" i="1"/>
  <c r="H77" i="1"/>
  <c r="C75" i="1"/>
  <c r="D75" i="1"/>
  <c r="E75" i="1"/>
  <c r="F75" i="1"/>
  <c r="G75" i="1"/>
  <c r="H75" i="1"/>
  <c r="H74" i="1"/>
  <c r="G69" i="1"/>
  <c r="C70" i="1"/>
  <c r="D70" i="1"/>
  <c r="E70" i="1"/>
  <c r="F70" i="1"/>
  <c r="G70" i="1"/>
  <c r="H70" i="1"/>
  <c r="H69" i="1"/>
  <c r="C61" i="1"/>
  <c r="D61" i="1"/>
  <c r="E61" i="1"/>
  <c r="F61" i="1"/>
  <c r="G61" i="1"/>
  <c r="H61" i="1"/>
  <c r="G57" i="1"/>
  <c r="G56" i="1"/>
  <c r="H56" i="1"/>
  <c r="H57" i="1"/>
  <c r="F45" i="1"/>
  <c r="F48" i="1" s="1"/>
  <c r="F49" i="1" s="1"/>
  <c r="G45" i="1"/>
  <c r="G46" i="1"/>
  <c r="G48" i="1"/>
  <c r="G49" i="1"/>
  <c r="H48" i="1"/>
  <c r="H46" i="1"/>
  <c r="H45" i="1"/>
  <c r="F43" i="1"/>
  <c r="G43" i="1"/>
  <c r="H43" i="1"/>
  <c r="F40" i="1"/>
  <c r="G40" i="1"/>
  <c r="F41" i="1"/>
  <c r="F42" i="1" s="1"/>
  <c r="G41" i="1"/>
  <c r="G42" i="1"/>
  <c r="F38" i="1"/>
  <c r="G38" i="1"/>
  <c r="H38" i="1"/>
  <c r="H41" i="1"/>
  <c r="H42" i="1" s="1"/>
  <c r="H40" i="1"/>
  <c r="F30" i="1"/>
  <c r="G30" i="1"/>
  <c r="H32" i="1" s="1"/>
  <c r="F31" i="1"/>
  <c r="G31" i="1"/>
  <c r="G32" i="1"/>
  <c r="H31" i="1"/>
  <c r="H30" i="1"/>
  <c r="F24" i="1"/>
  <c r="F25" i="1" s="1"/>
  <c r="G24" i="1"/>
  <c r="G26" i="1" s="1"/>
  <c r="H24" i="1"/>
  <c r="H25" i="1"/>
  <c r="C10" i="1"/>
  <c r="D10" i="1"/>
  <c r="E10" i="1"/>
  <c r="F10" i="1"/>
  <c r="G10" i="1"/>
  <c r="C15" i="1"/>
  <c r="D15" i="1"/>
  <c r="E15" i="1"/>
  <c r="F15" i="1"/>
  <c r="G15" i="1"/>
  <c r="H15" i="1"/>
  <c r="M76" i="1" l="1"/>
  <c r="N33" i="2"/>
  <c r="O33" i="2" s="1"/>
  <c r="O34" i="2" s="1"/>
  <c r="O56" i="1" s="1"/>
  <c r="O63" i="1" s="1"/>
  <c r="N73" i="1"/>
  <c r="N67" i="1"/>
  <c r="N66" i="1"/>
  <c r="N10" i="1"/>
  <c r="N11" i="2"/>
  <c r="N72" i="1"/>
  <c r="N74" i="1"/>
  <c r="N43" i="2" s="1"/>
  <c r="M45" i="2"/>
  <c r="M51" i="2" s="1"/>
  <c r="M34" i="1" s="1"/>
  <c r="M107" i="1" s="1"/>
  <c r="M126" i="1" s="1"/>
  <c r="M49" i="2"/>
  <c r="M123" i="1" s="1"/>
  <c r="M77" i="1"/>
  <c r="O23" i="2"/>
  <c r="O7" i="2"/>
  <c r="M8" i="1"/>
  <c r="M17" i="1"/>
  <c r="M26" i="2"/>
  <c r="M22" i="1"/>
  <c r="O21" i="1"/>
  <c r="O25" i="2"/>
  <c r="D21" i="2"/>
  <c r="D18" i="2"/>
  <c r="H10" i="2"/>
  <c r="F46" i="1"/>
  <c r="G25" i="1"/>
  <c r="H26" i="1"/>
  <c r="N34" i="2" l="1"/>
  <c r="N56" i="1" s="1"/>
  <c r="N63" i="1" s="1"/>
  <c r="N76" i="1"/>
  <c r="N70" i="1"/>
  <c r="O72" i="1"/>
  <c r="O66" i="1"/>
  <c r="O73" i="1"/>
  <c r="O67" i="1"/>
  <c r="O10" i="1"/>
  <c r="O74" i="1"/>
  <c r="O43" i="2" s="1"/>
  <c r="O11" i="2"/>
  <c r="N22" i="1"/>
  <c r="N26" i="2"/>
  <c r="N8" i="1"/>
  <c r="N17" i="1"/>
  <c r="M19" i="1"/>
  <c r="M18" i="1"/>
  <c r="N14" i="2"/>
  <c r="N28" i="2" s="1"/>
  <c r="M24" i="1"/>
  <c r="M25" i="1" s="1"/>
  <c r="M110" i="1"/>
  <c r="N45" i="2"/>
  <c r="N51" i="2" s="1"/>
  <c r="N34" i="1" s="1"/>
  <c r="N107" i="1" s="1"/>
  <c r="N126" i="1" s="1"/>
  <c r="N49" i="2"/>
  <c r="N123" i="1" s="1"/>
  <c r="D17" i="1"/>
  <c r="D24" i="1" s="1"/>
  <c r="H51" i="1"/>
  <c r="H39" i="1"/>
  <c r="H35" i="1"/>
  <c r="H13" i="1"/>
  <c r="F51" i="1"/>
  <c r="G51" i="1"/>
  <c r="F39" i="1"/>
  <c r="G39" i="1"/>
  <c r="C17" i="1"/>
  <c r="F17" i="1"/>
  <c r="F18" i="1" s="1"/>
  <c r="G17" i="1"/>
  <c r="G19" i="1" s="1"/>
  <c r="F35" i="1"/>
  <c r="G35" i="1"/>
  <c r="E17" i="1"/>
  <c r="E24" i="1" s="1"/>
  <c r="F13" i="1"/>
  <c r="G13" i="1"/>
  <c r="N77" i="1" l="1"/>
  <c r="N110" i="1" s="1"/>
  <c r="M26" i="1"/>
  <c r="M30" i="1"/>
  <c r="M32" i="1" s="1"/>
  <c r="O70" i="1"/>
  <c r="O49" i="2"/>
  <c r="O123" i="1" s="1"/>
  <c r="O45" i="2"/>
  <c r="O51" i="2" s="1"/>
  <c r="O34" i="1" s="1"/>
  <c r="O107" i="1" s="1"/>
  <c r="O126" i="1" s="1"/>
  <c r="O26" i="2"/>
  <c r="O22" i="1"/>
  <c r="O14" i="2"/>
  <c r="O28" i="2" s="1"/>
  <c r="O8" i="1"/>
  <c r="O17" i="1"/>
  <c r="N18" i="1"/>
  <c r="N19" i="1"/>
  <c r="N24" i="1"/>
  <c r="O76" i="1"/>
  <c r="D25" i="1"/>
  <c r="D30" i="1"/>
  <c r="E25" i="1"/>
  <c r="F26" i="1"/>
  <c r="E26" i="1"/>
  <c r="E30" i="1"/>
  <c r="C18" i="1"/>
  <c r="C24" i="1"/>
  <c r="D19" i="1"/>
  <c r="G18" i="1"/>
  <c r="E19" i="1"/>
  <c r="E18" i="1"/>
  <c r="D18" i="1"/>
  <c r="F19" i="1"/>
  <c r="C3" i="1"/>
  <c r="O77" i="1" l="1"/>
  <c r="O110" i="1" s="1"/>
  <c r="M31" i="1"/>
  <c r="M38" i="1"/>
  <c r="M39" i="1" s="1"/>
  <c r="M112" i="1" s="1"/>
  <c r="N30" i="1"/>
  <c r="N25" i="1"/>
  <c r="N26" i="1"/>
  <c r="O18" i="1"/>
  <c r="O19" i="1"/>
  <c r="O24" i="1"/>
  <c r="D38" i="1"/>
  <c r="D31" i="1"/>
  <c r="E32" i="1"/>
  <c r="E38" i="1"/>
  <c r="E31" i="1"/>
  <c r="F32" i="1"/>
  <c r="C30" i="1"/>
  <c r="C25" i="1"/>
  <c r="D26" i="1"/>
  <c r="C4" i="1"/>
  <c r="M103" i="1" l="1"/>
  <c r="M109" i="1" s="1"/>
  <c r="M111" i="1" s="1"/>
  <c r="M113" i="1" s="1"/>
  <c r="M135" i="1" s="1"/>
  <c r="N32" i="1"/>
  <c r="N31" i="1"/>
  <c r="N38" i="1"/>
  <c r="O30" i="1"/>
  <c r="O25" i="1"/>
  <c r="O26" i="1"/>
  <c r="M41" i="1"/>
  <c r="D40" i="1"/>
  <c r="D41" i="1"/>
  <c r="E40" i="1"/>
  <c r="E41" i="1"/>
  <c r="C38" i="1"/>
  <c r="C31" i="1"/>
  <c r="D32" i="1"/>
  <c r="H19" i="1"/>
  <c r="H18" i="1"/>
  <c r="H17" i="1"/>
  <c r="H10" i="1"/>
  <c r="N103" i="1" l="1"/>
  <c r="N109" i="1" s="1"/>
  <c r="N111" i="1" s="1"/>
  <c r="N39" i="1"/>
  <c r="N112" i="1" s="1"/>
  <c r="O38" i="1"/>
  <c r="O32" i="1"/>
  <c r="O31" i="1"/>
  <c r="M43" i="1"/>
  <c r="M76" i="2"/>
  <c r="M45" i="1"/>
  <c r="M42" i="1"/>
  <c r="D43" i="1"/>
  <c r="D42" i="1"/>
  <c r="D45" i="1"/>
  <c r="E45" i="1"/>
  <c r="E42" i="1"/>
  <c r="E43" i="1"/>
  <c r="C41" i="1"/>
  <c r="C40" i="1"/>
  <c r="N113" i="1" l="1"/>
  <c r="N135" i="1" s="1"/>
  <c r="N41" i="1"/>
  <c r="O103" i="1"/>
  <c r="O109" i="1" s="1"/>
  <c r="O111" i="1" s="1"/>
  <c r="O39" i="1"/>
  <c r="O112" i="1" s="1"/>
  <c r="M51" i="1"/>
  <c r="M87" i="1" s="1"/>
  <c r="M125" i="1"/>
  <c r="M128" i="1" s="1"/>
  <c r="M130" i="1" s="1"/>
  <c r="M133" i="1" s="1"/>
  <c r="M75" i="2"/>
  <c r="M74" i="2" s="1"/>
  <c r="M80" i="2" s="1"/>
  <c r="M48" i="1"/>
  <c r="M49" i="1" s="1"/>
  <c r="M46" i="1"/>
  <c r="D46" i="1"/>
  <c r="D48" i="1"/>
  <c r="D49" i="1" s="1"/>
  <c r="E48" i="1"/>
  <c r="E49" i="1" s="1"/>
  <c r="E46" i="1"/>
  <c r="C43" i="1"/>
  <c r="C42" i="1"/>
  <c r="C45" i="1"/>
  <c r="O113" i="1" l="1"/>
  <c r="O135" i="1" s="1"/>
  <c r="N43" i="1"/>
  <c r="N42" i="1"/>
  <c r="N45" i="1"/>
  <c r="N76" i="2"/>
  <c r="O41" i="1"/>
  <c r="M88" i="1"/>
  <c r="M95" i="1" s="1"/>
  <c r="N132" i="1"/>
  <c r="M79" i="1"/>
  <c r="M81" i="1" s="1"/>
  <c r="M98" i="1" s="1"/>
  <c r="C46" i="1"/>
  <c r="C48" i="1"/>
  <c r="C49" i="1" s="1"/>
  <c r="H33" i="2"/>
  <c r="N46" i="1" l="1"/>
  <c r="N48" i="1"/>
  <c r="N49" i="1" s="1"/>
  <c r="O43" i="1"/>
  <c r="O76" i="2"/>
  <c r="O42" i="1"/>
  <c r="O45" i="1"/>
  <c r="N51" i="1"/>
  <c r="N87" i="1" s="1"/>
  <c r="N88" i="1" s="1"/>
  <c r="N95" i="1" s="1"/>
  <c r="N125" i="1"/>
  <c r="N128" i="1" s="1"/>
  <c r="N130" i="1" s="1"/>
  <c r="N133" i="1" s="1"/>
  <c r="N75" i="2"/>
  <c r="N74" i="2" s="1"/>
  <c r="N80" i="2" s="1"/>
  <c r="O132" i="1" l="1"/>
  <c r="N79" i="1"/>
  <c r="N81" i="1" s="1"/>
  <c r="N98" i="1" s="1"/>
  <c r="O48" i="1"/>
  <c r="O49" i="1" s="1"/>
  <c r="O46" i="1"/>
  <c r="O125" i="1"/>
  <c r="O128" i="1" s="1"/>
  <c r="O130" i="1" s="1"/>
  <c r="O51" i="1"/>
  <c r="O87" i="1" s="1"/>
  <c r="O88" i="1" s="1"/>
  <c r="O95" i="1" s="1"/>
  <c r="O75" i="2"/>
  <c r="O74" i="2" s="1"/>
  <c r="O80" i="2" s="1"/>
  <c r="O133" i="1" l="1"/>
  <c r="O79" i="1" s="1"/>
  <c r="O81" i="1" s="1"/>
  <c r="O98" i="1" s="1"/>
</calcChain>
</file>

<file path=xl/sharedStrings.xml><?xml version="1.0" encoding="utf-8"?>
<sst xmlns="http://schemas.openxmlformats.org/spreadsheetml/2006/main" count="451" uniqueCount="273">
  <si>
    <t>Revenue</t>
  </si>
  <si>
    <t>Less: Excise Duty</t>
  </si>
  <si>
    <t>Net Revenues</t>
  </si>
  <si>
    <t>COGS</t>
  </si>
  <si>
    <t>Other Exp</t>
  </si>
  <si>
    <t>EBITDA Margin%</t>
  </si>
  <si>
    <t xml:space="preserve">EBITDA </t>
  </si>
  <si>
    <t>Depreciation</t>
  </si>
  <si>
    <t>EBIT</t>
  </si>
  <si>
    <t>EBIT Margin%</t>
  </si>
  <si>
    <t>(Rs Crore)</t>
  </si>
  <si>
    <t>P&amp;L Statement</t>
  </si>
  <si>
    <t>PBT</t>
  </si>
  <si>
    <t>PAT Margin %</t>
  </si>
  <si>
    <t>Other income</t>
  </si>
  <si>
    <t>Change in stock</t>
  </si>
  <si>
    <t>Assets</t>
  </si>
  <si>
    <t>Net Fixed Assets</t>
  </si>
  <si>
    <t>Capital WIP</t>
  </si>
  <si>
    <t>Inventories</t>
  </si>
  <si>
    <t>Trade Payables</t>
  </si>
  <si>
    <t>Cash &amp; Cash Equivalents</t>
  </si>
  <si>
    <t>Loans &amp; Advances</t>
  </si>
  <si>
    <t>Trade Receivables</t>
  </si>
  <si>
    <t>Liabilities</t>
  </si>
  <si>
    <t>Share Capital</t>
  </si>
  <si>
    <t>Reserves &amp; surplus</t>
  </si>
  <si>
    <t>Shareholders Equity</t>
  </si>
  <si>
    <t>Total Liability</t>
  </si>
  <si>
    <t>Check</t>
  </si>
  <si>
    <t>CASH FLOWS</t>
  </si>
  <si>
    <t>BALANCE SHEET</t>
  </si>
  <si>
    <t>Interest Income</t>
  </si>
  <si>
    <t>Dividend Income</t>
  </si>
  <si>
    <t>Others</t>
  </si>
  <si>
    <t>Operating Profit Before WC changes</t>
  </si>
  <si>
    <t>(consumption)/releases of WC</t>
  </si>
  <si>
    <t>Cash Generated from operations</t>
  </si>
  <si>
    <t>Taxes Paid</t>
  </si>
  <si>
    <t>Net CFO</t>
  </si>
  <si>
    <t>Capex</t>
  </si>
  <si>
    <t>Sales/(purchase) of Investments</t>
  </si>
  <si>
    <t>Ineterest Received</t>
  </si>
  <si>
    <t>Dividend Received</t>
  </si>
  <si>
    <t>Net Cash Flow from Investing Activities</t>
  </si>
  <si>
    <t>Issue of Equity</t>
  </si>
  <si>
    <t>Net Cash from Financing Activities</t>
  </si>
  <si>
    <t>Net Change In Cash</t>
  </si>
  <si>
    <t>Finance Cost</t>
  </si>
  <si>
    <t>Investments in subsidiaries and associates</t>
  </si>
  <si>
    <t>Dividend Paid</t>
  </si>
  <si>
    <t>Name of the Company</t>
  </si>
  <si>
    <t>CMP(Rs)</t>
  </si>
  <si>
    <t>No. of outstanding shares (crore)</t>
  </si>
  <si>
    <t>Market Cap. (Rs crore)</t>
  </si>
  <si>
    <t>CEAT</t>
  </si>
  <si>
    <t>Total Assets</t>
  </si>
  <si>
    <t>YoY Growth %</t>
  </si>
  <si>
    <t>(Rs. Crore)</t>
  </si>
  <si>
    <t>Employee Cost</t>
  </si>
  <si>
    <t>Per unit analysis (Rs.)</t>
  </si>
  <si>
    <t>EBITDA</t>
  </si>
  <si>
    <t>% of sales</t>
  </si>
  <si>
    <t>Employee Exp</t>
  </si>
  <si>
    <t>Raw Material Consumed</t>
  </si>
  <si>
    <t>Gross Profit</t>
  </si>
  <si>
    <t>GP Margin%</t>
  </si>
  <si>
    <t>Business PAT</t>
  </si>
  <si>
    <t>Investment</t>
  </si>
  <si>
    <t>Total Non Current Assets</t>
  </si>
  <si>
    <t>Current Investment</t>
  </si>
  <si>
    <t>Other Current Assets</t>
  </si>
  <si>
    <t>Total Current Assets</t>
  </si>
  <si>
    <t>Working Capital</t>
  </si>
  <si>
    <t>Provisions</t>
  </si>
  <si>
    <t>Other Current Liablities</t>
  </si>
  <si>
    <t>Short Term Debt</t>
  </si>
  <si>
    <t>Total Long Term Debt</t>
  </si>
  <si>
    <t>Interest Paid</t>
  </si>
  <si>
    <t>Other Non Current Assets</t>
  </si>
  <si>
    <t>Other Non Current Liabilities</t>
  </si>
  <si>
    <t>Net Deferred Tax Liabilities</t>
  </si>
  <si>
    <t>Restated</t>
  </si>
  <si>
    <t>Core Earnings</t>
  </si>
  <si>
    <t>ETR</t>
  </si>
  <si>
    <t>Gross Fixed Assets</t>
  </si>
  <si>
    <t>Dividend (incl. DDT)</t>
  </si>
  <si>
    <t>From AR / QR</t>
  </si>
  <si>
    <t>RM + Purchases</t>
  </si>
  <si>
    <t>Net Rev - COGS</t>
  </si>
  <si>
    <t>GP / Net Rev</t>
  </si>
  <si>
    <t>Curr. Value / Prev. Value -1</t>
  </si>
  <si>
    <t>GP - Emp Exp - Other Exp</t>
  </si>
  <si>
    <t>EBITDA / Net Rev</t>
  </si>
  <si>
    <t>From AR / QR - Only Operating Revenue</t>
  </si>
  <si>
    <t>From AR / QR - Incl. Non Op. Income + Income from Sub / Associates</t>
  </si>
  <si>
    <t>EBIT - Fin Cost + Other Income - Exp. Items</t>
  </si>
  <si>
    <t>Exceptional Items</t>
  </si>
  <si>
    <t>From AR / QR - Curr Tax + Deferred Tax</t>
  </si>
  <si>
    <t>Less: Tax</t>
  </si>
  <si>
    <t>Tax / PBT</t>
  </si>
  <si>
    <t>PAT / Net Rev</t>
  </si>
  <si>
    <t>PAT + Exp Items*(1-ETR)</t>
  </si>
  <si>
    <t>B-PAT - Other Income*(1-ETR)</t>
  </si>
  <si>
    <t>EPS (Rs.)</t>
  </si>
  <si>
    <t>Business EPS (Rs.)</t>
  </si>
  <si>
    <t>Core EPS (Rs.)</t>
  </si>
  <si>
    <t>PBT - Tax</t>
  </si>
  <si>
    <t>PAT / No. of OS Shares</t>
  </si>
  <si>
    <t>B-PAT / No. of OS Shares</t>
  </si>
  <si>
    <t>Core Earnings / No. of OS Shares</t>
  </si>
  <si>
    <t>Less: Accumulated Dep</t>
  </si>
  <si>
    <t>Net FA + Acc. Dep.</t>
  </si>
  <si>
    <t>Fixed Asset Schedule</t>
  </si>
  <si>
    <t>From AR / QR (TA + ITA)</t>
  </si>
  <si>
    <t>Total NCA - (NFA + CWIP + Inv.)</t>
  </si>
  <si>
    <t>Sum of All Above CA</t>
  </si>
  <si>
    <t>From Model</t>
  </si>
  <si>
    <t>Total Current Liabilities</t>
  </si>
  <si>
    <t>TCA - TCL</t>
  </si>
  <si>
    <t>TNCA + WC + Cash</t>
  </si>
  <si>
    <t>From AR / QR - Total Equity + TNCL</t>
  </si>
  <si>
    <t>SC + R&amp;S</t>
  </si>
  <si>
    <t>TA - TL</t>
  </si>
  <si>
    <t>TL - (SE + LT Debt + NDTL)</t>
  </si>
  <si>
    <t>Net CFO - Tax Paid</t>
  </si>
  <si>
    <t>Cash From Ops - OP Before WC</t>
  </si>
  <si>
    <t>Net CFI - Sum of All Above Inv. Act. Items</t>
  </si>
  <si>
    <t>Net CFF - Sum of All Above Fin. Act. Items</t>
  </si>
  <si>
    <t>OP before WC - Sum of All Above Op. Act. Items</t>
  </si>
  <si>
    <t>Net CFO + Net CFI + Net CFF</t>
  </si>
  <si>
    <t xml:space="preserve">Net Change in Cash + Curr. Op. Cash Bal. </t>
  </si>
  <si>
    <t>Prev. Cash Cl. Bal.</t>
  </si>
  <si>
    <t>Cash at the Start of the Year (Op. Bal.)</t>
  </si>
  <si>
    <t>Cash at the End of the Year (Cl. Bal.)</t>
  </si>
  <si>
    <t>FCFF (Free Cash Flow to the Firm)</t>
  </si>
  <si>
    <t>Net CFO + (Capex)</t>
  </si>
  <si>
    <t>Debt Schedule</t>
  </si>
  <si>
    <t>Depreciation Exp</t>
  </si>
  <si>
    <t>Dep. Exp. / GFA</t>
  </si>
  <si>
    <t>ST Debt</t>
  </si>
  <si>
    <t>LT Debt</t>
  </si>
  <si>
    <t>Total Debt</t>
  </si>
  <si>
    <t>ST Debt + LT Debt</t>
  </si>
  <si>
    <t>Change in ST Debt</t>
  </si>
  <si>
    <t>Change in LT Debt</t>
  </si>
  <si>
    <t>Interest Rate (%)</t>
  </si>
  <si>
    <t>Increase/(decrease) in Debt</t>
  </si>
  <si>
    <t>Total Change in Debt</t>
  </si>
  <si>
    <t>Curr. ST Debt - Prev. ST Debt</t>
  </si>
  <si>
    <t>Ch. In ST Debt + Ch. In LT Debt</t>
  </si>
  <si>
    <t>Fin Cost / Average Total Debt</t>
  </si>
  <si>
    <t>FV per share</t>
  </si>
  <si>
    <t>No. of Outstanding Shares</t>
  </si>
  <si>
    <t>Equity Schedule</t>
  </si>
  <si>
    <t>QIP / Issue Amount</t>
  </si>
  <si>
    <t>No. of New Shares Issued</t>
  </si>
  <si>
    <t>Issue Price per Share</t>
  </si>
  <si>
    <t>Share Capital Amount</t>
  </si>
  <si>
    <t>Buyback Total Amount</t>
  </si>
  <si>
    <t>No. of Shares Bought Back</t>
  </si>
  <si>
    <t>Buyback Price per Share</t>
  </si>
  <si>
    <t>Issue Amt / Issue Price</t>
  </si>
  <si>
    <t>Issue Amt - SC Amt</t>
  </si>
  <si>
    <t>BB Amt / BB Price</t>
  </si>
  <si>
    <t>No. of Shares BB * FV</t>
  </si>
  <si>
    <t>No. of Shares Issued * FV</t>
  </si>
  <si>
    <t>BB Amt - SC Amt</t>
  </si>
  <si>
    <t>Share Premium Amount Rcvd.</t>
  </si>
  <si>
    <t>Share Premium Amount Paid</t>
  </si>
  <si>
    <t>Dividend Schedule</t>
  </si>
  <si>
    <t>Dividend Paid Amount</t>
  </si>
  <si>
    <t>DDT Paid</t>
  </si>
  <si>
    <t>Dividend Payout (%)</t>
  </si>
  <si>
    <t>Dividend Per Share</t>
  </si>
  <si>
    <t>DDT Rate (%)</t>
  </si>
  <si>
    <t>Total Cash Outflow - DDT Paid</t>
  </si>
  <si>
    <t>Total Dividend Cash Outflow</t>
  </si>
  <si>
    <t>DDT Paid / TDCO</t>
  </si>
  <si>
    <t>TDCO / PAT</t>
  </si>
  <si>
    <t>Dividend Paid / No. of OS Shares</t>
  </si>
  <si>
    <t>From Investor Presentation / Con-calls</t>
  </si>
  <si>
    <t>Other Expenses</t>
  </si>
  <si>
    <t>OE / Net Rev.</t>
  </si>
  <si>
    <t>Net Revenue</t>
  </si>
  <si>
    <t>Realization per MT</t>
  </si>
  <si>
    <t>COGS per MT</t>
  </si>
  <si>
    <t>Gross Profit per MT</t>
  </si>
  <si>
    <t>Employee Cost per MT</t>
  </si>
  <si>
    <t>Other Expenses per MT</t>
  </si>
  <si>
    <t>EBITDA per MT</t>
  </si>
  <si>
    <t>Volumes (MT)</t>
  </si>
  <si>
    <t>Net Rev. / Volume</t>
  </si>
  <si>
    <t>COGS / Volume</t>
  </si>
  <si>
    <t>Realization per MT - COGS per MT</t>
  </si>
  <si>
    <t>Emp. Cost / Volume</t>
  </si>
  <si>
    <t>OE / Volume</t>
  </si>
  <si>
    <t>GP per MT - (EC per MT + OE per MT)</t>
  </si>
  <si>
    <t>Reported PAT</t>
  </si>
  <si>
    <t>Provisional</t>
  </si>
  <si>
    <t>Projected</t>
  </si>
  <si>
    <t>Blue - Input Values</t>
  </si>
  <si>
    <t>Black - Calculated Values</t>
  </si>
  <si>
    <t>Yellow Fill - Assumptions</t>
  </si>
  <si>
    <t>Green - Comments</t>
  </si>
  <si>
    <t>Depreciation Rate (%)</t>
  </si>
  <si>
    <t>RM + (-Change in Stock)</t>
  </si>
  <si>
    <t>Revenue - excise</t>
  </si>
  <si>
    <t>EBIT / Net Rev</t>
  </si>
  <si>
    <t>EBITDA - Depreciation</t>
  </si>
  <si>
    <t>TCL - (TP + ST Debt - provisions)</t>
  </si>
  <si>
    <t>(1+YoY Growth)*Prev. Vol.</t>
  </si>
  <si>
    <t>IMP</t>
  </si>
  <si>
    <t>Vol * Real per MT / 10^7</t>
  </si>
  <si>
    <t>Vol * COGS per MT / 10^7</t>
  </si>
  <si>
    <t>(1+YoY Growth)*Prev. Emp. Cost</t>
  </si>
  <si>
    <t>% of Sales * Net Revenue</t>
  </si>
  <si>
    <t>Net Revenue - (COGS + Emp. Cost + OE)</t>
  </si>
  <si>
    <t>(1+YoY Growth)*Prev. Real. Per MT</t>
  </si>
  <si>
    <t>(1+YoY Growth)*COGS Per MT</t>
  </si>
  <si>
    <t>Copy &amp; Paste Prev. Formulas</t>
  </si>
  <si>
    <t>Prev. GFA + Capex + (Prev. CWIP - Curr. CWIP)</t>
  </si>
  <si>
    <t>Prev. Acc. Dep + Curr. Dep Exp.</t>
  </si>
  <si>
    <t>GFA - Acc. Dep</t>
  </si>
  <si>
    <t>Dep Rate * GFA</t>
  </si>
  <si>
    <t>Prev. LT Debt + Change in LT Debt</t>
  </si>
  <si>
    <t>Total of above items</t>
  </si>
  <si>
    <t>Int Rate * Avg. Total Debt</t>
  </si>
  <si>
    <t>SC / FV</t>
  </si>
  <si>
    <t>Keep Constant</t>
  </si>
  <si>
    <t>Prev. SC + SC Issued - SC BB</t>
  </si>
  <si>
    <t>TDCO - DDT Paid</t>
  </si>
  <si>
    <t>TDCO * DDT Rate</t>
  </si>
  <si>
    <t xml:space="preserve">PAT * Div. Payout </t>
  </si>
  <si>
    <t>Inv. / Sales*365</t>
  </si>
  <si>
    <t>TR / Sales*365</t>
  </si>
  <si>
    <t>TP / Sales*365</t>
  </si>
  <si>
    <t>Prov. / Sales*365</t>
  </si>
  <si>
    <t>ST Debt / Sales*365</t>
  </si>
  <si>
    <t>All CA Ratios - All CL Ratios</t>
  </si>
  <si>
    <t>Working Capital Ratios</t>
  </si>
  <si>
    <t>Current Assets</t>
  </si>
  <si>
    <t>Inventories - Days Sales</t>
  </si>
  <si>
    <t>Trade Receivables - Days Sales</t>
  </si>
  <si>
    <t>Current Liabilities</t>
  </si>
  <si>
    <t>Trade Payables - Days Sales</t>
  </si>
  <si>
    <t>Provisions - Days Sales</t>
  </si>
  <si>
    <t>Short Term Debt - Days Sales</t>
  </si>
  <si>
    <t>Net WC Cycle - Days Sales</t>
  </si>
  <si>
    <t>Net Revenue + Excise Duty</t>
  </si>
  <si>
    <t>From Working</t>
  </si>
  <si>
    <t>Assume Constant</t>
  </si>
  <si>
    <t>Assume 0</t>
  </si>
  <si>
    <t>PBT * ETR</t>
  </si>
  <si>
    <t>Assume Current ETR</t>
  </si>
  <si>
    <t>NFA + CWIP + Inv + ONCA</t>
  </si>
  <si>
    <t>Inv. Days Sales * Rev / 365</t>
  </si>
  <si>
    <t>TR Days Sales * Rev / 365</t>
  </si>
  <si>
    <t>Total All CA</t>
  </si>
  <si>
    <t>Total All CL</t>
  </si>
  <si>
    <t>Cl. Cash Bal. from CF</t>
  </si>
  <si>
    <t>Prev. R&amp;S + PAT - TDCO + Prem. On Issue - Prem. On BB</t>
  </si>
  <si>
    <t>From P&amp;L</t>
  </si>
  <si>
    <t>From P&amp;L - Other Income</t>
  </si>
  <si>
    <t>Keep 0</t>
  </si>
  <si>
    <t>Sum of all above items</t>
  </si>
  <si>
    <t>Prev. WC - Curr. WC - (Curr. ST Debt - Prev. ST Debt)</t>
  </si>
  <si>
    <t>OPBWC + Changes in WC</t>
  </si>
  <si>
    <t>CGO + Taxes Paid</t>
  </si>
  <si>
    <t>Prev. Inv - Curr. Inv.</t>
  </si>
  <si>
    <t>From CFO item</t>
  </si>
  <si>
    <t>Total Issue Amt. - Total BB Amt.</t>
  </si>
  <si>
    <t xml:space="preserve">Same as done for TR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</si>
</sst>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4" formatCode="_(* #,##0.00_);_(* \(#,##0.00\);_(* &quot;-&quot;??_);_(@_)"/>
    <numFmt numFmtId="165" formatCode="#,##0.0_);[Red]\(#,##0.0\)"/>
    <numFmt numFmtId="166" formatCode="0.00_)"/>
    <numFmt numFmtId="167" formatCode="#,##0;[Red]\(#,##0\)"/>
    <numFmt numFmtId="168" formatCode="#,##0.00;[Red]\(#,##0.00\)"/>
    <numFmt numFmtId="169" formatCode="[$-409]mmm\-yy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2"/>
      <name val="Tms Rmn"/>
    </font>
    <font>
      <u/>
      <sz val="10"/>
      <color indexed="12"/>
      <name val="Arial"/>
      <family val="2"/>
    </font>
    <font>
      <b/>
      <sz val="14"/>
      <name val="Helv"/>
    </font>
    <font>
      <sz val="24"/>
      <color indexed="13"/>
      <name val="Helv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2"/>
      <name val="Times New Roman"/>
      <family val="1"/>
    </font>
    <font>
      <b/>
      <i/>
      <sz val="12"/>
      <name val="Helv"/>
    </font>
    <font>
      <sz val="12"/>
      <name val="Helv"/>
    </font>
    <font>
      <b/>
      <i/>
      <sz val="24"/>
      <name val="Tms Rmn"/>
    </font>
    <font>
      <b/>
      <i/>
      <sz val="12"/>
      <name val="Times New Roman"/>
      <family val="1"/>
    </font>
    <font>
      <sz val="7"/>
      <name val="Arial"/>
      <family val="2"/>
    </font>
    <font>
      <sz val="10"/>
      <color indexed="10"/>
      <name val="MS Sans Serif"/>
      <family val="2"/>
    </font>
    <font>
      <b/>
      <i/>
      <sz val="16"/>
      <name val="Helv"/>
    </font>
    <font>
      <b/>
      <sz val="8"/>
      <color indexed="9"/>
      <name val="Arial"/>
      <family val="2"/>
    </font>
    <font>
      <sz val="10"/>
      <color indexed="8"/>
      <name val="Arial"/>
      <family val="2"/>
    </font>
    <font>
      <b/>
      <sz val="9"/>
      <color indexed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</font>
    <font>
      <b/>
      <sz val="10"/>
      <color theme="0"/>
      <name val="Arial"/>
      <family val="2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0033CC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i/>
      <sz val="10"/>
      <color rgb="FF00B05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1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8"/>
        <bgColor indexed="64"/>
      </patternFill>
    </fill>
    <fill>
      <patternFill patternType="solid">
        <fgColor indexed="8"/>
      </patternFill>
    </fill>
    <fill>
      <patternFill patternType="solid">
        <fgColor indexed="12"/>
      </patternFill>
    </fill>
    <fill>
      <patternFill patternType="solid">
        <fgColor indexed="26"/>
        <bgColor indexed="64"/>
      </patternFill>
    </fill>
    <fill>
      <patternFill patternType="solid">
        <fgColor rgb="FF0275D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</borders>
  <cellStyleXfs count="55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4" fillId="0" borderId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9" borderId="0" applyNumberFormat="0" applyBorder="0" applyAlignment="0" applyProtection="0"/>
    <xf numFmtId="0" fontId="26" fillId="3" borderId="0" applyNumberFormat="0" applyBorder="0" applyAlignment="0" applyProtection="0"/>
    <xf numFmtId="38" fontId="9" fillId="20" borderId="3">
      <alignment horizontal="right"/>
    </xf>
    <xf numFmtId="0" fontId="27" fillId="21" borderId="4" applyNumberFormat="0" applyAlignment="0" applyProtection="0"/>
    <xf numFmtId="0" fontId="28" fillId="22" borderId="5" applyNumberFormat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5" fillId="0" borderId="0"/>
    <xf numFmtId="0" fontId="5" fillId="0" borderId="6"/>
    <xf numFmtId="38" fontId="10" fillId="23" borderId="3">
      <protection locked="0"/>
    </xf>
    <xf numFmtId="2" fontId="9" fillId="24" borderId="0">
      <alignment horizontal="left"/>
      <protection hidden="1"/>
    </xf>
    <xf numFmtId="0" fontId="11" fillId="0" borderId="0"/>
    <xf numFmtId="37" fontId="12" fillId="0" borderId="0"/>
    <xf numFmtId="0" fontId="29" fillId="0" borderId="0" applyNumberFormat="0" applyFill="0" applyBorder="0" applyAlignment="0" applyProtection="0"/>
    <xf numFmtId="0" fontId="30" fillId="4" borderId="0" applyNumberFormat="0" applyBorder="0" applyAlignment="0" applyProtection="0"/>
    <xf numFmtId="37" fontId="13" fillId="0" borderId="0"/>
    <xf numFmtId="37" fontId="14" fillId="0" borderId="0"/>
    <xf numFmtId="0" fontId="15" fillId="0" borderId="0">
      <alignment horizontal="left" vertical="center"/>
    </xf>
    <xf numFmtId="0" fontId="31" fillId="0" borderId="7" applyNumberFormat="0" applyFill="0" applyAlignment="0" applyProtection="0"/>
    <xf numFmtId="0" fontId="32" fillId="0" borderId="8" applyNumberFormat="0" applyFill="0" applyAlignment="0" applyProtection="0"/>
    <xf numFmtId="0" fontId="33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167" fontId="16" fillId="0" borderId="0" applyBorder="0" applyAlignment="0"/>
    <xf numFmtId="0" fontId="34" fillId="7" borderId="4" applyNumberFormat="0" applyAlignment="0" applyProtection="0"/>
    <xf numFmtId="0" fontId="7" fillId="25" borderId="6"/>
    <xf numFmtId="0" fontId="35" fillId="0" borderId="10" applyNumberFormat="0" applyFill="0" applyAlignment="0" applyProtection="0"/>
    <xf numFmtId="0" fontId="36" fillId="26" borderId="0" applyNumberFormat="0" applyBorder="0" applyAlignment="0" applyProtection="0"/>
    <xf numFmtId="0" fontId="17" fillId="0" borderId="0"/>
    <xf numFmtId="166" fontId="18" fillId="0" borderId="0"/>
    <xf numFmtId="0" fontId="4" fillId="0" borderId="0"/>
    <xf numFmtId="0" fontId="4" fillId="0" borderId="0"/>
    <xf numFmtId="0" fontId="24" fillId="27" borderId="11" applyNumberFormat="0" applyFont="0" applyAlignment="0" applyProtection="0"/>
    <xf numFmtId="0" fontId="37" fillId="21" borderId="12" applyNumberFormat="0" applyAlignment="0" applyProtection="0"/>
    <xf numFmtId="9" fontId="4" fillId="0" borderId="0" applyFont="0" applyFill="0" applyBorder="0" applyAlignment="0" applyProtection="0"/>
    <xf numFmtId="0" fontId="5" fillId="0" borderId="0"/>
    <xf numFmtId="0" fontId="19" fillId="28" borderId="0">
      <alignment horizontal="right"/>
    </xf>
    <xf numFmtId="0" fontId="4" fillId="0" borderId="0" applyNumberFormat="0" applyFill="0" applyBorder="0" applyAlignment="0" applyProtection="0"/>
    <xf numFmtId="37" fontId="13" fillId="0" borderId="0"/>
    <xf numFmtId="0" fontId="20" fillId="0" borderId="13" applyBorder="0">
      <alignment horizontal="center"/>
    </xf>
    <xf numFmtId="0" fontId="5" fillId="0" borderId="6"/>
    <xf numFmtId="168" fontId="21" fillId="29" borderId="0"/>
    <xf numFmtId="0" fontId="8" fillId="30" borderId="0"/>
    <xf numFmtId="0" fontId="38" fillId="0" borderId="14" applyNumberFormat="0" applyFill="0" applyAlignment="0" applyProtection="0"/>
    <xf numFmtId="0" fontId="7" fillId="0" borderId="15"/>
    <xf numFmtId="0" fontId="7" fillId="0" borderId="6"/>
    <xf numFmtId="165" fontId="22" fillId="31" borderId="3">
      <alignment horizontal="right"/>
    </xf>
    <xf numFmtId="165" fontId="23" fillId="31" borderId="3"/>
    <xf numFmtId="0" fontId="3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6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9" borderId="0" applyNumberFormat="0" applyBorder="0" applyAlignment="0" applyProtection="0"/>
    <xf numFmtId="0" fontId="26" fillId="3" borderId="0" applyNumberFormat="0" applyBorder="0" applyAlignment="0" applyProtection="0"/>
    <xf numFmtId="0" fontId="27" fillId="21" borderId="4" applyNumberFormat="0" applyAlignment="0" applyProtection="0"/>
    <xf numFmtId="0" fontId="28" fillId="22" borderId="5" applyNumberFormat="0" applyAlignment="0" applyProtection="0"/>
    <xf numFmtId="164" fontId="4" fillId="0" borderId="0" applyFont="0" applyFill="0" applyBorder="0" applyAlignment="0" applyProtection="0"/>
    <xf numFmtId="2" fontId="9" fillId="24" borderId="0">
      <alignment horizontal="left"/>
      <protection hidden="1"/>
    </xf>
    <xf numFmtId="2" fontId="9" fillId="24" borderId="0">
      <alignment horizontal="left"/>
      <protection hidden="1"/>
    </xf>
    <xf numFmtId="0" fontId="29" fillId="0" borderId="0" applyNumberFormat="0" applyFill="0" applyBorder="0" applyAlignment="0" applyProtection="0"/>
    <xf numFmtId="0" fontId="30" fillId="4" borderId="0" applyNumberFormat="0" applyBorder="0" applyAlignment="0" applyProtection="0"/>
    <xf numFmtId="0" fontId="31" fillId="0" borderId="7" applyNumberFormat="0" applyFill="0" applyAlignment="0" applyProtection="0"/>
    <xf numFmtId="0" fontId="32" fillId="0" borderId="8" applyNumberFormat="0" applyFill="0" applyAlignment="0" applyProtection="0"/>
    <xf numFmtId="0" fontId="33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34" fillId="7" borderId="4" applyNumberFormat="0" applyAlignment="0" applyProtection="0"/>
    <xf numFmtId="0" fontId="35" fillId="0" borderId="10" applyNumberFormat="0" applyFill="0" applyAlignment="0" applyProtection="0"/>
    <xf numFmtId="0" fontId="36" fillId="26" borderId="0" applyNumberFormat="0" applyBorder="0" applyAlignment="0" applyProtection="0"/>
    <xf numFmtId="0" fontId="4" fillId="0" borderId="0"/>
    <xf numFmtId="0" fontId="24" fillId="27" borderId="11" applyNumberFormat="0" applyFont="0" applyAlignment="0" applyProtection="0"/>
    <xf numFmtId="0" fontId="37" fillId="21" borderId="12" applyNumberFormat="0" applyAlignment="0" applyProtection="0"/>
    <xf numFmtId="0" fontId="4" fillId="0" borderId="0" applyNumberFormat="0" applyFill="0" applyBorder="0" applyAlignment="0" applyProtection="0"/>
    <xf numFmtId="168" fontId="21" fillId="29" borderId="0"/>
    <xf numFmtId="0" fontId="38" fillId="0" borderId="14" applyNumberFormat="0" applyFill="0" applyAlignment="0" applyProtection="0"/>
    <xf numFmtId="0" fontId="4" fillId="0" borderId="0"/>
    <xf numFmtId="0" fontId="39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4" fillId="0" borderId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9" borderId="0" applyNumberFormat="0" applyBorder="0" applyAlignment="0" applyProtection="0"/>
    <xf numFmtId="0" fontId="26" fillId="3" borderId="0" applyNumberFormat="0" applyBorder="0" applyAlignment="0" applyProtection="0"/>
    <xf numFmtId="0" fontId="27" fillId="21" borderId="4" applyNumberFormat="0" applyAlignment="0" applyProtection="0"/>
    <xf numFmtId="0" fontId="28" fillId="22" borderId="5" applyNumberFormat="0" applyAlignment="0" applyProtection="0"/>
    <xf numFmtId="0" fontId="29" fillId="0" borderId="0" applyNumberFormat="0" applyFill="0" applyBorder="0" applyAlignment="0" applyProtection="0"/>
    <xf numFmtId="0" fontId="30" fillId="4" borderId="0" applyNumberFormat="0" applyBorder="0" applyAlignment="0" applyProtection="0"/>
    <xf numFmtId="0" fontId="31" fillId="0" borderId="7" applyNumberFormat="0" applyFill="0" applyAlignment="0" applyProtection="0"/>
    <xf numFmtId="0" fontId="32" fillId="0" borderId="8" applyNumberFormat="0" applyFill="0" applyAlignment="0" applyProtection="0"/>
    <xf numFmtId="0" fontId="33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34" fillId="7" borderId="4" applyNumberFormat="0" applyAlignment="0" applyProtection="0"/>
    <xf numFmtId="0" fontId="35" fillId="0" borderId="10" applyNumberFormat="0" applyFill="0" applyAlignment="0" applyProtection="0"/>
    <xf numFmtId="0" fontId="36" fillId="26" borderId="0" applyNumberFormat="0" applyBorder="0" applyAlignment="0" applyProtection="0"/>
    <xf numFmtId="0" fontId="24" fillId="27" borderId="11" applyNumberFormat="0" applyFont="0" applyAlignment="0" applyProtection="0"/>
    <xf numFmtId="0" fontId="37" fillId="21" borderId="12" applyNumberFormat="0" applyAlignment="0" applyProtection="0"/>
    <xf numFmtId="168" fontId="21" fillId="29" borderId="0"/>
    <xf numFmtId="0" fontId="38" fillId="0" borderId="14" applyNumberFormat="0" applyFill="0" applyAlignment="0" applyProtection="0"/>
    <xf numFmtId="0" fontId="39" fillId="0" borderId="0" applyNumberFormat="0" applyFill="0" applyBorder="0" applyAlignment="0" applyProtection="0"/>
    <xf numFmtId="0" fontId="4" fillId="0" borderId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7" fillId="21" borderId="4" applyNumberFormat="0" applyAlignment="0" applyProtection="0"/>
    <xf numFmtId="0" fontId="27" fillId="21" borderId="4" applyNumberFormat="0" applyAlignment="0" applyProtection="0"/>
    <xf numFmtId="0" fontId="28" fillId="22" borderId="5" applyNumberFormat="0" applyAlignment="0" applyProtection="0"/>
    <xf numFmtId="0" fontId="28" fillId="22" borderId="5" applyNumberFormat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6"/>
    <xf numFmtId="2" fontId="9" fillId="24" borderId="0">
      <alignment horizontal="left"/>
      <protection hidden="1"/>
    </xf>
    <xf numFmtId="2" fontId="9" fillId="24" borderId="0">
      <alignment horizontal="left"/>
      <protection hidden="1"/>
    </xf>
    <xf numFmtId="2" fontId="9" fillId="24" borderId="0">
      <alignment horizontal="left"/>
      <protection hidden="1"/>
    </xf>
    <xf numFmtId="2" fontId="9" fillId="24" borderId="0">
      <alignment horizontal="left"/>
      <protection hidden="1"/>
    </xf>
    <xf numFmtId="2" fontId="9" fillId="24" borderId="0">
      <alignment horizontal="left"/>
      <protection hidden="1"/>
    </xf>
    <xf numFmtId="2" fontId="9" fillId="24" borderId="0">
      <alignment horizontal="left"/>
      <protection hidden="1"/>
    </xf>
    <xf numFmtId="2" fontId="9" fillId="24" borderId="0">
      <alignment horizontal="left"/>
      <protection hidden="1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7" borderId="4" applyNumberFormat="0" applyAlignment="0" applyProtection="0"/>
    <xf numFmtId="0" fontId="34" fillId="7" borderId="4" applyNumberFormat="0" applyAlignment="0" applyProtection="0"/>
    <xf numFmtId="0" fontId="7" fillId="25" borderId="6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4" fillId="27" borderId="11" applyNumberFormat="0" applyFont="0" applyAlignment="0" applyProtection="0"/>
    <xf numFmtId="0" fontId="24" fillId="27" borderId="11" applyNumberFormat="0" applyFont="0" applyAlignment="0" applyProtection="0"/>
    <xf numFmtId="0" fontId="37" fillId="21" borderId="12" applyNumberFormat="0" applyAlignment="0" applyProtection="0"/>
    <xf numFmtId="0" fontId="37" fillId="21" borderId="12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6"/>
    <xf numFmtId="168" fontId="21" fillId="29" borderId="0"/>
    <xf numFmtId="0" fontId="38" fillId="0" borderId="14" applyNumberFormat="0" applyFill="0" applyAlignment="0" applyProtection="0"/>
    <xf numFmtId="0" fontId="38" fillId="0" borderId="14" applyNumberFormat="0" applyFill="0" applyAlignment="0" applyProtection="0"/>
    <xf numFmtId="0" fontId="7" fillId="0" borderId="6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2" fontId="9" fillId="24" borderId="0">
      <alignment horizontal="left"/>
      <protection hidden="1"/>
    </xf>
    <xf numFmtId="0" fontId="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8" fontId="21" fillId="29" borderId="0"/>
    <xf numFmtId="168" fontId="21" fillId="29" borderId="0"/>
    <xf numFmtId="168" fontId="21" fillId="29" borderId="0"/>
    <xf numFmtId="168" fontId="21" fillId="29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21" borderId="4" applyNumberFormat="0" applyAlignment="0" applyProtection="0"/>
    <xf numFmtId="0" fontId="27" fillId="21" borderId="4" applyNumberFormat="0" applyAlignment="0" applyProtection="0"/>
    <xf numFmtId="164" fontId="1" fillId="0" borderId="0" applyFont="0" applyFill="0" applyBorder="0" applyAlignment="0" applyProtection="0"/>
    <xf numFmtId="0" fontId="34" fillId="7" borderId="4" applyNumberFormat="0" applyAlignment="0" applyProtection="0"/>
    <xf numFmtId="0" fontId="34" fillId="7" borderId="4" applyNumberFormat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4" fillId="27" borderId="11" applyNumberFormat="0" applyFont="0" applyAlignment="0" applyProtection="0"/>
    <xf numFmtId="0" fontId="24" fillId="27" borderId="11" applyNumberFormat="0" applyFont="0" applyAlignment="0" applyProtection="0"/>
    <xf numFmtId="0" fontId="24" fillId="27" borderId="11" applyNumberFormat="0" applyFont="0" applyAlignment="0" applyProtection="0"/>
    <xf numFmtId="0" fontId="37" fillId="21" borderId="12" applyNumberFormat="0" applyAlignment="0" applyProtection="0"/>
    <xf numFmtId="0" fontId="37" fillId="21" borderId="12" applyNumberFormat="0" applyAlignment="0" applyProtection="0"/>
    <xf numFmtId="0" fontId="37" fillId="21" borderId="12" applyNumberFormat="0" applyAlignment="0" applyProtection="0"/>
    <xf numFmtId="9" fontId="4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38" fillId="0" borderId="14" applyNumberFormat="0" applyFill="0" applyAlignment="0" applyProtection="0"/>
    <xf numFmtId="0" fontId="38" fillId="0" borderId="14" applyNumberFormat="0" applyFill="0" applyAlignment="0" applyProtection="0"/>
    <xf numFmtId="0" fontId="38" fillId="0" borderId="14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164" fontId="0" fillId="0" borderId="0" xfId="0" applyNumberFormat="1"/>
    <xf numFmtId="0" fontId="2" fillId="0" borderId="1" xfId="0" applyFont="1" applyBorder="1"/>
    <xf numFmtId="0" fontId="0" fillId="0" borderId="2" xfId="0" applyBorder="1"/>
    <xf numFmtId="0" fontId="0" fillId="0" borderId="0" xfId="0" applyFill="1"/>
    <xf numFmtId="169" fontId="41" fillId="32" borderId="0" xfId="0" applyNumberFormat="1" applyFont="1" applyFill="1" applyAlignment="1">
      <alignment horizontal="center"/>
    </xf>
    <xf numFmtId="169" fontId="41" fillId="33" borderId="0" xfId="0" applyNumberFormat="1" applyFont="1" applyFill="1" applyAlignment="1">
      <alignment horizontal="center"/>
    </xf>
    <xf numFmtId="169" fontId="41" fillId="34" borderId="0" xfId="0" applyNumberFormat="1" applyFont="1" applyFill="1" applyAlignment="1">
      <alignment horizontal="center"/>
    </xf>
    <xf numFmtId="0" fontId="0" fillId="0" borderId="0" xfId="0" applyFont="1"/>
    <xf numFmtId="2" fontId="43" fillId="0" borderId="0" xfId="0" applyNumberFormat="1" applyFont="1"/>
    <xf numFmtId="2" fontId="2" fillId="0" borderId="0" xfId="0" applyNumberFormat="1" applyFont="1"/>
    <xf numFmtId="2" fontId="0" fillId="0" borderId="0" xfId="0" applyNumberFormat="1"/>
    <xf numFmtId="2" fontId="42" fillId="0" borderId="0" xfId="0" applyNumberFormat="1" applyFont="1"/>
    <xf numFmtId="2" fontId="0" fillId="0" borderId="0" xfId="1" applyNumberFormat="1" applyFont="1"/>
    <xf numFmtId="2" fontId="2" fillId="0" borderId="0" xfId="1" applyNumberFormat="1" applyFont="1"/>
    <xf numFmtId="2" fontId="42" fillId="0" borderId="0" xfId="1" applyNumberFormat="1" applyFont="1"/>
    <xf numFmtId="2" fontId="43" fillId="0" borderId="0" xfId="1" applyNumberFormat="1" applyFont="1"/>
    <xf numFmtId="2" fontId="2" fillId="0" borderId="1" xfId="0" applyNumberFormat="1" applyFont="1" applyBorder="1"/>
    <xf numFmtId="2" fontId="46" fillId="0" borderId="0" xfId="0" applyNumberFormat="1" applyFont="1"/>
    <xf numFmtId="0" fontId="2" fillId="0" borderId="0" xfId="0" applyFont="1" applyAlignment="1">
      <alignment horizontal="right"/>
    </xf>
    <xf numFmtId="0" fontId="47" fillId="0" borderId="0" xfId="0" applyFont="1"/>
    <xf numFmtId="2" fontId="43" fillId="0" borderId="1" xfId="0" applyNumberFormat="1" applyFont="1" applyBorder="1"/>
    <xf numFmtId="0" fontId="48" fillId="0" borderId="0" xfId="0" applyFont="1" applyAlignment="1">
      <alignment horizontal="left" indent="1"/>
    </xf>
    <xf numFmtId="0" fontId="49" fillId="0" borderId="0" xfId="0" applyFont="1" applyAlignment="1">
      <alignment horizontal="left" indent="1"/>
    </xf>
    <xf numFmtId="0" fontId="50" fillId="0" borderId="0" xfId="0" applyFont="1" applyAlignment="1">
      <alignment horizontal="center"/>
    </xf>
    <xf numFmtId="2" fontId="0" fillId="0" borderId="0" xfId="2" applyNumberFormat="1" applyFont="1"/>
    <xf numFmtId="2" fontId="1" fillId="0" borderId="0" xfId="2" applyNumberFormat="1" applyFont="1"/>
    <xf numFmtId="2" fontId="44" fillId="0" borderId="0" xfId="2" applyNumberFormat="1" applyFont="1"/>
    <xf numFmtId="164" fontId="45" fillId="0" borderId="0" xfId="1" applyNumberFormat="1" applyFont="1"/>
    <xf numFmtId="164" fontId="0" fillId="0" borderId="0" xfId="2" applyNumberFormat="1" applyFont="1"/>
    <xf numFmtId="164" fontId="0" fillId="0" borderId="0" xfId="1" applyNumberFormat="1" applyFont="1"/>
    <xf numFmtId="164" fontId="0" fillId="0" borderId="0" xfId="0" applyNumberFormat="1" applyFill="1"/>
    <xf numFmtId="164" fontId="42" fillId="0" borderId="0" xfId="0" applyNumberFormat="1" applyFont="1"/>
    <xf numFmtId="164" fontId="44" fillId="0" borderId="0" xfId="0" applyNumberFormat="1" applyFont="1"/>
    <xf numFmtId="164" fontId="44" fillId="0" borderId="0" xfId="1" applyNumberFormat="1" applyFont="1"/>
    <xf numFmtId="164" fontId="42" fillId="0" borderId="0" xfId="1" applyNumberFormat="1" applyFont="1"/>
    <xf numFmtId="164" fontId="2" fillId="0" borderId="0" xfId="0" applyNumberFormat="1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2" fillId="35" borderId="0" xfId="0" applyNumberFormat="1" applyFont="1" applyFill="1" applyAlignment="1"/>
    <xf numFmtId="0" fontId="0" fillId="35" borderId="0" xfId="0" applyFill="1"/>
    <xf numFmtId="0" fontId="48" fillId="35" borderId="0" xfId="0" applyFont="1" applyFill="1" applyAlignment="1">
      <alignment horizontal="left" indent="1"/>
    </xf>
    <xf numFmtId="0" fontId="51" fillId="0" borderId="0" xfId="0" applyFont="1"/>
    <xf numFmtId="9" fontId="0" fillId="0" borderId="0" xfId="2" applyFont="1"/>
    <xf numFmtId="43" fontId="0" fillId="0" borderId="0" xfId="0" applyNumberFormat="1"/>
    <xf numFmtId="10" fontId="42" fillId="36" borderId="0" xfId="2" applyNumberFormat="1" applyFont="1" applyFill="1"/>
    <xf numFmtId="2" fontId="0" fillId="0" borderId="0" xfId="0" applyNumberFormat="1" applyFill="1"/>
    <xf numFmtId="43" fontId="0" fillId="0" borderId="0" xfId="0" applyNumberFormat="1" applyFill="1"/>
    <xf numFmtId="9" fontId="42" fillId="36" borderId="0" xfId="0" applyNumberFormat="1" applyFont="1" applyFill="1"/>
    <xf numFmtId="2" fontId="42" fillId="36" borderId="0" xfId="0" applyNumberFormat="1" applyFont="1" applyFill="1"/>
    <xf numFmtId="10" fontId="42" fillId="36" borderId="0" xfId="0" applyNumberFormat="1" applyFont="1" applyFill="1"/>
    <xf numFmtId="0" fontId="52" fillId="0" borderId="0" xfId="0" applyFont="1" applyAlignment="1">
      <alignment horizontal="left" indent="1"/>
    </xf>
    <xf numFmtId="10" fontId="0" fillId="0" borderId="0" xfId="2" applyNumberFormat="1" applyFont="1"/>
    <xf numFmtId="10" fontId="1" fillId="0" borderId="0" xfId="2" applyNumberFormat="1" applyFont="1"/>
    <xf numFmtId="2" fontId="46" fillId="0" borderId="1" xfId="0" applyNumberFormat="1" applyFont="1" applyBorder="1"/>
    <xf numFmtId="0" fontId="48" fillId="0" borderId="0" xfId="0" applyFont="1" applyAlignment="1">
      <alignment horizontal="left" wrapText="1" indent="1"/>
    </xf>
    <xf numFmtId="0" fontId="49" fillId="0" borderId="0" xfId="0" applyFont="1" applyAlignment="1">
      <alignment horizontal="left" wrapText="1" indent="1"/>
    </xf>
    <xf numFmtId="0" fontId="48" fillId="35" borderId="0" xfId="0" applyFont="1" applyFill="1" applyAlignment="1">
      <alignment horizontal="left" wrapText="1" indent="1"/>
    </xf>
  </cellXfs>
  <cellStyles count="553">
    <cellStyle name="_ALLDCF" xfId="4"/>
    <cellStyle name="_final model" xfId="5"/>
    <cellStyle name="_ITC-R" xfId="348"/>
    <cellStyle name="_QTRLY_LINKS_Usha" xfId="6"/>
    <cellStyle name="20% - Accent1 2" xfId="103"/>
    <cellStyle name="20% - Accent1 2 2" xfId="158"/>
    <cellStyle name="20% - Accent1 3" xfId="200"/>
    <cellStyle name="20% - Accent1 4" xfId="201"/>
    <cellStyle name="20% - Accent1 5" xfId="7"/>
    <cellStyle name="20% - Accent2 2" xfId="104"/>
    <cellStyle name="20% - Accent2 2 2" xfId="159"/>
    <cellStyle name="20% - Accent2 3" xfId="202"/>
    <cellStyle name="20% - Accent2 4" xfId="203"/>
    <cellStyle name="20% - Accent2 5" xfId="8"/>
    <cellStyle name="20% - Accent3 2" xfId="105"/>
    <cellStyle name="20% - Accent3 2 2" xfId="160"/>
    <cellStyle name="20% - Accent3 3" xfId="204"/>
    <cellStyle name="20% - Accent3 4" xfId="205"/>
    <cellStyle name="20% - Accent3 5" xfId="9"/>
    <cellStyle name="20% - Accent4 2" xfId="106"/>
    <cellStyle name="20% - Accent4 2 2" xfId="161"/>
    <cellStyle name="20% - Accent4 3" xfId="206"/>
    <cellStyle name="20% - Accent4 4" xfId="207"/>
    <cellStyle name="20% - Accent4 5" xfId="10"/>
    <cellStyle name="20% - Accent5 2" xfId="107"/>
    <cellStyle name="20% - Accent5 2 2" xfId="162"/>
    <cellStyle name="20% - Accent5 3" xfId="208"/>
    <cellStyle name="20% - Accent5 4" xfId="209"/>
    <cellStyle name="20% - Accent5 5" xfId="11"/>
    <cellStyle name="20% - Accent6 2" xfId="108"/>
    <cellStyle name="20% - Accent6 2 2" xfId="163"/>
    <cellStyle name="20% - Accent6 3" xfId="210"/>
    <cellStyle name="20% - Accent6 4" xfId="211"/>
    <cellStyle name="20% - Accent6 5" xfId="12"/>
    <cellStyle name="40% - Accent1 2" xfId="109"/>
    <cellStyle name="40% - Accent1 2 2" xfId="164"/>
    <cellStyle name="40% - Accent1 3" xfId="212"/>
    <cellStyle name="40% - Accent1 4" xfId="213"/>
    <cellStyle name="40% - Accent1 5" xfId="13"/>
    <cellStyle name="40% - Accent2 2" xfId="110"/>
    <cellStyle name="40% - Accent2 2 2" xfId="165"/>
    <cellStyle name="40% - Accent2 3" xfId="214"/>
    <cellStyle name="40% - Accent2 4" xfId="215"/>
    <cellStyle name="40% - Accent2 5" xfId="14"/>
    <cellStyle name="40% - Accent3 2" xfId="111"/>
    <cellStyle name="40% - Accent3 2 2" xfId="166"/>
    <cellStyle name="40% - Accent3 3" xfId="216"/>
    <cellStyle name="40% - Accent3 4" xfId="217"/>
    <cellStyle name="40% - Accent3 5" xfId="15"/>
    <cellStyle name="40% - Accent4 2" xfId="112"/>
    <cellStyle name="40% - Accent4 2 2" xfId="167"/>
    <cellStyle name="40% - Accent4 3" xfId="218"/>
    <cellStyle name="40% - Accent4 4" xfId="219"/>
    <cellStyle name="40% - Accent4 5" xfId="16"/>
    <cellStyle name="40% - Accent5 2" xfId="113"/>
    <cellStyle name="40% - Accent5 2 2" xfId="168"/>
    <cellStyle name="40% - Accent5 3" xfId="220"/>
    <cellStyle name="40% - Accent5 4" xfId="221"/>
    <cellStyle name="40% - Accent5 5" xfId="17"/>
    <cellStyle name="40% - Accent6 2" xfId="114"/>
    <cellStyle name="40% - Accent6 2 2" xfId="169"/>
    <cellStyle name="40% - Accent6 3" xfId="222"/>
    <cellStyle name="40% - Accent6 4" xfId="223"/>
    <cellStyle name="40% - Accent6 5" xfId="18"/>
    <cellStyle name="60% - Accent1 2" xfId="115"/>
    <cellStyle name="60% - Accent1 2 2" xfId="170"/>
    <cellStyle name="60% - Accent1 3" xfId="224"/>
    <cellStyle name="60% - Accent1 4" xfId="225"/>
    <cellStyle name="60% - Accent1 5" xfId="19"/>
    <cellStyle name="60% - Accent2 2" xfId="116"/>
    <cellStyle name="60% - Accent2 2 2" xfId="171"/>
    <cellStyle name="60% - Accent2 3" xfId="226"/>
    <cellStyle name="60% - Accent2 4" xfId="227"/>
    <cellStyle name="60% - Accent2 5" xfId="20"/>
    <cellStyle name="60% - Accent3 2" xfId="117"/>
    <cellStyle name="60% - Accent3 2 2" xfId="172"/>
    <cellStyle name="60% - Accent3 3" xfId="228"/>
    <cellStyle name="60% - Accent3 4" xfId="229"/>
    <cellStyle name="60% - Accent3 5" xfId="21"/>
    <cellStyle name="60% - Accent4 2" xfId="118"/>
    <cellStyle name="60% - Accent4 2 2" xfId="173"/>
    <cellStyle name="60% - Accent4 3" xfId="230"/>
    <cellStyle name="60% - Accent4 4" xfId="231"/>
    <cellStyle name="60% - Accent4 5" xfId="22"/>
    <cellStyle name="60% - Accent5 2" xfId="119"/>
    <cellStyle name="60% - Accent5 2 2" xfId="174"/>
    <cellStyle name="60% - Accent5 3" xfId="232"/>
    <cellStyle name="60% - Accent5 4" xfId="233"/>
    <cellStyle name="60% - Accent5 5" xfId="23"/>
    <cellStyle name="60% - Accent6 2" xfId="120"/>
    <cellStyle name="60% - Accent6 2 2" xfId="175"/>
    <cellStyle name="60% - Accent6 3" xfId="234"/>
    <cellStyle name="60% - Accent6 4" xfId="235"/>
    <cellStyle name="60% - Accent6 5" xfId="24"/>
    <cellStyle name="Accent1 2" xfId="121"/>
    <cellStyle name="Accent1 2 2" xfId="176"/>
    <cellStyle name="Accent1 3" xfId="236"/>
    <cellStyle name="Accent1 4" xfId="237"/>
    <cellStyle name="Accent1 5" xfId="25"/>
    <cellStyle name="Accent2 2" xfId="122"/>
    <cellStyle name="Accent2 2 2" xfId="177"/>
    <cellStyle name="Accent2 3" xfId="238"/>
    <cellStyle name="Accent2 4" xfId="239"/>
    <cellStyle name="Accent2 5" xfId="26"/>
    <cellStyle name="Accent3 2" xfId="123"/>
    <cellStyle name="Accent3 2 2" xfId="178"/>
    <cellStyle name="Accent3 3" xfId="240"/>
    <cellStyle name="Accent3 4" xfId="241"/>
    <cellStyle name="Accent3 5" xfId="27"/>
    <cellStyle name="Accent4 2" xfId="124"/>
    <cellStyle name="Accent4 2 2" xfId="179"/>
    <cellStyle name="Accent4 3" xfId="242"/>
    <cellStyle name="Accent4 4" xfId="243"/>
    <cellStyle name="Accent4 5" xfId="28"/>
    <cellStyle name="Accent5 2" xfId="125"/>
    <cellStyle name="Accent5 2 2" xfId="180"/>
    <cellStyle name="Accent5 3" xfId="244"/>
    <cellStyle name="Accent5 4" xfId="245"/>
    <cellStyle name="Accent5 5" xfId="29"/>
    <cellStyle name="Accent6 2" xfId="126"/>
    <cellStyle name="Accent6 2 2" xfId="181"/>
    <cellStyle name="Accent6 3" xfId="246"/>
    <cellStyle name="Accent6 4" xfId="247"/>
    <cellStyle name="Accent6 5" xfId="30"/>
    <cellStyle name="Bad 2" xfId="127"/>
    <cellStyle name="Bad 2 2" xfId="182"/>
    <cellStyle name="Bad 3" xfId="248"/>
    <cellStyle name="Bad 4" xfId="249"/>
    <cellStyle name="Bad 5" xfId="31"/>
    <cellStyle name="Calc_0dp" xfId="32"/>
    <cellStyle name="Calculation 2" xfId="128"/>
    <cellStyle name="Calculation 2 2" xfId="183"/>
    <cellStyle name="Calculation 2 2 2" xfId="505"/>
    <cellStyle name="Calculation 3" xfId="250"/>
    <cellStyle name="Calculation 3 2" xfId="506"/>
    <cellStyle name="Calculation 4" xfId="251"/>
    <cellStyle name="Calculation 5" xfId="33"/>
    <cellStyle name="Check Cell 2" xfId="129"/>
    <cellStyle name="Check Cell 2 2" xfId="184"/>
    <cellStyle name="Check Cell 3" xfId="252"/>
    <cellStyle name="Check Cell 4" xfId="253"/>
    <cellStyle name="Check Cell 5" xfId="34"/>
    <cellStyle name="Comma" xfId="1" builtinId="3"/>
    <cellStyle name="Comma 2" xfId="36"/>
    <cellStyle name="Comma 2 10" xfId="254"/>
    <cellStyle name="Comma 2 2" xfId="130"/>
    <cellStyle name="Comma 2 3" xfId="255"/>
    <cellStyle name="Comma 2 4" xfId="256"/>
    <cellStyle name="Comma 2 5" xfId="257"/>
    <cellStyle name="Comma 2 6" xfId="258"/>
    <cellStyle name="Comma 2 7" xfId="259"/>
    <cellStyle name="Comma 2 8" xfId="260"/>
    <cellStyle name="Comma 2 9" xfId="261"/>
    <cellStyle name="Comma 3" xfId="84"/>
    <cellStyle name="Comma 3 2" xfId="151"/>
    <cellStyle name="Comma 3 2 2" xfId="349"/>
    <cellStyle name="Comma 3 2 3" xfId="350"/>
    <cellStyle name="Comma 3 3" xfId="155"/>
    <cellStyle name="Comma 3 3 2" xfId="351"/>
    <cellStyle name="Comma 3 3 3" xfId="352"/>
    <cellStyle name="Comma 3 4" xfId="262"/>
    <cellStyle name="Comma 3 4 2" xfId="353"/>
    <cellStyle name="Comma 3 4 3" xfId="354"/>
    <cellStyle name="Comma 3 5" xfId="355"/>
    <cellStyle name="Comma 3 6" xfId="356"/>
    <cellStyle name="Comma 3 7" xfId="357"/>
    <cellStyle name="Comma 3 8" xfId="358"/>
    <cellStyle name="Comma 4" xfId="359"/>
    <cellStyle name="Comma 5" xfId="507"/>
    <cellStyle name="Comma 6" xfId="35"/>
    <cellStyle name="Comma 7" xfId="552"/>
    <cellStyle name="Custom - Style8" xfId="37"/>
    <cellStyle name="Data   - Style2" xfId="38"/>
    <cellStyle name="Data   - Style2 2" xfId="263"/>
    <cellStyle name="Data_0dp" xfId="39"/>
    <cellStyle name="Derive" xfId="40"/>
    <cellStyle name="Derive 10" xfId="264"/>
    <cellStyle name="Derive 11" xfId="360"/>
    <cellStyle name="Derive 2" xfId="131"/>
    <cellStyle name="Derive 3" xfId="132"/>
    <cellStyle name="Derive 4" xfId="265"/>
    <cellStyle name="Derive 5" xfId="266"/>
    <cellStyle name="Derive 6" xfId="267"/>
    <cellStyle name="Derive 7" xfId="268"/>
    <cellStyle name="Derive 8" xfId="269"/>
    <cellStyle name="Derive 9" xfId="270"/>
    <cellStyle name="essay" xfId="41"/>
    <cellStyle name="essay - Style1" xfId="42"/>
    <cellStyle name="Explanatory Text 2" xfId="133"/>
    <cellStyle name="Explanatory Text 2 2" xfId="185"/>
    <cellStyle name="Explanatory Text 3" xfId="271"/>
    <cellStyle name="Explanatory Text 4" xfId="272"/>
    <cellStyle name="Explanatory Text 5" xfId="43"/>
    <cellStyle name="Good 2" xfId="134"/>
    <cellStyle name="Good 2 2" xfId="186"/>
    <cellStyle name="Good 3" xfId="273"/>
    <cellStyle name="Good 4" xfId="274"/>
    <cellStyle name="Good 5" xfId="44"/>
    <cellStyle name="Head - Style2" xfId="45"/>
    <cellStyle name="headin - Style2" xfId="46"/>
    <cellStyle name="heading" xfId="47"/>
    <cellStyle name="Heading 1 2" xfId="135"/>
    <cellStyle name="Heading 1 2 2" xfId="187"/>
    <cellStyle name="Heading 1 3" xfId="275"/>
    <cellStyle name="Heading 1 4" xfId="276"/>
    <cellStyle name="Heading 1 5" xfId="48"/>
    <cellStyle name="Heading 2 2" xfId="136"/>
    <cellStyle name="Heading 2 2 2" xfId="188"/>
    <cellStyle name="Heading 2 3" xfId="277"/>
    <cellStyle name="Heading 2 4" xfId="278"/>
    <cellStyle name="Heading 2 5" xfId="49"/>
    <cellStyle name="Heading 3 2" xfId="137"/>
    <cellStyle name="Heading 3 2 2" xfId="189"/>
    <cellStyle name="Heading 3 3" xfId="279"/>
    <cellStyle name="Heading 3 4" xfId="280"/>
    <cellStyle name="Heading 3 5" xfId="50"/>
    <cellStyle name="Heading 4 2" xfId="138"/>
    <cellStyle name="Heading 4 2 2" xfId="190"/>
    <cellStyle name="Heading 4 3" xfId="281"/>
    <cellStyle name="Heading 4 4" xfId="282"/>
    <cellStyle name="Heading 4 5" xfId="51"/>
    <cellStyle name="Hyperlink 2" xfId="361"/>
    <cellStyle name="Hyperlink_sample" xfId="52"/>
    <cellStyle name="Info_Main" xfId="53"/>
    <cellStyle name="Input 2" xfId="139"/>
    <cellStyle name="Input 2 2" xfId="191"/>
    <cellStyle name="Input 2 2 2" xfId="508"/>
    <cellStyle name="Input 3" xfId="283"/>
    <cellStyle name="Input 3 2" xfId="509"/>
    <cellStyle name="Input 4" xfId="284"/>
    <cellStyle name="Input 5" xfId="54"/>
    <cellStyle name="Labels - Style3" xfId="55"/>
    <cellStyle name="Labels - Style3 2" xfId="285"/>
    <cellStyle name="Linked Cell 2" xfId="140"/>
    <cellStyle name="Linked Cell 2 2" xfId="192"/>
    <cellStyle name="Linked Cell 3" xfId="286"/>
    <cellStyle name="Linked Cell 4" xfId="287"/>
    <cellStyle name="Linked Cell 5" xfId="56"/>
    <cellStyle name="Neutral 2" xfId="141"/>
    <cellStyle name="Neutral 2 2" xfId="193"/>
    <cellStyle name="Neutral 3" xfId="288"/>
    <cellStyle name="Neutral 4" xfId="289"/>
    <cellStyle name="Neutral 5" xfId="57"/>
    <cellStyle name="new font" xfId="58"/>
    <cellStyle name="Normal" xfId="0" builtinId="0"/>
    <cellStyle name="Normal - Style1" xfId="59"/>
    <cellStyle name="Normal 10" xfId="86"/>
    <cellStyle name="Normal 10 2" xfId="199"/>
    <cellStyle name="Normal 10 2 2" xfId="504"/>
    <cellStyle name="Normal 10 3" xfId="510"/>
    <cellStyle name="Normal 11" xfId="87"/>
    <cellStyle name="Normal 12" xfId="88"/>
    <cellStyle name="Normal 13" xfId="89"/>
    <cellStyle name="Normal 13 2" xfId="152"/>
    <cellStyle name="Normal 13 2 2" xfId="362"/>
    <cellStyle name="Normal 13 2 3" xfId="363"/>
    <cellStyle name="Normal 13 3" xfId="156"/>
    <cellStyle name="Normal 13 3 2" xfId="364"/>
    <cellStyle name="Normal 13 3 3" xfId="365"/>
    <cellStyle name="Normal 13 4" xfId="290"/>
    <cellStyle name="Normal 13 4 2" xfId="366"/>
    <cellStyle name="Normal 13 4 3" xfId="367"/>
    <cellStyle name="Normal 13 5" xfId="368"/>
    <cellStyle name="Normal 14" xfId="90"/>
    <cellStyle name="Normal 14 2" xfId="291"/>
    <cellStyle name="Normal 14 3" xfId="292"/>
    <cellStyle name="Normal 15" xfId="92"/>
    <cellStyle name="Normal 15 2" xfId="293"/>
    <cellStyle name="Normal 15 3" xfId="294"/>
    <cellStyle name="Normal 16" xfId="91"/>
    <cellStyle name="Normal 16 2" xfId="295"/>
    <cellStyle name="Normal 16 3" xfId="296"/>
    <cellStyle name="Normal 16 4" xfId="297"/>
    <cellStyle name="Normal 17" xfId="93"/>
    <cellStyle name="Normal 17 2" xfId="369"/>
    <cellStyle name="Normal 17 3" xfId="370"/>
    <cellStyle name="Normal 17 4" xfId="371"/>
    <cellStyle name="Normal 17 5" xfId="372"/>
    <cellStyle name="Normal 18" xfId="94"/>
    <cellStyle name="Normal 18 2" xfId="373"/>
    <cellStyle name="Normal 18 3" xfId="374"/>
    <cellStyle name="Normal 18 4" xfId="375"/>
    <cellStyle name="Normal 19" xfId="101"/>
    <cellStyle name="Normal 19 2" xfId="376"/>
    <cellStyle name="Normal 19 3" xfId="377"/>
    <cellStyle name="Normal 19 4" xfId="378"/>
    <cellStyle name="Normal 2" xfId="60"/>
    <cellStyle name="Normal 2 10" xfId="379"/>
    <cellStyle name="Normal 2 2" xfId="142"/>
    <cellStyle name="Normal 2 2 2" xfId="298"/>
    <cellStyle name="Normal 2 2 3" xfId="299"/>
    <cellStyle name="Normal 2 2 4" xfId="300"/>
    <cellStyle name="Normal 2 2 5" xfId="301"/>
    <cellStyle name="Normal 2 2 6" xfId="302"/>
    <cellStyle name="Normal 2 2 7" xfId="303"/>
    <cellStyle name="Normal 2 3" xfId="304"/>
    <cellStyle name="Normal 2 3 2" xfId="380"/>
    <cellStyle name="Normal 2 3 3" xfId="381"/>
    <cellStyle name="Normal 2 3 4" xfId="382"/>
    <cellStyle name="Normal 2 4" xfId="383"/>
    <cellStyle name="Normal 2 5" xfId="384"/>
    <cellStyle name="Normal 2 6" xfId="385"/>
    <cellStyle name="Normal 2 7" xfId="386"/>
    <cellStyle name="Normal 2 8" xfId="387"/>
    <cellStyle name="Normal 2 9" xfId="388"/>
    <cellStyle name="Normal 20" xfId="95"/>
    <cellStyle name="Normal 20 2" xfId="389"/>
    <cellStyle name="Normal 20 3" xfId="390"/>
    <cellStyle name="Normal 20 4" xfId="391"/>
    <cellStyle name="Normal 21" xfId="96"/>
    <cellStyle name="Normal 21 2" xfId="392"/>
    <cellStyle name="Normal 21 3" xfId="393"/>
    <cellStyle name="Normal 21 4" xfId="394"/>
    <cellStyle name="Normal 22" xfId="97"/>
    <cellStyle name="Normal 22 2" xfId="395"/>
    <cellStyle name="Normal 22 3" xfId="396"/>
    <cellStyle name="Normal 22 4" xfId="397"/>
    <cellStyle name="Normal 23" xfId="98"/>
    <cellStyle name="Normal 23 2" xfId="398"/>
    <cellStyle name="Normal 23 3" xfId="399"/>
    <cellStyle name="Normal 23 4" xfId="400"/>
    <cellStyle name="Normal 24" xfId="99"/>
    <cellStyle name="Normal 24 2" xfId="401"/>
    <cellStyle name="Normal 24 3" xfId="402"/>
    <cellStyle name="Normal 24 4" xfId="403"/>
    <cellStyle name="Normal 25" xfId="100"/>
    <cellStyle name="Normal 25 2" xfId="404"/>
    <cellStyle name="Normal 25 3" xfId="405"/>
    <cellStyle name="Normal 25 4" xfId="406"/>
    <cellStyle name="Normal 26" xfId="102"/>
    <cellStyle name="Normal 26 2" xfId="157"/>
    <cellStyle name="Normal 26 3" xfId="407"/>
    <cellStyle name="Normal 26 4" xfId="408"/>
    <cellStyle name="Normal 27" xfId="148"/>
    <cellStyle name="Normal 27 2" xfId="409"/>
    <cellStyle name="Normal 27 3" xfId="410"/>
    <cellStyle name="Normal 27 4" xfId="411"/>
    <cellStyle name="Normal 28" xfId="305"/>
    <cellStyle name="Normal 28 2" xfId="412"/>
    <cellStyle name="Normal 28 3" xfId="413"/>
    <cellStyle name="Normal 28 4" xfId="414"/>
    <cellStyle name="Normal 29" xfId="306"/>
    <cellStyle name="Normal 29 2" xfId="415"/>
    <cellStyle name="Normal 29 3" xfId="416"/>
    <cellStyle name="Normal 29 4" xfId="417"/>
    <cellStyle name="Normal 3" xfId="61"/>
    <cellStyle name="Normal 3 2" xfId="418"/>
    <cellStyle name="Normal 3 3" xfId="419"/>
    <cellStyle name="Normal 3 4" xfId="420"/>
    <cellStyle name="Normal 3 5" xfId="421"/>
    <cellStyle name="Normal 3 6" xfId="422"/>
    <cellStyle name="Normal 3 7" xfId="423"/>
    <cellStyle name="Normal 3 8" xfId="424"/>
    <cellStyle name="Normal 3 9" xfId="425"/>
    <cellStyle name="Normal 30" xfId="307"/>
    <cellStyle name="Normal 30 2" xfId="426"/>
    <cellStyle name="Normal 30 3" xfId="427"/>
    <cellStyle name="Normal 30 4" xfId="428"/>
    <cellStyle name="Normal 31" xfId="308"/>
    <cellStyle name="Normal 31 2" xfId="429"/>
    <cellStyle name="Normal 31 3" xfId="430"/>
    <cellStyle name="Normal 31 4" xfId="431"/>
    <cellStyle name="Normal 32" xfId="309"/>
    <cellStyle name="Normal 32 2" xfId="432"/>
    <cellStyle name="Normal 32 3" xfId="433"/>
    <cellStyle name="Normal 32 4" xfId="434"/>
    <cellStyle name="Normal 33" xfId="310"/>
    <cellStyle name="Normal 34" xfId="311"/>
    <cellStyle name="Normal 35" xfId="312"/>
    <cellStyle name="Normal 36" xfId="313"/>
    <cellStyle name="Normal 37" xfId="314"/>
    <cellStyle name="Normal 38" xfId="315"/>
    <cellStyle name="Normal 39" xfId="316"/>
    <cellStyle name="Normal 4" xfId="79"/>
    <cellStyle name="Normal 4 2" xfId="435"/>
    <cellStyle name="Normal 4 3" xfId="436"/>
    <cellStyle name="Normal 4 4" xfId="437"/>
    <cellStyle name="Normal 4 5" xfId="438"/>
    <cellStyle name="Normal 4 6" xfId="439"/>
    <cellStyle name="Normal 4 7" xfId="440"/>
    <cellStyle name="Normal 4 8" xfId="441"/>
    <cellStyle name="Normal 4 9" xfId="442"/>
    <cellStyle name="Normal 40" xfId="339"/>
    <cellStyle name="Normal 41" xfId="340"/>
    <cellStyle name="Normal 42" xfId="341"/>
    <cellStyle name="Normal 43" xfId="345"/>
    <cellStyle name="Normal 44" xfId="342"/>
    <cellStyle name="Normal 44 2" xfId="511"/>
    <cellStyle name="Normal 45" xfId="343"/>
    <cellStyle name="Normal 46" xfId="344"/>
    <cellStyle name="Normal 47" xfId="346"/>
    <cellStyle name="Normal 48" xfId="347"/>
    <cellStyle name="Normal 49" xfId="443"/>
    <cellStyle name="Normal 5" xfId="80"/>
    <cellStyle name="Normal 5 2" xfId="444"/>
    <cellStyle name="Normal 5 3" xfId="445"/>
    <cellStyle name="Normal 5 4" xfId="446"/>
    <cellStyle name="Normal 5 5" xfId="447"/>
    <cellStyle name="Normal 5 6" xfId="448"/>
    <cellStyle name="Normal 5 7" xfId="449"/>
    <cellStyle name="Normal 5 8" xfId="450"/>
    <cellStyle name="Normal 5 9" xfId="451"/>
    <cellStyle name="Normal 50" xfId="452"/>
    <cellStyle name="Normal 51" xfId="453"/>
    <cellStyle name="Normal 52" xfId="454"/>
    <cellStyle name="Normal 53" xfId="455"/>
    <cellStyle name="Normal 53 2" xfId="547"/>
    <cellStyle name="Normal 54" xfId="456"/>
    <cellStyle name="Normal 55" xfId="457"/>
    <cellStyle name="Normal 56" xfId="458"/>
    <cellStyle name="Normal 57" xfId="459"/>
    <cellStyle name="Normal 58" xfId="460"/>
    <cellStyle name="Normal 59" xfId="461"/>
    <cellStyle name="Normal 6" xfId="81"/>
    <cellStyle name="Normal 6 2" xfId="462"/>
    <cellStyle name="Normal 6 3" xfId="463"/>
    <cellStyle name="Normal 6 4" xfId="464"/>
    <cellStyle name="Normal 6 5" xfId="465"/>
    <cellStyle name="Normal 6 6" xfId="466"/>
    <cellStyle name="Normal 6 7" xfId="467"/>
    <cellStyle name="Normal 6 8" xfId="468"/>
    <cellStyle name="Normal 6 9" xfId="469"/>
    <cellStyle name="Normal 60" xfId="499"/>
    <cellStyle name="Normal 61" xfId="500"/>
    <cellStyle name="Normal 62" xfId="501"/>
    <cellStyle name="Normal 63" xfId="502"/>
    <cellStyle name="Normal 64" xfId="503"/>
    <cellStyle name="Normal 65" xfId="512"/>
    <cellStyle name="Normal 66" xfId="513"/>
    <cellStyle name="Normal 67" xfId="514"/>
    <cellStyle name="Normal 68" xfId="515"/>
    <cellStyle name="Normal 69" xfId="516"/>
    <cellStyle name="Normal 7" xfId="82"/>
    <cellStyle name="Normal 7 2" xfId="470"/>
    <cellStyle name="Normal 7 3" xfId="471"/>
    <cellStyle name="Normal 7 4" xfId="472"/>
    <cellStyle name="Normal 7 5" xfId="473"/>
    <cellStyle name="Normal 7 6" xfId="474"/>
    <cellStyle name="Normal 7 7" xfId="475"/>
    <cellStyle name="Normal 7 8" xfId="476"/>
    <cellStyle name="Normal 7 9" xfId="477"/>
    <cellStyle name="Normal 70" xfId="517"/>
    <cellStyle name="Normal 71" xfId="518"/>
    <cellStyle name="Normal 72" xfId="519"/>
    <cellStyle name="Normal 73" xfId="520"/>
    <cellStyle name="Normal 74" xfId="521"/>
    <cellStyle name="Normal 75" xfId="522"/>
    <cellStyle name="Normal 76" xfId="523"/>
    <cellStyle name="Normal 77" xfId="524"/>
    <cellStyle name="Normal 78" xfId="537"/>
    <cellStyle name="Normal 79" xfId="538"/>
    <cellStyle name="Normal 8" xfId="83"/>
    <cellStyle name="Normal 8 2" xfId="150"/>
    <cellStyle name="Normal 8 2 2" xfId="478"/>
    <cellStyle name="Normal 8 2 2 2" xfId="525"/>
    <cellStyle name="Normal 8 2 3" xfId="479"/>
    <cellStyle name="Normal 8 2 4" xfId="480"/>
    <cellStyle name="Normal 8 2 5" xfId="481"/>
    <cellStyle name="Normal 8 3" xfId="154"/>
    <cellStyle name="Normal 8 3 2" xfId="482"/>
    <cellStyle name="Normal 8 3 3" xfId="483"/>
    <cellStyle name="Normal 8 4" xfId="317"/>
    <cellStyle name="Normal 8 4 2" xfId="484"/>
    <cellStyle name="Normal 8 4 3" xfId="485"/>
    <cellStyle name="Normal 8 5" xfId="486"/>
    <cellStyle name="Normal 8 6" xfId="487"/>
    <cellStyle name="Normal 8 7" xfId="488"/>
    <cellStyle name="Normal 8 8" xfId="489"/>
    <cellStyle name="Normal 80" xfId="539"/>
    <cellStyle name="Normal 81" xfId="540"/>
    <cellStyle name="Normal 82" xfId="541"/>
    <cellStyle name="Normal 83" xfId="542"/>
    <cellStyle name="Normal 84" xfId="543"/>
    <cellStyle name="Normal 85" xfId="544"/>
    <cellStyle name="Normal 86" xfId="545"/>
    <cellStyle name="Normal 87" xfId="546"/>
    <cellStyle name="Normal 88" xfId="548"/>
    <cellStyle name="Normal 89" xfId="549"/>
    <cellStyle name="Normal 9" xfId="85"/>
    <cellStyle name="Normal 90" xfId="550"/>
    <cellStyle name="Normal 91" xfId="551"/>
    <cellStyle name="Normal 92" xfId="3"/>
    <cellStyle name="Note 2" xfId="143"/>
    <cellStyle name="Note 2 2" xfId="194"/>
    <cellStyle name="Note 2 2 2" xfId="526"/>
    <cellStyle name="Note 2 3" xfId="527"/>
    <cellStyle name="Note 3" xfId="318"/>
    <cellStyle name="Note 3 2" xfId="528"/>
    <cellStyle name="Note 4" xfId="319"/>
    <cellStyle name="Note 5" xfId="62"/>
    <cellStyle name="Output 2" xfId="144"/>
    <cellStyle name="Output 2 2" xfId="195"/>
    <cellStyle name="Output 2 2 2" xfId="529"/>
    <cellStyle name="Output 2 3" xfId="530"/>
    <cellStyle name="Output 3" xfId="320"/>
    <cellStyle name="Output 3 2" xfId="531"/>
    <cellStyle name="Output 4" xfId="321"/>
    <cellStyle name="Output 5" xfId="63"/>
    <cellStyle name="Percent" xfId="2" builtinId="5"/>
    <cellStyle name="Percent 2" xfId="322"/>
    <cellStyle name="Percent 2 2" xfId="323"/>
    <cellStyle name="Percent 2 2 2" xfId="532"/>
    <cellStyle name="Percent 2 3" xfId="324"/>
    <cellStyle name="Percent 2 4" xfId="490"/>
    <cellStyle name="Percent 2 5" xfId="491"/>
    <cellStyle name="Percent 2 6" xfId="492"/>
    <cellStyle name="Percent 3" xfId="493"/>
    <cellStyle name="Percent 4" xfId="533"/>
    <cellStyle name="Percent 5" xfId="64"/>
    <cellStyle name="Reset  - Style7" xfId="65"/>
    <cellStyle name="Shade" xfId="66"/>
    <cellStyle name="Style 1" xfId="67"/>
    <cellStyle name="Style 1 10" xfId="325"/>
    <cellStyle name="Style 1 11" xfId="494"/>
    <cellStyle name="Style 1 2" xfId="145"/>
    <cellStyle name="Style 1 3" xfId="153"/>
    <cellStyle name="Style 1 4" xfId="326"/>
    <cellStyle name="Style 1 5" xfId="327"/>
    <cellStyle name="Style 1 6" xfId="328"/>
    <cellStyle name="Style 1 7" xfId="329"/>
    <cellStyle name="Style 1 8" xfId="330"/>
    <cellStyle name="Style 1 9" xfId="331"/>
    <cellStyle name="Sub - Style3" xfId="68"/>
    <cellStyle name="Synopsis" xfId="69"/>
    <cellStyle name="Table  - Style6" xfId="70"/>
    <cellStyle name="Table  - Style6 2" xfId="332"/>
    <cellStyle name="Title  - Style1" xfId="72"/>
    <cellStyle name="Title 2" xfId="146"/>
    <cellStyle name="Title 2 2" xfId="196"/>
    <cellStyle name="Title 2 3" xfId="495"/>
    <cellStyle name="Title 2 4" xfId="496"/>
    <cellStyle name="Title 2 5" xfId="497"/>
    <cellStyle name="Title 2 6" xfId="498"/>
    <cellStyle name="Title 3" xfId="333"/>
    <cellStyle name="Title 4" xfId="71"/>
    <cellStyle name="Total 2" xfId="147"/>
    <cellStyle name="Total 2 2" xfId="197"/>
    <cellStyle name="Total 2 2 2" xfId="534"/>
    <cellStyle name="Total 2 3" xfId="535"/>
    <cellStyle name="Total 3" xfId="334"/>
    <cellStyle name="Total 3 2" xfId="536"/>
    <cellStyle name="Total 4" xfId="335"/>
    <cellStyle name="Total 5" xfId="73"/>
    <cellStyle name="TotCol - Style5" xfId="74"/>
    <cellStyle name="TotRow - Style4" xfId="75"/>
    <cellStyle name="TotRow - Style4 2" xfId="336"/>
    <cellStyle name="Use_1dp" xfId="76"/>
    <cellStyle name="UseB_1dp" xfId="77"/>
    <cellStyle name="Warning Text 2" xfId="149"/>
    <cellStyle name="Warning Text 2 2" xfId="198"/>
    <cellStyle name="Warning Text 3" xfId="337"/>
    <cellStyle name="Warning Text 4" xfId="338"/>
    <cellStyle name="Warning Text 5" xfId="78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03"/>
  <sheetViews>
    <sheetView tabSelected="1" workbookViewId="0">
      <pane xSplit="2" ySplit="6" topLeftCell="E88" activePane="bottomRight" state="frozen"/>
      <selection pane="topRight" activeCell="C1" sqref="C1"/>
      <selection pane="bottomLeft" activeCell="A7" sqref="A7"/>
      <selection pane="bottomRight" activeCell="M88" sqref="M88"/>
    </sheetView>
  </sheetViews>
  <sheetFormatPr defaultRowHeight="14.5" x14ac:dyDescent="0.35"/>
  <cols>
    <col min="1" max="1" width="2.7265625" customWidth="1"/>
    <col min="2" max="2" width="36.453125" bestFit="1" customWidth="1"/>
    <col min="3" max="8" width="10.1796875" customWidth="1"/>
    <col min="9" max="11" width="10.1796875" hidden="1" customWidth="1"/>
    <col min="12" max="12" width="30.7265625" style="56" customWidth="1"/>
  </cols>
  <sheetData>
    <row r="1" spans="2:16" x14ac:dyDescent="0.35">
      <c r="B1" t="s">
        <v>51</v>
      </c>
      <c r="C1" s="38" t="s">
        <v>55</v>
      </c>
      <c r="E1" t="s">
        <v>201</v>
      </c>
    </row>
    <row r="2" spans="2:16" x14ac:dyDescent="0.35">
      <c r="B2" t="s">
        <v>52</v>
      </c>
      <c r="C2" s="39">
        <v>926</v>
      </c>
      <c r="E2" t="s">
        <v>202</v>
      </c>
    </row>
    <row r="3" spans="2:16" x14ac:dyDescent="0.35">
      <c r="B3" t="s">
        <v>53</v>
      </c>
      <c r="C3" s="39">
        <f>H86/10</f>
        <v>4.0449999999999999</v>
      </c>
      <c r="E3" t="s">
        <v>204</v>
      </c>
    </row>
    <row r="4" spans="2:16" x14ac:dyDescent="0.35">
      <c r="B4" t="s">
        <v>54</v>
      </c>
      <c r="C4" s="39">
        <f>C3*C2</f>
        <v>3745.67</v>
      </c>
      <c r="E4" t="s">
        <v>203</v>
      </c>
    </row>
    <row r="5" spans="2:16" x14ac:dyDescent="0.35">
      <c r="C5" s="25" t="s">
        <v>82</v>
      </c>
      <c r="D5" s="25" t="s">
        <v>82</v>
      </c>
      <c r="H5" s="25" t="s">
        <v>199</v>
      </c>
      <c r="I5" s="25" t="s">
        <v>200</v>
      </c>
      <c r="J5" s="25" t="s">
        <v>200</v>
      </c>
      <c r="K5" s="25" t="s">
        <v>200</v>
      </c>
      <c r="M5" s="25" t="s">
        <v>200</v>
      </c>
      <c r="N5" s="25" t="s">
        <v>200</v>
      </c>
      <c r="O5" s="25" t="s">
        <v>200</v>
      </c>
      <c r="P5" s="23"/>
    </row>
    <row r="6" spans="2:16" x14ac:dyDescent="0.35">
      <c r="B6" s="20" t="s">
        <v>10</v>
      </c>
      <c r="C6" s="6">
        <v>42094</v>
      </c>
      <c r="D6" s="6">
        <v>42460</v>
      </c>
      <c r="E6" s="6">
        <v>42825</v>
      </c>
      <c r="F6" s="6">
        <v>43190</v>
      </c>
      <c r="G6" s="6">
        <v>43555</v>
      </c>
      <c r="H6" s="7">
        <v>43921</v>
      </c>
      <c r="I6" s="8">
        <v>44286</v>
      </c>
      <c r="J6" s="8">
        <v>44651</v>
      </c>
      <c r="K6" s="8">
        <v>45016</v>
      </c>
      <c r="M6" s="8">
        <v>44286</v>
      </c>
      <c r="N6" s="8">
        <v>44651</v>
      </c>
      <c r="O6" s="8">
        <v>45016</v>
      </c>
      <c r="P6" s="23"/>
    </row>
    <row r="7" spans="2:16" x14ac:dyDescent="0.35">
      <c r="B7" s="1" t="s">
        <v>11</v>
      </c>
      <c r="P7" s="23"/>
    </row>
    <row r="8" spans="2:16" ht="29" x14ac:dyDescent="0.35">
      <c r="B8" t="s">
        <v>0</v>
      </c>
      <c r="C8" s="13">
        <v>6393.88</v>
      </c>
      <c r="D8" s="13">
        <v>6145.92</v>
      </c>
      <c r="E8" s="13">
        <v>6441.3</v>
      </c>
      <c r="F8" s="13">
        <v>6452.33</v>
      </c>
      <c r="G8" s="13">
        <v>6984.51</v>
      </c>
      <c r="H8" s="13">
        <v>6778.83</v>
      </c>
      <c r="L8" s="56" t="s">
        <v>94</v>
      </c>
      <c r="M8" s="12">
        <f>M10+M9</f>
        <v>7260.1269300000013</v>
      </c>
      <c r="N8" s="12">
        <f t="shared" ref="N8:O8" si="0">N10+N9</f>
        <v>7775.5959420300014</v>
      </c>
      <c r="O8" s="12">
        <f t="shared" si="0"/>
        <v>8327.6632539141319</v>
      </c>
      <c r="P8" s="23" t="s">
        <v>249</v>
      </c>
    </row>
    <row r="9" spans="2:16" x14ac:dyDescent="0.35">
      <c r="B9" t="s">
        <v>1</v>
      </c>
      <c r="C9" s="13">
        <v>591.5</v>
      </c>
      <c r="D9" s="13">
        <v>663.67</v>
      </c>
      <c r="E9" s="13">
        <v>674.79</v>
      </c>
      <c r="F9" s="13">
        <v>168.91</v>
      </c>
      <c r="G9" s="13">
        <v>0</v>
      </c>
      <c r="H9" s="13">
        <v>0</v>
      </c>
      <c r="L9" s="56" t="s">
        <v>87</v>
      </c>
      <c r="M9" s="50">
        <v>0</v>
      </c>
      <c r="N9" s="50">
        <v>0</v>
      </c>
      <c r="O9" s="50">
        <v>0</v>
      </c>
      <c r="P9" s="23"/>
    </row>
    <row r="10" spans="2:16" s="1" customFormat="1" x14ac:dyDescent="0.35">
      <c r="B10" s="1" t="s">
        <v>2</v>
      </c>
      <c r="C10" s="11">
        <f t="shared" ref="C10:G10" si="1">C8-C9</f>
        <v>5802.38</v>
      </c>
      <c r="D10" s="11">
        <f t="shared" si="1"/>
        <v>5482.25</v>
      </c>
      <c r="E10" s="11">
        <f t="shared" si="1"/>
        <v>5766.51</v>
      </c>
      <c r="F10" s="11">
        <f t="shared" si="1"/>
        <v>6283.42</v>
      </c>
      <c r="G10" s="11">
        <f t="shared" si="1"/>
        <v>6984.51</v>
      </c>
      <c r="H10" s="11">
        <f>H8-H9</f>
        <v>6778.83</v>
      </c>
      <c r="L10" s="56" t="s">
        <v>207</v>
      </c>
      <c r="M10" s="11">
        <f>Working!M7</f>
        <v>7260.1269300000013</v>
      </c>
      <c r="N10" s="11">
        <f>Working!N7</f>
        <v>7775.5959420300014</v>
      </c>
      <c r="O10" s="11">
        <f>Working!O7</f>
        <v>8327.6632539141319</v>
      </c>
      <c r="P10" s="23" t="s">
        <v>250</v>
      </c>
    </row>
    <row r="11" spans="2:16" s="1" customFormat="1" x14ac:dyDescent="0.35">
      <c r="B11" s="1" t="s">
        <v>57</v>
      </c>
      <c r="C11" s="11"/>
      <c r="D11" s="11"/>
      <c r="E11" s="11"/>
      <c r="F11" s="11"/>
      <c r="G11" s="11"/>
      <c r="H11" s="11"/>
      <c r="L11" s="57"/>
      <c r="P11" s="24"/>
    </row>
    <row r="12" spans="2:16" x14ac:dyDescent="0.35">
      <c r="C12" s="12"/>
      <c r="D12" s="12"/>
      <c r="E12" s="12"/>
      <c r="F12" s="12"/>
      <c r="G12" s="12"/>
      <c r="H12" s="12"/>
      <c r="P12" s="23"/>
    </row>
    <row r="13" spans="2:16" x14ac:dyDescent="0.35">
      <c r="B13" t="s">
        <v>64</v>
      </c>
      <c r="C13" s="13">
        <v>3476.94</v>
      </c>
      <c r="D13" s="13">
        <v>3102.24</v>
      </c>
      <c r="E13" s="13">
        <v>3475.26</v>
      </c>
      <c r="F13" s="13">
        <f>3652.14+71.12</f>
        <v>3723.2599999999998</v>
      </c>
      <c r="G13" s="13">
        <f>4305.49+75.79</f>
        <v>4381.28</v>
      </c>
      <c r="H13" s="13">
        <f>3872.96+35.83</f>
        <v>3908.79</v>
      </c>
      <c r="L13" s="56" t="s">
        <v>88</v>
      </c>
      <c r="P13" s="23"/>
    </row>
    <row r="14" spans="2:16" x14ac:dyDescent="0.35">
      <c r="B14" t="s">
        <v>15</v>
      </c>
      <c r="C14" s="13">
        <v>-56.39</v>
      </c>
      <c r="D14" s="13">
        <v>11.39</v>
      </c>
      <c r="E14" s="13">
        <v>75.489999999999995</v>
      </c>
      <c r="F14" s="13">
        <v>-86.74</v>
      </c>
      <c r="G14" s="13">
        <v>199.47</v>
      </c>
      <c r="H14" s="13">
        <v>-6.29</v>
      </c>
      <c r="L14" s="56" t="s">
        <v>87</v>
      </c>
      <c r="P14" s="23"/>
    </row>
    <row r="15" spans="2:16" x14ac:dyDescent="0.35">
      <c r="B15" t="s">
        <v>3</v>
      </c>
      <c r="C15" s="12">
        <f t="shared" ref="C15:G15" si="2">C13+(-C14)</f>
        <v>3533.33</v>
      </c>
      <c r="D15" s="12">
        <f t="shared" si="2"/>
        <v>3090.85</v>
      </c>
      <c r="E15" s="12">
        <f t="shared" si="2"/>
        <v>3399.7700000000004</v>
      </c>
      <c r="F15" s="12">
        <f t="shared" si="2"/>
        <v>3809.9999999999995</v>
      </c>
      <c r="G15" s="12">
        <f t="shared" si="2"/>
        <v>4181.8099999999995</v>
      </c>
      <c r="H15" s="12">
        <f>H13+(-H14)</f>
        <v>3915.08</v>
      </c>
      <c r="L15" s="56" t="s">
        <v>206</v>
      </c>
      <c r="M15" s="12">
        <f>Working!M8</f>
        <v>4193.0506800000012</v>
      </c>
      <c r="N15" s="12">
        <f>Working!N8</f>
        <v>4490.7572782800007</v>
      </c>
      <c r="O15" s="12">
        <f>Working!O8</f>
        <v>4809.6010450378817</v>
      </c>
      <c r="P15" s="23" t="s">
        <v>250</v>
      </c>
    </row>
    <row r="16" spans="2:16" x14ac:dyDescent="0.35">
      <c r="C16" s="12"/>
      <c r="D16" s="12"/>
      <c r="E16" s="12"/>
      <c r="F16" s="12"/>
      <c r="G16" s="12"/>
      <c r="H16" s="12"/>
      <c r="P16" s="23"/>
    </row>
    <row r="17" spans="2:16" x14ac:dyDescent="0.35">
      <c r="B17" t="s">
        <v>65</v>
      </c>
      <c r="C17" s="12">
        <f t="shared" ref="C17:E17" si="3">C10-C15</f>
        <v>2269.0500000000002</v>
      </c>
      <c r="D17" s="12">
        <f t="shared" si="3"/>
        <v>2391.4</v>
      </c>
      <c r="E17" s="12">
        <f t="shared" si="3"/>
        <v>2366.7399999999998</v>
      </c>
      <c r="F17" s="12">
        <f>F8-F15</f>
        <v>2642.3300000000004</v>
      </c>
      <c r="G17" s="12">
        <f>G8-G15</f>
        <v>2802.7000000000007</v>
      </c>
      <c r="H17" s="12">
        <f>H10-H15</f>
        <v>2863.75</v>
      </c>
      <c r="L17" s="56" t="s">
        <v>89</v>
      </c>
      <c r="M17" s="12">
        <f>M10-M15</f>
        <v>3067.0762500000001</v>
      </c>
      <c r="N17" s="12">
        <f>N10-N15</f>
        <v>3284.8386637500007</v>
      </c>
      <c r="O17" s="12">
        <f>O10-O15</f>
        <v>3518.0622088762502</v>
      </c>
      <c r="P17" s="23" t="s">
        <v>89</v>
      </c>
    </row>
    <row r="18" spans="2:16" x14ac:dyDescent="0.35">
      <c r="B18" t="s">
        <v>66</v>
      </c>
      <c r="C18" s="26">
        <f t="shared" ref="C18:E18" si="4">C17/C10</f>
        <v>0.39105504982438244</v>
      </c>
      <c r="D18" s="26">
        <f t="shared" si="4"/>
        <v>0.4362077614118291</v>
      </c>
      <c r="E18" s="26">
        <f t="shared" si="4"/>
        <v>0.41042849140988219</v>
      </c>
      <c r="F18" s="26">
        <f>F17/F8</f>
        <v>0.40951563233746574</v>
      </c>
      <c r="G18" s="26">
        <f>G17/G8</f>
        <v>0.40127367560501748</v>
      </c>
      <c r="H18" s="26">
        <f>H17/H10</f>
        <v>0.4224549074102758</v>
      </c>
      <c r="L18" s="56" t="s">
        <v>90</v>
      </c>
      <c r="M18" s="53">
        <f>M17/M10</f>
        <v>0.42245490741027575</v>
      </c>
      <c r="N18" s="53">
        <f>N17/N10</f>
        <v>0.4224549074102758</v>
      </c>
      <c r="O18" s="53">
        <f>O17/O10</f>
        <v>0.42245490741027575</v>
      </c>
      <c r="P18" s="23" t="s">
        <v>90</v>
      </c>
    </row>
    <row r="19" spans="2:16" x14ac:dyDescent="0.35">
      <c r="B19" s="1" t="s">
        <v>57</v>
      </c>
      <c r="C19" s="26"/>
      <c r="D19" s="26">
        <f t="shared" ref="D19:G19" si="5">D17/C17-1</f>
        <v>5.3921244573720273E-2</v>
      </c>
      <c r="E19" s="26">
        <f t="shared" si="5"/>
        <v>-1.0311951158317401E-2</v>
      </c>
      <c r="F19" s="26">
        <f t="shared" si="5"/>
        <v>0.11644287078428572</v>
      </c>
      <c r="G19" s="26">
        <f t="shared" si="5"/>
        <v>6.0692646262957339E-2</v>
      </c>
      <c r="H19" s="26">
        <f>H17/G17-1</f>
        <v>2.1782566810575332E-2</v>
      </c>
      <c r="L19" s="56" t="s">
        <v>91</v>
      </c>
      <c r="M19" s="53">
        <f>M17/H17-1</f>
        <v>7.0999999999999952E-2</v>
      </c>
      <c r="N19" s="53">
        <f>N17/M17-1</f>
        <v>7.1000000000000174E-2</v>
      </c>
      <c r="O19" s="53">
        <f>O17/N17-1</f>
        <v>7.099999999999973E-2</v>
      </c>
      <c r="P19" s="23" t="s">
        <v>91</v>
      </c>
    </row>
    <row r="20" spans="2:16" x14ac:dyDescent="0.35">
      <c r="C20" s="12"/>
      <c r="D20" s="12"/>
      <c r="E20" s="12"/>
      <c r="F20" s="12"/>
      <c r="G20" s="12"/>
      <c r="H20" s="12"/>
      <c r="P20" s="23"/>
    </row>
    <row r="21" spans="2:16" x14ac:dyDescent="0.35">
      <c r="B21" t="s">
        <v>63</v>
      </c>
      <c r="C21" s="13">
        <v>378.89</v>
      </c>
      <c r="D21" s="13">
        <v>388.25</v>
      </c>
      <c r="E21" s="13">
        <v>406.31</v>
      </c>
      <c r="F21" s="13">
        <v>438.27</v>
      </c>
      <c r="G21" s="13">
        <v>530.05999999999995</v>
      </c>
      <c r="H21" s="13">
        <v>541.77</v>
      </c>
      <c r="L21" s="56" t="s">
        <v>87</v>
      </c>
      <c r="M21" s="45">
        <f>Working!M9</f>
        <v>568.85850000000005</v>
      </c>
      <c r="N21" s="45">
        <f>Working!N9</f>
        <v>597.30142500000011</v>
      </c>
      <c r="O21" s="45">
        <f>Working!O9</f>
        <v>627.16649625000014</v>
      </c>
      <c r="P21" s="23" t="s">
        <v>250</v>
      </c>
    </row>
    <row r="22" spans="2:16" x14ac:dyDescent="0.35">
      <c r="B22" t="s">
        <v>4</v>
      </c>
      <c r="C22" s="13">
        <v>1209.52</v>
      </c>
      <c r="D22" s="13">
        <v>1231.24</v>
      </c>
      <c r="E22" s="13">
        <v>1303.6500000000001</v>
      </c>
      <c r="F22" s="13">
        <v>1420.38</v>
      </c>
      <c r="G22" s="13">
        <v>1630.1</v>
      </c>
      <c r="H22" s="13">
        <v>1598.14</v>
      </c>
      <c r="L22" s="56" t="s">
        <v>87</v>
      </c>
      <c r="M22" s="45">
        <f>Working!M11</f>
        <v>1669.8291939000003</v>
      </c>
      <c r="N22" s="45">
        <f>Working!N11</f>
        <v>1788.3870666669004</v>
      </c>
      <c r="O22" s="45">
        <f>Working!O11</f>
        <v>1915.3625484002505</v>
      </c>
      <c r="P22" s="23" t="s">
        <v>250</v>
      </c>
    </row>
    <row r="23" spans="2:16" x14ac:dyDescent="0.35">
      <c r="C23" s="12"/>
      <c r="D23" s="12"/>
      <c r="E23" s="12"/>
      <c r="F23" s="12"/>
      <c r="G23" s="12"/>
      <c r="H23" s="12"/>
      <c r="P23" s="23"/>
    </row>
    <row r="24" spans="2:16" x14ac:dyDescent="0.35">
      <c r="B24" t="s">
        <v>6</v>
      </c>
      <c r="C24" s="12">
        <f t="shared" ref="C24:G24" si="6">C17-C21-C22</f>
        <v>680.64000000000033</v>
      </c>
      <c r="D24" s="12">
        <f t="shared" si="6"/>
        <v>771.91000000000008</v>
      </c>
      <c r="E24" s="12">
        <f t="shared" si="6"/>
        <v>656.77999999999975</v>
      </c>
      <c r="F24" s="12">
        <f t="shared" si="6"/>
        <v>783.68000000000029</v>
      </c>
      <c r="G24" s="12">
        <f t="shared" si="6"/>
        <v>642.54000000000087</v>
      </c>
      <c r="H24" s="12">
        <f>H17-H21-H22</f>
        <v>723.83999999999992</v>
      </c>
      <c r="L24" s="56" t="s">
        <v>92</v>
      </c>
      <c r="M24" s="12">
        <f t="shared" ref="M24:O24" si="7">M17-M21-M22</f>
        <v>828.38855609999951</v>
      </c>
      <c r="N24" s="12">
        <f t="shared" si="7"/>
        <v>899.15017208310019</v>
      </c>
      <c r="O24" s="12">
        <f t="shared" si="7"/>
        <v>975.53316422599983</v>
      </c>
      <c r="P24" s="23" t="s">
        <v>92</v>
      </c>
    </row>
    <row r="25" spans="2:16" x14ac:dyDescent="0.35">
      <c r="B25" t="s">
        <v>5</v>
      </c>
      <c r="C25" s="26">
        <f t="shared" ref="C25:G25" si="8">C24/C10</f>
        <v>0.11730358921683866</v>
      </c>
      <c r="D25" s="26">
        <f t="shared" si="8"/>
        <v>0.14080167814309819</v>
      </c>
      <c r="E25" s="26">
        <f t="shared" si="8"/>
        <v>0.11389557982211072</v>
      </c>
      <c r="F25" s="26">
        <f t="shared" si="8"/>
        <v>0.12472188712516437</v>
      </c>
      <c r="G25" s="26">
        <f t="shared" si="8"/>
        <v>9.199500036509374E-2</v>
      </c>
      <c r="H25" s="26">
        <f>H24/H10</f>
        <v>0.10677948849580236</v>
      </c>
      <c r="L25" s="56" t="s">
        <v>93</v>
      </c>
      <c r="M25" s="53">
        <f t="shared" ref="M25:O25" si="9">M24/M10</f>
        <v>0.11410111201733485</v>
      </c>
      <c r="N25" s="53">
        <f t="shared" si="9"/>
        <v>0.11563746094660829</v>
      </c>
      <c r="O25" s="53">
        <f t="shared" si="9"/>
        <v>0.1171436853870723</v>
      </c>
      <c r="P25" s="23" t="s">
        <v>93</v>
      </c>
    </row>
    <row r="26" spans="2:16" s="9" customFormat="1" x14ac:dyDescent="0.35">
      <c r="B26" s="9" t="s">
        <v>57</v>
      </c>
      <c r="C26" s="27"/>
      <c r="D26" s="27">
        <f t="shared" ref="D26:G26" si="10">D24/C24-1</f>
        <v>0.13409438175834465</v>
      </c>
      <c r="E26" s="27">
        <f t="shared" si="10"/>
        <v>-0.14914951224883777</v>
      </c>
      <c r="F26" s="27">
        <f t="shared" si="10"/>
        <v>0.19321538414689932</v>
      </c>
      <c r="G26" s="27">
        <f t="shared" si="10"/>
        <v>-0.1800990200081658</v>
      </c>
      <c r="H26" s="27">
        <f>H24/G24-1</f>
        <v>0.12652908768325544</v>
      </c>
      <c r="L26" s="56" t="s">
        <v>91</v>
      </c>
      <c r="M26" s="54">
        <f>M24/H24-1</f>
        <v>0.14443600256962807</v>
      </c>
      <c r="N26" s="54">
        <f>N24/M24-1</f>
        <v>8.5420803392362021E-2</v>
      </c>
      <c r="O26" s="54">
        <f>O24/N24-1</f>
        <v>8.4950205777017063E-2</v>
      </c>
      <c r="P26" s="23" t="s">
        <v>91</v>
      </c>
    </row>
    <row r="27" spans="2:16" x14ac:dyDescent="0.35">
      <c r="C27" s="12"/>
      <c r="D27" s="12"/>
      <c r="E27" s="12"/>
      <c r="F27" s="12"/>
      <c r="G27" s="12"/>
      <c r="H27" s="12"/>
      <c r="P27" s="23"/>
    </row>
    <row r="28" spans="2:16" x14ac:dyDescent="0.35">
      <c r="B28" t="s">
        <v>7</v>
      </c>
      <c r="C28" s="13">
        <v>93.43</v>
      </c>
      <c r="D28" s="13">
        <v>107.72</v>
      </c>
      <c r="E28" s="13">
        <v>143.08000000000001</v>
      </c>
      <c r="F28" s="13">
        <v>168.61</v>
      </c>
      <c r="G28" s="13">
        <v>192.71</v>
      </c>
      <c r="H28" s="13">
        <v>276.51</v>
      </c>
      <c r="L28" s="56" t="s">
        <v>87</v>
      </c>
      <c r="M28" s="45">
        <f>Working!M38</f>
        <v>366.54539999999997</v>
      </c>
      <c r="N28" s="45">
        <f>Working!N38</f>
        <v>405.54539999999997</v>
      </c>
      <c r="O28" s="45">
        <f>Working!O38</f>
        <v>426.54539999999997</v>
      </c>
      <c r="P28" s="23" t="s">
        <v>250</v>
      </c>
    </row>
    <row r="29" spans="2:16" x14ac:dyDescent="0.35">
      <c r="C29" s="12"/>
      <c r="D29" s="12"/>
      <c r="E29" s="12"/>
      <c r="F29" s="12"/>
      <c r="G29" s="12"/>
      <c r="H29" s="12"/>
      <c r="P29" s="23"/>
    </row>
    <row r="30" spans="2:16" x14ac:dyDescent="0.35">
      <c r="B30" t="s">
        <v>8</v>
      </c>
      <c r="C30" s="12">
        <f t="shared" ref="C30:G30" si="11">C24-C28</f>
        <v>587.21000000000026</v>
      </c>
      <c r="D30" s="12">
        <f t="shared" si="11"/>
        <v>664.19</v>
      </c>
      <c r="E30" s="12">
        <f t="shared" si="11"/>
        <v>513.6999999999997</v>
      </c>
      <c r="F30" s="12">
        <f t="shared" si="11"/>
        <v>615.07000000000028</v>
      </c>
      <c r="G30" s="12">
        <f t="shared" si="11"/>
        <v>449.83000000000084</v>
      </c>
      <c r="H30" s="12">
        <f>H24-H28</f>
        <v>447.32999999999993</v>
      </c>
      <c r="L30" s="56" t="s">
        <v>209</v>
      </c>
      <c r="M30" s="12">
        <f t="shared" ref="M30:O30" si="12">M24-M28</f>
        <v>461.84315609999953</v>
      </c>
      <c r="N30" s="12">
        <f t="shared" si="12"/>
        <v>493.60477208310022</v>
      </c>
      <c r="O30" s="12">
        <f t="shared" si="12"/>
        <v>548.98776422599985</v>
      </c>
      <c r="P30" s="23" t="s">
        <v>92</v>
      </c>
    </row>
    <row r="31" spans="2:16" x14ac:dyDescent="0.35">
      <c r="B31" t="s">
        <v>9</v>
      </c>
      <c r="C31" s="26">
        <f t="shared" ref="C31:G31" si="13">C30/C10</f>
        <v>0.1012015759050597</v>
      </c>
      <c r="D31" s="26">
        <f t="shared" si="13"/>
        <v>0.12115281134570662</v>
      </c>
      <c r="E31" s="26">
        <f t="shared" si="13"/>
        <v>8.9083345038853595E-2</v>
      </c>
      <c r="F31" s="26">
        <f t="shared" si="13"/>
        <v>9.7887774492235166E-2</v>
      </c>
      <c r="G31" s="26">
        <f t="shared" si="13"/>
        <v>6.4403945301817991E-2</v>
      </c>
      <c r="H31" s="26">
        <f>H30/H10</f>
        <v>6.5989263633989922E-2</v>
      </c>
      <c r="L31" s="56" t="s">
        <v>208</v>
      </c>
      <c r="M31" s="53">
        <f t="shared" ref="M31:O31" si="14">M30/M10</f>
        <v>6.3613647606020493E-2</v>
      </c>
      <c r="N31" s="53">
        <f t="shared" si="14"/>
        <v>6.3481278575058406E-2</v>
      </c>
      <c r="O31" s="53">
        <f t="shared" si="14"/>
        <v>6.5923386607637746E-2</v>
      </c>
      <c r="P31" s="23" t="s">
        <v>93</v>
      </c>
    </row>
    <row r="32" spans="2:16" x14ac:dyDescent="0.35">
      <c r="B32" s="9" t="s">
        <v>57</v>
      </c>
      <c r="C32" s="27"/>
      <c r="D32" s="27">
        <f t="shared" ref="D32:G32" si="15">D30/C30-1</f>
        <v>0.13109449770950721</v>
      </c>
      <c r="E32" s="27">
        <f t="shared" si="15"/>
        <v>-0.22657673256146638</v>
      </c>
      <c r="F32" s="27">
        <f t="shared" si="15"/>
        <v>0.19733307377847109</v>
      </c>
      <c r="G32" s="27">
        <f t="shared" si="15"/>
        <v>-0.26865234851317632</v>
      </c>
      <c r="H32" s="27">
        <f>H30/G30-1</f>
        <v>-5.5576551141562902E-3</v>
      </c>
      <c r="L32" s="56" t="s">
        <v>91</v>
      </c>
      <c r="M32" s="54">
        <f>M30/H30-1</f>
        <v>3.2443958822345076E-2</v>
      </c>
      <c r="N32" s="54">
        <f>N30/M30-1</f>
        <v>6.8771433686079186E-2</v>
      </c>
      <c r="O32" s="54">
        <f>O30/N30-1</f>
        <v>0.11220108733789891</v>
      </c>
      <c r="P32" s="23" t="s">
        <v>91</v>
      </c>
    </row>
    <row r="33" spans="2:16" x14ac:dyDescent="0.35">
      <c r="C33" s="12"/>
      <c r="D33" s="12"/>
      <c r="E33" s="12"/>
      <c r="F33" s="12"/>
      <c r="G33" s="12"/>
      <c r="H33" s="12"/>
      <c r="P33" s="23"/>
    </row>
    <row r="34" spans="2:16" x14ac:dyDescent="0.35">
      <c r="B34" t="s">
        <v>48</v>
      </c>
      <c r="C34" s="13">
        <v>131.86000000000001</v>
      </c>
      <c r="D34" s="13">
        <v>94.89</v>
      </c>
      <c r="E34" s="13">
        <v>81.72</v>
      </c>
      <c r="F34" s="13">
        <v>97.35</v>
      </c>
      <c r="G34" s="13">
        <v>88.04</v>
      </c>
      <c r="H34" s="13">
        <v>150.93</v>
      </c>
      <c r="L34" s="56" t="s">
        <v>87</v>
      </c>
      <c r="M34" s="12">
        <f>Working!M51</f>
        <v>189.73671213082193</v>
      </c>
      <c r="N34" s="12">
        <f>Working!N51</f>
        <v>218.22598887293216</v>
      </c>
      <c r="O34" s="12">
        <f>Working!O51</f>
        <v>231.45019988291034</v>
      </c>
      <c r="P34" s="23" t="s">
        <v>250</v>
      </c>
    </row>
    <row r="35" spans="2:16" ht="43.5" x14ac:dyDescent="0.35">
      <c r="B35" t="s">
        <v>14</v>
      </c>
      <c r="C35" s="13">
        <v>22.35</v>
      </c>
      <c r="D35" s="13">
        <v>63.86</v>
      </c>
      <c r="E35" s="13">
        <v>47</v>
      </c>
      <c r="F35" s="13">
        <f>29.46+23.01</f>
        <v>52.47</v>
      </c>
      <c r="G35" s="13">
        <f>39+20.2</f>
        <v>59.2</v>
      </c>
      <c r="H35" s="13">
        <f>20.51+17.22</f>
        <v>37.730000000000004</v>
      </c>
      <c r="L35" s="56" t="s">
        <v>95</v>
      </c>
      <c r="M35" s="50">
        <v>37.729999999999997</v>
      </c>
      <c r="N35" s="50">
        <v>37.729999999999997</v>
      </c>
      <c r="O35" s="50">
        <v>37.729999999999997</v>
      </c>
      <c r="P35" s="23" t="s">
        <v>251</v>
      </c>
    </row>
    <row r="36" spans="2:16" x14ac:dyDescent="0.35">
      <c r="B36" t="s">
        <v>97</v>
      </c>
      <c r="C36" s="13">
        <v>6.13</v>
      </c>
      <c r="D36" s="13">
        <v>11.4</v>
      </c>
      <c r="E36" s="13">
        <v>13.33</v>
      </c>
      <c r="F36" s="13">
        <v>33.96</v>
      </c>
      <c r="G36" s="13">
        <v>44.79</v>
      </c>
      <c r="H36" s="13">
        <v>29.84</v>
      </c>
      <c r="L36" s="56" t="s">
        <v>87</v>
      </c>
      <c r="M36" s="50">
        <v>0</v>
      </c>
      <c r="N36" s="50">
        <v>0</v>
      </c>
      <c r="O36" s="50">
        <v>0</v>
      </c>
      <c r="P36" s="23" t="s">
        <v>252</v>
      </c>
    </row>
    <row r="37" spans="2:16" x14ac:dyDescent="0.35">
      <c r="C37" s="12"/>
      <c r="D37" s="12"/>
      <c r="E37" s="12"/>
      <c r="F37" s="12"/>
      <c r="G37" s="12"/>
      <c r="H37" s="12"/>
      <c r="P37" s="23"/>
    </row>
    <row r="38" spans="2:16" ht="29" x14ac:dyDescent="0.35">
      <c r="B38" t="s">
        <v>12</v>
      </c>
      <c r="C38" s="12">
        <f t="shared" ref="C38:G38" si="16">C30-C34+C35-C36</f>
        <v>471.57000000000028</v>
      </c>
      <c r="D38" s="12">
        <f t="shared" si="16"/>
        <v>621.7600000000001</v>
      </c>
      <c r="E38" s="12">
        <f t="shared" si="16"/>
        <v>465.64999999999969</v>
      </c>
      <c r="F38" s="12">
        <f t="shared" si="16"/>
        <v>536.23000000000025</v>
      </c>
      <c r="G38" s="12">
        <f t="shared" si="16"/>
        <v>376.20000000000078</v>
      </c>
      <c r="H38" s="12">
        <f>H30-H34+H35-H36</f>
        <v>304.28999999999996</v>
      </c>
      <c r="L38" s="56" t="s">
        <v>96</v>
      </c>
      <c r="M38" s="12">
        <f t="shared" ref="M38:O38" si="17">M30-M34+M35-M36</f>
        <v>309.83644396917759</v>
      </c>
      <c r="N38" s="12">
        <f t="shared" si="17"/>
        <v>313.1087832101681</v>
      </c>
      <c r="O38" s="12">
        <f t="shared" si="17"/>
        <v>355.26756434308953</v>
      </c>
      <c r="P38" s="23" t="s">
        <v>96</v>
      </c>
    </row>
    <row r="39" spans="2:16" ht="29" x14ac:dyDescent="0.35">
      <c r="B39" t="s">
        <v>99</v>
      </c>
      <c r="C39" s="13">
        <v>157.65</v>
      </c>
      <c r="D39" s="13">
        <v>187.34</v>
      </c>
      <c r="E39" s="13">
        <v>106.42</v>
      </c>
      <c r="F39" s="13">
        <f>106.39+27.64</f>
        <v>134.03</v>
      </c>
      <c r="G39" s="13">
        <f>94+31.12</f>
        <v>125.12</v>
      </c>
      <c r="H39" s="43">
        <f>79.32+(-5.09)</f>
        <v>74.22999999999999</v>
      </c>
      <c r="L39" s="56" t="s">
        <v>98</v>
      </c>
      <c r="M39" s="12">
        <f>M38*M40</f>
        <v>77.459110992294399</v>
      </c>
      <c r="N39" s="12">
        <f t="shared" ref="N39:O39" si="18">N38*N40</f>
        <v>78.277195802542025</v>
      </c>
      <c r="O39" s="12">
        <f t="shared" si="18"/>
        <v>88.816891085772383</v>
      </c>
      <c r="P39" s="23" t="s">
        <v>253</v>
      </c>
    </row>
    <row r="40" spans="2:16" x14ac:dyDescent="0.35">
      <c r="B40" t="s">
        <v>84</v>
      </c>
      <c r="C40" s="28">
        <f t="shared" ref="C40:G40" si="19">C39/C38</f>
        <v>0.33430879826960985</v>
      </c>
      <c r="D40" s="28">
        <f t="shared" si="19"/>
        <v>0.3013059701492537</v>
      </c>
      <c r="E40" s="28">
        <f t="shared" si="19"/>
        <v>0.22854074948996042</v>
      </c>
      <c r="F40" s="28">
        <f t="shared" si="19"/>
        <v>0.24994871603602919</v>
      </c>
      <c r="G40" s="28">
        <f t="shared" si="19"/>
        <v>0.33258904837852138</v>
      </c>
      <c r="H40" s="28">
        <f>H39/H38</f>
        <v>0.2439449209635545</v>
      </c>
      <c r="L40" s="56" t="s">
        <v>100</v>
      </c>
      <c r="M40" s="46">
        <v>0.25</v>
      </c>
      <c r="N40" s="46">
        <v>0.25</v>
      </c>
      <c r="O40" s="46">
        <v>0.25</v>
      </c>
      <c r="P40" s="23" t="s">
        <v>254</v>
      </c>
    </row>
    <row r="41" spans="2:16" x14ac:dyDescent="0.35">
      <c r="B41" s="1" t="s">
        <v>198</v>
      </c>
      <c r="C41" s="11">
        <f t="shared" ref="C41:G41" si="20">C38-C39</f>
        <v>313.9200000000003</v>
      </c>
      <c r="D41" s="11">
        <f t="shared" si="20"/>
        <v>434.42000000000007</v>
      </c>
      <c r="E41" s="11">
        <f t="shared" si="20"/>
        <v>359.22999999999968</v>
      </c>
      <c r="F41" s="11">
        <f t="shared" si="20"/>
        <v>402.20000000000027</v>
      </c>
      <c r="G41" s="11">
        <f t="shared" si="20"/>
        <v>251.08000000000078</v>
      </c>
      <c r="H41" s="11">
        <f>H38-H39</f>
        <v>230.05999999999997</v>
      </c>
      <c r="L41" s="56" t="s">
        <v>107</v>
      </c>
      <c r="M41" s="11">
        <f>M38-M39</f>
        <v>232.3773329768832</v>
      </c>
      <c r="N41" s="11">
        <f t="shared" ref="N41:O41" si="21">N38-N39</f>
        <v>234.83158740762607</v>
      </c>
      <c r="O41" s="11">
        <f t="shared" si="21"/>
        <v>266.45067325731713</v>
      </c>
      <c r="P41" s="23" t="s">
        <v>107</v>
      </c>
    </row>
    <row r="42" spans="2:16" x14ac:dyDescent="0.35">
      <c r="B42" t="s">
        <v>13</v>
      </c>
      <c r="C42" s="26">
        <f t="shared" ref="C42:G42" si="22">C41/C10</f>
        <v>5.4101937480826881E-2</v>
      </c>
      <c r="D42" s="26">
        <f t="shared" si="22"/>
        <v>7.9241187468648833E-2</v>
      </c>
      <c r="E42" s="26">
        <f t="shared" si="22"/>
        <v>6.2295912085472784E-2</v>
      </c>
      <c r="F42" s="26">
        <f t="shared" si="22"/>
        <v>6.4009727186786852E-2</v>
      </c>
      <c r="G42" s="26">
        <f t="shared" si="22"/>
        <v>3.5948119481538546E-2</v>
      </c>
      <c r="H42" s="26">
        <f>H41/H10</f>
        <v>3.3938009951569807E-2</v>
      </c>
      <c r="L42" s="56" t="s">
        <v>101</v>
      </c>
      <c r="M42" s="53">
        <f t="shared" ref="M42:O42" si="23">M41/M10</f>
        <v>3.2007337504894443E-2</v>
      </c>
      <c r="N42" s="53">
        <f t="shared" si="23"/>
        <v>3.0201104733114228E-2</v>
      </c>
      <c r="O42" s="53">
        <f t="shared" si="23"/>
        <v>3.1995851072878237E-2</v>
      </c>
      <c r="P42" s="23" t="s">
        <v>101</v>
      </c>
    </row>
    <row r="43" spans="2:16" x14ac:dyDescent="0.35">
      <c r="B43" t="s">
        <v>104</v>
      </c>
      <c r="C43" s="12">
        <f>C41/Working!C56</f>
        <v>77.511111111111191</v>
      </c>
      <c r="D43" s="12">
        <f>D41/Working!D56</f>
        <v>107.26419753086422</v>
      </c>
      <c r="E43" s="12">
        <f>E41/Working!E56</f>
        <v>88.698765432098696</v>
      </c>
      <c r="F43" s="12">
        <f>F41/Working!F56</f>
        <v>99.308641975308717</v>
      </c>
      <c r="G43" s="12">
        <f>G41/Working!G56</f>
        <v>61.995061728395257</v>
      </c>
      <c r="H43" s="12">
        <f>H41/Working!H56</f>
        <v>56.804938271604932</v>
      </c>
      <c r="L43" s="56" t="s">
        <v>108</v>
      </c>
      <c r="M43" s="12">
        <f>M41/Working!M56</f>
        <v>57.448042763135525</v>
      </c>
      <c r="N43" s="12">
        <f>N41/Working!N56</f>
        <v>58.054780570488525</v>
      </c>
      <c r="O43" s="12">
        <f>O41/Working!O56</f>
        <v>88.816891085772383</v>
      </c>
      <c r="P43" s="23" t="s">
        <v>108</v>
      </c>
    </row>
    <row r="44" spans="2:16" x14ac:dyDescent="0.35">
      <c r="C44" s="12"/>
      <c r="D44" s="12"/>
      <c r="E44" s="12"/>
      <c r="F44" s="12"/>
      <c r="G44" s="12"/>
      <c r="H44" s="12"/>
      <c r="P44" s="23"/>
    </row>
    <row r="45" spans="2:16" x14ac:dyDescent="0.35">
      <c r="B45" t="s">
        <v>67</v>
      </c>
      <c r="C45" s="12">
        <f t="shared" ref="C45:G45" si="24">C41+C36*(1-C40)</f>
        <v>318.00068706660761</v>
      </c>
      <c r="D45" s="12">
        <f t="shared" si="24"/>
        <v>442.3851119402986</v>
      </c>
      <c r="E45" s="12">
        <f t="shared" si="24"/>
        <v>369.51355180929852</v>
      </c>
      <c r="F45" s="12">
        <f t="shared" si="24"/>
        <v>427.67174160341671</v>
      </c>
      <c r="G45" s="12">
        <f t="shared" si="24"/>
        <v>280.97333652312682</v>
      </c>
      <c r="H45" s="12">
        <f>H41+H36*(1-H40)</f>
        <v>252.62068355844752</v>
      </c>
      <c r="L45" s="56" t="s">
        <v>102</v>
      </c>
      <c r="M45" s="12">
        <f t="shared" ref="M45:O45" si="25">M41+M36*(1-M40)</f>
        <v>232.3773329768832</v>
      </c>
      <c r="N45" s="12">
        <f t="shared" si="25"/>
        <v>234.83158740762607</v>
      </c>
      <c r="O45" s="12">
        <f t="shared" si="25"/>
        <v>266.45067325731713</v>
      </c>
      <c r="P45" s="23" t="s">
        <v>102</v>
      </c>
    </row>
    <row r="46" spans="2:16" x14ac:dyDescent="0.35">
      <c r="B46" t="s">
        <v>105</v>
      </c>
      <c r="C46" s="12">
        <f>C45/Working!C56</f>
        <v>78.518688164594479</v>
      </c>
      <c r="D46" s="12">
        <f>D45/Working!D56</f>
        <v>109.23089183711078</v>
      </c>
      <c r="E46" s="12">
        <f>E45/Working!E56</f>
        <v>91.237914026987298</v>
      </c>
      <c r="F46" s="12">
        <f>F45/Working!F56</f>
        <v>105.59796088973252</v>
      </c>
      <c r="G46" s="12">
        <f>G45/Working!G56</f>
        <v>69.376132474846131</v>
      </c>
      <c r="H46" s="12">
        <f>H45/Working!H56</f>
        <v>62.375477421838895</v>
      </c>
      <c r="L46" s="56" t="s">
        <v>109</v>
      </c>
      <c r="M46" s="12">
        <f>M45/Working!M56</f>
        <v>57.448042763135525</v>
      </c>
      <c r="N46" s="12">
        <f>N45/Working!N56</f>
        <v>58.054780570488525</v>
      </c>
      <c r="O46" s="12">
        <f>O45/Working!O56</f>
        <v>88.816891085772383</v>
      </c>
      <c r="P46" s="23" t="s">
        <v>109</v>
      </c>
    </row>
    <row r="47" spans="2:16" x14ac:dyDescent="0.35">
      <c r="C47" s="12"/>
      <c r="D47" s="12"/>
      <c r="E47" s="12"/>
      <c r="F47" s="12"/>
      <c r="G47" s="12"/>
      <c r="H47" s="12"/>
      <c r="M47" s="12"/>
      <c r="N47" s="12"/>
      <c r="O47" s="12"/>
      <c r="P47" s="23"/>
    </row>
    <row r="48" spans="2:16" x14ac:dyDescent="0.35">
      <c r="B48" t="s">
        <v>83</v>
      </c>
      <c r="C48" s="12">
        <f t="shared" ref="C48:G48" si="26">C45-C35*(1-C40)</f>
        <v>303.12248870793337</v>
      </c>
      <c r="D48" s="12">
        <f t="shared" si="26"/>
        <v>397.76651119402993</v>
      </c>
      <c r="E48" s="12">
        <f t="shared" si="26"/>
        <v>333.25496703532667</v>
      </c>
      <c r="F48" s="12">
        <f t="shared" si="26"/>
        <v>388.31655073382717</v>
      </c>
      <c r="G48" s="12">
        <f t="shared" si="26"/>
        <v>241.46260818713529</v>
      </c>
      <c r="H48" s="12">
        <f>H45-H35*(1-H40)</f>
        <v>224.09472542640242</v>
      </c>
      <c r="L48" s="56" t="s">
        <v>103</v>
      </c>
      <c r="M48" s="12">
        <f t="shared" ref="M48:O48" si="27">M45-M35*(1-M40)</f>
        <v>204.07983297688321</v>
      </c>
      <c r="N48" s="12">
        <f t="shared" si="27"/>
        <v>206.53408740762609</v>
      </c>
      <c r="O48" s="12">
        <f t="shared" si="27"/>
        <v>238.15317325731712</v>
      </c>
      <c r="P48" s="23" t="s">
        <v>103</v>
      </c>
    </row>
    <row r="49" spans="2:16" x14ac:dyDescent="0.35">
      <c r="B49" t="s">
        <v>106</v>
      </c>
      <c r="C49" s="12">
        <f>C48/Working!C56</f>
        <v>74.845058940230459</v>
      </c>
      <c r="D49" s="12">
        <f>D48/Working!D56</f>
        <v>98.213953381241964</v>
      </c>
      <c r="E49" s="12">
        <f>E48/Working!E56</f>
        <v>82.285177045759681</v>
      </c>
      <c r="F49" s="12">
        <f>F48/Working!F56</f>
        <v>95.880629810821532</v>
      </c>
      <c r="G49" s="12">
        <f>G48/Working!G56</f>
        <v>59.620397083243283</v>
      </c>
      <c r="H49" s="12">
        <f>H48/Working!H56</f>
        <v>55.332030969482084</v>
      </c>
      <c r="L49" s="56" t="s">
        <v>110</v>
      </c>
      <c r="M49" s="12">
        <f>M48/Working!M56</f>
        <v>50.452369091936518</v>
      </c>
      <c r="N49" s="12">
        <f>N48/Working!N56</f>
        <v>51.059106899289517</v>
      </c>
      <c r="O49" s="12">
        <f>O48/Working!O56</f>
        <v>79.384391085772378</v>
      </c>
      <c r="P49" s="23" t="s">
        <v>110</v>
      </c>
    </row>
    <row r="50" spans="2:16" x14ac:dyDescent="0.35">
      <c r="C50" s="12"/>
      <c r="D50" s="12"/>
      <c r="E50" s="12"/>
      <c r="F50" s="12"/>
      <c r="G50" s="12"/>
      <c r="H50" s="12"/>
      <c r="P50" s="23"/>
    </row>
    <row r="51" spans="2:16" x14ac:dyDescent="0.35">
      <c r="B51" t="s">
        <v>86</v>
      </c>
      <c r="C51" s="13">
        <v>40.42</v>
      </c>
      <c r="D51" s="13">
        <v>0.66</v>
      </c>
      <c r="E51" s="13">
        <v>97.93</v>
      </c>
      <c r="F51" s="13">
        <f>47.27+5.53</f>
        <v>52.800000000000004</v>
      </c>
      <c r="G51" s="13">
        <f>44.34+8.29</f>
        <v>52.63</v>
      </c>
      <c r="H51" s="13">
        <f>96.03+17.87</f>
        <v>113.9</v>
      </c>
      <c r="L51" s="56" t="s">
        <v>87</v>
      </c>
      <c r="M51" s="12">
        <f>Working!M76</f>
        <v>58.094333244220799</v>
      </c>
      <c r="N51" s="12">
        <f>Working!N76</f>
        <v>58.707896851906519</v>
      </c>
      <c r="O51" s="12">
        <f>Working!O76</f>
        <v>66.612668314329284</v>
      </c>
      <c r="P51" s="23" t="s">
        <v>250</v>
      </c>
    </row>
    <row r="52" spans="2:16" x14ac:dyDescent="0.35">
      <c r="C52" s="12"/>
      <c r="D52" s="12"/>
      <c r="E52" s="12"/>
      <c r="F52" s="12"/>
      <c r="G52" s="12"/>
      <c r="H52" s="12"/>
      <c r="P52" s="23"/>
    </row>
    <row r="53" spans="2:16" x14ac:dyDescent="0.35">
      <c r="B53" s="1" t="s">
        <v>31</v>
      </c>
      <c r="C53" s="12"/>
      <c r="D53" s="12"/>
      <c r="E53" s="12"/>
      <c r="F53" s="12"/>
      <c r="G53" s="12"/>
      <c r="H53" s="12"/>
      <c r="P53" s="23"/>
    </row>
    <row r="54" spans="2:16" x14ac:dyDescent="0.35">
      <c r="C54" s="12"/>
      <c r="D54" s="12"/>
      <c r="E54" s="12"/>
      <c r="F54" s="12"/>
      <c r="G54" s="12"/>
      <c r="H54" s="12"/>
      <c r="P54" s="23"/>
    </row>
    <row r="55" spans="2:16" x14ac:dyDescent="0.35">
      <c r="B55" s="21" t="s">
        <v>16</v>
      </c>
      <c r="C55" s="12"/>
      <c r="D55" s="12"/>
      <c r="E55" s="12"/>
      <c r="F55" s="12"/>
      <c r="G55" s="12"/>
      <c r="H55" s="12"/>
      <c r="P55" s="23"/>
    </row>
    <row r="56" spans="2:16" x14ac:dyDescent="0.35">
      <c r="B56" t="s">
        <v>17</v>
      </c>
      <c r="C56" s="13">
        <v>1501.43</v>
      </c>
      <c r="D56" s="13">
        <v>2032.07</v>
      </c>
      <c r="E56" s="13">
        <v>2452.5300000000002</v>
      </c>
      <c r="F56" s="13">
        <v>2709.24</v>
      </c>
      <c r="G56" s="13">
        <f>3102.5+77.03</f>
        <v>3179.53</v>
      </c>
      <c r="H56" s="13">
        <f>3957.76+100.18+101.85</f>
        <v>4159.79</v>
      </c>
      <c r="L56" s="56" t="s">
        <v>87</v>
      </c>
      <c r="M56" s="45">
        <f>Working!M34</f>
        <v>5261.7846</v>
      </c>
      <c r="N56" s="45">
        <f>Working!N34</f>
        <v>5506.2392</v>
      </c>
      <c r="O56" s="45">
        <f>Working!O34</f>
        <v>5429.6938</v>
      </c>
      <c r="P56" s="23" t="s">
        <v>250</v>
      </c>
    </row>
    <row r="57" spans="2:16" x14ac:dyDescent="0.35">
      <c r="B57" t="s">
        <v>18</v>
      </c>
      <c r="C57" s="13">
        <v>223.84</v>
      </c>
      <c r="D57" s="13">
        <v>299.08</v>
      </c>
      <c r="E57" s="13">
        <v>326.26</v>
      </c>
      <c r="F57" s="13">
        <v>309.95999999999998</v>
      </c>
      <c r="G57" s="13">
        <f>801.59+ 31.32</f>
        <v>832.91000000000008</v>
      </c>
      <c r="H57" s="13">
        <f>1050.73+17.81</f>
        <v>1068.54</v>
      </c>
      <c r="L57" s="56" t="s">
        <v>87</v>
      </c>
      <c r="M57" s="45">
        <f>Working!M35</f>
        <v>400</v>
      </c>
      <c r="N57" s="45">
        <f>Working!N35</f>
        <v>250</v>
      </c>
      <c r="O57" s="45">
        <f>Working!O35</f>
        <v>100</v>
      </c>
      <c r="P57" s="23" t="s">
        <v>250</v>
      </c>
    </row>
    <row r="58" spans="2:16" x14ac:dyDescent="0.35">
      <c r="C58" s="12"/>
      <c r="D58" s="12"/>
      <c r="E58" s="12"/>
      <c r="F58" s="12"/>
      <c r="G58" s="12"/>
      <c r="H58" s="12"/>
      <c r="P58" s="23"/>
    </row>
    <row r="59" spans="2:16" x14ac:dyDescent="0.35">
      <c r="B59" t="s">
        <v>68</v>
      </c>
      <c r="C59" s="13">
        <v>130.53</v>
      </c>
      <c r="D59" s="13">
        <v>155.28</v>
      </c>
      <c r="E59" s="13">
        <v>167.33</v>
      </c>
      <c r="F59" s="13">
        <v>173.46</v>
      </c>
      <c r="G59" s="13">
        <v>181.4</v>
      </c>
      <c r="H59" s="13">
        <v>179.41</v>
      </c>
      <c r="L59" s="56" t="s">
        <v>87</v>
      </c>
      <c r="M59" s="50">
        <f>H59</f>
        <v>179.41</v>
      </c>
      <c r="N59" s="50">
        <f>M59</f>
        <v>179.41</v>
      </c>
      <c r="O59" s="50">
        <f>N59</f>
        <v>179.41</v>
      </c>
      <c r="P59" s="23" t="s">
        <v>229</v>
      </c>
    </row>
    <row r="60" spans="2:16" x14ac:dyDescent="0.35">
      <c r="C60" s="12"/>
      <c r="D60" s="12"/>
      <c r="E60" s="12"/>
      <c r="F60" s="12"/>
      <c r="G60" s="12"/>
      <c r="H60" s="12"/>
      <c r="P60" s="23"/>
    </row>
    <row r="61" spans="2:16" x14ac:dyDescent="0.35">
      <c r="B61" t="s">
        <v>79</v>
      </c>
      <c r="C61" s="12">
        <f t="shared" ref="C61:G61" si="28">C63-C56-C57-C59</f>
        <v>90.759999999999877</v>
      </c>
      <c r="D61" s="12">
        <f t="shared" si="28"/>
        <v>128.30999999999986</v>
      </c>
      <c r="E61" s="12">
        <f t="shared" si="28"/>
        <v>197.27999999999989</v>
      </c>
      <c r="F61" s="12">
        <f t="shared" si="28"/>
        <v>139.17000000000016</v>
      </c>
      <c r="G61" s="12">
        <f t="shared" si="28"/>
        <v>210.41999999999993</v>
      </c>
      <c r="H61" s="12">
        <f>H63-H56-H57-H59</f>
        <v>115.91999999999993</v>
      </c>
      <c r="L61" s="56" t="s">
        <v>115</v>
      </c>
      <c r="M61" s="50">
        <v>116</v>
      </c>
      <c r="N61" s="50">
        <v>116</v>
      </c>
      <c r="O61" s="50">
        <v>116</v>
      </c>
      <c r="P61" s="23" t="s">
        <v>229</v>
      </c>
    </row>
    <row r="62" spans="2:16" x14ac:dyDescent="0.35">
      <c r="C62" s="12"/>
      <c r="D62" s="12"/>
      <c r="E62" s="12"/>
      <c r="F62" s="12"/>
      <c r="G62" s="12"/>
      <c r="H62" s="12"/>
      <c r="P62" s="23"/>
    </row>
    <row r="63" spans="2:16" x14ac:dyDescent="0.35">
      <c r="B63" t="s">
        <v>69</v>
      </c>
      <c r="C63" s="13">
        <v>1946.56</v>
      </c>
      <c r="D63" s="13">
        <v>2614.7399999999998</v>
      </c>
      <c r="E63" s="13">
        <v>3143.4</v>
      </c>
      <c r="F63" s="13">
        <v>3331.83</v>
      </c>
      <c r="G63" s="13">
        <v>4404.26</v>
      </c>
      <c r="H63" s="13">
        <v>5523.66</v>
      </c>
      <c r="L63" s="56" t="s">
        <v>87</v>
      </c>
      <c r="M63" s="45">
        <f>M56+M57+M59+M61</f>
        <v>5957.1945999999998</v>
      </c>
      <c r="N63" s="45">
        <f t="shared" ref="N63:O63" si="29">N56+N57+N59+N61</f>
        <v>6051.6491999999998</v>
      </c>
      <c r="O63" s="45">
        <f t="shared" si="29"/>
        <v>5825.1037999999999</v>
      </c>
      <c r="P63" s="23" t="s">
        <v>255</v>
      </c>
    </row>
    <row r="64" spans="2:16" x14ac:dyDescent="0.35">
      <c r="C64" s="12"/>
      <c r="D64" s="12"/>
      <c r="E64" s="12"/>
      <c r="F64" s="12"/>
      <c r="G64" s="12"/>
      <c r="H64" s="12"/>
      <c r="P64" s="23"/>
    </row>
    <row r="65" spans="2:16" x14ac:dyDescent="0.35">
      <c r="B65" t="s">
        <v>70</v>
      </c>
      <c r="C65" s="13">
        <v>312.43</v>
      </c>
      <c r="D65" s="13">
        <v>40.21</v>
      </c>
      <c r="E65" s="13">
        <v>64.27</v>
      </c>
      <c r="F65" s="13">
        <v>40.06</v>
      </c>
      <c r="G65" s="13">
        <v>0</v>
      </c>
      <c r="H65" s="13">
        <v>0</v>
      </c>
      <c r="L65" s="56" t="s">
        <v>87</v>
      </c>
      <c r="M65" s="50">
        <v>0</v>
      </c>
      <c r="N65" s="50">
        <v>0</v>
      </c>
      <c r="O65" s="50">
        <v>0</v>
      </c>
      <c r="P65" s="23" t="s">
        <v>229</v>
      </c>
    </row>
    <row r="66" spans="2:16" x14ac:dyDescent="0.35">
      <c r="B66" t="s">
        <v>19</v>
      </c>
      <c r="C66" s="13">
        <v>653.42999999999995</v>
      </c>
      <c r="D66" s="13">
        <v>639.71</v>
      </c>
      <c r="E66" s="13">
        <v>943.48</v>
      </c>
      <c r="F66" s="13">
        <v>784.61</v>
      </c>
      <c r="G66" s="13">
        <v>1005.6</v>
      </c>
      <c r="H66" s="13">
        <v>925.69</v>
      </c>
      <c r="L66" s="56" t="s">
        <v>87</v>
      </c>
      <c r="M66" s="12">
        <f>Working!M85*Working!M7/365</f>
        <v>994.53793561643852</v>
      </c>
      <c r="N66" s="12">
        <f>Working!N85*Working!N7/365</f>
        <v>1065.1501290452056</v>
      </c>
      <c r="O66" s="12">
        <f>Working!O85*Working!O7/365</f>
        <v>1140.7757882074154</v>
      </c>
      <c r="P66" s="23" t="s">
        <v>256</v>
      </c>
    </row>
    <row r="67" spans="2:16" x14ac:dyDescent="0.35">
      <c r="B67" t="s">
        <v>23</v>
      </c>
      <c r="C67" s="13">
        <v>673.18</v>
      </c>
      <c r="D67" s="13">
        <v>593.51</v>
      </c>
      <c r="E67" s="13">
        <v>613.79999999999995</v>
      </c>
      <c r="F67" s="13">
        <v>747.23</v>
      </c>
      <c r="G67" s="13">
        <v>706.38</v>
      </c>
      <c r="H67" s="13">
        <v>674.35</v>
      </c>
      <c r="L67" s="56" t="s">
        <v>87</v>
      </c>
      <c r="M67" s="12">
        <f>Working!M7*Working!M86/365</f>
        <v>716.06731364383575</v>
      </c>
      <c r="N67" s="12">
        <f>Working!N7*Working!N86/365</f>
        <v>766.908092912548</v>
      </c>
      <c r="O67" s="12">
        <f>Working!O7*Working!O86/365</f>
        <v>821.35856750933897</v>
      </c>
      <c r="P67" s="23" t="s">
        <v>257</v>
      </c>
    </row>
    <row r="68" spans="2:16" x14ac:dyDescent="0.35">
      <c r="B68" t="s">
        <v>22</v>
      </c>
      <c r="C68" s="13">
        <v>3.27</v>
      </c>
      <c r="D68" s="13">
        <v>2.8</v>
      </c>
      <c r="E68" s="13">
        <v>1.27</v>
      </c>
      <c r="F68" s="13">
        <v>0.36</v>
      </c>
      <c r="G68" s="13">
        <v>0.75</v>
      </c>
      <c r="H68" s="13">
        <v>0.95</v>
      </c>
      <c r="L68" s="56" t="s">
        <v>87</v>
      </c>
      <c r="M68" s="50">
        <v>0.95</v>
      </c>
      <c r="N68" s="50">
        <v>0.95</v>
      </c>
      <c r="O68" s="50">
        <v>0.95</v>
      </c>
      <c r="P68" s="23" t="s">
        <v>229</v>
      </c>
    </row>
    <row r="69" spans="2:16" x14ac:dyDescent="0.35">
      <c r="B69" t="s">
        <v>71</v>
      </c>
      <c r="C69" s="13">
        <v>122.22</v>
      </c>
      <c r="D69" s="13">
        <v>203.32</v>
      </c>
      <c r="E69" s="13">
        <v>195.14</v>
      </c>
      <c r="F69" s="13">
        <v>160.16999999999999</v>
      </c>
      <c r="G69" s="13">
        <f>5.99+32.22+176.99+5.19</f>
        <v>220.39000000000001</v>
      </c>
      <c r="H69" s="13">
        <f>6.81+25.02+164.3+4.75</f>
        <v>200.88</v>
      </c>
      <c r="L69" s="56" t="s">
        <v>87</v>
      </c>
      <c r="M69" s="50">
        <v>200.88</v>
      </c>
      <c r="N69" s="50">
        <v>200.88</v>
      </c>
      <c r="O69" s="50">
        <v>200.88</v>
      </c>
      <c r="P69" s="23" t="s">
        <v>229</v>
      </c>
    </row>
    <row r="70" spans="2:16" x14ac:dyDescent="0.35">
      <c r="B70" s="1" t="s">
        <v>72</v>
      </c>
      <c r="C70" s="19">
        <f t="shared" ref="C70:G70" si="30">SUM(C65:C69)</f>
        <v>1764.53</v>
      </c>
      <c r="D70" s="19">
        <f t="shared" si="30"/>
        <v>1479.55</v>
      </c>
      <c r="E70" s="19">
        <f t="shared" si="30"/>
        <v>1817.96</v>
      </c>
      <c r="F70" s="19">
        <f t="shared" si="30"/>
        <v>1732.43</v>
      </c>
      <c r="G70" s="19">
        <f t="shared" si="30"/>
        <v>1933.1200000000001</v>
      </c>
      <c r="H70" s="19">
        <f>SUM(H65:H69)</f>
        <v>1801.87</v>
      </c>
      <c r="L70" s="56" t="s">
        <v>116</v>
      </c>
      <c r="M70" s="11">
        <f t="shared" ref="M70:O70" si="31">SUM(M65:M69)</f>
        <v>1912.4352492602743</v>
      </c>
      <c r="N70" s="11">
        <f t="shared" si="31"/>
        <v>2033.8882219577536</v>
      </c>
      <c r="O70" s="11">
        <f t="shared" si="31"/>
        <v>2163.9643557167542</v>
      </c>
      <c r="P70" s="23" t="s">
        <v>258</v>
      </c>
    </row>
    <row r="71" spans="2:16" x14ac:dyDescent="0.35">
      <c r="C71" s="12"/>
      <c r="D71" s="12"/>
      <c r="E71" s="12"/>
      <c r="F71" s="12"/>
      <c r="G71" s="12"/>
      <c r="H71" s="12"/>
      <c r="P71" s="23"/>
    </row>
    <row r="72" spans="2:16" x14ac:dyDescent="0.35">
      <c r="B72" t="s">
        <v>20</v>
      </c>
      <c r="C72" s="13">
        <v>637.89</v>
      </c>
      <c r="D72" s="13">
        <v>635.32000000000005</v>
      </c>
      <c r="E72" s="13">
        <v>758.21</v>
      </c>
      <c r="F72" s="13">
        <v>870.51</v>
      </c>
      <c r="G72" s="13">
        <v>1052.8699999999999</v>
      </c>
      <c r="H72" s="13">
        <v>1194.76</v>
      </c>
      <c r="L72" s="56" t="s">
        <v>87</v>
      </c>
      <c r="M72" s="12">
        <f>Working!M89*Working!M7/365</f>
        <v>1193.4455227397264</v>
      </c>
      <c r="N72" s="12">
        <f>Working!N89*Working!N7/365</f>
        <v>1278.1801548542467</v>
      </c>
      <c r="O72" s="12">
        <f>Working!O89*Working!O7/365</f>
        <v>1368.9309458488985</v>
      </c>
      <c r="P72" s="23" t="s">
        <v>272</v>
      </c>
    </row>
    <row r="73" spans="2:16" x14ac:dyDescent="0.35">
      <c r="B73" t="s">
        <v>74</v>
      </c>
      <c r="C73" s="13">
        <v>54.48</v>
      </c>
      <c r="D73" s="13">
        <v>47.01</v>
      </c>
      <c r="E73" s="13">
        <v>53.82</v>
      </c>
      <c r="F73" s="13">
        <v>50.38</v>
      </c>
      <c r="G73" s="13">
        <v>100.53</v>
      </c>
      <c r="H73" s="13">
        <v>123.19</v>
      </c>
      <c r="L73" s="56" t="s">
        <v>87</v>
      </c>
      <c r="M73" s="12">
        <f>Working!M90*Working!M7/365</f>
        <v>119.34455227397262</v>
      </c>
      <c r="N73" s="12">
        <f>Working!N90*Working!N7/365</f>
        <v>127.81801548542468</v>
      </c>
      <c r="O73" s="12">
        <f>Working!O90*Working!O7/365</f>
        <v>136.89309458488984</v>
      </c>
      <c r="P73" s="23" t="s">
        <v>272</v>
      </c>
    </row>
    <row r="74" spans="2:16" x14ac:dyDescent="0.35">
      <c r="B74" t="s">
        <v>76</v>
      </c>
      <c r="C74" s="13">
        <v>264.27</v>
      </c>
      <c r="D74" s="13">
        <v>33.54</v>
      </c>
      <c r="E74" s="13">
        <v>57.99</v>
      </c>
      <c r="F74" s="13">
        <v>195.57</v>
      </c>
      <c r="G74" s="13">
        <v>224.25</v>
      </c>
      <c r="H74" s="13">
        <f>236.45</f>
        <v>236.45</v>
      </c>
      <c r="L74" s="56" t="s">
        <v>87</v>
      </c>
      <c r="M74" s="12">
        <f>Working!M91*Working!M$7/365</f>
        <v>298.36138068493159</v>
      </c>
      <c r="N74" s="12">
        <f>Working!N91*Working!N$7/365</f>
        <v>319.54503871356167</v>
      </c>
      <c r="O74" s="12">
        <f>Working!O91*Working!O$7/365</f>
        <v>342.23273646222464</v>
      </c>
      <c r="P74" s="23" t="s">
        <v>272</v>
      </c>
    </row>
    <row r="75" spans="2:16" x14ac:dyDescent="0.35">
      <c r="B75" t="s">
        <v>75</v>
      </c>
      <c r="C75" s="12">
        <f t="shared" ref="C75:G75" si="32">C76-C72-C74-C73</f>
        <v>559.91</v>
      </c>
      <c r="D75" s="12">
        <f t="shared" si="32"/>
        <v>515.58000000000004</v>
      </c>
      <c r="E75" s="12">
        <f t="shared" si="32"/>
        <v>537.82999999999981</v>
      </c>
      <c r="F75" s="12">
        <f t="shared" si="32"/>
        <v>722.46000000000015</v>
      </c>
      <c r="G75" s="12">
        <f t="shared" si="32"/>
        <v>751.95</v>
      </c>
      <c r="H75" s="12">
        <f>H76-H72-H74-H73</f>
        <v>746.9699999999998</v>
      </c>
      <c r="L75" s="56" t="s">
        <v>210</v>
      </c>
      <c r="M75" s="50">
        <v>747</v>
      </c>
      <c r="N75" s="50">
        <v>747</v>
      </c>
      <c r="O75" s="50">
        <v>747</v>
      </c>
      <c r="P75" s="23" t="s">
        <v>229</v>
      </c>
    </row>
    <row r="76" spans="2:16" x14ac:dyDescent="0.35">
      <c r="B76" s="1" t="s">
        <v>118</v>
      </c>
      <c r="C76" s="10">
        <v>1516.55</v>
      </c>
      <c r="D76" s="10">
        <v>1231.45</v>
      </c>
      <c r="E76" s="10">
        <v>1407.85</v>
      </c>
      <c r="F76" s="10">
        <v>1838.92</v>
      </c>
      <c r="G76" s="10">
        <v>2129.6</v>
      </c>
      <c r="H76" s="10">
        <v>2301.37</v>
      </c>
      <c r="L76" s="56" t="s">
        <v>87</v>
      </c>
      <c r="M76" s="11">
        <f>SUM(M72:M75)</f>
        <v>2358.1514556986303</v>
      </c>
      <c r="N76" s="11">
        <f t="shared" ref="N76:O76" si="33">SUM(N72:N75)</f>
        <v>2472.5432090532331</v>
      </c>
      <c r="O76" s="11">
        <f t="shared" si="33"/>
        <v>2595.0567768960132</v>
      </c>
      <c r="P76" s="23" t="s">
        <v>259</v>
      </c>
    </row>
    <row r="77" spans="2:16" x14ac:dyDescent="0.35">
      <c r="B77" s="1" t="s">
        <v>73</v>
      </c>
      <c r="C77" s="11">
        <f t="shared" ref="C77:G77" si="34">C70-C76</f>
        <v>247.98000000000002</v>
      </c>
      <c r="D77" s="11">
        <f t="shared" si="34"/>
        <v>248.09999999999991</v>
      </c>
      <c r="E77" s="11">
        <f t="shared" si="34"/>
        <v>410.11000000000013</v>
      </c>
      <c r="F77" s="11">
        <f t="shared" si="34"/>
        <v>-106.49000000000001</v>
      </c>
      <c r="G77" s="11">
        <f t="shared" si="34"/>
        <v>-196.47999999999979</v>
      </c>
      <c r="H77" s="11">
        <f>H70-H76</f>
        <v>-499.5</v>
      </c>
      <c r="L77" s="56" t="s">
        <v>119</v>
      </c>
      <c r="M77" s="11">
        <f>M70-M76</f>
        <v>-445.71620643835604</v>
      </c>
      <c r="N77" s="11">
        <f t="shared" ref="N77:O77" si="35">N70-N76</f>
        <v>-438.65498709547956</v>
      </c>
      <c r="O77" s="11">
        <f t="shared" si="35"/>
        <v>-431.09242117925896</v>
      </c>
      <c r="P77" s="23" t="s">
        <v>119</v>
      </c>
    </row>
    <row r="78" spans="2:16" x14ac:dyDescent="0.35">
      <c r="B78" s="1"/>
      <c r="C78" s="11"/>
      <c r="D78" s="11"/>
      <c r="E78" s="11"/>
      <c r="F78" s="11"/>
      <c r="G78" s="11"/>
      <c r="H78" s="12"/>
      <c r="M78" s="12"/>
      <c r="P78" s="23"/>
    </row>
    <row r="79" spans="2:16" x14ac:dyDescent="0.35">
      <c r="B79" t="s">
        <v>21</v>
      </c>
      <c r="C79" s="13">
        <v>70.58</v>
      </c>
      <c r="D79" s="13">
        <v>13.66</v>
      </c>
      <c r="E79" s="13">
        <v>24.01</v>
      </c>
      <c r="F79" s="13">
        <v>82.18</v>
      </c>
      <c r="G79" s="13">
        <v>67.55</v>
      </c>
      <c r="H79" s="13">
        <v>27.4</v>
      </c>
      <c r="L79" s="56" t="s">
        <v>87</v>
      </c>
      <c r="M79" s="12">
        <f>M133</f>
        <v>114.44460617101836</v>
      </c>
      <c r="N79" s="12">
        <f t="shared" ref="N79:O79" si="36">N133</f>
        <v>339.05247738386134</v>
      </c>
      <c r="O79" s="12">
        <f t="shared" si="36"/>
        <v>857.8733164106286</v>
      </c>
      <c r="P79" s="23" t="s">
        <v>260</v>
      </c>
    </row>
    <row r="80" spans="2:16" x14ac:dyDescent="0.35">
      <c r="C80" s="12"/>
      <c r="D80" s="12"/>
      <c r="E80" s="12"/>
      <c r="F80" s="12"/>
      <c r="G80" s="12"/>
      <c r="H80" s="12"/>
      <c r="P80" s="23"/>
    </row>
    <row r="81" spans="2:16" ht="15" thickBot="1" x14ac:dyDescent="0.4">
      <c r="B81" s="3" t="s">
        <v>56</v>
      </c>
      <c r="C81" s="18">
        <f t="shared" ref="C81:G81" si="37">C63+C77+C79</f>
        <v>2265.12</v>
      </c>
      <c r="D81" s="18">
        <f t="shared" si="37"/>
        <v>2876.4999999999995</v>
      </c>
      <c r="E81" s="18">
        <f t="shared" si="37"/>
        <v>3577.5200000000004</v>
      </c>
      <c r="F81" s="18">
        <f t="shared" si="37"/>
        <v>3307.52</v>
      </c>
      <c r="G81" s="18">
        <f t="shared" si="37"/>
        <v>4275.3300000000008</v>
      </c>
      <c r="H81" s="18">
        <f>H63+H77+H79</f>
        <v>5051.5599999999995</v>
      </c>
      <c r="L81" s="56" t="s">
        <v>120</v>
      </c>
      <c r="M81" s="18">
        <f t="shared" ref="M81:O81" si="38">M63+M77+M79</f>
        <v>5625.922999732662</v>
      </c>
      <c r="N81" s="18">
        <f t="shared" si="38"/>
        <v>5952.0466902883818</v>
      </c>
      <c r="O81" s="18">
        <f t="shared" si="38"/>
        <v>6251.8846952313697</v>
      </c>
      <c r="P81" s="23" t="s">
        <v>120</v>
      </c>
    </row>
    <row r="82" spans="2:16" ht="15" thickTop="1" x14ac:dyDescent="0.35">
      <c r="C82" s="12"/>
      <c r="D82" s="12"/>
      <c r="E82" s="12"/>
      <c r="F82" s="12"/>
      <c r="G82" s="12"/>
      <c r="H82" s="12"/>
      <c r="P82" s="23"/>
    </row>
    <row r="83" spans="2:16" x14ac:dyDescent="0.35">
      <c r="B83" s="21" t="s">
        <v>24</v>
      </c>
      <c r="C83" s="12"/>
      <c r="D83" s="12"/>
      <c r="E83" s="12"/>
      <c r="F83" s="12"/>
      <c r="G83" s="12"/>
      <c r="H83" s="12"/>
      <c r="P83" s="23"/>
    </row>
    <row r="84" spans="2:16" x14ac:dyDescent="0.35">
      <c r="C84" s="12"/>
      <c r="D84" s="12"/>
      <c r="E84" s="12"/>
      <c r="F84" s="12"/>
      <c r="G84" s="12"/>
      <c r="H84" s="12"/>
      <c r="M84" s="12"/>
      <c r="P84" s="23"/>
    </row>
    <row r="85" spans="2:16" x14ac:dyDescent="0.35">
      <c r="C85" s="12"/>
      <c r="D85" s="12"/>
      <c r="E85" s="12"/>
      <c r="F85" s="12"/>
      <c r="G85" s="12"/>
      <c r="H85" s="12"/>
      <c r="M85" s="45"/>
      <c r="P85" s="23"/>
    </row>
    <row r="86" spans="2:16" x14ac:dyDescent="0.35">
      <c r="B86" t="s">
        <v>25</v>
      </c>
      <c r="C86" s="13">
        <v>40.450000000000003</v>
      </c>
      <c r="D86" s="13">
        <v>40.450000000000003</v>
      </c>
      <c r="E86" s="13">
        <v>40.450000000000003</v>
      </c>
      <c r="F86" s="13">
        <v>40.450000000000003</v>
      </c>
      <c r="G86" s="13">
        <v>40.450000000000003</v>
      </c>
      <c r="H86" s="13">
        <v>40.450000000000003</v>
      </c>
      <c r="L86" s="56" t="s">
        <v>87</v>
      </c>
      <c r="M86" s="45">
        <f>Working!M58</f>
        <v>40.450000000000003</v>
      </c>
      <c r="N86" s="45">
        <f>Working!N58</f>
        <v>40.450000000000003</v>
      </c>
      <c r="O86" s="45">
        <f>Working!O58</f>
        <v>40.450000000000003</v>
      </c>
      <c r="P86" s="23" t="s">
        <v>250</v>
      </c>
    </row>
    <row r="87" spans="2:16" x14ac:dyDescent="0.35">
      <c r="B87" t="s">
        <v>26</v>
      </c>
      <c r="C87" s="13">
        <v>1672.99</v>
      </c>
      <c r="D87" s="13">
        <v>2014.29</v>
      </c>
      <c r="E87" s="13">
        <v>2374.5</v>
      </c>
      <c r="F87" s="13">
        <v>2565.64</v>
      </c>
      <c r="G87" s="13">
        <v>2725.66</v>
      </c>
      <c r="H87" s="13">
        <v>2867.47</v>
      </c>
      <c r="L87" s="56" t="s">
        <v>87</v>
      </c>
      <c r="M87" s="12">
        <f>H87+M41-M51+Working!M64-Working!M70</f>
        <v>3041.7529997326624</v>
      </c>
      <c r="N87" s="12">
        <f>M87+N41-N51+Working!N64-Working!N70</f>
        <v>3217.8766902883822</v>
      </c>
      <c r="O87" s="12">
        <f>N87+O41-O51+Working!O64-Working!O70</f>
        <v>3417.7146952313701</v>
      </c>
      <c r="P87" s="23" t="s">
        <v>261</v>
      </c>
    </row>
    <row r="88" spans="2:16" x14ac:dyDescent="0.35">
      <c r="B88" t="s">
        <v>27</v>
      </c>
      <c r="C88" s="12">
        <f t="shared" ref="C88:G88" si="39">C86+C87</f>
        <v>1713.44</v>
      </c>
      <c r="D88" s="12">
        <f t="shared" si="39"/>
        <v>2054.7399999999998</v>
      </c>
      <c r="E88" s="12">
        <f t="shared" si="39"/>
        <v>2414.9499999999998</v>
      </c>
      <c r="F88" s="12">
        <f t="shared" si="39"/>
        <v>2606.0899999999997</v>
      </c>
      <c r="G88" s="12">
        <f t="shared" si="39"/>
        <v>2766.1099999999997</v>
      </c>
      <c r="H88" s="12">
        <f>H86+H87</f>
        <v>2907.9199999999996</v>
      </c>
      <c r="L88" s="56" t="s">
        <v>122</v>
      </c>
      <c r="M88" s="45">
        <f>M86+M87</f>
        <v>3082.2029997326622</v>
      </c>
      <c r="N88" s="45">
        <f t="shared" ref="N88:O88" si="40">N86+N87</f>
        <v>3258.326690288382</v>
      </c>
      <c r="O88" s="45">
        <f t="shared" si="40"/>
        <v>3458.1646952313699</v>
      </c>
      <c r="P88" s="23" t="s">
        <v>122</v>
      </c>
    </row>
    <row r="89" spans="2:16" x14ac:dyDescent="0.35">
      <c r="C89" s="12"/>
      <c r="D89" s="12"/>
      <c r="E89" s="12"/>
      <c r="F89" s="12"/>
      <c r="G89" s="12"/>
      <c r="H89" s="12"/>
      <c r="P89" s="23"/>
    </row>
    <row r="90" spans="2:16" x14ac:dyDescent="0.35">
      <c r="B90" t="s">
        <v>77</v>
      </c>
      <c r="C90" s="13">
        <v>351.66</v>
      </c>
      <c r="D90" s="13">
        <v>587.91</v>
      </c>
      <c r="E90" s="13">
        <v>852.43</v>
      </c>
      <c r="F90" s="13">
        <v>451.16</v>
      </c>
      <c r="G90" s="13">
        <v>1222.6400000000001</v>
      </c>
      <c r="H90" s="13">
        <v>1640.78</v>
      </c>
      <c r="L90" s="56" t="s">
        <v>87</v>
      </c>
      <c r="M90" s="45">
        <f>Working!M44</f>
        <v>2040.78</v>
      </c>
      <c r="N90" s="45">
        <f>Working!N44</f>
        <v>2190.7799999999997</v>
      </c>
      <c r="O90" s="45">
        <f>Working!O44</f>
        <v>2290.7799999999997</v>
      </c>
      <c r="P90" s="23" t="s">
        <v>250</v>
      </c>
    </row>
    <row r="91" spans="2:16" x14ac:dyDescent="0.35">
      <c r="C91" s="12"/>
      <c r="D91" s="12"/>
      <c r="E91" s="12"/>
      <c r="F91" s="12"/>
      <c r="G91" s="12"/>
      <c r="H91" s="12"/>
      <c r="P91" s="23"/>
    </row>
    <row r="92" spans="2:16" x14ac:dyDescent="0.35">
      <c r="B92" t="s">
        <v>81</v>
      </c>
      <c r="C92" s="13">
        <v>125.91</v>
      </c>
      <c r="D92" s="13">
        <v>158.19999999999999</v>
      </c>
      <c r="E92" s="13">
        <v>213.35</v>
      </c>
      <c r="F92" s="13">
        <v>189.29</v>
      </c>
      <c r="G92" s="13">
        <v>219.78</v>
      </c>
      <c r="H92" s="13">
        <v>274.39</v>
      </c>
      <c r="L92" s="56" t="s">
        <v>87</v>
      </c>
      <c r="M92" s="50">
        <f>H92</f>
        <v>274.39</v>
      </c>
      <c r="N92" s="50">
        <f>M92</f>
        <v>274.39</v>
      </c>
      <c r="O92" s="50">
        <f>N92</f>
        <v>274.39</v>
      </c>
      <c r="P92" s="23" t="s">
        <v>229</v>
      </c>
    </row>
    <row r="93" spans="2:16" x14ac:dyDescent="0.35">
      <c r="B93" t="s">
        <v>80</v>
      </c>
      <c r="C93" s="12">
        <f t="shared" ref="C93:G93" si="41">C95-C88-C90-C92</f>
        <v>74.109999999999815</v>
      </c>
      <c r="D93" s="12">
        <f t="shared" si="41"/>
        <v>75.650000000000261</v>
      </c>
      <c r="E93" s="12">
        <f t="shared" si="41"/>
        <v>96.790000000000219</v>
      </c>
      <c r="F93" s="12">
        <f t="shared" si="41"/>
        <v>60.980000000000274</v>
      </c>
      <c r="G93" s="12">
        <f t="shared" si="41"/>
        <v>66.800000000000153</v>
      </c>
      <c r="H93" s="12">
        <f>H95-H88-H90-H92</f>
        <v>228.46999999999991</v>
      </c>
      <c r="L93" s="56" t="s">
        <v>124</v>
      </c>
      <c r="M93" s="50">
        <f>H93</f>
        <v>228.46999999999991</v>
      </c>
      <c r="N93" s="50">
        <f>M93</f>
        <v>228.46999999999991</v>
      </c>
      <c r="O93" s="50">
        <f>N93</f>
        <v>228.46999999999991</v>
      </c>
      <c r="P93" s="23" t="s">
        <v>229</v>
      </c>
    </row>
    <row r="94" spans="2:16" x14ac:dyDescent="0.35">
      <c r="C94" s="12"/>
      <c r="D94" s="12"/>
      <c r="E94" s="12"/>
      <c r="F94" s="12"/>
      <c r="G94" s="12"/>
      <c r="H94" s="12"/>
      <c r="P94" s="23"/>
    </row>
    <row r="95" spans="2:16" ht="29.5" thickBot="1" x14ac:dyDescent="0.4">
      <c r="B95" s="3" t="s">
        <v>28</v>
      </c>
      <c r="C95" s="22">
        <v>2265.12</v>
      </c>
      <c r="D95" s="22">
        <v>2876.5</v>
      </c>
      <c r="E95" s="22">
        <v>3577.52</v>
      </c>
      <c r="F95" s="22">
        <v>3307.52</v>
      </c>
      <c r="G95" s="22">
        <f>2789.9+1485.43</f>
        <v>4275.33</v>
      </c>
      <c r="H95" s="22">
        <f>2931.57+2119.99</f>
        <v>5051.5599999999995</v>
      </c>
      <c r="L95" s="56" t="s">
        <v>121</v>
      </c>
      <c r="M95" s="55">
        <f>M88+M90+M92+M93</f>
        <v>5625.842999732663</v>
      </c>
      <c r="N95" s="55">
        <f t="shared" ref="N95:O95" si="42">N88+N90+N92+N93</f>
        <v>5951.9666902883819</v>
      </c>
      <c r="O95" s="55">
        <f t="shared" si="42"/>
        <v>6251.8046952313707</v>
      </c>
      <c r="P95" s="23" t="s">
        <v>121</v>
      </c>
    </row>
    <row r="96" spans="2:16" ht="15" thickTop="1" x14ac:dyDescent="0.35">
      <c r="C96" s="12"/>
      <c r="D96" s="12"/>
      <c r="E96" s="12"/>
      <c r="F96" s="12"/>
      <c r="G96" s="12"/>
      <c r="H96" s="12"/>
      <c r="M96" s="12"/>
      <c r="N96" s="12"/>
      <c r="O96" s="12"/>
      <c r="P96" s="23"/>
    </row>
    <row r="97" spans="2:16" x14ac:dyDescent="0.35">
      <c r="C97" s="12"/>
      <c r="D97" s="12"/>
      <c r="E97" s="12"/>
      <c r="F97" s="12"/>
      <c r="G97" s="12"/>
      <c r="H97" s="12"/>
      <c r="M97" s="12"/>
      <c r="N97" s="12"/>
      <c r="O97" s="12"/>
      <c r="P97" s="23"/>
    </row>
    <row r="98" spans="2:16" ht="15" thickBot="1" x14ac:dyDescent="0.4">
      <c r="B98" s="4" t="s">
        <v>29</v>
      </c>
      <c r="C98" s="12">
        <f t="shared" ref="C98:G98" si="43">C81-C95</f>
        <v>0</v>
      </c>
      <c r="D98" s="12">
        <f t="shared" si="43"/>
        <v>0</v>
      </c>
      <c r="E98" s="12">
        <f t="shared" si="43"/>
        <v>0</v>
      </c>
      <c r="F98" s="12">
        <f t="shared" si="43"/>
        <v>0</v>
      </c>
      <c r="G98" s="12">
        <f t="shared" si="43"/>
        <v>0</v>
      </c>
      <c r="H98" s="12">
        <f>H81-H95</f>
        <v>0</v>
      </c>
      <c r="L98" s="56" t="s">
        <v>123</v>
      </c>
      <c r="M98" s="12">
        <f>M95-M81</f>
        <v>-7.9999999999017746E-2</v>
      </c>
      <c r="N98" s="12">
        <f t="shared" ref="N98:O98" si="44">N95-N81</f>
        <v>-7.999999999992724E-2</v>
      </c>
      <c r="O98" s="12">
        <f t="shared" si="44"/>
        <v>-7.9999999999017746E-2</v>
      </c>
      <c r="P98" s="23" t="s">
        <v>123</v>
      </c>
    </row>
    <row r="99" spans="2:16" x14ac:dyDescent="0.35">
      <c r="C99" s="12"/>
      <c r="D99" s="12"/>
      <c r="E99" s="12"/>
      <c r="F99" s="12"/>
      <c r="G99" s="12"/>
      <c r="H99" s="12"/>
      <c r="P99" s="23"/>
    </row>
    <row r="100" spans="2:16" x14ac:dyDescent="0.35">
      <c r="C100" s="12"/>
      <c r="D100" s="12"/>
      <c r="E100" s="12"/>
      <c r="F100" s="12"/>
      <c r="G100" s="12"/>
      <c r="H100" s="12"/>
      <c r="P100" s="23"/>
    </row>
    <row r="101" spans="2:16" x14ac:dyDescent="0.35">
      <c r="B101" s="1" t="s">
        <v>30</v>
      </c>
      <c r="C101" s="12"/>
      <c r="D101" s="12"/>
      <c r="E101" s="12"/>
      <c r="F101" s="12"/>
      <c r="G101" s="12"/>
      <c r="H101" s="12"/>
      <c r="P101" s="23"/>
    </row>
    <row r="102" spans="2:16" x14ac:dyDescent="0.35">
      <c r="C102" s="12"/>
      <c r="D102" s="12"/>
      <c r="E102" s="12"/>
      <c r="F102" s="12"/>
      <c r="G102" s="12"/>
      <c r="H102" s="12"/>
      <c r="P102" s="23"/>
    </row>
    <row r="103" spans="2:16" x14ac:dyDescent="0.35">
      <c r="B103" t="s">
        <v>12</v>
      </c>
      <c r="C103" s="16">
        <v>471.57</v>
      </c>
      <c r="D103" s="13">
        <v>586.88</v>
      </c>
      <c r="E103" s="13">
        <v>437.28</v>
      </c>
      <c r="F103" s="13">
        <v>344.31</v>
      </c>
      <c r="G103" s="13">
        <v>356</v>
      </c>
      <c r="H103" s="13">
        <v>287.07</v>
      </c>
      <c r="L103" s="56" t="s">
        <v>87</v>
      </c>
      <c r="M103" s="12">
        <f>M38</f>
        <v>309.83644396917759</v>
      </c>
      <c r="N103" s="12">
        <f t="shared" ref="N103:O103" si="45">N38</f>
        <v>313.1087832101681</v>
      </c>
      <c r="O103" s="12">
        <f t="shared" si="45"/>
        <v>355.26756434308953</v>
      </c>
      <c r="P103" s="23" t="s">
        <v>262</v>
      </c>
    </row>
    <row r="104" spans="2:16" x14ac:dyDescent="0.35">
      <c r="B104" t="s">
        <v>7</v>
      </c>
      <c r="C104" s="13">
        <v>93.43</v>
      </c>
      <c r="D104" s="13">
        <v>107.72</v>
      </c>
      <c r="E104" s="13">
        <v>143.08000000000001</v>
      </c>
      <c r="F104" s="13">
        <v>168.61</v>
      </c>
      <c r="G104" s="13">
        <v>192.71</v>
      </c>
      <c r="H104" s="13">
        <v>276.51</v>
      </c>
      <c r="L104" s="56" t="s">
        <v>87</v>
      </c>
      <c r="M104" s="45">
        <f>M28</f>
        <v>366.54539999999997</v>
      </c>
      <c r="N104" s="45">
        <f t="shared" ref="N104:O104" si="46">N28</f>
        <v>405.54539999999997</v>
      </c>
      <c r="O104" s="45">
        <f t="shared" si="46"/>
        <v>426.54539999999997</v>
      </c>
      <c r="P104" s="23" t="s">
        <v>262</v>
      </c>
    </row>
    <row r="105" spans="2:16" x14ac:dyDescent="0.35">
      <c r="B105" t="s">
        <v>32</v>
      </c>
      <c r="C105" s="16">
        <v>-8.0299999999999994</v>
      </c>
      <c r="D105" s="13">
        <v>-7.39</v>
      </c>
      <c r="E105" s="13">
        <v>-5.47</v>
      </c>
      <c r="F105" s="13">
        <v>-10.85</v>
      </c>
      <c r="G105" s="13">
        <v>-29.42</v>
      </c>
      <c r="H105" s="13">
        <v>-6.46</v>
      </c>
      <c r="L105" s="56" t="s">
        <v>87</v>
      </c>
      <c r="M105" s="12">
        <f>-M35</f>
        <v>-37.729999999999997</v>
      </c>
      <c r="N105" s="12">
        <f t="shared" ref="N105:O105" si="47">-N35</f>
        <v>-37.729999999999997</v>
      </c>
      <c r="O105" s="12">
        <f t="shared" si="47"/>
        <v>-37.729999999999997</v>
      </c>
      <c r="P105" s="23" t="s">
        <v>263</v>
      </c>
    </row>
    <row r="106" spans="2:16" x14ac:dyDescent="0.35">
      <c r="B106" t="s">
        <v>33</v>
      </c>
      <c r="C106" s="16">
        <v>-7.44</v>
      </c>
      <c r="D106" s="13">
        <v>-10.89</v>
      </c>
      <c r="E106" s="13">
        <v>-0.23</v>
      </c>
      <c r="F106" s="13">
        <v>-2</v>
      </c>
      <c r="G106" s="13">
        <v>0</v>
      </c>
      <c r="H106" s="13">
        <v>0</v>
      </c>
      <c r="L106" s="56" t="s">
        <v>87</v>
      </c>
      <c r="M106" s="50">
        <v>0</v>
      </c>
      <c r="N106" s="50">
        <v>0</v>
      </c>
      <c r="O106" s="50">
        <v>0</v>
      </c>
      <c r="P106" s="23" t="s">
        <v>264</v>
      </c>
    </row>
    <row r="107" spans="2:16" x14ac:dyDescent="0.35">
      <c r="B107" t="s">
        <v>48</v>
      </c>
      <c r="C107" s="13">
        <v>131.86000000000001</v>
      </c>
      <c r="D107" s="13">
        <v>94.89</v>
      </c>
      <c r="E107" s="13">
        <v>81.72</v>
      </c>
      <c r="F107" s="13">
        <v>97.35</v>
      </c>
      <c r="G107" s="13">
        <v>88.04</v>
      </c>
      <c r="H107" s="13">
        <v>192.49</v>
      </c>
      <c r="L107" s="56" t="s">
        <v>87</v>
      </c>
      <c r="M107" s="12">
        <f>M34</f>
        <v>189.73671213082193</v>
      </c>
      <c r="N107" s="12">
        <f t="shared" ref="N107:O107" si="48">N34</f>
        <v>218.22598887293216</v>
      </c>
      <c r="O107" s="12">
        <f t="shared" si="48"/>
        <v>231.45019988291034</v>
      </c>
      <c r="P107" s="23" t="s">
        <v>262</v>
      </c>
    </row>
    <row r="108" spans="2:16" ht="29" x14ac:dyDescent="0.35">
      <c r="B108" t="s">
        <v>34</v>
      </c>
      <c r="C108" s="12">
        <f t="shared" ref="C108:G108" si="49">C109-C103-C104-C105-C106-C107</f>
        <v>8.1599999999999397</v>
      </c>
      <c r="D108" s="12">
        <f t="shared" si="49"/>
        <v>17.459999999999965</v>
      </c>
      <c r="E108" s="12">
        <f t="shared" si="49"/>
        <v>-2.6299999999999812</v>
      </c>
      <c r="F108" s="12">
        <f t="shared" si="49"/>
        <v>-0.99000000000006594</v>
      </c>
      <c r="G108" s="12">
        <f t="shared" si="49"/>
        <v>2.6999999999999602</v>
      </c>
      <c r="H108" s="12">
        <f>H109-H103-H104-H105-H106-H107</f>
        <v>-33.40999999999994</v>
      </c>
      <c r="L108" s="56" t="s">
        <v>129</v>
      </c>
      <c r="M108" s="50">
        <v>0</v>
      </c>
      <c r="N108" s="50">
        <v>0</v>
      </c>
      <c r="O108" s="50">
        <v>0</v>
      </c>
      <c r="P108" s="23" t="s">
        <v>264</v>
      </c>
    </row>
    <row r="109" spans="2:16" x14ac:dyDescent="0.35">
      <c r="B109" s="1" t="s">
        <v>35</v>
      </c>
      <c r="C109" s="16">
        <v>689.55</v>
      </c>
      <c r="D109" s="13">
        <v>788.67</v>
      </c>
      <c r="E109" s="13">
        <v>653.75</v>
      </c>
      <c r="F109" s="13">
        <v>596.42999999999995</v>
      </c>
      <c r="G109" s="13">
        <v>610.03</v>
      </c>
      <c r="H109" s="13">
        <v>716.2</v>
      </c>
      <c r="L109" s="56" t="s">
        <v>87</v>
      </c>
      <c r="M109" s="12">
        <f>SUM(M103:M108)</f>
        <v>828.38855609999951</v>
      </c>
      <c r="N109" s="12">
        <f t="shared" ref="N109:O109" si="50">SUM(N103:N108)</f>
        <v>899.15017208310019</v>
      </c>
      <c r="O109" s="12">
        <f t="shared" si="50"/>
        <v>975.53316422599983</v>
      </c>
      <c r="P109" s="23" t="s">
        <v>265</v>
      </c>
    </row>
    <row r="110" spans="2:16" x14ac:dyDescent="0.35">
      <c r="B110" t="s">
        <v>36</v>
      </c>
      <c r="C110" s="12">
        <f t="shared" ref="C110:G110" si="51">C111-C109</f>
        <v>171.42000000000007</v>
      </c>
      <c r="D110" s="12">
        <f t="shared" si="51"/>
        <v>82.019999999999982</v>
      </c>
      <c r="E110" s="12">
        <f t="shared" si="51"/>
        <v>-217.35999999999996</v>
      </c>
      <c r="F110" s="12">
        <f t="shared" si="51"/>
        <v>173.83000000000004</v>
      </c>
      <c r="G110" s="12">
        <f t="shared" si="51"/>
        <v>23.470000000000027</v>
      </c>
      <c r="H110" s="12">
        <f>H111-H109</f>
        <v>258.23</v>
      </c>
      <c r="L110" s="56" t="s">
        <v>126</v>
      </c>
      <c r="M110" s="12">
        <f>H77-M77-(M74-H74)</f>
        <v>-115.69517424657556</v>
      </c>
      <c r="N110" s="12">
        <f>M77-N77-(N74-M74)</f>
        <v>-28.244877371506561</v>
      </c>
      <c r="O110" s="12">
        <f>N77-O77-(O74-N74)</f>
        <v>-30.250263664883562</v>
      </c>
      <c r="P110" s="23" t="s">
        <v>266</v>
      </c>
    </row>
    <row r="111" spans="2:16" x14ac:dyDescent="0.35">
      <c r="B111" t="s">
        <v>37</v>
      </c>
      <c r="C111" s="12">
        <f t="shared" ref="C111:G111" si="52">C113-C112</f>
        <v>860.97</v>
      </c>
      <c r="D111" s="12">
        <f t="shared" si="52"/>
        <v>870.68999999999994</v>
      </c>
      <c r="E111" s="12">
        <f t="shared" si="52"/>
        <v>436.39000000000004</v>
      </c>
      <c r="F111" s="12">
        <f t="shared" si="52"/>
        <v>770.26</v>
      </c>
      <c r="G111" s="12">
        <f t="shared" si="52"/>
        <v>633.5</v>
      </c>
      <c r="H111" s="12">
        <f>H113-H112</f>
        <v>974.43000000000006</v>
      </c>
      <c r="L111" s="56" t="s">
        <v>125</v>
      </c>
      <c r="M111" s="12">
        <f>M109+M110</f>
        <v>712.69338185342394</v>
      </c>
      <c r="N111" s="12">
        <f t="shared" ref="N111:O111" si="53">N109+N110</f>
        <v>870.90529471159357</v>
      </c>
      <c r="O111" s="12">
        <f t="shared" si="53"/>
        <v>945.28290056111632</v>
      </c>
      <c r="P111" s="23" t="s">
        <v>267</v>
      </c>
    </row>
    <row r="112" spans="2:16" x14ac:dyDescent="0.35">
      <c r="B112" t="s">
        <v>38</v>
      </c>
      <c r="C112" s="16">
        <v>-112.28</v>
      </c>
      <c r="D112" s="13">
        <v>-168.64</v>
      </c>
      <c r="E112" s="13">
        <v>-101.73</v>
      </c>
      <c r="F112" s="13">
        <v>-97.87</v>
      </c>
      <c r="G112" s="13">
        <v>-80.83</v>
      </c>
      <c r="H112" s="13">
        <v>-18.100000000000001</v>
      </c>
      <c r="L112" s="56" t="s">
        <v>87</v>
      </c>
      <c r="M112" s="12">
        <f>-M39</f>
        <v>-77.459110992294399</v>
      </c>
      <c r="N112" s="12">
        <f t="shared" ref="N112:O112" si="54">-N39</f>
        <v>-78.277195802542025</v>
      </c>
      <c r="O112" s="12">
        <f t="shared" si="54"/>
        <v>-88.816891085772383</v>
      </c>
      <c r="P112" s="23" t="s">
        <v>262</v>
      </c>
    </row>
    <row r="113" spans="2:16" x14ac:dyDescent="0.35">
      <c r="B113" s="1" t="s">
        <v>39</v>
      </c>
      <c r="C113" s="17">
        <v>748.69</v>
      </c>
      <c r="D113" s="10">
        <v>702.05</v>
      </c>
      <c r="E113" s="10">
        <v>334.66</v>
      </c>
      <c r="F113" s="10">
        <v>672.39</v>
      </c>
      <c r="G113" s="10">
        <v>552.66999999999996</v>
      </c>
      <c r="H113" s="10">
        <v>956.33</v>
      </c>
      <c r="L113" s="56" t="s">
        <v>87</v>
      </c>
      <c r="M113" s="11">
        <f>M111+M112</f>
        <v>635.23427086112952</v>
      </c>
      <c r="N113" s="11">
        <f t="shared" ref="N113:O113" si="55">N111+N112</f>
        <v>792.62809890905157</v>
      </c>
      <c r="O113" s="11">
        <f t="shared" si="55"/>
        <v>856.46600947534398</v>
      </c>
      <c r="P113" s="23" t="s">
        <v>268</v>
      </c>
    </row>
    <row r="114" spans="2:16" x14ac:dyDescent="0.35">
      <c r="C114" s="14"/>
      <c r="D114" s="12"/>
      <c r="E114" s="12"/>
      <c r="F114" s="12"/>
      <c r="G114" s="12"/>
      <c r="H114" s="12"/>
      <c r="P114" s="23"/>
    </row>
    <row r="115" spans="2:16" x14ac:dyDescent="0.35">
      <c r="B115" t="s">
        <v>40</v>
      </c>
      <c r="C115" s="16">
        <v>-302.79000000000002</v>
      </c>
      <c r="D115" s="13">
        <v>-738.13</v>
      </c>
      <c r="E115" s="13">
        <v>-587.71</v>
      </c>
      <c r="F115" s="13">
        <v>-483.85</v>
      </c>
      <c r="G115" s="13">
        <v>-1107.32</v>
      </c>
      <c r="H115" s="13">
        <v>-1109.8800000000001</v>
      </c>
      <c r="L115" s="56" t="s">
        <v>87</v>
      </c>
      <c r="M115" s="12">
        <f>-Working!M36</f>
        <v>-800</v>
      </c>
      <c r="N115" s="12">
        <f>-Working!N36</f>
        <v>-500</v>
      </c>
      <c r="O115" s="12">
        <f>-Working!O36</f>
        <v>-200</v>
      </c>
      <c r="P115" s="23" t="s">
        <v>250</v>
      </c>
    </row>
    <row r="116" spans="2:16" x14ac:dyDescent="0.35">
      <c r="B116" t="s">
        <v>49</v>
      </c>
      <c r="C116" s="16">
        <v>0</v>
      </c>
      <c r="D116" s="13">
        <v>0</v>
      </c>
      <c r="E116" s="13">
        <v>0</v>
      </c>
      <c r="F116" s="13">
        <v>0</v>
      </c>
      <c r="G116" s="13">
        <v>0</v>
      </c>
      <c r="H116" s="13">
        <v>-2.99</v>
      </c>
      <c r="L116" s="56" t="s">
        <v>87</v>
      </c>
      <c r="M116" s="50">
        <v>0</v>
      </c>
      <c r="N116" s="50">
        <v>0</v>
      </c>
      <c r="O116" s="50">
        <v>0</v>
      </c>
      <c r="P116" s="23" t="s">
        <v>264</v>
      </c>
    </row>
    <row r="117" spans="2:16" x14ac:dyDescent="0.35">
      <c r="B117" t="s">
        <v>41</v>
      </c>
      <c r="C117" s="16">
        <v>30.53</v>
      </c>
      <c r="D117" s="13">
        <v>226.03</v>
      </c>
      <c r="E117" s="13">
        <v>10.8</v>
      </c>
      <c r="F117" s="13">
        <v>36.71</v>
      </c>
      <c r="G117" s="13">
        <v>33.92</v>
      </c>
      <c r="H117" s="13">
        <v>0.62</v>
      </c>
      <c r="L117" s="56" t="s">
        <v>87</v>
      </c>
      <c r="M117" s="12">
        <f>H59-M59</f>
        <v>0</v>
      </c>
      <c r="N117" s="12">
        <f>M59-N59</f>
        <v>0</v>
      </c>
      <c r="O117" s="12">
        <f>N59-O59</f>
        <v>0</v>
      </c>
      <c r="P117" s="23" t="s">
        <v>269</v>
      </c>
    </row>
    <row r="118" spans="2:16" x14ac:dyDescent="0.35">
      <c r="B118" t="s">
        <v>42</v>
      </c>
      <c r="C118" s="16">
        <v>8.6199999999999992</v>
      </c>
      <c r="D118" s="13">
        <v>7.49</v>
      </c>
      <c r="E118" s="13">
        <v>5.69</v>
      </c>
      <c r="F118" s="13">
        <v>11.51</v>
      </c>
      <c r="G118" s="13">
        <v>3.41</v>
      </c>
      <c r="H118" s="13">
        <v>31.55</v>
      </c>
      <c r="L118" s="56" t="s">
        <v>87</v>
      </c>
      <c r="M118" s="12">
        <f>-M105</f>
        <v>37.729999999999997</v>
      </c>
      <c r="N118" s="12">
        <f t="shared" ref="N118:O118" si="56">-N105</f>
        <v>37.729999999999997</v>
      </c>
      <c r="O118" s="12">
        <f t="shared" si="56"/>
        <v>37.729999999999997</v>
      </c>
      <c r="P118" s="23" t="s">
        <v>270</v>
      </c>
    </row>
    <row r="119" spans="2:16" x14ac:dyDescent="0.35">
      <c r="B119" t="s">
        <v>43</v>
      </c>
      <c r="C119" s="16">
        <v>7.44</v>
      </c>
      <c r="D119" s="16">
        <v>10.89</v>
      </c>
      <c r="E119" s="16">
        <v>0.23</v>
      </c>
      <c r="F119" s="16">
        <v>2</v>
      </c>
      <c r="G119" s="16">
        <v>0</v>
      </c>
      <c r="H119" s="13">
        <v>10.36</v>
      </c>
      <c r="L119" s="56" t="s">
        <v>87</v>
      </c>
      <c r="M119" s="12">
        <f>-M106</f>
        <v>0</v>
      </c>
      <c r="N119" s="12">
        <f t="shared" ref="N119:O119" si="57">-N106</f>
        <v>0</v>
      </c>
      <c r="O119" s="12">
        <f t="shared" si="57"/>
        <v>0</v>
      </c>
      <c r="P119" s="23" t="s">
        <v>270</v>
      </c>
    </row>
    <row r="120" spans="2:16" ht="29" x14ac:dyDescent="0.35">
      <c r="B120" t="s">
        <v>34</v>
      </c>
      <c r="C120" s="12">
        <f t="shared" ref="C120:G120" si="58">C121-C115-C116-C117-C118-C119</f>
        <v>2.9100000000000277</v>
      </c>
      <c r="D120" s="12">
        <f t="shared" si="58"/>
        <v>61.109999999999985</v>
      </c>
      <c r="E120" s="12">
        <f t="shared" si="58"/>
        <v>27.560000000000088</v>
      </c>
      <c r="F120" s="12">
        <f t="shared" si="58"/>
        <v>21.880000000000024</v>
      </c>
      <c r="G120" s="12">
        <f t="shared" si="58"/>
        <v>18.249999999999925</v>
      </c>
      <c r="H120" s="12">
        <f>H121-H115-H116-H117-H118-H119</f>
        <v>-5.1599999999998865</v>
      </c>
      <c r="L120" s="56" t="s">
        <v>127</v>
      </c>
      <c r="M120" s="50">
        <v>0</v>
      </c>
      <c r="N120" s="50">
        <v>0</v>
      </c>
      <c r="O120" s="50">
        <v>0</v>
      </c>
      <c r="P120" s="23" t="s">
        <v>264</v>
      </c>
    </row>
    <row r="121" spans="2:16" x14ac:dyDescent="0.35">
      <c r="B121" s="1" t="s">
        <v>44</v>
      </c>
      <c r="C121" s="17">
        <v>-253.29</v>
      </c>
      <c r="D121" s="10">
        <v>-432.61</v>
      </c>
      <c r="E121" s="10">
        <v>-543.42999999999995</v>
      </c>
      <c r="F121" s="10">
        <v>-411.75</v>
      </c>
      <c r="G121" s="10">
        <v>-1051.74</v>
      </c>
      <c r="H121" s="10">
        <v>-1075.5</v>
      </c>
      <c r="L121" s="56" t="s">
        <v>87</v>
      </c>
      <c r="M121" s="11">
        <f>SUM(M115:M120)</f>
        <v>-762.27</v>
      </c>
      <c r="N121" s="11">
        <f t="shared" ref="N121:O121" si="59">SUM(N115:N120)</f>
        <v>-462.27</v>
      </c>
      <c r="O121" s="11">
        <f t="shared" si="59"/>
        <v>-162.27000000000001</v>
      </c>
      <c r="P121" s="23" t="s">
        <v>265</v>
      </c>
    </row>
    <row r="122" spans="2:16" x14ac:dyDescent="0.35">
      <c r="C122" s="14"/>
      <c r="D122" s="12"/>
      <c r="E122" s="12"/>
      <c r="F122" s="12"/>
      <c r="G122" s="12"/>
      <c r="H122" s="12"/>
      <c r="P122" s="23"/>
    </row>
    <row r="123" spans="2:16" x14ac:dyDescent="0.35">
      <c r="B123" t="s">
        <v>147</v>
      </c>
      <c r="C123" s="16">
        <v>-399.42</v>
      </c>
      <c r="D123" s="13">
        <v>-92.48</v>
      </c>
      <c r="E123" s="13">
        <v>330.96</v>
      </c>
      <c r="F123" s="13">
        <v>-52.42</v>
      </c>
      <c r="G123" s="13">
        <v>625.96</v>
      </c>
      <c r="H123" s="13">
        <v>431.03</v>
      </c>
      <c r="L123" s="56" t="s">
        <v>87</v>
      </c>
      <c r="M123" s="12">
        <f>Working!M49</f>
        <v>461.9113806849316</v>
      </c>
      <c r="N123" s="12">
        <f>Working!N49</f>
        <v>171.18365802863008</v>
      </c>
      <c r="O123" s="12">
        <f>Working!O49</f>
        <v>122.68769774866297</v>
      </c>
      <c r="P123" s="23" t="s">
        <v>250</v>
      </c>
    </row>
    <row r="124" spans="2:16" x14ac:dyDescent="0.35">
      <c r="B124" t="s">
        <v>45</v>
      </c>
      <c r="C124" s="16">
        <v>393.45</v>
      </c>
      <c r="D124" s="13">
        <v>0</v>
      </c>
      <c r="E124" s="13">
        <v>0</v>
      </c>
      <c r="F124" s="13">
        <v>0</v>
      </c>
      <c r="G124" s="13">
        <v>0</v>
      </c>
      <c r="H124" s="13">
        <v>0</v>
      </c>
      <c r="L124" s="56" t="s">
        <v>87</v>
      </c>
      <c r="M124" s="12">
        <f>Working!M60-Working!M66</f>
        <v>0</v>
      </c>
      <c r="N124" s="12">
        <f>Working!N60-Working!N66</f>
        <v>0</v>
      </c>
      <c r="O124" s="12">
        <f>Working!O60-Working!O66</f>
        <v>0</v>
      </c>
      <c r="P124" s="23" t="s">
        <v>271</v>
      </c>
    </row>
    <row r="125" spans="2:16" x14ac:dyDescent="0.35">
      <c r="B125" t="s">
        <v>50</v>
      </c>
      <c r="C125" s="16">
        <v>-40.42</v>
      </c>
      <c r="D125" s="13">
        <v>-0.66</v>
      </c>
      <c r="E125" s="13">
        <v>-97.93</v>
      </c>
      <c r="F125" s="13">
        <v>-52.8</v>
      </c>
      <c r="G125" s="13">
        <v>-52.63</v>
      </c>
      <c r="H125" s="13">
        <v>-107.9</v>
      </c>
      <c r="L125" s="56" t="s">
        <v>87</v>
      </c>
      <c r="M125" s="12">
        <f>-Working!M76</f>
        <v>-58.094333244220799</v>
      </c>
      <c r="N125" s="12">
        <f>-Working!N76</f>
        <v>-58.707896851906519</v>
      </c>
      <c r="O125" s="12">
        <f>-Working!O76</f>
        <v>-66.612668314329284</v>
      </c>
      <c r="P125" s="23" t="s">
        <v>250</v>
      </c>
    </row>
    <row r="126" spans="2:16" x14ac:dyDescent="0.35">
      <c r="B126" t="s">
        <v>78</v>
      </c>
      <c r="C126" s="13">
        <v>-131.86000000000001</v>
      </c>
      <c r="D126" s="13">
        <v>-94.89</v>
      </c>
      <c r="E126" s="13">
        <v>-81.72</v>
      </c>
      <c r="F126" s="13">
        <v>-97.35</v>
      </c>
      <c r="G126" s="13">
        <v>-88.04</v>
      </c>
      <c r="H126" s="13">
        <v>-192.49</v>
      </c>
      <c r="L126" s="56" t="s">
        <v>87</v>
      </c>
      <c r="M126" s="12">
        <f>-M107</f>
        <v>-189.73671213082193</v>
      </c>
      <c r="N126" s="12">
        <f t="shared" ref="N126:O126" si="60">-N107</f>
        <v>-218.22598887293216</v>
      </c>
      <c r="O126" s="12">
        <f t="shared" si="60"/>
        <v>-231.45019988291034</v>
      </c>
      <c r="P126" s="23" t="s">
        <v>270</v>
      </c>
    </row>
    <row r="127" spans="2:16" ht="29" x14ac:dyDescent="0.35">
      <c r="B127" t="s">
        <v>34</v>
      </c>
      <c r="C127" s="12">
        <f t="shared" ref="C127:G127" si="61">C128-C123-C124-C125-C126</f>
        <v>-15.769999999999982</v>
      </c>
      <c r="D127" s="12">
        <f t="shared" si="61"/>
        <v>-138.32999999999998</v>
      </c>
      <c r="E127" s="12">
        <f t="shared" si="61"/>
        <v>67.810000000000031</v>
      </c>
      <c r="F127" s="12">
        <f t="shared" si="61"/>
        <v>9.9999999999980105E-2</v>
      </c>
      <c r="G127" s="12">
        <f t="shared" si="61"/>
        <v>-0.85000000000003695</v>
      </c>
      <c r="H127" s="12">
        <f>H128-H123-H124-H125-H126</f>
        <v>-51.619999999999976</v>
      </c>
      <c r="L127" s="56" t="s">
        <v>128</v>
      </c>
      <c r="M127" s="50">
        <v>0</v>
      </c>
      <c r="N127" s="50">
        <v>0</v>
      </c>
      <c r="O127" s="50">
        <v>0</v>
      </c>
      <c r="P127" s="23" t="s">
        <v>264</v>
      </c>
    </row>
    <row r="128" spans="2:16" x14ac:dyDescent="0.35">
      <c r="B128" s="1" t="s">
        <v>46</v>
      </c>
      <c r="C128" s="17">
        <v>-194.02</v>
      </c>
      <c r="D128" s="10">
        <v>-326.36</v>
      </c>
      <c r="E128" s="10">
        <v>219.12</v>
      </c>
      <c r="F128" s="10">
        <v>-202.47</v>
      </c>
      <c r="G128" s="10">
        <v>484.44</v>
      </c>
      <c r="H128" s="10">
        <v>79.02</v>
      </c>
      <c r="L128" s="56" t="s">
        <v>87</v>
      </c>
      <c r="M128" s="11">
        <f>SUM(M123:M127)</f>
        <v>214.08033530988885</v>
      </c>
      <c r="N128" s="11">
        <f t="shared" ref="N128:O128" si="62">SUM(N123:N127)</f>
        <v>-105.75022769620861</v>
      </c>
      <c r="O128" s="11">
        <f t="shared" si="62"/>
        <v>-175.37517044857665</v>
      </c>
      <c r="P128" s="23" t="s">
        <v>265</v>
      </c>
    </row>
    <row r="129" spans="2:16" x14ac:dyDescent="0.35">
      <c r="C129" s="14"/>
      <c r="D129" s="12"/>
      <c r="E129" s="12"/>
      <c r="F129" s="12"/>
      <c r="G129" s="12"/>
      <c r="H129" s="12"/>
      <c r="P129" s="23"/>
    </row>
    <row r="130" spans="2:16" x14ac:dyDescent="0.35">
      <c r="B130" s="1" t="s">
        <v>47</v>
      </c>
      <c r="C130" s="15">
        <f t="shared" ref="C130:G130" si="63">C113+C121+C128</f>
        <v>301.38000000000011</v>
      </c>
      <c r="D130" s="15">
        <f t="shared" si="63"/>
        <v>-56.920000000000073</v>
      </c>
      <c r="E130" s="15">
        <f t="shared" si="63"/>
        <v>10.35000000000008</v>
      </c>
      <c r="F130" s="15">
        <f t="shared" si="63"/>
        <v>58.169999999999987</v>
      </c>
      <c r="G130" s="15">
        <f t="shared" si="63"/>
        <v>-14.630000000000052</v>
      </c>
      <c r="H130" s="15">
        <f>H113+H121+H128</f>
        <v>-40.149999999999963</v>
      </c>
      <c r="L130" s="56" t="s">
        <v>130</v>
      </c>
      <c r="M130" s="11">
        <f t="shared" ref="M130:O130" si="64">M113+M121+M128</f>
        <v>87.044606171018387</v>
      </c>
      <c r="N130" s="11">
        <f>N113+N121+N128</f>
        <v>224.60787121284298</v>
      </c>
      <c r="O130" s="11">
        <f t="shared" si="64"/>
        <v>518.82083902676732</v>
      </c>
      <c r="P130" s="23" t="s">
        <v>130</v>
      </c>
    </row>
    <row r="131" spans="2:16" x14ac:dyDescent="0.35">
      <c r="B131" s="1"/>
      <c r="C131" s="14"/>
      <c r="D131" s="12"/>
      <c r="E131" s="12"/>
      <c r="F131" s="12"/>
      <c r="G131" s="12"/>
      <c r="H131" s="12"/>
      <c r="P131" s="23"/>
    </row>
    <row r="132" spans="2:16" x14ac:dyDescent="0.35">
      <c r="B132" s="1" t="s">
        <v>133</v>
      </c>
      <c r="C132" s="17">
        <v>102.59</v>
      </c>
      <c r="D132" s="10">
        <v>70.58</v>
      </c>
      <c r="E132" s="11">
        <f>D133</f>
        <v>13.659999999999926</v>
      </c>
      <c r="F132" s="11">
        <f>E133</f>
        <v>24.010000000000005</v>
      </c>
      <c r="G132" s="11">
        <f>F133</f>
        <v>82.179999999999993</v>
      </c>
      <c r="H132" s="11">
        <f>G133</f>
        <v>67.54999999999994</v>
      </c>
      <c r="L132" s="56" t="s">
        <v>132</v>
      </c>
      <c r="M132" s="11">
        <f>H133</f>
        <v>27.399999999999977</v>
      </c>
      <c r="N132" s="11">
        <f>M133</f>
        <v>114.44460617101836</v>
      </c>
      <c r="O132" s="11">
        <f>N133</f>
        <v>339.05247738386134</v>
      </c>
      <c r="P132" s="23" t="s">
        <v>132</v>
      </c>
    </row>
    <row r="133" spans="2:16" ht="29" x14ac:dyDescent="0.35">
      <c r="B133" s="1" t="s">
        <v>134</v>
      </c>
      <c r="C133" s="11">
        <f>C130+C132</f>
        <v>403.97000000000014</v>
      </c>
      <c r="D133" s="11">
        <f t="shared" ref="D133:H133" si="65">D130+D132</f>
        <v>13.659999999999926</v>
      </c>
      <c r="E133" s="11">
        <f t="shared" si="65"/>
        <v>24.010000000000005</v>
      </c>
      <c r="F133" s="11">
        <f t="shared" si="65"/>
        <v>82.179999999999993</v>
      </c>
      <c r="G133" s="11">
        <f t="shared" si="65"/>
        <v>67.54999999999994</v>
      </c>
      <c r="H133" s="11">
        <f t="shared" si="65"/>
        <v>27.399999999999977</v>
      </c>
      <c r="L133" s="56" t="s">
        <v>131</v>
      </c>
      <c r="M133" s="11">
        <f t="shared" ref="M133:O133" si="66">M130+M132</f>
        <v>114.44460617101836</v>
      </c>
      <c r="N133" s="11">
        <f t="shared" si="66"/>
        <v>339.05247738386134</v>
      </c>
      <c r="O133" s="11">
        <f t="shared" si="66"/>
        <v>857.8733164106286</v>
      </c>
      <c r="P133" s="23" t="s">
        <v>131</v>
      </c>
    </row>
    <row r="134" spans="2:16" x14ac:dyDescent="0.35">
      <c r="C134" s="12"/>
      <c r="D134" s="12"/>
      <c r="E134" s="12"/>
      <c r="F134" s="12"/>
      <c r="G134" s="12"/>
      <c r="H134" s="12"/>
      <c r="P134" s="23"/>
    </row>
    <row r="135" spans="2:16" x14ac:dyDescent="0.35">
      <c r="B135" s="1" t="s">
        <v>135</v>
      </c>
      <c r="C135" s="15">
        <f>C113+C115</f>
        <v>445.90000000000003</v>
      </c>
      <c r="D135" s="15">
        <f t="shared" ref="D135:O135" si="67">D113+D115</f>
        <v>-36.080000000000041</v>
      </c>
      <c r="E135" s="15">
        <f t="shared" si="67"/>
        <v>-253.05</v>
      </c>
      <c r="F135" s="15">
        <f t="shared" si="67"/>
        <v>188.53999999999996</v>
      </c>
      <c r="G135" s="15">
        <f t="shared" si="67"/>
        <v>-554.65</v>
      </c>
      <c r="H135" s="15">
        <f t="shared" si="67"/>
        <v>-153.55000000000007</v>
      </c>
      <c r="I135" s="15">
        <f t="shared" si="67"/>
        <v>0</v>
      </c>
      <c r="J135" s="15">
        <f t="shared" si="67"/>
        <v>0</v>
      </c>
      <c r="K135" s="15">
        <f t="shared" si="67"/>
        <v>0</v>
      </c>
      <c r="L135" s="56" t="s">
        <v>136</v>
      </c>
      <c r="M135" s="15">
        <f t="shared" si="67"/>
        <v>-164.76572913887048</v>
      </c>
      <c r="N135" s="15">
        <f t="shared" si="67"/>
        <v>292.62809890905157</v>
      </c>
      <c r="O135" s="15">
        <f t="shared" si="67"/>
        <v>656.46600947534398</v>
      </c>
      <c r="P135" s="23" t="s">
        <v>136</v>
      </c>
    </row>
    <row r="136" spans="2:16" x14ac:dyDescent="0.35">
      <c r="B136" s="1"/>
      <c r="C136" s="12"/>
      <c r="D136" s="12"/>
      <c r="E136" s="12"/>
      <c r="F136" s="12"/>
      <c r="G136" s="12"/>
    </row>
    <row r="137" spans="2:16" x14ac:dyDescent="0.35">
      <c r="C137" s="12"/>
      <c r="D137" s="12"/>
      <c r="E137" s="12"/>
      <c r="F137" s="12"/>
      <c r="G137" s="12"/>
    </row>
    <row r="138" spans="2:16" x14ac:dyDescent="0.35">
      <c r="C138" s="12"/>
      <c r="D138" s="12"/>
      <c r="E138" s="12"/>
      <c r="F138" s="12"/>
      <c r="G138" s="12"/>
    </row>
    <row r="139" spans="2:16" x14ac:dyDescent="0.35">
      <c r="C139" s="12"/>
      <c r="D139" s="12"/>
      <c r="E139" s="12"/>
      <c r="F139" s="12"/>
      <c r="G139" s="12"/>
    </row>
    <row r="140" spans="2:16" x14ac:dyDescent="0.35">
      <c r="C140" s="12"/>
      <c r="D140" s="12"/>
      <c r="E140" s="12"/>
      <c r="F140" s="12"/>
      <c r="G140" s="12"/>
    </row>
    <row r="141" spans="2:16" x14ac:dyDescent="0.35">
      <c r="C141" s="12"/>
      <c r="D141" s="12"/>
      <c r="E141" s="12"/>
      <c r="F141" s="12"/>
      <c r="G141" s="12"/>
    </row>
    <row r="142" spans="2:16" x14ac:dyDescent="0.35">
      <c r="C142" s="12"/>
      <c r="D142" s="12"/>
      <c r="E142" s="12"/>
      <c r="F142" s="12"/>
      <c r="G142" s="12"/>
    </row>
    <row r="143" spans="2:16" x14ac:dyDescent="0.35">
      <c r="C143" s="12"/>
      <c r="D143" s="12"/>
      <c r="E143" s="12"/>
      <c r="F143" s="12"/>
      <c r="G143" s="12"/>
    </row>
    <row r="144" spans="2:16" x14ac:dyDescent="0.35">
      <c r="C144" s="12"/>
      <c r="D144" s="12"/>
      <c r="E144" s="12"/>
      <c r="F144" s="12"/>
      <c r="G144" s="12"/>
    </row>
    <row r="145" spans="3:7" x14ac:dyDescent="0.35">
      <c r="C145" s="12"/>
      <c r="D145" s="12"/>
      <c r="E145" s="12"/>
      <c r="F145" s="12"/>
      <c r="G145" s="12"/>
    </row>
    <row r="146" spans="3:7" x14ac:dyDescent="0.35">
      <c r="C146" s="12"/>
      <c r="D146" s="12"/>
      <c r="E146" s="12"/>
      <c r="F146" s="12"/>
      <c r="G146" s="12"/>
    </row>
    <row r="147" spans="3:7" x14ac:dyDescent="0.35">
      <c r="C147" s="12"/>
      <c r="D147" s="12"/>
      <c r="E147" s="12"/>
      <c r="F147" s="12"/>
      <c r="G147" s="12"/>
    </row>
    <row r="148" spans="3:7" x14ac:dyDescent="0.35">
      <c r="C148" s="12"/>
      <c r="D148" s="12"/>
      <c r="E148" s="12"/>
      <c r="F148" s="12"/>
      <c r="G148" s="12"/>
    </row>
    <row r="149" spans="3:7" x14ac:dyDescent="0.35">
      <c r="C149" s="12"/>
      <c r="D149" s="12"/>
      <c r="E149" s="12"/>
      <c r="F149" s="12"/>
      <c r="G149" s="12"/>
    </row>
    <row r="150" spans="3:7" x14ac:dyDescent="0.35">
      <c r="C150" s="12"/>
      <c r="D150" s="12"/>
      <c r="E150" s="12"/>
      <c r="F150" s="12"/>
      <c r="G150" s="12"/>
    </row>
    <row r="151" spans="3:7" x14ac:dyDescent="0.35">
      <c r="C151" s="12"/>
      <c r="D151" s="12"/>
      <c r="E151" s="12"/>
      <c r="F151" s="12"/>
      <c r="G151" s="12"/>
    </row>
    <row r="152" spans="3:7" x14ac:dyDescent="0.35">
      <c r="C152" s="12"/>
      <c r="D152" s="12"/>
      <c r="E152" s="12"/>
      <c r="F152" s="12"/>
      <c r="G152" s="12"/>
    </row>
    <row r="153" spans="3:7" x14ac:dyDescent="0.35">
      <c r="C153" s="12"/>
      <c r="D153" s="12"/>
      <c r="E153" s="12"/>
      <c r="F153" s="12"/>
      <c r="G153" s="12"/>
    </row>
    <row r="154" spans="3:7" x14ac:dyDescent="0.35">
      <c r="C154" s="12"/>
      <c r="D154" s="12"/>
      <c r="E154" s="12"/>
      <c r="F154" s="12"/>
      <c r="G154" s="12"/>
    </row>
    <row r="155" spans="3:7" x14ac:dyDescent="0.35">
      <c r="C155" s="12"/>
      <c r="D155" s="12"/>
      <c r="E155" s="12"/>
      <c r="F155" s="12"/>
      <c r="G155" s="12"/>
    </row>
    <row r="156" spans="3:7" x14ac:dyDescent="0.35">
      <c r="C156" s="12"/>
      <c r="D156" s="12"/>
      <c r="E156" s="12"/>
      <c r="F156" s="12"/>
      <c r="G156" s="12"/>
    </row>
    <row r="157" spans="3:7" x14ac:dyDescent="0.35">
      <c r="C157" s="12"/>
      <c r="D157" s="12"/>
      <c r="E157" s="12"/>
      <c r="F157" s="12"/>
      <c r="G157" s="12"/>
    </row>
    <row r="158" spans="3:7" x14ac:dyDescent="0.35">
      <c r="C158" s="12"/>
      <c r="D158" s="12"/>
      <c r="E158" s="12"/>
      <c r="F158" s="12"/>
      <c r="G158" s="12"/>
    </row>
    <row r="159" spans="3:7" x14ac:dyDescent="0.35">
      <c r="C159" s="12"/>
      <c r="D159" s="12"/>
      <c r="E159" s="12"/>
      <c r="F159" s="12"/>
      <c r="G159" s="12"/>
    </row>
    <row r="160" spans="3:7" x14ac:dyDescent="0.35">
      <c r="C160" s="12"/>
      <c r="D160" s="12"/>
      <c r="E160" s="12"/>
      <c r="F160" s="12"/>
      <c r="G160" s="12"/>
    </row>
    <row r="161" spans="3:7" x14ac:dyDescent="0.35">
      <c r="C161" s="12"/>
      <c r="D161" s="12"/>
      <c r="E161" s="12"/>
      <c r="F161" s="12"/>
      <c r="G161" s="12"/>
    </row>
    <row r="162" spans="3:7" x14ac:dyDescent="0.35">
      <c r="C162" s="12"/>
      <c r="D162" s="12"/>
      <c r="E162" s="12"/>
      <c r="F162" s="12"/>
      <c r="G162" s="12"/>
    </row>
    <row r="163" spans="3:7" x14ac:dyDescent="0.35">
      <c r="C163" s="12"/>
      <c r="D163" s="12"/>
      <c r="E163" s="12"/>
      <c r="F163" s="12"/>
      <c r="G163" s="12"/>
    </row>
    <row r="164" spans="3:7" x14ac:dyDescent="0.35">
      <c r="C164" s="12"/>
      <c r="D164" s="12"/>
      <c r="E164" s="12"/>
      <c r="F164" s="12"/>
      <c r="G164" s="12"/>
    </row>
    <row r="165" spans="3:7" x14ac:dyDescent="0.35">
      <c r="C165" s="12"/>
      <c r="D165" s="12"/>
      <c r="E165" s="12"/>
      <c r="F165" s="12"/>
      <c r="G165" s="12"/>
    </row>
    <row r="166" spans="3:7" x14ac:dyDescent="0.35">
      <c r="C166" s="12"/>
      <c r="D166" s="12"/>
      <c r="E166" s="12"/>
      <c r="F166" s="12"/>
      <c r="G166" s="12"/>
    </row>
    <row r="167" spans="3:7" x14ac:dyDescent="0.35">
      <c r="C167" s="12"/>
      <c r="D167" s="12"/>
      <c r="E167" s="12"/>
      <c r="F167" s="12"/>
      <c r="G167" s="12"/>
    </row>
    <row r="168" spans="3:7" x14ac:dyDescent="0.35">
      <c r="C168" s="12"/>
      <c r="D168" s="12"/>
      <c r="E168" s="12"/>
      <c r="F168" s="12"/>
      <c r="G168" s="12"/>
    </row>
    <row r="169" spans="3:7" x14ac:dyDescent="0.35">
      <c r="C169" s="12"/>
      <c r="D169" s="12"/>
      <c r="E169" s="12"/>
      <c r="F169" s="12"/>
      <c r="G169" s="12"/>
    </row>
    <row r="170" spans="3:7" x14ac:dyDescent="0.35">
      <c r="C170" s="12"/>
      <c r="D170" s="12"/>
      <c r="E170" s="12"/>
      <c r="F170" s="12"/>
      <c r="G170" s="12"/>
    </row>
    <row r="171" spans="3:7" x14ac:dyDescent="0.35">
      <c r="C171" s="12"/>
      <c r="D171" s="12"/>
      <c r="E171" s="12"/>
      <c r="F171" s="12"/>
      <c r="G171" s="12"/>
    </row>
    <row r="172" spans="3:7" x14ac:dyDescent="0.35">
      <c r="C172" s="12"/>
      <c r="D172" s="12"/>
      <c r="E172" s="12"/>
      <c r="F172" s="12"/>
      <c r="G172" s="12"/>
    </row>
    <row r="173" spans="3:7" x14ac:dyDescent="0.35">
      <c r="C173" s="12"/>
      <c r="D173" s="12"/>
      <c r="E173" s="12"/>
      <c r="F173" s="12"/>
      <c r="G173" s="12"/>
    </row>
    <row r="174" spans="3:7" x14ac:dyDescent="0.35">
      <c r="C174" s="12"/>
      <c r="D174" s="12"/>
      <c r="E174" s="12"/>
      <c r="F174" s="12"/>
      <c r="G174" s="12"/>
    </row>
    <row r="175" spans="3:7" x14ac:dyDescent="0.35">
      <c r="C175" s="12"/>
      <c r="D175" s="12"/>
      <c r="E175" s="12"/>
      <c r="F175" s="12"/>
      <c r="G175" s="12"/>
    </row>
    <row r="176" spans="3:7" x14ac:dyDescent="0.35">
      <c r="C176" s="12"/>
      <c r="D176" s="12"/>
      <c r="E176" s="12"/>
      <c r="F176" s="12"/>
      <c r="G176" s="12"/>
    </row>
    <row r="177" spans="3:7" x14ac:dyDescent="0.35">
      <c r="C177" s="12"/>
      <c r="D177" s="12"/>
      <c r="E177" s="12"/>
      <c r="F177" s="12"/>
      <c r="G177" s="12"/>
    </row>
    <row r="178" spans="3:7" x14ac:dyDescent="0.35">
      <c r="C178" s="12"/>
      <c r="D178" s="12"/>
      <c r="E178" s="12"/>
      <c r="F178" s="12"/>
      <c r="G178" s="12"/>
    </row>
    <row r="179" spans="3:7" x14ac:dyDescent="0.35">
      <c r="C179" s="12"/>
      <c r="D179" s="12"/>
      <c r="E179" s="12"/>
      <c r="F179" s="12"/>
      <c r="G179" s="12"/>
    </row>
    <row r="180" spans="3:7" x14ac:dyDescent="0.35">
      <c r="C180" s="12"/>
      <c r="D180" s="12"/>
      <c r="E180" s="12"/>
      <c r="F180" s="12"/>
      <c r="G180" s="12"/>
    </row>
    <row r="181" spans="3:7" x14ac:dyDescent="0.35">
      <c r="C181" s="12"/>
      <c r="D181" s="12"/>
      <c r="E181" s="12"/>
      <c r="F181" s="12"/>
      <c r="G181" s="12"/>
    </row>
    <row r="182" spans="3:7" x14ac:dyDescent="0.35">
      <c r="C182" s="12"/>
      <c r="D182" s="12"/>
      <c r="E182" s="12"/>
      <c r="F182" s="12"/>
      <c r="G182" s="12"/>
    </row>
    <row r="183" spans="3:7" x14ac:dyDescent="0.35">
      <c r="C183" s="12"/>
      <c r="D183" s="12"/>
      <c r="E183" s="12"/>
      <c r="F183" s="12"/>
      <c r="G183" s="12"/>
    </row>
    <row r="184" spans="3:7" x14ac:dyDescent="0.35">
      <c r="C184" s="12"/>
      <c r="D184" s="12"/>
      <c r="E184" s="12"/>
      <c r="F184" s="12"/>
      <c r="G184" s="12"/>
    </row>
    <row r="185" spans="3:7" x14ac:dyDescent="0.35">
      <c r="C185" s="12"/>
      <c r="D185" s="12"/>
      <c r="E185" s="12"/>
      <c r="F185" s="12"/>
      <c r="G185" s="12"/>
    </row>
    <row r="186" spans="3:7" x14ac:dyDescent="0.35">
      <c r="C186" s="12"/>
      <c r="D186" s="12"/>
      <c r="E186" s="12"/>
      <c r="F186" s="12"/>
      <c r="G186" s="12"/>
    </row>
    <row r="187" spans="3:7" x14ac:dyDescent="0.35">
      <c r="C187" s="12"/>
      <c r="D187" s="12"/>
      <c r="E187" s="12"/>
      <c r="F187" s="12"/>
      <c r="G187" s="12"/>
    </row>
    <row r="188" spans="3:7" x14ac:dyDescent="0.35">
      <c r="C188" s="12"/>
      <c r="D188" s="12"/>
      <c r="E188" s="12"/>
      <c r="F188" s="12"/>
      <c r="G188" s="12"/>
    </row>
    <row r="189" spans="3:7" x14ac:dyDescent="0.35">
      <c r="C189" s="12"/>
      <c r="D189" s="12"/>
      <c r="E189" s="12"/>
      <c r="F189" s="12"/>
      <c r="G189" s="12"/>
    </row>
    <row r="190" spans="3:7" x14ac:dyDescent="0.35">
      <c r="C190" s="12"/>
      <c r="D190" s="12"/>
      <c r="E190" s="12"/>
      <c r="F190" s="12"/>
      <c r="G190" s="12"/>
    </row>
    <row r="191" spans="3:7" x14ac:dyDescent="0.35">
      <c r="C191" s="12"/>
      <c r="D191" s="12"/>
      <c r="E191" s="12"/>
      <c r="F191" s="12"/>
      <c r="G191" s="12"/>
    </row>
    <row r="192" spans="3:7" x14ac:dyDescent="0.35">
      <c r="C192" s="12"/>
      <c r="D192" s="12"/>
      <c r="E192" s="12"/>
      <c r="F192" s="12"/>
      <c r="G192" s="12"/>
    </row>
    <row r="193" spans="3:7" x14ac:dyDescent="0.35">
      <c r="C193" s="12"/>
      <c r="D193" s="12"/>
      <c r="E193" s="12"/>
      <c r="F193" s="12"/>
      <c r="G193" s="12"/>
    </row>
    <row r="194" spans="3:7" x14ac:dyDescent="0.35">
      <c r="C194" s="12"/>
      <c r="D194" s="12"/>
      <c r="E194" s="12"/>
      <c r="F194" s="12"/>
      <c r="G194" s="12"/>
    </row>
    <row r="195" spans="3:7" x14ac:dyDescent="0.35">
      <c r="C195" s="12"/>
      <c r="D195" s="12"/>
      <c r="E195" s="12"/>
      <c r="F195" s="12"/>
      <c r="G195" s="12"/>
    </row>
    <row r="196" spans="3:7" x14ac:dyDescent="0.35">
      <c r="C196" s="12"/>
      <c r="D196" s="12"/>
      <c r="E196" s="12"/>
      <c r="F196" s="12"/>
      <c r="G196" s="12"/>
    </row>
    <row r="197" spans="3:7" x14ac:dyDescent="0.35">
      <c r="C197" s="12"/>
      <c r="D197" s="12"/>
      <c r="E197" s="12"/>
      <c r="F197" s="12"/>
      <c r="G197" s="12"/>
    </row>
    <row r="198" spans="3:7" x14ac:dyDescent="0.35">
      <c r="C198" s="12"/>
      <c r="D198" s="12"/>
      <c r="E198" s="12"/>
      <c r="F198" s="12"/>
      <c r="G198" s="12"/>
    </row>
    <row r="199" spans="3:7" x14ac:dyDescent="0.35">
      <c r="C199" s="12"/>
      <c r="D199" s="12"/>
      <c r="E199" s="12"/>
      <c r="F199" s="12"/>
      <c r="G199" s="12"/>
    </row>
    <row r="200" spans="3:7" x14ac:dyDescent="0.35">
      <c r="C200" s="12"/>
      <c r="D200" s="12"/>
      <c r="E200" s="12"/>
      <c r="F200" s="12"/>
      <c r="G200" s="12"/>
    </row>
    <row r="201" spans="3:7" x14ac:dyDescent="0.35">
      <c r="C201" s="12"/>
      <c r="D201" s="12"/>
      <c r="E201" s="12"/>
      <c r="F201" s="12"/>
      <c r="G201" s="12"/>
    </row>
    <row r="202" spans="3:7" x14ac:dyDescent="0.35">
      <c r="C202" s="12"/>
      <c r="D202" s="12"/>
      <c r="E202" s="12"/>
      <c r="F202" s="12"/>
      <c r="G202" s="12"/>
    </row>
    <row r="203" spans="3:7" x14ac:dyDescent="0.35">
      <c r="C203" s="12"/>
      <c r="D203" s="12"/>
      <c r="E203" s="12"/>
      <c r="F203" s="12"/>
      <c r="G203" s="12"/>
    </row>
  </sheetData>
  <pageMargins left="0.7" right="0.7" top="0.75" bottom="0.75" header="0.3" footer="0.3"/>
  <pageSetup orientation="portrait" r:id="rId1"/>
  <ignoredErrors>
    <ignoredError sqref="M112:O1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3"/>
  <sheetViews>
    <sheetView zoomScaleNormal="100" workbookViewId="0">
      <pane xSplit="2" ySplit="2" topLeftCell="F36" activePane="bottomRight" state="frozen"/>
      <selection pane="topRight" activeCell="C1" sqref="C1"/>
      <selection pane="bottomLeft" activeCell="A3" sqref="A3"/>
      <selection pane="bottomRight" activeCell="M36" sqref="M36"/>
    </sheetView>
  </sheetViews>
  <sheetFormatPr defaultRowHeight="14.5" x14ac:dyDescent="0.35"/>
  <cols>
    <col min="1" max="1" width="2.7265625" customWidth="1"/>
    <col min="2" max="2" width="26" bestFit="1" customWidth="1"/>
    <col min="3" max="8" width="11.90625" customWidth="1"/>
    <col min="9" max="11" width="0" hidden="1" customWidth="1"/>
    <col min="12" max="12" width="23.08984375" style="56" customWidth="1"/>
    <col min="13" max="15" width="11.54296875" bestFit="1" customWidth="1"/>
  </cols>
  <sheetData>
    <row r="1" spans="2:16" x14ac:dyDescent="0.35">
      <c r="C1" s="25" t="s">
        <v>82</v>
      </c>
      <c r="D1" s="25" t="s">
        <v>82</v>
      </c>
      <c r="H1" s="25" t="s">
        <v>199</v>
      </c>
      <c r="I1" s="25" t="s">
        <v>200</v>
      </c>
      <c r="J1" s="25" t="s">
        <v>200</v>
      </c>
      <c r="K1" s="25" t="s">
        <v>200</v>
      </c>
      <c r="M1" s="25" t="s">
        <v>200</v>
      </c>
      <c r="N1" s="25" t="s">
        <v>200</v>
      </c>
      <c r="O1" s="25" t="s">
        <v>200</v>
      </c>
      <c r="P1" s="23"/>
    </row>
    <row r="2" spans="2:16" s="1" customFormat="1" x14ac:dyDescent="0.35">
      <c r="B2" s="1" t="s">
        <v>58</v>
      </c>
      <c r="C2" s="6">
        <v>42094</v>
      </c>
      <c r="D2" s="6">
        <v>42460</v>
      </c>
      <c r="E2" s="6">
        <v>42825</v>
      </c>
      <c r="F2" s="6">
        <v>43190</v>
      </c>
      <c r="G2" s="6">
        <v>43555</v>
      </c>
      <c r="H2" s="7">
        <v>43921</v>
      </c>
      <c r="I2" s="8">
        <v>44286</v>
      </c>
      <c r="J2" s="8">
        <v>44651</v>
      </c>
      <c r="K2" s="8">
        <v>45016</v>
      </c>
      <c r="L2" s="56"/>
      <c r="M2" s="8">
        <v>44286</v>
      </c>
      <c r="N2" s="8">
        <v>44651</v>
      </c>
      <c r="O2" s="8">
        <v>45016</v>
      </c>
      <c r="P2" s="23"/>
    </row>
    <row r="3" spans="2:16" x14ac:dyDescent="0.35">
      <c r="P3" s="23"/>
    </row>
    <row r="4" spans="2:16" ht="29" x14ac:dyDescent="0.35">
      <c r="B4" s="2" t="s">
        <v>191</v>
      </c>
      <c r="C4" s="29">
        <v>258668</v>
      </c>
      <c r="D4" s="29">
        <v>275573</v>
      </c>
      <c r="E4" s="29">
        <v>309540</v>
      </c>
      <c r="F4" s="29">
        <v>320683</v>
      </c>
      <c r="G4" s="29">
        <v>343131</v>
      </c>
      <c r="H4" s="29">
        <v>327347</v>
      </c>
      <c r="L4" s="56" t="s">
        <v>181</v>
      </c>
      <c r="M4" s="45">
        <f>(1+M5)*H4</f>
        <v>343714.35000000003</v>
      </c>
      <c r="N4" s="45">
        <f>(1+N5)*M4</f>
        <v>360900.06750000006</v>
      </c>
      <c r="O4" s="45">
        <f>(1+O5)*N4</f>
        <v>378945.07087500009</v>
      </c>
      <c r="P4" s="23" t="s">
        <v>211</v>
      </c>
    </row>
    <row r="5" spans="2:16" ht="29" x14ac:dyDescent="0.35">
      <c r="B5" s="2" t="s">
        <v>57</v>
      </c>
      <c r="C5" s="44"/>
      <c r="D5" s="44">
        <f t="shared" ref="D5:G5" si="0">D4/C4-1</f>
        <v>6.5354044566780622E-2</v>
      </c>
      <c r="E5" s="44">
        <f t="shared" si="0"/>
        <v>0.12325953558585212</v>
      </c>
      <c r="F5" s="44">
        <f t="shared" si="0"/>
        <v>3.5998578535892056E-2</v>
      </c>
      <c r="G5" s="44">
        <f t="shared" si="0"/>
        <v>7.0000592485413904E-2</v>
      </c>
      <c r="H5" s="44">
        <f>H4/G4-1</f>
        <v>-4.5999924227190236E-2</v>
      </c>
      <c r="I5" s="5"/>
      <c r="J5" s="5"/>
      <c r="K5" s="5"/>
      <c r="L5" s="56" t="s">
        <v>91</v>
      </c>
      <c r="M5" s="46">
        <v>0.05</v>
      </c>
      <c r="N5" s="46">
        <v>0.05</v>
      </c>
      <c r="O5" s="46">
        <v>0.05</v>
      </c>
      <c r="P5" s="52" t="s">
        <v>212</v>
      </c>
    </row>
    <row r="6" spans="2:16" x14ac:dyDescent="0.35">
      <c r="B6" s="2"/>
      <c r="C6" s="2"/>
      <c r="D6" s="2"/>
      <c r="E6" s="2"/>
      <c r="F6" s="2"/>
      <c r="G6" s="2"/>
      <c r="H6" s="2"/>
      <c r="I6" s="5"/>
      <c r="J6" s="5"/>
      <c r="K6" s="5"/>
      <c r="M6" s="5"/>
      <c r="N6" s="5"/>
      <c r="O6" s="5"/>
      <c r="P6" s="23"/>
    </row>
    <row r="7" spans="2:16" x14ac:dyDescent="0.35">
      <c r="B7" s="2" t="s">
        <v>184</v>
      </c>
      <c r="C7" s="31">
        <f>Model!C10</f>
        <v>5802.38</v>
      </c>
      <c r="D7" s="31">
        <f>Model!D10</f>
        <v>5482.25</v>
      </c>
      <c r="E7" s="31">
        <f>Model!E10</f>
        <v>5766.51</v>
      </c>
      <c r="F7" s="31">
        <f>Model!F10</f>
        <v>6283.42</v>
      </c>
      <c r="G7" s="31">
        <f>Model!G10</f>
        <v>6984.51</v>
      </c>
      <c r="H7" s="31">
        <f>Model!H10</f>
        <v>6778.83</v>
      </c>
      <c r="I7" s="5"/>
      <c r="J7" s="5"/>
      <c r="K7" s="5"/>
      <c r="L7" s="56" t="s">
        <v>117</v>
      </c>
      <c r="M7" s="47">
        <f>M4*M17/10^7</f>
        <v>7260.1269300000013</v>
      </c>
      <c r="N7" s="47">
        <f t="shared" ref="N7:O7" si="1">N4*N17/10^7</f>
        <v>7775.5959420300014</v>
      </c>
      <c r="O7" s="47">
        <f t="shared" si="1"/>
        <v>8327.6632539141319</v>
      </c>
      <c r="P7" s="23" t="s">
        <v>213</v>
      </c>
    </row>
    <row r="8" spans="2:16" x14ac:dyDescent="0.35">
      <c r="B8" s="2" t="s">
        <v>3</v>
      </c>
      <c r="C8" s="31">
        <f>Model!C15</f>
        <v>3533.33</v>
      </c>
      <c r="D8" s="31">
        <f>Model!D15</f>
        <v>3090.85</v>
      </c>
      <c r="E8" s="31">
        <f>Model!E15</f>
        <v>3399.7700000000004</v>
      </c>
      <c r="F8" s="31">
        <f>Model!F15</f>
        <v>3809.9999999999995</v>
      </c>
      <c r="G8" s="31">
        <f>Model!G15</f>
        <v>4181.8099999999995</v>
      </c>
      <c r="H8" s="31">
        <f>Model!H15</f>
        <v>3915.08</v>
      </c>
      <c r="I8" s="5"/>
      <c r="J8" s="5"/>
      <c r="K8" s="5"/>
      <c r="L8" s="56" t="s">
        <v>117</v>
      </c>
      <c r="M8" s="47">
        <f>M4*M20/10^7</f>
        <v>4193.0506800000012</v>
      </c>
      <c r="N8" s="47">
        <f t="shared" ref="N8:O8" si="2">N4*N20/10^7</f>
        <v>4490.7572782800007</v>
      </c>
      <c r="O8" s="47">
        <f t="shared" si="2"/>
        <v>4809.6010450378817</v>
      </c>
      <c r="P8" s="23" t="s">
        <v>214</v>
      </c>
    </row>
    <row r="9" spans="2:16" x14ac:dyDescent="0.35">
      <c r="B9" s="2" t="s">
        <v>59</v>
      </c>
      <c r="C9" s="31">
        <f>Model!C21</f>
        <v>378.89</v>
      </c>
      <c r="D9" s="31">
        <f>Model!D21</f>
        <v>388.25</v>
      </c>
      <c r="E9" s="31">
        <f>Model!E21</f>
        <v>406.31</v>
      </c>
      <c r="F9" s="31">
        <f>Model!F21</f>
        <v>438.27</v>
      </c>
      <c r="G9" s="31">
        <f>Model!G21</f>
        <v>530.05999999999995</v>
      </c>
      <c r="H9" s="31">
        <f>Model!H21</f>
        <v>541.77</v>
      </c>
      <c r="I9" s="5"/>
      <c r="J9" s="5"/>
      <c r="K9" s="5"/>
      <c r="L9" s="56" t="s">
        <v>117</v>
      </c>
      <c r="M9" s="45">
        <f>(1+M10)*H9</f>
        <v>568.85850000000005</v>
      </c>
      <c r="N9" s="45">
        <f>(1+N10)*M9</f>
        <v>597.30142500000011</v>
      </c>
      <c r="O9" s="45">
        <f>(1+O10)*N9</f>
        <v>627.16649625000014</v>
      </c>
      <c r="P9" s="23" t="s">
        <v>215</v>
      </c>
    </row>
    <row r="10" spans="2:16" ht="29" x14ac:dyDescent="0.35">
      <c r="B10" s="2" t="s">
        <v>57</v>
      </c>
      <c r="C10" s="30"/>
      <c r="D10" s="30">
        <f>D9/C9-1</f>
        <v>2.470373987173069E-2</v>
      </c>
      <c r="E10" s="30">
        <f t="shared" ref="E10:H10" si="3">E9/D9-1</f>
        <v>4.6516419832582034E-2</v>
      </c>
      <c r="F10" s="30">
        <f t="shared" si="3"/>
        <v>7.8659151879107103E-2</v>
      </c>
      <c r="G10" s="30">
        <f t="shared" si="3"/>
        <v>0.20943710498094781</v>
      </c>
      <c r="H10" s="30">
        <f t="shared" si="3"/>
        <v>2.2091838659774377E-2</v>
      </c>
      <c r="I10" s="5"/>
      <c r="J10" s="5"/>
      <c r="K10" s="5"/>
      <c r="L10" s="56" t="s">
        <v>91</v>
      </c>
      <c r="M10" s="46">
        <v>0.05</v>
      </c>
      <c r="N10" s="46">
        <v>0.05</v>
      </c>
      <c r="O10" s="46">
        <v>0.05</v>
      </c>
      <c r="P10" s="52" t="s">
        <v>212</v>
      </c>
    </row>
    <row r="11" spans="2:16" x14ac:dyDescent="0.35">
      <c r="B11" s="2" t="s">
        <v>182</v>
      </c>
      <c r="C11" s="31">
        <f>Model!C22</f>
        <v>1209.52</v>
      </c>
      <c r="D11" s="31">
        <f>Model!D22</f>
        <v>1231.24</v>
      </c>
      <c r="E11" s="31">
        <f>Model!E22</f>
        <v>1303.6500000000001</v>
      </c>
      <c r="F11" s="31">
        <f>Model!F22</f>
        <v>1420.38</v>
      </c>
      <c r="G11" s="31">
        <f>Model!G22</f>
        <v>1630.1</v>
      </c>
      <c r="H11" s="31">
        <f>Model!H22</f>
        <v>1598.14</v>
      </c>
      <c r="I11" s="5"/>
      <c r="J11" s="5"/>
      <c r="K11" s="5"/>
      <c r="L11" s="56" t="s">
        <v>117</v>
      </c>
      <c r="M11" s="45">
        <f>M12*M7</f>
        <v>1669.8291939000003</v>
      </c>
      <c r="N11" s="45">
        <f t="shared" ref="N11:O11" si="4">N12*N7</f>
        <v>1788.3870666669004</v>
      </c>
      <c r="O11" s="45">
        <f t="shared" si="4"/>
        <v>1915.3625484002505</v>
      </c>
      <c r="P11" s="23" t="s">
        <v>216</v>
      </c>
    </row>
    <row r="12" spans="2:16" x14ac:dyDescent="0.35">
      <c r="B12" s="2" t="s">
        <v>62</v>
      </c>
      <c r="C12" s="31">
        <f>C11/C7</f>
        <v>0.20845239367294111</v>
      </c>
      <c r="D12" s="31">
        <f t="shared" ref="D12:H12" si="5">D11/D7</f>
        <v>0.22458662045692918</v>
      </c>
      <c r="E12" s="31">
        <f t="shared" si="5"/>
        <v>0.22607261584563282</v>
      </c>
      <c r="F12" s="31">
        <f t="shared" si="5"/>
        <v>0.22605205445442134</v>
      </c>
      <c r="G12" s="31">
        <f t="shared" si="5"/>
        <v>0.23338788261452842</v>
      </c>
      <c r="H12" s="31">
        <f t="shared" si="5"/>
        <v>0.23575454761367376</v>
      </c>
      <c r="I12" s="5"/>
      <c r="J12" s="5"/>
      <c r="K12" s="5"/>
      <c r="L12" s="56" t="s">
        <v>183</v>
      </c>
      <c r="M12" s="46">
        <v>0.23</v>
      </c>
      <c r="N12" s="46">
        <v>0.23</v>
      </c>
      <c r="O12" s="46">
        <v>0.23</v>
      </c>
      <c r="P12" s="52" t="s">
        <v>212</v>
      </c>
    </row>
    <row r="13" spans="2:16" x14ac:dyDescent="0.35">
      <c r="B13" s="2"/>
      <c r="C13" s="31"/>
      <c r="D13" s="31"/>
      <c r="E13" s="31"/>
      <c r="F13" s="31"/>
      <c r="G13" s="31"/>
      <c r="H13" s="31"/>
      <c r="I13" s="5"/>
      <c r="J13" s="5"/>
      <c r="K13" s="5"/>
      <c r="M13" s="5"/>
      <c r="N13" s="5"/>
      <c r="O13" s="5"/>
      <c r="P13" s="23"/>
    </row>
    <row r="14" spans="2:16" x14ac:dyDescent="0.35">
      <c r="B14" s="2" t="s">
        <v>61</v>
      </c>
      <c r="C14" s="31">
        <f>Model!C24</f>
        <v>680.64000000000033</v>
      </c>
      <c r="D14" s="31">
        <f>Model!D24</f>
        <v>771.91000000000008</v>
      </c>
      <c r="E14" s="31">
        <f>Model!E24</f>
        <v>656.77999999999975</v>
      </c>
      <c r="F14" s="31">
        <f>Model!F24</f>
        <v>783.68000000000029</v>
      </c>
      <c r="G14" s="31">
        <f>Model!G24</f>
        <v>642.54000000000087</v>
      </c>
      <c r="H14" s="31">
        <f>Model!H24</f>
        <v>723.83999999999992</v>
      </c>
      <c r="I14" s="31">
        <f>Model!I24</f>
        <v>0</v>
      </c>
      <c r="J14" s="31">
        <f>Model!J24</f>
        <v>0</v>
      </c>
      <c r="K14" s="31">
        <f>Model!K24</f>
        <v>0</v>
      </c>
      <c r="L14" s="56" t="s">
        <v>117</v>
      </c>
      <c r="M14" s="48">
        <f>M7-M8-M9-M11</f>
        <v>828.38855609999951</v>
      </c>
      <c r="N14" s="48">
        <f t="shared" ref="N14:O14" si="6">N7-N8-N9-N11</f>
        <v>899.15017208310019</v>
      </c>
      <c r="O14" s="48">
        <f t="shared" si="6"/>
        <v>975.53316422599983</v>
      </c>
      <c r="P14" s="23" t="s">
        <v>217</v>
      </c>
    </row>
    <row r="15" spans="2:16" x14ac:dyDescent="0.35">
      <c r="B15" s="2"/>
      <c r="C15" s="2"/>
      <c r="D15" s="2"/>
      <c r="E15" s="2"/>
      <c r="F15" s="2"/>
      <c r="G15" s="2"/>
      <c r="H15" s="2"/>
      <c r="I15" s="5"/>
      <c r="J15" s="5"/>
      <c r="K15" s="5"/>
      <c r="M15" s="5"/>
      <c r="N15" s="5"/>
      <c r="O15" s="5"/>
      <c r="P15" s="23"/>
    </row>
    <row r="16" spans="2:16" s="41" customFormat="1" x14ac:dyDescent="0.35">
      <c r="B16" s="40" t="s">
        <v>60</v>
      </c>
      <c r="C16" s="40"/>
      <c r="D16" s="40"/>
      <c r="E16" s="40"/>
      <c r="F16" s="40"/>
      <c r="G16" s="40"/>
      <c r="H16" s="40"/>
      <c r="L16" s="58"/>
      <c r="P16" s="42"/>
    </row>
    <row r="17" spans="2:16" x14ac:dyDescent="0.35">
      <c r="B17" s="2" t="s">
        <v>185</v>
      </c>
      <c r="C17" s="31">
        <f>C7*10^7/C$4</f>
        <v>224317.65815640124</v>
      </c>
      <c r="D17" s="31">
        <f t="shared" ref="D17:H17" si="7">D7*10^7/D$4</f>
        <v>198940.02678056268</v>
      </c>
      <c r="E17" s="31">
        <f t="shared" si="7"/>
        <v>186292.88621825934</v>
      </c>
      <c r="F17" s="31">
        <f t="shared" si="7"/>
        <v>195938.6684046239</v>
      </c>
      <c r="G17" s="31">
        <f t="shared" si="7"/>
        <v>203552.28761027131</v>
      </c>
      <c r="H17" s="31">
        <f t="shared" si="7"/>
        <v>207083.92012146133</v>
      </c>
      <c r="I17" s="31" t="e">
        <f t="shared" ref="I17:K17" si="8">I7*10^7/I4</f>
        <v>#DIV/0!</v>
      </c>
      <c r="J17" s="31" t="e">
        <f t="shared" si="8"/>
        <v>#DIV/0!</v>
      </c>
      <c r="K17" s="31" t="e">
        <f t="shared" si="8"/>
        <v>#DIV/0!</v>
      </c>
      <c r="L17" s="56" t="s">
        <v>192</v>
      </c>
      <c r="M17" s="31">
        <f>(1+M18)*H17</f>
        <v>211225.59852389057</v>
      </c>
      <c r="N17" s="31">
        <f>(1+N18)*M17</f>
        <v>215450.11049436839</v>
      </c>
      <c r="O17" s="31">
        <f>(1+O18)*N17</f>
        <v>219759.11270425576</v>
      </c>
      <c r="P17" s="23" t="s">
        <v>218</v>
      </c>
    </row>
    <row r="18" spans="2:16" ht="29" x14ac:dyDescent="0.35">
      <c r="B18" s="2" t="s">
        <v>57</v>
      </c>
      <c r="C18" s="31"/>
      <c r="D18" s="30">
        <f>D17/C17-1</f>
        <v>-0.11313256203015676</v>
      </c>
      <c r="E18" s="30">
        <f t="shared" ref="E18:H18" si="9">E17/D17-1</f>
        <v>-6.35726292339025E-2</v>
      </c>
      <c r="F18" s="30">
        <f t="shared" si="9"/>
        <v>5.1777512186179875E-2</v>
      </c>
      <c r="G18" s="30">
        <f t="shared" si="9"/>
        <v>3.8857154984461184E-2</v>
      </c>
      <c r="H18" s="30">
        <f t="shared" si="9"/>
        <v>1.735000157773614E-2</v>
      </c>
      <c r="I18" s="5"/>
      <c r="J18" s="5"/>
      <c r="K18" s="5"/>
      <c r="L18" s="56" t="s">
        <v>91</v>
      </c>
      <c r="M18" s="49">
        <v>0.02</v>
      </c>
      <c r="N18" s="49">
        <v>0.02</v>
      </c>
      <c r="O18" s="49">
        <v>0.02</v>
      </c>
      <c r="P18" s="52" t="s">
        <v>212</v>
      </c>
    </row>
    <row r="19" spans="2:16" s="5" customFormat="1" x14ac:dyDescent="0.35">
      <c r="B19" s="32"/>
      <c r="C19" s="31"/>
      <c r="D19" s="30"/>
      <c r="E19" s="30"/>
      <c r="F19" s="30"/>
      <c r="G19" s="30"/>
      <c r="H19" s="30"/>
      <c r="L19" s="56"/>
      <c r="P19" s="23"/>
    </row>
    <row r="20" spans="2:16" x14ac:dyDescent="0.35">
      <c r="B20" s="2" t="s">
        <v>186</v>
      </c>
      <c r="C20" s="31">
        <f>C8*10^7/C$4</f>
        <v>136597.10516956099</v>
      </c>
      <c r="D20" s="31">
        <f t="shared" ref="D20:H20" si="10">D8*10^7/D$4</f>
        <v>112160.84304340411</v>
      </c>
      <c r="E20" s="31">
        <f t="shared" si="10"/>
        <v>109832.97796730633</v>
      </c>
      <c r="F20" s="31">
        <f t="shared" si="10"/>
        <v>118808.91721731427</v>
      </c>
      <c r="G20" s="31">
        <f t="shared" si="10"/>
        <v>121872.11298308807</v>
      </c>
      <c r="H20" s="31">
        <f t="shared" si="10"/>
        <v>119600.30182039243</v>
      </c>
      <c r="I20" s="5"/>
      <c r="J20" s="5"/>
      <c r="K20" s="5"/>
      <c r="L20" s="56" t="s">
        <v>193</v>
      </c>
      <c r="M20" s="31">
        <f>(1+M21)*H20</f>
        <v>121992.30785680028</v>
      </c>
      <c r="N20" s="31">
        <f>(1+N21)*M20</f>
        <v>124432.15401393629</v>
      </c>
      <c r="O20" s="31">
        <f>(1+O21)*N20</f>
        <v>126920.79709421501</v>
      </c>
      <c r="P20" s="23" t="s">
        <v>219</v>
      </c>
    </row>
    <row r="21" spans="2:16" ht="29" x14ac:dyDescent="0.35">
      <c r="B21" s="2" t="s">
        <v>57</v>
      </c>
      <c r="C21" s="30"/>
      <c r="D21" s="30">
        <f>D20/C20-1</f>
        <v>-0.17889297211550437</v>
      </c>
      <c r="E21" s="30">
        <f t="shared" ref="E21:H21" si="11">E20/D20-1</f>
        <v>-2.075470380689759E-2</v>
      </c>
      <c r="F21" s="30">
        <f t="shared" si="11"/>
        <v>8.1723535281723603E-2</v>
      </c>
      <c r="G21" s="30">
        <f t="shared" si="11"/>
        <v>2.5782540885974647E-2</v>
      </c>
      <c r="H21" s="30">
        <f t="shared" si="11"/>
        <v>-1.864094342083733E-2</v>
      </c>
      <c r="I21" s="5"/>
      <c r="J21" s="5"/>
      <c r="K21" s="5"/>
      <c r="L21" s="56" t="s">
        <v>91</v>
      </c>
      <c r="M21" s="49">
        <v>0.02</v>
      </c>
      <c r="N21" s="49">
        <v>0.02</v>
      </c>
      <c r="O21" s="49">
        <v>0.02</v>
      </c>
      <c r="P21" s="52" t="s">
        <v>212</v>
      </c>
    </row>
    <row r="22" spans="2:16" x14ac:dyDescent="0.35">
      <c r="B22" s="2"/>
      <c r="C22" s="31"/>
      <c r="D22" s="31"/>
      <c r="E22" s="31"/>
      <c r="F22" s="31"/>
      <c r="G22" s="31"/>
      <c r="H22" s="31"/>
      <c r="I22" s="5"/>
      <c r="J22" s="5"/>
      <c r="K22" s="5"/>
      <c r="M22" s="5"/>
      <c r="N22" s="5"/>
      <c r="O22" s="5"/>
      <c r="P22" s="23"/>
    </row>
    <row r="23" spans="2:16" ht="29" x14ac:dyDescent="0.35">
      <c r="B23" s="2" t="s">
        <v>187</v>
      </c>
      <c r="C23" s="2">
        <f>C17-C20</f>
        <v>87720.552986840252</v>
      </c>
      <c r="D23" s="2">
        <f t="shared" ref="D23:O23" si="12">D17-D20</f>
        <v>86779.183737158572</v>
      </c>
      <c r="E23" s="2">
        <f t="shared" si="12"/>
        <v>76459.908250953013</v>
      </c>
      <c r="F23" s="2">
        <f t="shared" si="12"/>
        <v>77129.751187309623</v>
      </c>
      <c r="G23" s="2">
        <f t="shared" si="12"/>
        <v>81680.174627183238</v>
      </c>
      <c r="H23" s="2">
        <f t="shared" si="12"/>
        <v>87483.618301068898</v>
      </c>
      <c r="I23" s="2" t="e">
        <f t="shared" si="12"/>
        <v>#DIV/0!</v>
      </c>
      <c r="J23" s="2" t="e">
        <f t="shared" si="12"/>
        <v>#DIV/0!</v>
      </c>
      <c r="K23" s="2" t="e">
        <f t="shared" si="12"/>
        <v>#DIV/0!</v>
      </c>
      <c r="L23" s="56" t="s">
        <v>194</v>
      </c>
      <c r="M23" s="2">
        <f t="shared" si="12"/>
        <v>89233.290667090288</v>
      </c>
      <c r="N23" s="2">
        <f t="shared" si="12"/>
        <v>91017.956480432098</v>
      </c>
      <c r="O23" s="2">
        <f t="shared" si="12"/>
        <v>92838.31561004075</v>
      </c>
      <c r="P23" s="23" t="s">
        <v>220</v>
      </c>
    </row>
    <row r="24" spans="2:16" x14ac:dyDescent="0.35">
      <c r="B24" s="2"/>
      <c r="C24" s="2"/>
      <c r="D24" s="2"/>
      <c r="E24" s="2"/>
      <c r="F24" s="2"/>
      <c r="G24" s="2"/>
      <c r="H24" s="2"/>
      <c r="I24" s="5"/>
      <c r="J24" s="5"/>
      <c r="K24" s="5"/>
      <c r="M24" s="5"/>
      <c r="N24" s="5"/>
      <c r="O24" s="5"/>
      <c r="P24" s="23"/>
    </row>
    <row r="25" spans="2:16" x14ac:dyDescent="0.35">
      <c r="B25" s="2" t="s">
        <v>188</v>
      </c>
      <c r="C25" s="31">
        <f>C9*10^7/C$4</f>
        <v>14647.733774568173</v>
      </c>
      <c r="D25" s="31">
        <f t="shared" ref="D25:H25" si="13">D9*10^7/D$4</f>
        <v>14088.825828364897</v>
      </c>
      <c r="E25" s="31">
        <f t="shared" si="13"/>
        <v>13126.251857595142</v>
      </c>
      <c r="F25" s="31">
        <f t="shared" si="13"/>
        <v>13666.767493131847</v>
      </c>
      <c r="G25" s="31">
        <f t="shared" si="13"/>
        <v>15447.744447455925</v>
      </c>
      <c r="H25" s="31">
        <f t="shared" si="13"/>
        <v>16550.327328492396</v>
      </c>
      <c r="I25" s="5"/>
      <c r="J25" s="5"/>
      <c r="K25" s="5"/>
      <c r="L25" s="56" t="s">
        <v>195</v>
      </c>
      <c r="M25" s="2">
        <f t="shared" ref="M25:O25" si="14">M9*10^7/M$4</f>
        <v>16550.327328492396</v>
      </c>
      <c r="N25" s="2">
        <f t="shared" si="14"/>
        <v>16550.327328492396</v>
      </c>
      <c r="O25" s="2">
        <f t="shared" si="14"/>
        <v>16550.327328492393</v>
      </c>
      <c r="P25" s="23" t="s">
        <v>220</v>
      </c>
    </row>
    <row r="26" spans="2:16" x14ac:dyDescent="0.35">
      <c r="B26" s="2" t="s">
        <v>189</v>
      </c>
      <c r="C26" s="31">
        <f>C11*10^7/C$4</f>
        <v>46759.552785810381</v>
      </c>
      <c r="D26" s="31">
        <f t="shared" ref="D26:H26" si="15">D11*10^7/D$4</f>
        <v>44679.268288257561</v>
      </c>
      <c r="E26" s="31">
        <f t="shared" si="15"/>
        <v>42115.72010079473</v>
      </c>
      <c r="F26" s="31">
        <f t="shared" si="15"/>
        <v>44292.338539928845</v>
      </c>
      <c r="G26" s="31">
        <f t="shared" si="15"/>
        <v>47506.637406704729</v>
      </c>
      <c r="H26" s="31">
        <f t="shared" si="15"/>
        <v>48820.975906301268</v>
      </c>
      <c r="I26" s="5"/>
      <c r="J26" s="5"/>
      <c r="K26" s="5"/>
      <c r="L26" s="56" t="s">
        <v>196</v>
      </c>
      <c r="M26" s="2">
        <f t="shared" ref="M26:O26" si="16">M11*10^7/M$4</f>
        <v>48581.887660494831</v>
      </c>
      <c r="N26" s="2">
        <f t="shared" si="16"/>
        <v>49553.525413704723</v>
      </c>
      <c r="O26" s="2">
        <f t="shared" si="16"/>
        <v>50544.595921978827</v>
      </c>
      <c r="P26" s="23" t="s">
        <v>220</v>
      </c>
    </row>
    <row r="27" spans="2:16" x14ac:dyDescent="0.35">
      <c r="B27" s="2"/>
      <c r="C27" s="2"/>
      <c r="D27" s="2"/>
      <c r="E27" s="2"/>
      <c r="F27" s="2"/>
      <c r="G27" s="2"/>
      <c r="H27" s="2"/>
      <c r="I27" s="5"/>
      <c r="J27" s="5"/>
      <c r="K27" s="5"/>
      <c r="M27" s="2"/>
      <c r="N27" s="2"/>
      <c r="O27" s="2"/>
      <c r="P27" s="23"/>
    </row>
    <row r="28" spans="2:16" ht="29" x14ac:dyDescent="0.35">
      <c r="B28" s="2" t="s">
        <v>190</v>
      </c>
      <c r="C28" s="31">
        <f>C14*10^7/C$4</f>
        <v>26313.266426461731</v>
      </c>
      <c r="D28" s="31">
        <f t="shared" ref="D28:H28" si="17">D14*10^7/D$4</f>
        <v>28011.089620536124</v>
      </c>
      <c r="E28" s="31">
        <f t="shared" si="17"/>
        <v>21217.93629256315</v>
      </c>
      <c r="F28" s="31">
        <f t="shared" si="17"/>
        <v>24437.840484216511</v>
      </c>
      <c r="G28" s="31">
        <f t="shared" si="17"/>
        <v>18725.792773022575</v>
      </c>
      <c r="H28" s="31">
        <f t="shared" si="17"/>
        <v>22112.315066275234</v>
      </c>
      <c r="I28" s="5"/>
      <c r="J28" s="5"/>
      <c r="K28" s="5"/>
      <c r="L28" s="56" t="s">
        <v>197</v>
      </c>
      <c r="M28" s="2">
        <f t="shared" ref="M28:O28" si="18">M14*10^7/M$4</f>
        <v>24101.075678103036</v>
      </c>
      <c r="N28" s="2">
        <f t="shared" si="18"/>
        <v>24914.10373823496</v>
      </c>
      <c r="O28" s="2">
        <f t="shared" si="18"/>
        <v>25743.392359569494</v>
      </c>
      <c r="P28" s="23" t="s">
        <v>220</v>
      </c>
    </row>
    <row r="29" spans="2:16" x14ac:dyDescent="0.35">
      <c r="B29" s="2"/>
      <c r="C29" s="31"/>
      <c r="D29" s="31"/>
      <c r="E29" s="31"/>
      <c r="F29" s="31"/>
      <c r="G29" s="31"/>
      <c r="H29" s="31"/>
      <c r="I29" s="5"/>
      <c r="J29" s="5"/>
      <c r="K29" s="5"/>
      <c r="M29" s="5"/>
      <c r="N29" s="5"/>
      <c r="O29" s="5"/>
      <c r="P29" s="23"/>
    </row>
    <row r="30" spans="2:16" x14ac:dyDescent="0.35">
      <c r="B30" s="2"/>
      <c r="C30" s="2"/>
      <c r="D30" s="2"/>
      <c r="E30" s="2"/>
      <c r="F30" s="2"/>
      <c r="G30" s="2"/>
      <c r="H30" s="2"/>
      <c r="P30" s="23"/>
    </row>
    <row r="31" spans="2:16" s="41" customFormat="1" x14ac:dyDescent="0.35">
      <c r="B31" s="40" t="s">
        <v>113</v>
      </c>
      <c r="C31" s="40"/>
      <c r="D31" s="40"/>
      <c r="E31" s="40"/>
      <c r="F31" s="40"/>
      <c r="G31" s="40"/>
      <c r="H31" s="40"/>
      <c r="L31" s="58"/>
      <c r="P31" s="42"/>
    </row>
    <row r="32" spans="2:16" x14ac:dyDescent="0.35">
      <c r="B32" s="2" t="s">
        <v>85</v>
      </c>
      <c r="C32" s="2">
        <f>C34+C33</f>
        <v>1501.43</v>
      </c>
      <c r="D32" s="2">
        <f t="shared" ref="D32:G32" si="19">D34+D33</f>
        <v>2139.38</v>
      </c>
      <c r="E32" s="2">
        <f t="shared" si="19"/>
        <v>2701.7000000000003</v>
      </c>
      <c r="F32" s="2">
        <f t="shared" si="19"/>
        <v>3112.2799999999997</v>
      </c>
      <c r="G32" s="2">
        <f t="shared" si="19"/>
        <v>3766.3</v>
      </c>
      <c r="H32" s="2">
        <f>G32+G35+H36-H35</f>
        <v>4640.55</v>
      </c>
      <c r="L32" s="56" t="s">
        <v>112</v>
      </c>
      <c r="M32" s="45">
        <f>H32+M36+(H35-M35)</f>
        <v>6109.09</v>
      </c>
      <c r="N32" s="45">
        <f>M32+N36+(M35-N35)</f>
        <v>6759.09</v>
      </c>
      <c r="O32" s="45">
        <f>N32+O36+(N35-O35)</f>
        <v>7109.09</v>
      </c>
      <c r="P32" s="23" t="s">
        <v>221</v>
      </c>
    </row>
    <row r="33" spans="2:16" x14ac:dyDescent="0.35">
      <c r="B33" s="2" t="s">
        <v>111</v>
      </c>
      <c r="C33" s="33"/>
      <c r="D33" s="33">
        <v>107.31</v>
      </c>
      <c r="E33" s="33">
        <v>249.17</v>
      </c>
      <c r="F33" s="33">
        <v>403.04</v>
      </c>
      <c r="G33" s="33">
        <v>586.77</v>
      </c>
      <c r="H33" s="2">
        <f>H32-H34</f>
        <v>480.76000000000022</v>
      </c>
      <c r="L33" s="56" t="s">
        <v>114</v>
      </c>
      <c r="M33" s="45">
        <f>H33+M38</f>
        <v>847.30540000000019</v>
      </c>
      <c r="N33" s="45">
        <f>M33+N38</f>
        <v>1252.8508000000002</v>
      </c>
      <c r="O33" s="45">
        <f>N33+O38</f>
        <v>1679.3962000000001</v>
      </c>
      <c r="P33" s="23" t="s">
        <v>222</v>
      </c>
    </row>
    <row r="34" spans="2:16" x14ac:dyDescent="0.35">
      <c r="B34" s="2" t="s">
        <v>17</v>
      </c>
      <c r="C34" s="34">
        <f>Model!C56</f>
        <v>1501.43</v>
      </c>
      <c r="D34" s="34">
        <f>Model!D56</f>
        <v>2032.07</v>
      </c>
      <c r="E34" s="34">
        <f>Model!E56</f>
        <v>2452.5300000000002</v>
      </c>
      <c r="F34" s="34">
        <f>Model!F56</f>
        <v>2709.24</v>
      </c>
      <c r="G34" s="34">
        <f>Model!G56</f>
        <v>3179.53</v>
      </c>
      <c r="H34" s="34">
        <f>Model!H56</f>
        <v>4159.79</v>
      </c>
      <c r="L34" s="56" t="s">
        <v>117</v>
      </c>
      <c r="M34" s="45">
        <f>M32-M33</f>
        <v>5261.7846</v>
      </c>
      <c r="N34" s="45">
        <f t="shared" ref="N34:O34" si="20">N32-N33</f>
        <v>5506.2392</v>
      </c>
      <c r="O34" s="45">
        <f t="shared" si="20"/>
        <v>5429.6938</v>
      </c>
      <c r="P34" s="23" t="s">
        <v>223</v>
      </c>
    </row>
    <row r="35" spans="2:16" x14ac:dyDescent="0.35">
      <c r="B35" s="2" t="s">
        <v>18</v>
      </c>
      <c r="C35" s="34">
        <f>Model!C57</f>
        <v>223.84</v>
      </c>
      <c r="D35" s="34">
        <f>Model!D57</f>
        <v>299.08</v>
      </c>
      <c r="E35" s="34">
        <f>Model!E57</f>
        <v>326.26</v>
      </c>
      <c r="F35" s="34">
        <f>Model!F57</f>
        <v>309.95999999999998</v>
      </c>
      <c r="G35" s="34">
        <f>Model!G57</f>
        <v>832.91000000000008</v>
      </c>
      <c r="H35" s="34">
        <f>Model!H57</f>
        <v>1068.54</v>
      </c>
      <c r="L35" s="56" t="s">
        <v>117</v>
      </c>
      <c r="M35" s="50">
        <v>400</v>
      </c>
      <c r="N35" s="50">
        <v>250</v>
      </c>
      <c r="O35" s="50">
        <v>100</v>
      </c>
      <c r="P35" s="23"/>
    </row>
    <row r="36" spans="2:16" x14ac:dyDescent="0.35">
      <c r="B36" s="2" t="s">
        <v>40</v>
      </c>
      <c r="C36" s="35">
        <f>-Model!C115</f>
        <v>302.79000000000002</v>
      </c>
      <c r="D36" s="35">
        <f>-Model!D115</f>
        <v>738.13</v>
      </c>
      <c r="E36" s="35">
        <f>-Model!E115</f>
        <v>587.71</v>
      </c>
      <c r="F36" s="35">
        <f>-Model!F115</f>
        <v>483.85</v>
      </c>
      <c r="G36" s="35">
        <f>-Model!G115</f>
        <v>1107.32</v>
      </c>
      <c r="H36" s="35">
        <f>-Model!H115</f>
        <v>1109.8800000000001</v>
      </c>
      <c r="L36" s="56" t="s">
        <v>117</v>
      </c>
      <c r="M36" s="50">
        <v>800</v>
      </c>
      <c r="N36" s="50">
        <v>500</v>
      </c>
      <c r="O36" s="50">
        <v>200</v>
      </c>
      <c r="P36" s="52" t="s">
        <v>212</v>
      </c>
    </row>
    <row r="37" spans="2:16" x14ac:dyDescent="0.35">
      <c r="B37" s="2"/>
      <c r="C37" s="36"/>
      <c r="D37" s="36"/>
      <c r="E37" s="36"/>
      <c r="F37" s="36"/>
      <c r="G37" s="36"/>
      <c r="H37" s="36"/>
      <c r="P37" s="23"/>
    </row>
    <row r="38" spans="2:16" x14ac:dyDescent="0.35">
      <c r="B38" s="2" t="s">
        <v>138</v>
      </c>
      <c r="C38" s="35">
        <f>Model!C104</f>
        <v>93.43</v>
      </c>
      <c r="D38" s="35">
        <f>Model!D104</f>
        <v>107.72</v>
      </c>
      <c r="E38" s="35">
        <f>Model!E104</f>
        <v>143.08000000000001</v>
      </c>
      <c r="F38" s="35">
        <f>Model!F104</f>
        <v>168.61</v>
      </c>
      <c r="G38" s="35">
        <f>Model!G104</f>
        <v>192.71</v>
      </c>
      <c r="H38" s="35">
        <f>Model!H104</f>
        <v>276.51</v>
      </c>
      <c r="L38" s="56" t="s">
        <v>117</v>
      </c>
      <c r="M38" s="45">
        <f>M39*M32</f>
        <v>366.54539999999997</v>
      </c>
      <c r="N38" s="45">
        <f t="shared" ref="N38:O38" si="21">N39*N32</f>
        <v>405.54539999999997</v>
      </c>
      <c r="O38" s="45">
        <f t="shared" si="21"/>
        <v>426.54539999999997</v>
      </c>
      <c r="P38" s="23" t="s">
        <v>224</v>
      </c>
    </row>
    <row r="39" spans="2:16" x14ac:dyDescent="0.35">
      <c r="B39" s="2" t="s">
        <v>205</v>
      </c>
      <c r="C39" s="30">
        <f>C38/C32</f>
        <v>6.2227343266086331E-2</v>
      </c>
      <c r="D39" s="30">
        <f t="shared" ref="D39:H39" si="22">D38/D32</f>
        <v>5.0351036281539509E-2</v>
      </c>
      <c r="E39" s="30">
        <f t="shared" si="22"/>
        <v>5.2959247880963838E-2</v>
      </c>
      <c r="F39" s="30">
        <f t="shared" si="22"/>
        <v>5.4175716837816655E-2</v>
      </c>
      <c r="G39" s="30">
        <f t="shared" si="22"/>
        <v>5.1166927754029153E-2</v>
      </c>
      <c r="H39" s="30">
        <f t="shared" si="22"/>
        <v>5.9585609464395381E-2</v>
      </c>
      <c r="L39" s="56" t="s">
        <v>139</v>
      </c>
      <c r="M39" s="51">
        <v>0.06</v>
      </c>
      <c r="N39" s="51">
        <v>0.06</v>
      </c>
      <c r="O39" s="51">
        <v>0.06</v>
      </c>
      <c r="P39" s="23"/>
    </row>
    <row r="40" spans="2:16" x14ac:dyDescent="0.35">
      <c r="B40" s="2"/>
      <c r="C40" s="30"/>
      <c r="D40" s="30"/>
      <c r="E40" s="30"/>
      <c r="F40" s="30"/>
      <c r="G40" s="30"/>
      <c r="H40" s="30"/>
      <c r="P40" s="23"/>
    </row>
    <row r="41" spans="2:16" x14ac:dyDescent="0.35">
      <c r="B41" s="2"/>
      <c r="C41" s="2"/>
      <c r="D41" s="2"/>
      <c r="E41" s="2"/>
      <c r="F41" s="2"/>
      <c r="G41" s="2"/>
      <c r="H41" s="2"/>
      <c r="P41" s="23"/>
    </row>
    <row r="42" spans="2:16" s="41" customFormat="1" x14ac:dyDescent="0.35">
      <c r="B42" s="40" t="s">
        <v>137</v>
      </c>
      <c r="C42" s="40"/>
      <c r="D42" s="40"/>
      <c r="E42" s="40"/>
      <c r="F42" s="40"/>
      <c r="G42" s="40"/>
      <c r="H42" s="40"/>
      <c r="L42" s="58"/>
      <c r="P42" s="42"/>
    </row>
    <row r="43" spans="2:16" x14ac:dyDescent="0.35">
      <c r="B43" s="2" t="s">
        <v>140</v>
      </c>
      <c r="C43" s="2">
        <f>Model!C74</f>
        <v>264.27</v>
      </c>
      <c r="D43" s="2">
        <f>Model!D74</f>
        <v>33.54</v>
      </c>
      <c r="E43" s="2">
        <f>Model!E74</f>
        <v>57.99</v>
      </c>
      <c r="F43" s="2">
        <f>Model!F74</f>
        <v>195.57</v>
      </c>
      <c r="G43" s="2">
        <f>Model!G74</f>
        <v>224.25</v>
      </c>
      <c r="H43" s="2">
        <f>Model!H74</f>
        <v>236.45</v>
      </c>
      <c r="L43" s="56" t="s">
        <v>117</v>
      </c>
      <c r="M43" s="45">
        <f>Model!M74</f>
        <v>298.36138068493159</v>
      </c>
      <c r="N43" s="45">
        <f>Model!N74</f>
        <v>319.54503871356167</v>
      </c>
      <c r="O43" s="45">
        <f>Model!O74</f>
        <v>342.23273646222464</v>
      </c>
      <c r="P43" s="23" t="s">
        <v>117</v>
      </c>
    </row>
    <row r="44" spans="2:16" x14ac:dyDescent="0.35">
      <c r="B44" s="2" t="s">
        <v>141</v>
      </c>
      <c r="C44" s="2">
        <f>Model!C90</f>
        <v>351.66</v>
      </c>
      <c r="D44" s="2">
        <f>Model!D90</f>
        <v>587.91</v>
      </c>
      <c r="E44" s="2">
        <f>Model!E90</f>
        <v>852.43</v>
      </c>
      <c r="F44" s="2">
        <f>Model!F90</f>
        <v>451.16</v>
      </c>
      <c r="G44" s="2">
        <f>Model!G90</f>
        <v>1222.6400000000001</v>
      </c>
      <c r="H44" s="2">
        <f>Model!H90</f>
        <v>1640.78</v>
      </c>
      <c r="L44" s="56" t="s">
        <v>117</v>
      </c>
      <c r="M44" s="45">
        <f>H44+M48</f>
        <v>2040.78</v>
      </c>
      <c r="N44" s="45">
        <f>M44+N48</f>
        <v>2190.7799999999997</v>
      </c>
      <c r="O44" s="45">
        <f>N44+O48</f>
        <v>2290.7799999999997</v>
      </c>
      <c r="P44" s="23" t="s">
        <v>225</v>
      </c>
    </row>
    <row r="45" spans="2:16" x14ac:dyDescent="0.35">
      <c r="B45" s="37" t="s">
        <v>142</v>
      </c>
      <c r="C45" s="37">
        <f>C43+C44</f>
        <v>615.93000000000006</v>
      </c>
      <c r="D45" s="37">
        <f t="shared" ref="D45:H45" si="23">D43+D44</f>
        <v>621.44999999999993</v>
      </c>
      <c r="E45" s="37">
        <f t="shared" si="23"/>
        <v>910.42</v>
      </c>
      <c r="F45" s="37">
        <f t="shared" si="23"/>
        <v>646.73</v>
      </c>
      <c r="G45" s="37">
        <f t="shared" si="23"/>
        <v>1446.89</v>
      </c>
      <c r="H45" s="37">
        <f t="shared" si="23"/>
        <v>1877.23</v>
      </c>
      <c r="L45" s="56" t="s">
        <v>143</v>
      </c>
      <c r="M45" s="37">
        <f>M43+M44</f>
        <v>2339.1413806849314</v>
      </c>
      <c r="N45" s="37">
        <f t="shared" ref="N45:O45" si="24">N43+N44</f>
        <v>2510.3250387135613</v>
      </c>
      <c r="O45" s="37">
        <f t="shared" si="24"/>
        <v>2633.0127364622244</v>
      </c>
      <c r="P45" s="23" t="s">
        <v>143</v>
      </c>
    </row>
    <row r="46" spans="2:16" x14ac:dyDescent="0.35">
      <c r="B46" s="2"/>
      <c r="C46" s="2"/>
      <c r="D46" s="2"/>
      <c r="E46" s="2"/>
      <c r="F46" s="2"/>
      <c r="G46" s="2"/>
      <c r="H46" s="2"/>
      <c r="P46" s="23"/>
    </row>
    <row r="47" spans="2:16" ht="29" x14ac:dyDescent="0.35">
      <c r="B47" s="2" t="s">
        <v>144</v>
      </c>
      <c r="C47" s="2"/>
      <c r="D47" s="2">
        <f>D43-C43</f>
        <v>-230.73</v>
      </c>
      <c r="E47" s="2">
        <f t="shared" ref="E47:H47" si="25">E43-D43</f>
        <v>24.450000000000003</v>
      </c>
      <c r="F47" s="2">
        <f t="shared" si="25"/>
        <v>137.57999999999998</v>
      </c>
      <c r="G47" s="2">
        <f t="shared" si="25"/>
        <v>28.680000000000007</v>
      </c>
      <c r="H47" s="2">
        <f t="shared" si="25"/>
        <v>12.199999999999989</v>
      </c>
      <c r="L47" s="56" t="s">
        <v>149</v>
      </c>
      <c r="M47" s="12">
        <f>M43-H43</f>
        <v>61.911380684931601</v>
      </c>
      <c r="N47" s="12">
        <f>N43-M43</f>
        <v>21.183658028630077</v>
      </c>
      <c r="O47" s="12">
        <f>O43-N43</f>
        <v>22.68769774866297</v>
      </c>
      <c r="P47" s="23" t="s">
        <v>149</v>
      </c>
    </row>
    <row r="48" spans="2:16" ht="29" x14ac:dyDescent="0.35">
      <c r="B48" s="2" t="s">
        <v>145</v>
      </c>
      <c r="C48" s="2"/>
      <c r="D48" s="2">
        <f>D44-C44</f>
        <v>236.24999999999994</v>
      </c>
      <c r="E48" s="2">
        <f t="shared" ref="E48:H48" si="26">E44-D44</f>
        <v>264.52</v>
      </c>
      <c r="F48" s="2">
        <f t="shared" si="26"/>
        <v>-401.26999999999992</v>
      </c>
      <c r="G48" s="2">
        <f t="shared" si="26"/>
        <v>771.48</v>
      </c>
      <c r="H48" s="2">
        <f t="shared" si="26"/>
        <v>418.13999999999987</v>
      </c>
      <c r="L48" s="56" t="s">
        <v>149</v>
      </c>
      <c r="M48" s="50">
        <v>400</v>
      </c>
      <c r="N48" s="50">
        <v>150</v>
      </c>
      <c r="O48" s="50">
        <v>100</v>
      </c>
      <c r="P48" s="52" t="s">
        <v>212</v>
      </c>
    </row>
    <row r="49" spans="2:16" ht="29" x14ac:dyDescent="0.35">
      <c r="B49" s="37" t="s">
        <v>148</v>
      </c>
      <c r="C49" s="37"/>
      <c r="D49" s="37">
        <f>D47+D48</f>
        <v>5.5199999999999534</v>
      </c>
      <c r="E49" s="37">
        <f t="shared" ref="E49:H49" si="27">E47+E48</f>
        <v>288.96999999999997</v>
      </c>
      <c r="F49" s="37">
        <f t="shared" si="27"/>
        <v>-263.68999999999994</v>
      </c>
      <c r="G49" s="37">
        <f t="shared" si="27"/>
        <v>800.16000000000008</v>
      </c>
      <c r="H49" s="37">
        <f t="shared" si="27"/>
        <v>430.33999999999986</v>
      </c>
      <c r="L49" s="56" t="s">
        <v>150</v>
      </c>
      <c r="M49" s="37">
        <f>M47+M48</f>
        <v>461.9113806849316</v>
      </c>
      <c r="N49" s="37">
        <f t="shared" ref="N49:O49" si="28">N47+N48</f>
        <v>171.18365802863008</v>
      </c>
      <c r="O49" s="37">
        <f t="shared" si="28"/>
        <v>122.68769774866297</v>
      </c>
      <c r="P49" s="23" t="s">
        <v>226</v>
      </c>
    </row>
    <row r="50" spans="2:16" x14ac:dyDescent="0.35">
      <c r="B50" s="2"/>
      <c r="C50" s="2"/>
      <c r="D50" s="2"/>
      <c r="E50" s="2"/>
      <c r="F50" s="2"/>
      <c r="G50" s="2"/>
      <c r="H50" s="2"/>
      <c r="P50" s="23"/>
    </row>
    <row r="51" spans="2:16" x14ac:dyDescent="0.35">
      <c r="B51" s="2" t="s">
        <v>48</v>
      </c>
      <c r="C51" s="2">
        <f>Model!C34</f>
        <v>131.86000000000001</v>
      </c>
      <c r="D51" s="2">
        <f>Model!D34</f>
        <v>94.89</v>
      </c>
      <c r="E51" s="2">
        <f>Model!E34</f>
        <v>81.72</v>
      </c>
      <c r="F51" s="2">
        <f>Model!F34</f>
        <v>97.35</v>
      </c>
      <c r="G51" s="2">
        <f>Model!G34</f>
        <v>88.04</v>
      </c>
      <c r="H51" s="2">
        <f>Model!H34</f>
        <v>150.93</v>
      </c>
      <c r="L51" s="56" t="s">
        <v>117</v>
      </c>
      <c r="M51" s="45">
        <f>M52*AVERAGE(M45,H45)</f>
        <v>189.73671213082193</v>
      </c>
      <c r="N51" s="45">
        <f>N52*AVERAGE(N45,M45)</f>
        <v>218.22598887293216</v>
      </c>
      <c r="O51" s="45">
        <f>O52*AVERAGE(O45,N45)</f>
        <v>231.45019988291034</v>
      </c>
      <c r="P51" s="23" t="s">
        <v>227</v>
      </c>
    </row>
    <row r="52" spans="2:16" ht="29" x14ac:dyDescent="0.35">
      <c r="B52" s="2" t="s">
        <v>146</v>
      </c>
      <c r="C52" s="2"/>
      <c r="D52" s="30">
        <f>D51/AVERAGE(D45,C45)</f>
        <v>0.15337244823740484</v>
      </c>
      <c r="E52" s="30">
        <f t="shared" ref="E52:H52" si="29">E51/AVERAGE(E45,D45)</f>
        <v>0.10669312670135195</v>
      </c>
      <c r="F52" s="30">
        <f t="shared" si="29"/>
        <v>0.125036123687506</v>
      </c>
      <c r="G52" s="30">
        <f t="shared" si="29"/>
        <v>8.4103132373592168E-2</v>
      </c>
      <c r="H52" s="30">
        <f t="shared" si="29"/>
        <v>9.0808996065124006E-2</v>
      </c>
      <c r="L52" s="56" t="s">
        <v>151</v>
      </c>
      <c r="M52" s="46">
        <v>0.09</v>
      </c>
      <c r="N52" s="46">
        <v>0.09</v>
      </c>
      <c r="O52" s="46">
        <v>0.09</v>
      </c>
      <c r="P52" s="23"/>
    </row>
    <row r="53" spans="2:16" x14ac:dyDescent="0.35">
      <c r="B53" s="2"/>
      <c r="C53" s="2"/>
      <c r="D53" s="2"/>
      <c r="E53" s="2"/>
      <c r="F53" s="2"/>
      <c r="G53" s="2"/>
      <c r="H53" s="2"/>
      <c r="P53" s="23"/>
    </row>
    <row r="54" spans="2:16" x14ac:dyDescent="0.35">
      <c r="B54" s="2"/>
      <c r="C54" s="2"/>
      <c r="D54" s="2"/>
      <c r="E54" s="2"/>
      <c r="F54" s="2"/>
      <c r="G54" s="2"/>
      <c r="H54" s="2"/>
      <c r="P54" s="23"/>
    </row>
    <row r="55" spans="2:16" s="41" customFormat="1" x14ac:dyDescent="0.35">
      <c r="B55" s="40" t="s">
        <v>154</v>
      </c>
      <c r="C55" s="40"/>
      <c r="D55" s="40"/>
      <c r="E55" s="40"/>
      <c r="F55" s="40"/>
      <c r="G55" s="40"/>
      <c r="H55" s="40"/>
      <c r="L55" s="58"/>
      <c r="P55" s="42"/>
    </row>
    <row r="56" spans="2:16" x14ac:dyDescent="0.35">
      <c r="B56" s="2" t="s">
        <v>153</v>
      </c>
      <c r="C56" s="2">
        <v>4.05</v>
      </c>
      <c r="D56" s="2">
        <v>4.05</v>
      </c>
      <c r="E56" s="2">
        <v>4.05</v>
      </c>
      <c r="F56" s="2">
        <v>4.05</v>
      </c>
      <c r="G56" s="2">
        <v>4.05</v>
      </c>
      <c r="H56" s="2">
        <v>4.05</v>
      </c>
      <c r="I56" s="2">
        <v>4.05</v>
      </c>
      <c r="J56" s="2">
        <v>4.05</v>
      </c>
      <c r="K56" s="2">
        <v>4.05</v>
      </c>
      <c r="M56" s="2">
        <f>M58/M57</f>
        <v>4.0449999999999999</v>
      </c>
      <c r="N56" s="2">
        <f t="shared" ref="N56" si="30">N58/N57</f>
        <v>4.0449999999999999</v>
      </c>
      <c r="O56" s="2">
        <v>3</v>
      </c>
      <c r="P56" s="23" t="s">
        <v>228</v>
      </c>
    </row>
    <row r="57" spans="2:16" x14ac:dyDescent="0.35">
      <c r="B57" s="2" t="s">
        <v>152</v>
      </c>
      <c r="C57" s="33">
        <v>10</v>
      </c>
      <c r="D57" s="33">
        <v>10</v>
      </c>
      <c r="E57" s="33">
        <v>10</v>
      </c>
      <c r="F57" s="33">
        <v>10</v>
      </c>
      <c r="G57" s="33">
        <v>10</v>
      </c>
      <c r="H57" s="33">
        <v>10</v>
      </c>
      <c r="L57" s="56" t="s">
        <v>87</v>
      </c>
      <c r="M57" s="50">
        <v>10</v>
      </c>
      <c r="N57" s="50">
        <v>10</v>
      </c>
      <c r="O57" s="50">
        <v>10</v>
      </c>
      <c r="P57" s="23" t="s">
        <v>229</v>
      </c>
    </row>
    <row r="58" spans="2:16" x14ac:dyDescent="0.35">
      <c r="B58" s="2" t="s">
        <v>25</v>
      </c>
      <c r="C58" s="2">
        <f>Model!C86</f>
        <v>40.450000000000003</v>
      </c>
      <c r="D58" s="2">
        <f>Model!D86</f>
        <v>40.450000000000003</v>
      </c>
      <c r="E58" s="2">
        <f>Model!E86</f>
        <v>40.450000000000003</v>
      </c>
      <c r="F58" s="2">
        <f>Model!F86</f>
        <v>40.450000000000003</v>
      </c>
      <c r="G58" s="2">
        <f>Model!G86</f>
        <v>40.450000000000003</v>
      </c>
      <c r="H58" s="2">
        <f>Model!H86</f>
        <v>40.450000000000003</v>
      </c>
      <c r="L58" s="56" t="s">
        <v>117</v>
      </c>
      <c r="M58" s="45">
        <f>H58+M60-M66</f>
        <v>40.450000000000003</v>
      </c>
      <c r="N58" s="45">
        <f>M58+N60-N66</f>
        <v>40.450000000000003</v>
      </c>
      <c r="O58" s="45">
        <f>N58+O60-O66</f>
        <v>40.450000000000003</v>
      </c>
      <c r="P58" s="23" t="s">
        <v>230</v>
      </c>
    </row>
    <row r="59" spans="2:16" x14ac:dyDescent="0.35">
      <c r="B59" s="2"/>
      <c r="C59" s="2"/>
      <c r="D59" s="2"/>
      <c r="E59" s="2"/>
      <c r="F59" s="2"/>
      <c r="G59" s="2"/>
      <c r="H59" s="2"/>
      <c r="P59" s="23"/>
    </row>
    <row r="60" spans="2:16" x14ac:dyDescent="0.35">
      <c r="B60" s="2" t="s">
        <v>155</v>
      </c>
      <c r="C60" s="33">
        <v>0</v>
      </c>
      <c r="D60" s="33">
        <v>0</v>
      </c>
      <c r="E60" s="33">
        <v>0</v>
      </c>
      <c r="F60" s="33">
        <v>0</v>
      </c>
      <c r="G60" s="33">
        <v>0</v>
      </c>
      <c r="H60" s="33">
        <v>0</v>
      </c>
      <c r="L60" s="56" t="s">
        <v>87</v>
      </c>
      <c r="M60" s="50">
        <v>0</v>
      </c>
      <c r="N60" s="50">
        <v>0</v>
      </c>
      <c r="O60" s="50">
        <v>0</v>
      </c>
      <c r="P60" s="23"/>
    </row>
    <row r="61" spans="2:16" x14ac:dyDescent="0.35">
      <c r="B61" s="2" t="s">
        <v>156</v>
      </c>
      <c r="C61" s="33">
        <v>0</v>
      </c>
      <c r="D61" s="33">
        <v>0</v>
      </c>
      <c r="E61" s="33">
        <v>0</v>
      </c>
      <c r="F61" s="33">
        <v>0</v>
      </c>
      <c r="G61" s="33">
        <v>0</v>
      </c>
      <c r="H61" s="33">
        <v>0</v>
      </c>
      <c r="L61" s="56" t="s">
        <v>162</v>
      </c>
      <c r="M61" s="12"/>
      <c r="N61" s="12"/>
      <c r="O61" s="12"/>
      <c r="P61" s="23"/>
    </row>
    <row r="62" spans="2:16" x14ac:dyDescent="0.35">
      <c r="B62" s="2" t="s">
        <v>157</v>
      </c>
      <c r="C62" s="33">
        <v>0</v>
      </c>
      <c r="D62" s="33">
        <v>0</v>
      </c>
      <c r="E62" s="33">
        <v>0</v>
      </c>
      <c r="F62" s="33">
        <v>0</v>
      </c>
      <c r="G62" s="33">
        <v>0</v>
      </c>
      <c r="H62" s="33">
        <v>0</v>
      </c>
      <c r="L62" s="56" t="s">
        <v>87</v>
      </c>
      <c r="M62" s="50">
        <v>0</v>
      </c>
      <c r="N62" s="50">
        <v>0</v>
      </c>
      <c r="O62" s="50">
        <v>0</v>
      </c>
      <c r="P62" s="23"/>
    </row>
    <row r="63" spans="2:16" ht="29" x14ac:dyDescent="0.35">
      <c r="B63" s="2" t="s">
        <v>158</v>
      </c>
      <c r="C63" s="33">
        <v>0</v>
      </c>
      <c r="D63" s="33">
        <v>0</v>
      </c>
      <c r="E63" s="33">
        <v>0</v>
      </c>
      <c r="F63" s="33">
        <v>0</v>
      </c>
      <c r="G63" s="33">
        <v>0</v>
      </c>
      <c r="H63" s="33">
        <v>0</v>
      </c>
      <c r="L63" s="56" t="s">
        <v>166</v>
      </c>
      <c r="M63" s="12"/>
      <c r="N63" s="12"/>
      <c r="O63" s="12"/>
      <c r="P63" s="23"/>
    </row>
    <row r="64" spans="2:16" x14ac:dyDescent="0.35">
      <c r="B64" s="2" t="s">
        <v>168</v>
      </c>
      <c r="C64" s="33">
        <v>0</v>
      </c>
      <c r="D64" s="33">
        <v>0</v>
      </c>
      <c r="E64" s="33">
        <v>0</v>
      </c>
      <c r="F64" s="33">
        <v>0</v>
      </c>
      <c r="G64" s="33">
        <v>0</v>
      </c>
      <c r="H64" s="33">
        <v>0</v>
      </c>
      <c r="L64" s="56" t="s">
        <v>163</v>
      </c>
      <c r="M64" s="12"/>
      <c r="N64" s="12"/>
      <c r="O64" s="12"/>
      <c r="P64" s="23"/>
    </row>
    <row r="65" spans="2:16" x14ac:dyDescent="0.35">
      <c r="B65" s="2"/>
      <c r="C65" s="33"/>
      <c r="D65" s="33"/>
      <c r="E65" s="33"/>
      <c r="F65" s="33"/>
      <c r="G65" s="33"/>
      <c r="H65" s="33"/>
      <c r="M65" s="12"/>
      <c r="N65" s="12"/>
      <c r="O65" s="12"/>
      <c r="P65" s="23"/>
    </row>
    <row r="66" spans="2:16" x14ac:dyDescent="0.35">
      <c r="B66" s="2" t="s">
        <v>159</v>
      </c>
      <c r="C66" s="33">
        <v>0</v>
      </c>
      <c r="D66" s="33">
        <v>0</v>
      </c>
      <c r="E66" s="33">
        <v>0</v>
      </c>
      <c r="F66" s="33">
        <v>0</v>
      </c>
      <c r="G66" s="33">
        <v>0</v>
      </c>
      <c r="H66" s="33">
        <v>0</v>
      </c>
      <c r="L66" s="56" t="s">
        <v>87</v>
      </c>
      <c r="M66" s="50">
        <v>0</v>
      </c>
      <c r="N66" s="50">
        <v>0</v>
      </c>
      <c r="O66" s="50">
        <v>0</v>
      </c>
      <c r="P66" s="23"/>
    </row>
    <row r="67" spans="2:16" x14ac:dyDescent="0.35">
      <c r="B67" s="2" t="s">
        <v>160</v>
      </c>
      <c r="C67" s="33">
        <v>0</v>
      </c>
      <c r="D67" s="33">
        <v>0</v>
      </c>
      <c r="E67" s="33">
        <v>0</v>
      </c>
      <c r="F67" s="33">
        <v>0</v>
      </c>
      <c r="G67" s="33">
        <v>0</v>
      </c>
      <c r="H67" s="33">
        <v>0</v>
      </c>
      <c r="L67" s="56" t="s">
        <v>164</v>
      </c>
      <c r="M67" s="12"/>
      <c r="N67" s="12"/>
      <c r="O67" s="12"/>
      <c r="P67" s="23"/>
    </row>
    <row r="68" spans="2:16" x14ac:dyDescent="0.35">
      <c r="B68" s="2" t="s">
        <v>161</v>
      </c>
      <c r="C68" s="33">
        <v>0</v>
      </c>
      <c r="D68" s="33">
        <v>0</v>
      </c>
      <c r="E68" s="33">
        <v>0</v>
      </c>
      <c r="F68" s="33">
        <v>0</v>
      </c>
      <c r="G68" s="33">
        <v>0</v>
      </c>
      <c r="H68" s="33">
        <v>0</v>
      </c>
      <c r="L68" s="56" t="s">
        <v>87</v>
      </c>
      <c r="M68" s="50">
        <v>0</v>
      </c>
      <c r="N68" s="50">
        <v>0</v>
      </c>
      <c r="O68" s="50">
        <v>0</v>
      </c>
      <c r="P68" s="23"/>
    </row>
    <row r="69" spans="2:16" x14ac:dyDescent="0.35">
      <c r="B69" s="2" t="s">
        <v>158</v>
      </c>
      <c r="C69" s="33">
        <v>0</v>
      </c>
      <c r="D69" s="33">
        <v>0</v>
      </c>
      <c r="E69" s="33">
        <v>0</v>
      </c>
      <c r="F69" s="33">
        <v>0</v>
      </c>
      <c r="G69" s="33">
        <v>0</v>
      </c>
      <c r="H69" s="33">
        <v>0</v>
      </c>
      <c r="L69" s="56" t="s">
        <v>165</v>
      </c>
      <c r="M69" s="12"/>
      <c r="N69" s="12"/>
      <c r="O69" s="12"/>
      <c r="P69" s="23"/>
    </row>
    <row r="70" spans="2:16" x14ac:dyDescent="0.35">
      <c r="B70" s="2" t="s">
        <v>169</v>
      </c>
      <c r="C70" s="33">
        <v>0</v>
      </c>
      <c r="D70" s="33">
        <v>0</v>
      </c>
      <c r="E70" s="33">
        <v>0</v>
      </c>
      <c r="F70" s="33">
        <v>0</v>
      </c>
      <c r="G70" s="33">
        <v>0</v>
      </c>
      <c r="H70" s="33">
        <v>0</v>
      </c>
      <c r="L70" s="56" t="s">
        <v>167</v>
      </c>
      <c r="M70" s="12"/>
      <c r="N70" s="12"/>
      <c r="O70" s="12"/>
      <c r="P70" s="23"/>
    </row>
    <row r="71" spans="2:16" x14ac:dyDescent="0.35">
      <c r="B71" s="2"/>
      <c r="C71" s="2"/>
      <c r="D71" s="2"/>
      <c r="E71" s="2"/>
      <c r="F71" s="2"/>
      <c r="G71" s="2"/>
      <c r="H71" s="2"/>
      <c r="P71" s="23"/>
    </row>
    <row r="72" spans="2:16" x14ac:dyDescent="0.35">
      <c r="B72" s="2"/>
      <c r="C72" s="2"/>
      <c r="D72" s="2"/>
      <c r="E72" s="2"/>
      <c r="F72" s="2"/>
      <c r="G72" s="2"/>
      <c r="H72" s="2"/>
      <c r="P72" s="23"/>
    </row>
    <row r="73" spans="2:16" s="41" customFormat="1" x14ac:dyDescent="0.35">
      <c r="B73" s="40" t="s">
        <v>170</v>
      </c>
      <c r="C73" s="40"/>
      <c r="D73" s="40"/>
      <c r="E73" s="40"/>
      <c r="F73" s="40"/>
      <c r="G73" s="40"/>
      <c r="H73" s="40"/>
      <c r="L73" s="58"/>
      <c r="P73" s="42"/>
    </row>
    <row r="74" spans="2:16" ht="29" x14ac:dyDescent="0.35">
      <c r="B74" s="2" t="s">
        <v>171</v>
      </c>
      <c r="C74" s="2">
        <f>C76-C75</f>
        <v>35.730000000000004</v>
      </c>
      <c r="D74" s="2">
        <f t="shared" ref="D74:H74" si="31">D76-D75</f>
        <v>-11.36</v>
      </c>
      <c r="E74" s="2">
        <f t="shared" si="31"/>
        <v>97.93</v>
      </c>
      <c r="F74" s="2">
        <f t="shared" si="31"/>
        <v>47.269999999999996</v>
      </c>
      <c r="G74" s="2">
        <f t="shared" si="31"/>
        <v>44.34</v>
      </c>
      <c r="H74" s="2">
        <f t="shared" si="31"/>
        <v>90.03</v>
      </c>
      <c r="L74" s="56" t="s">
        <v>176</v>
      </c>
      <c r="M74" s="12">
        <f>M76-M75</f>
        <v>48.218296592703261</v>
      </c>
      <c r="N74" s="12">
        <f t="shared" ref="N74:O74" si="32">N76-N75</f>
        <v>48.727554387082407</v>
      </c>
      <c r="O74" s="12">
        <f t="shared" si="32"/>
        <v>55.288514700893302</v>
      </c>
      <c r="P74" s="23" t="s">
        <v>231</v>
      </c>
    </row>
    <row r="75" spans="2:16" x14ac:dyDescent="0.35">
      <c r="B75" s="2" t="s">
        <v>172</v>
      </c>
      <c r="C75" s="33">
        <v>4.6900000000000004</v>
      </c>
      <c r="D75" s="33">
        <v>12.02</v>
      </c>
      <c r="E75" s="33">
        <v>0</v>
      </c>
      <c r="F75" s="33">
        <v>5.53</v>
      </c>
      <c r="G75" s="33">
        <v>8.2899999999999991</v>
      </c>
      <c r="H75" s="33">
        <v>17.87</v>
      </c>
      <c r="L75" s="56" t="s">
        <v>87</v>
      </c>
      <c r="M75" s="12">
        <f>M76*M78</f>
        <v>9.876036651517536</v>
      </c>
      <c r="N75" s="12">
        <f t="shared" ref="N75:O75" si="33">N76*N78</f>
        <v>9.9803424648241084</v>
      </c>
      <c r="O75" s="12">
        <f t="shared" si="33"/>
        <v>11.324153613435978</v>
      </c>
      <c r="P75" s="23" t="s">
        <v>232</v>
      </c>
    </row>
    <row r="76" spans="2:16" x14ac:dyDescent="0.35">
      <c r="B76" s="2" t="s">
        <v>177</v>
      </c>
      <c r="C76" s="2">
        <f>-Model!C125</f>
        <v>40.42</v>
      </c>
      <c r="D76" s="2">
        <f>-Model!D125</f>
        <v>0.66</v>
      </c>
      <c r="E76" s="2">
        <f>-Model!E125</f>
        <v>97.93</v>
      </c>
      <c r="F76" s="2">
        <f>-Model!F125</f>
        <v>52.8</v>
      </c>
      <c r="G76" s="2">
        <f>-Model!G125</f>
        <v>52.63</v>
      </c>
      <c r="H76" s="2">
        <f>-Model!H125</f>
        <v>107.9</v>
      </c>
      <c r="L76" s="56" t="s">
        <v>117</v>
      </c>
      <c r="M76" s="12">
        <f>M79*Model!M41</f>
        <v>58.094333244220799</v>
      </c>
      <c r="N76" s="12">
        <f>N79*Model!N41</f>
        <v>58.707896851906519</v>
      </c>
      <c r="O76" s="12">
        <f>O79*Model!O41</f>
        <v>66.612668314329284</v>
      </c>
      <c r="P76" s="23" t="s">
        <v>233</v>
      </c>
    </row>
    <row r="77" spans="2:16" x14ac:dyDescent="0.35">
      <c r="B77" s="2"/>
      <c r="C77" s="2"/>
      <c r="D77" s="2"/>
      <c r="E77" s="2"/>
      <c r="F77" s="2"/>
      <c r="G77" s="2"/>
      <c r="H77" s="2"/>
      <c r="P77" s="23"/>
    </row>
    <row r="78" spans="2:16" x14ac:dyDescent="0.35">
      <c r="B78" s="2" t="s">
        <v>175</v>
      </c>
      <c r="C78" s="30">
        <f>C75/C76</f>
        <v>0.11603166749134093</v>
      </c>
      <c r="D78" s="30">
        <f t="shared" ref="D78:H78" si="34">D75/D76</f>
        <v>18.212121212121211</v>
      </c>
      <c r="E78" s="30">
        <f t="shared" si="34"/>
        <v>0</v>
      </c>
      <c r="F78" s="30">
        <f t="shared" si="34"/>
        <v>0.1047348484848485</v>
      </c>
      <c r="G78" s="30">
        <f t="shared" si="34"/>
        <v>0.15751472544176323</v>
      </c>
      <c r="H78" s="30">
        <f t="shared" si="34"/>
        <v>0.16561631139944394</v>
      </c>
      <c r="L78" s="56" t="s">
        <v>178</v>
      </c>
      <c r="M78" s="46">
        <v>0.17</v>
      </c>
      <c r="N78" s="46">
        <v>0.17</v>
      </c>
      <c r="O78" s="46">
        <v>0.17</v>
      </c>
      <c r="P78" s="23" t="s">
        <v>229</v>
      </c>
    </row>
    <row r="79" spans="2:16" x14ac:dyDescent="0.35">
      <c r="B79" s="2" t="s">
        <v>173</v>
      </c>
      <c r="C79" s="30">
        <f>C76/Model!C41</f>
        <v>0.12875891946992854</v>
      </c>
      <c r="D79" s="30">
        <f>D76/Model!D41</f>
        <v>1.5192670687353251E-3</v>
      </c>
      <c r="E79" s="30">
        <f>E76/Model!E41</f>
        <v>0.27261086212176072</v>
      </c>
      <c r="F79" s="30">
        <f>F76/Model!F41</f>
        <v>0.13127797115862747</v>
      </c>
      <c r="G79" s="30">
        <f>G76/Model!G41</f>
        <v>0.20961446550900048</v>
      </c>
      <c r="H79" s="30">
        <f>H76/Model!H41</f>
        <v>0.46900808484743117</v>
      </c>
      <c r="L79" s="56" t="s">
        <v>179</v>
      </c>
      <c r="M79" s="46">
        <v>0.25</v>
      </c>
      <c r="N79" s="46">
        <v>0.25</v>
      </c>
      <c r="O79" s="46">
        <v>0.25</v>
      </c>
      <c r="P79" s="23"/>
    </row>
    <row r="80" spans="2:16" ht="29" x14ac:dyDescent="0.35">
      <c r="B80" s="2" t="s">
        <v>174</v>
      </c>
      <c r="C80" s="2">
        <f>C74/C56</f>
        <v>8.8222222222222229</v>
      </c>
      <c r="D80" s="2">
        <f t="shared" ref="D80:H80" si="35">D74/D56</f>
        <v>-2.8049382716049385</v>
      </c>
      <c r="E80" s="2">
        <f t="shared" si="35"/>
        <v>24.180246913580248</v>
      </c>
      <c r="F80" s="2">
        <f t="shared" si="35"/>
        <v>11.671604938271605</v>
      </c>
      <c r="G80" s="2">
        <f t="shared" si="35"/>
        <v>10.94814814814815</v>
      </c>
      <c r="H80" s="2">
        <f t="shared" si="35"/>
        <v>22.229629629629631</v>
      </c>
      <c r="L80" s="56" t="s">
        <v>180</v>
      </c>
      <c r="M80" s="2">
        <f>M74/M56</f>
        <v>11.920468873350622</v>
      </c>
      <c r="N80" s="2">
        <f t="shared" ref="N80:O80" si="36">N74/N56</f>
        <v>12.046366968376368</v>
      </c>
      <c r="O80" s="2">
        <f t="shared" si="36"/>
        <v>18.429504900297768</v>
      </c>
      <c r="P80" s="23" t="s">
        <v>220</v>
      </c>
    </row>
    <row r="81" spans="2:16" x14ac:dyDescent="0.35">
      <c r="P81" s="23"/>
    </row>
    <row r="82" spans="2:16" x14ac:dyDescent="0.35">
      <c r="P82" s="23"/>
    </row>
    <row r="83" spans="2:16" x14ac:dyDescent="0.35">
      <c r="B83" s="40" t="s">
        <v>240</v>
      </c>
      <c r="M83" s="41"/>
      <c r="N83" s="41"/>
      <c r="O83" s="41"/>
      <c r="P83" s="42"/>
    </row>
    <row r="84" spans="2:16" x14ac:dyDescent="0.35">
      <c r="B84" s="1" t="s">
        <v>241</v>
      </c>
      <c r="P84" s="23"/>
    </row>
    <row r="85" spans="2:16" x14ac:dyDescent="0.35">
      <c r="B85" t="s">
        <v>242</v>
      </c>
      <c r="C85" s="12">
        <f>Model!C66/C7*365</f>
        <v>41.104158983037991</v>
      </c>
      <c r="D85" s="12">
        <f>Model!D66/D7*365</f>
        <v>42.590934379132662</v>
      </c>
      <c r="E85" s="12">
        <f>Model!E66/E7*365</f>
        <v>59.718998146192412</v>
      </c>
      <c r="F85" s="12">
        <f>Model!F66/F7*365</f>
        <v>45.57751192821744</v>
      </c>
      <c r="G85" s="12">
        <f>Model!G66/G7*365</f>
        <v>52.551145320144144</v>
      </c>
      <c r="H85" s="12">
        <f>Model!H66/H7*365</f>
        <v>49.842944873967937</v>
      </c>
      <c r="I85" s="12" t="e">
        <f>Model!I66/I7*365</f>
        <v>#DIV/0!</v>
      </c>
      <c r="J85" s="12" t="e">
        <f>Model!J66/J7*365</f>
        <v>#DIV/0!</v>
      </c>
      <c r="K85" s="12" t="e">
        <f>Model!K66/K7*365</f>
        <v>#DIV/0!</v>
      </c>
      <c r="L85" s="12"/>
      <c r="M85" s="50">
        <v>50</v>
      </c>
      <c r="N85" s="50">
        <v>50</v>
      </c>
      <c r="O85" s="50">
        <v>50</v>
      </c>
      <c r="P85" s="23" t="s">
        <v>234</v>
      </c>
    </row>
    <row r="86" spans="2:16" x14ac:dyDescent="0.35">
      <c r="B86" t="s">
        <v>243</v>
      </c>
      <c r="C86" s="45">
        <f>Model!C67/C7*365</f>
        <v>42.346537110633911</v>
      </c>
      <c r="D86" s="45">
        <f>Model!D67/D7*365</f>
        <v>39.515007524282915</v>
      </c>
      <c r="E86" s="45">
        <f>Model!E67/E7*365</f>
        <v>38.851402321334739</v>
      </c>
      <c r="F86" s="45">
        <f>Model!F67/F7*365</f>
        <v>43.406130737719266</v>
      </c>
      <c r="G86" s="45">
        <f>Model!G67/G7*365</f>
        <v>36.914357628523689</v>
      </c>
      <c r="H86" s="45">
        <f>Model!H67/H7*365</f>
        <v>36.309768794910042</v>
      </c>
      <c r="I86" s="45" t="e">
        <f>Model!I67/I7*365</f>
        <v>#DIV/0!</v>
      </c>
      <c r="J86" s="45" t="e">
        <f>Model!J67/J7*365</f>
        <v>#DIV/0!</v>
      </c>
      <c r="K86" s="45" t="e">
        <f>Model!K67/K7*365</f>
        <v>#DIV/0!</v>
      </c>
      <c r="L86" s="45"/>
      <c r="M86" s="50">
        <v>36</v>
      </c>
      <c r="N86" s="50">
        <v>36</v>
      </c>
      <c r="O86" s="50">
        <v>36</v>
      </c>
      <c r="P86" s="23" t="s">
        <v>235</v>
      </c>
    </row>
    <row r="87" spans="2:16" x14ac:dyDescent="0.35">
      <c r="P87" s="23"/>
    </row>
    <row r="88" spans="2:16" x14ac:dyDescent="0.35">
      <c r="B88" s="1" t="s">
        <v>244</v>
      </c>
      <c r="P88" s="23"/>
    </row>
    <row r="89" spans="2:16" x14ac:dyDescent="0.35">
      <c r="B89" t="s">
        <v>245</v>
      </c>
      <c r="C89" s="12">
        <f>Model!C72/C7*365</f>
        <v>40.126611838590371</v>
      </c>
      <c r="D89" s="12">
        <f>Model!D72/D7*365</f>
        <v>42.298654749418581</v>
      </c>
      <c r="E89" s="12">
        <f>Model!E72/E7*365</f>
        <v>47.992052385238217</v>
      </c>
      <c r="F89" s="12">
        <f>Model!F72/F7*365</f>
        <v>50.567390051914401</v>
      </c>
      <c r="G89" s="12">
        <f>Model!G72/G7*365</f>
        <v>55.021404507975504</v>
      </c>
      <c r="H89" s="12">
        <f>Model!H72/H7*365</f>
        <v>64.33077684497178</v>
      </c>
      <c r="M89" s="50">
        <v>60</v>
      </c>
      <c r="N89" s="50">
        <v>60</v>
      </c>
      <c r="O89" s="50">
        <v>60</v>
      </c>
      <c r="P89" s="23" t="s">
        <v>236</v>
      </c>
    </row>
    <row r="90" spans="2:16" x14ac:dyDescent="0.35">
      <c r="B90" t="s">
        <v>246</v>
      </c>
      <c r="C90" s="12">
        <f>Model!C73/C7*365</f>
        <v>3.4270764755152192</v>
      </c>
      <c r="D90" s="12">
        <f>Model!D73/D7*365</f>
        <v>3.1298554425646405</v>
      </c>
      <c r="E90" s="12">
        <f>Model!E73/E7*365</f>
        <v>3.4066185613135151</v>
      </c>
      <c r="F90" s="12">
        <f>Model!F73/F7*365</f>
        <v>2.9265431882637163</v>
      </c>
      <c r="G90" s="12">
        <f>Model!G73/G7*365</f>
        <v>5.2535467770824296</v>
      </c>
      <c r="H90" s="12">
        <f>Model!H73/H7*365</f>
        <v>6.6330546716763807</v>
      </c>
      <c r="M90" s="50">
        <v>6</v>
      </c>
      <c r="N90" s="50">
        <v>6</v>
      </c>
      <c r="O90" s="50">
        <v>6</v>
      </c>
      <c r="P90" s="23" t="s">
        <v>237</v>
      </c>
    </row>
    <row r="91" spans="2:16" x14ac:dyDescent="0.35">
      <c r="B91" t="s">
        <v>247</v>
      </c>
      <c r="C91" s="12">
        <f>Model!C74/C7*365</f>
        <v>16.623962925558132</v>
      </c>
      <c r="D91" s="12">
        <f>Model!D74/D7*365</f>
        <v>2.233043002416891</v>
      </c>
      <c r="E91" s="12">
        <f>Model!E74/E7*365</f>
        <v>3.6705650384721435</v>
      </c>
      <c r="F91" s="12">
        <f>Model!F74/F7*365</f>
        <v>11.360540915616019</v>
      </c>
      <c r="G91" s="12">
        <f>Model!G74/G7*365</f>
        <v>11.718968116589423</v>
      </c>
      <c r="H91" s="12">
        <f>Model!H74/H7*365</f>
        <v>12.731437430943098</v>
      </c>
      <c r="M91" s="50">
        <v>15</v>
      </c>
      <c r="N91" s="50">
        <v>15</v>
      </c>
      <c r="O91" s="50">
        <v>15</v>
      </c>
      <c r="P91" s="23" t="s">
        <v>238</v>
      </c>
    </row>
    <row r="92" spans="2:16" x14ac:dyDescent="0.35">
      <c r="P92" s="23"/>
    </row>
    <row r="93" spans="2:16" x14ac:dyDescent="0.35">
      <c r="B93" s="1" t="s">
        <v>248</v>
      </c>
      <c r="C93" s="45">
        <f>C85+C86-C89-C90-C91</f>
        <v>23.27304485400817</v>
      </c>
      <c r="D93" s="45">
        <f t="shared" ref="D93:O93" si="37">D85+D86-D89-D90-D91</f>
        <v>34.44438870901547</v>
      </c>
      <c r="E93" s="45">
        <f t="shared" si="37"/>
        <v>43.501164482503277</v>
      </c>
      <c r="F93" s="45">
        <f t="shared" si="37"/>
        <v>24.129168510142577</v>
      </c>
      <c r="G93" s="45">
        <f t="shared" si="37"/>
        <v>17.471583547020476</v>
      </c>
      <c r="H93" s="45">
        <f t="shared" si="37"/>
        <v>2.4574447212867216</v>
      </c>
      <c r="I93" s="45" t="e">
        <f t="shared" si="37"/>
        <v>#DIV/0!</v>
      </c>
      <c r="J93" s="45" t="e">
        <f t="shared" si="37"/>
        <v>#DIV/0!</v>
      </c>
      <c r="K93" s="45" t="e">
        <f t="shared" si="37"/>
        <v>#DIV/0!</v>
      </c>
      <c r="L93" s="45"/>
      <c r="M93" s="45">
        <f t="shared" si="37"/>
        <v>5</v>
      </c>
      <c r="N93" s="45">
        <f t="shared" si="37"/>
        <v>5</v>
      </c>
      <c r="O93" s="45">
        <f t="shared" si="37"/>
        <v>5</v>
      </c>
      <c r="P93" s="23" t="s">
        <v>239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57F754F62CC6428360FD9C95D9708F" ma:contentTypeVersion="10" ma:contentTypeDescription="Create a new document." ma:contentTypeScope="" ma:versionID="613f4202a08d48eff8915690e83a8449">
  <xsd:schema xmlns:xsd="http://www.w3.org/2001/XMLSchema" xmlns:xs="http://www.w3.org/2001/XMLSchema" xmlns:p="http://schemas.microsoft.com/office/2006/metadata/properties" xmlns:ns3="b139bf46-36a8-45dc-b54a-dc28c92d319d" targetNamespace="http://schemas.microsoft.com/office/2006/metadata/properties" ma:root="true" ma:fieldsID="8435000da587065124b43693e6a92f30" ns3:_="">
    <xsd:import namespace="b139bf46-36a8-45dc-b54a-dc28c92d319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9bf46-36a8-45dc-b54a-dc28c92d31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82DB8E-C513-42D4-A83E-A80B948F30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39bf46-36a8-45dc-b54a-dc28c92d31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1EE2E7-E895-4C3A-96D4-8F3E5C896FE9}">
  <ds:schemaRefs>
    <ds:schemaRef ds:uri="http://www.w3.org/XML/1998/namespace"/>
    <ds:schemaRef ds:uri="http://purl.org/dc/dcmitype/"/>
    <ds:schemaRef ds:uri="http://schemas.microsoft.com/office/2006/documentManagement/types"/>
    <ds:schemaRef ds:uri="http://purl.org/dc/elements/1.1/"/>
    <ds:schemaRef ds:uri="b139bf46-36a8-45dc-b54a-dc28c92d319d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7F0CE8D2-D44E-4CB0-9A94-F749ECE385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Working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ASUS</cp:lastModifiedBy>
  <dcterms:created xsi:type="dcterms:W3CDTF">2019-12-20T08:47:23Z</dcterms:created>
  <dcterms:modified xsi:type="dcterms:W3CDTF">2020-08-10T15:02:33Z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0x0101004557F754F62CC6428360FD9C95D9708F</vt:lpwstr>
  </property>
</Properties>
</file>