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comments1.xml" ContentType="application/vnd.openxmlformats-officedocument.spreadsheetml.comments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customXml/itemProps6.xml" ContentType="application/vnd.openxmlformats-officedocument.customXmlProperties+xml"/>
  <Override PartName="/customXml/itemProps7.xml" ContentType="application/vnd.openxmlformats-officedocument.customXmlProperties+xml"/>
  <Override PartName="/customXml/itemProps8.xml" ContentType="application/vnd.openxmlformats-officedocument.customXmlProperties+xml"/>
  <Override PartName="/customXml/itemProps9.xml" ContentType="application/vnd.openxmlformats-officedocument.customXmlProperties+xml"/>
  <Override PartName="/customXml/itemProps10.xml" ContentType="application/vnd.openxmlformats-officedocument.customXmlProperties+xml"/>
  <Override PartName="/customXml/itemProps11.xml" ContentType="application/vnd.openxmlformats-officedocument.customXmlProperties+xml"/>
  <Override PartName="/customXml/itemProps12.xml" ContentType="application/vnd.openxmlformats-officedocument.customXmlProperties+xml"/>
  <Override PartName="/customXml/itemProps13.xml" ContentType="application/vnd.openxmlformats-officedocument.customXmlProperties+xml"/>
  <Override PartName="/customXml/itemProps14.xml" ContentType="application/vnd.openxmlformats-officedocument.customXmlProperties+xml"/>
  <Override PartName="/customXml/itemProps15.xml" ContentType="application/vnd.openxmlformats-officedocument.customXmlProperties+xml"/>
  <Override PartName="/customXml/itemProps16.xml" ContentType="application/vnd.openxmlformats-officedocument.customXmlProperties+xml"/>
  <Override PartName="/customXml/itemProps17.xml" ContentType="application/vnd.openxmlformats-officedocument.customXmlProperties+xml"/>
  <Override PartName="/customXml/itemProps18.xml" ContentType="application/vnd.openxmlformats-officedocument.customXmlProperties+xml"/>
  <Override PartName="/customXml/itemProps19.xml" ContentType="application/vnd.openxmlformats-officedocument.customXmlProperties+xml"/>
  <Override PartName="/customXml/itemProps20.xml" ContentType="application/vnd.openxmlformats-officedocument.customXmlProperties+xml"/>
  <Override PartName="/customXml/itemProps21.xml" ContentType="application/vnd.openxmlformats-officedocument.customXmlProperties+xml"/>
  <Override PartName="/customXml/itemProps22.xml" ContentType="application/vnd.openxmlformats-officedocument.customXmlProperties+xml"/>
  <Override PartName="/customXml/itemProps23.xml" ContentType="application/vnd.openxmlformats-officedocument.customXmlProperties+xml"/>
  <Override PartName="/customXml/itemProps24.xml" ContentType="application/vnd.openxmlformats-officedocument.customXmlProperties+xml"/>
  <Override PartName="/customXml/itemProps25.xml" ContentType="application/vnd.openxmlformats-officedocument.customXmlProperties+xml"/>
  <Override PartName="/customXml/itemProps26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419"/>
  <workbookPr filterPrivacy="1"/>
  <xr:revisionPtr revIDLastSave="0" documentId="13_ncr:1_{6CEAFF0F-C599-4BF5-AD22-981BDDA5EC46}" xr6:coauthVersionLast="47" xr6:coauthVersionMax="47" xr10:uidLastSave="{00000000-0000-0000-0000-000000000000}"/>
  <bookViews>
    <workbookView xWindow="-108" yWindow="-108" windowWidth="23256" windowHeight="13176" tabRatio="696" firstSheet="2" activeTab="2" xr2:uid="{00000000-000D-0000-FFFF-FFFF00000000}"/>
  </bookViews>
  <sheets>
    <sheet name="Monthly(redundant)" sheetId="16" state="hidden" r:id="rId1"/>
    <sheet name="Overview" sheetId="5" state="hidden" r:id="rId2"/>
    <sheet name="Monthly Summary" sheetId="22" r:id="rId3"/>
    <sheet name="Online Transactions" sheetId="24" r:id="rId4"/>
    <sheet name="RDC" sheetId="23" r:id="rId5"/>
    <sheet name="Check Register" sheetId="25" r:id="rId6"/>
    <sheet name="Transfer to Loan Account" sheetId="33" r:id="rId7"/>
    <sheet name="Data Extraction &amp; Cleaning" sheetId="31" state="hidden" r:id="rId8"/>
    <sheet name="Processed Database" sheetId="18" state="hidden" r:id="rId9"/>
    <sheet name="Mortgage" sheetId="10" state="hidden" r:id="rId10"/>
  </sheets>
  <definedNames>
    <definedName name="_xlnm._FilterDatabase" localSheetId="5" hidden="1">'Check Register'!$C$7:$F$89</definedName>
    <definedName name="_xlnm._FilterDatabase" localSheetId="3" hidden="1">'Online Transactions'!$C$6:$M$112</definedName>
    <definedName name="_xlnm._FilterDatabase" localSheetId="4" hidden="1">RDC!$C$6:$M$29</definedName>
    <definedName name="_xlnm._FilterDatabase" localSheetId="6" hidden="1">'Transfer to Loan Account'!$C$6:$M$17</definedName>
    <definedName name="Cash_beginning">#REF!</definedName>
    <definedName name="Cash_minimum">#REF!</definedName>
    <definedName name="Company_name">#REF!</definedName>
    <definedName name="Credit">'Monthly Summary'!$Q$8:$Q$31</definedName>
    <definedName name="Debit">'Monthly Summary'!$P$8:$P$31</definedName>
    <definedName name="Month">'Monthly Summary'!$S$8:$S$31</definedName>
    <definedName name="Start_date">#REF!</definedName>
    <definedName name="Transaction">'Monthly Summary'!$R$8:$R$31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39" i="23" l="1"/>
  <c r="T4" i="18"/>
  <c r="U4" i="18"/>
  <c r="T5" i="18"/>
  <c r="U5" i="18"/>
  <c r="V5" i="18" s="1"/>
  <c r="T6" i="18"/>
  <c r="V6" i="18" s="1"/>
  <c r="U6" i="18"/>
  <c r="T3" i="18"/>
  <c r="V3" i="18" s="1"/>
  <c r="V4" i="18"/>
  <c r="U3" i="18"/>
  <c r="I18" i="33"/>
  <c r="R18" i="33"/>
  <c r="R6" i="33"/>
  <c r="R7" i="33"/>
  <c r="R8" i="33"/>
  <c r="R9" i="33"/>
  <c r="R10" i="33"/>
  <c r="R11" i="33"/>
  <c r="R12" i="33"/>
  <c r="R13" i="33"/>
  <c r="R14" i="33"/>
  <c r="R15" i="33"/>
  <c r="R16" i="33"/>
  <c r="R17" i="33"/>
  <c r="C6" i="33" a="1"/>
  <c r="C6" i="33" s="1"/>
  <c r="H6" i="25" a="1"/>
  <c r="H6" i="25" s="1"/>
  <c r="I6" i="25" s="1"/>
  <c r="F90" i="25"/>
  <c r="L188" i="18"/>
  <c r="N188" i="18"/>
  <c r="L137" i="18"/>
  <c r="L136" i="18"/>
  <c r="L133" i="18"/>
  <c r="L132" i="18"/>
  <c r="L129" i="18"/>
  <c r="L128" i="18"/>
  <c r="L126" i="18"/>
  <c r="L127" i="18"/>
  <c r="L130" i="18"/>
  <c r="L131" i="18"/>
  <c r="L134" i="18"/>
  <c r="L135" i="18"/>
  <c r="L138" i="18"/>
  <c r="L139" i="18"/>
  <c r="N126" i="18"/>
  <c r="N127" i="18"/>
  <c r="N129" i="18"/>
  <c r="N130" i="18"/>
  <c r="N131" i="18"/>
  <c r="N133" i="18"/>
  <c r="N134" i="18"/>
  <c r="N135" i="18"/>
  <c r="N137" i="18"/>
  <c r="N138" i="18"/>
  <c r="N139" i="18"/>
  <c r="G249" i="31"/>
  <c r="I249" i="31"/>
  <c r="J249" i="31"/>
  <c r="H249" i="31" s="1"/>
  <c r="G250" i="31"/>
  <c r="H250" i="31"/>
  <c r="K250" i="31" s="1"/>
  <c r="I250" i="31"/>
  <c r="J250" i="31"/>
  <c r="G251" i="31"/>
  <c r="I251" i="31"/>
  <c r="J251" i="31"/>
  <c r="H251" i="31" s="1"/>
  <c r="G252" i="31"/>
  <c r="H252" i="31"/>
  <c r="K252" i="31" s="1"/>
  <c r="I252" i="31"/>
  <c r="J252" i="31"/>
  <c r="G253" i="31"/>
  <c r="I253" i="31"/>
  <c r="J253" i="31"/>
  <c r="H253" i="31" s="1"/>
  <c r="G254" i="31"/>
  <c r="H254" i="31"/>
  <c r="K254" i="31" s="1"/>
  <c r="I254" i="31"/>
  <c r="J254" i="31"/>
  <c r="L254" i="31"/>
  <c r="G255" i="31"/>
  <c r="I255" i="31"/>
  <c r="J255" i="31"/>
  <c r="H255" i="31" s="1"/>
  <c r="G256" i="31"/>
  <c r="H256" i="31"/>
  <c r="K256" i="31" s="1"/>
  <c r="I256" i="31"/>
  <c r="J256" i="31"/>
  <c r="L256" i="31"/>
  <c r="G257" i="31"/>
  <c r="I257" i="31"/>
  <c r="J257" i="31"/>
  <c r="H257" i="31" s="1"/>
  <c r="G258" i="31"/>
  <c r="H258" i="31"/>
  <c r="K258" i="31" s="1"/>
  <c r="I258" i="31"/>
  <c r="J258" i="31"/>
  <c r="G259" i="31"/>
  <c r="I259" i="31"/>
  <c r="J259" i="31"/>
  <c r="H259" i="31" s="1"/>
  <c r="G260" i="31"/>
  <c r="H260" i="31"/>
  <c r="K260" i="31" s="1"/>
  <c r="I260" i="31"/>
  <c r="J260" i="31"/>
  <c r="L260" i="31"/>
  <c r="G261" i="31"/>
  <c r="I261" i="31"/>
  <c r="J261" i="31"/>
  <c r="H261" i="31" s="1"/>
  <c r="J248" i="31"/>
  <c r="H248" i="31" s="1"/>
  <c r="I248" i="31"/>
  <c r="G248" i="31"/>
  <c r="L82" i="18"/>
  <c r="L78" i="18"/>
  <c r="L75" i="18"/>
  <c r="L74" i="18"/>
  <c r="L71" i="18"/>
  <c r="L70" i="18"/>
  <c r="L67" i="18"/>
  <c r="L66" i="18"/>
  <c r="L64" i="18"/>
  <c r="L65" i="18"/>
  <c r="L68" i="18"/>
  <c r="L69" i="18"/>
  <c r="L72" i="18"/>
  <c r="L73" i="18"/>
  <c r="L76" i="18"/>
  <c r="L77" i="18"/>
  <c r="L79" i="18"/>
  <c r="L80" i="18"/>
  <c r="L81" i="18"/>
  <c r="L83" i="18"/>
  <c r="L84" i="18"/>
  <c r="L85" i="18"/>
  <c r="N64" i="18"/>
  <c r="N65" i="18"/>
  <c r="N67" i="18"/>
  <c r="N68" i="18"/>
  <c r="N69" i="18"/>
  <c r="N71" i="18"/>
  <c r="N72" i="18"/>
  <c r="N73" i="18"/>
  <c r="N75" i="18"/>
  <c r="N76" i="18"/>
  <c r="N77" i="18"/>
  <c r="N79" i="18"/>
  <c r="N80" i="18"/>
  <c r="N81" i="18"/>
  <c r="N83" i="18"/>
  <c r="N84" i="18"/>
  <c r="N85" i="18"/>
  <c r="L4" i="18"/>
  <c r="L5" i="18"/>
  <c r="L6" i="18"/>
  <c r="L7" i="18"/>
  <c r="L8" i="18"/>
  <c r="L9" i="18"/>
  <c r="L10" i="18"/>
  <c r="L11" i="18"/>
  <c r="L12" i="18"/>
  <c r="L13" i="18"/>
  <c r="L14" i="18"/>
  <c r="L15" i="18"/>
  <c r="L16" i="18"/>
  <c r="L17" i="18"/>
  <c r="L18" i="18"/>
  <c r="L19" i="18"/>
  <c r="L20" i="18"/>
  <c r="L21" i="18"/>
  <c r="L22" i="18"/>
  <c r="L23" i="18"/>
  <c r="L24" i="18"/>
  <c r="L25" i="18"/>
  <c r="L26" i="18"/>
  <c r="L27" i="18"/>
  <c r="L28" i="18"/>
  <c r="L29" i="18"/>
  <c r="L30" i="18"/>
  <c r="L31" i="18"/>
  <c r="L32" i="18"/>
  <c r="L33" i="18"/>
  <c r="L34" i="18"/>
  <c r="L35" i="18"/>
  <c r="L36" i="18"/>
  <c r="L37" i="18"/>
  <c r="L38" i="18"/>
  <c r="L39" i="18"/>
  <c r="L40" i="18"/>
  <c r="L41" i="18"/>
  <c r="L42" i="18"/>
  <c r="L43" i="18"/>
  <c r="L44" i="18"/>
  <c r="L45" i="18"/>
  <c r="L46" i="18"/>
  <c r="L47" i="18"/>
  <c r="L48" i="18"/>
  <c r="L49" i="18"/>
  <c r="L50" i="18"/>
  <c r="L51" i="18"/>
  <c r="L52" i="18"/>
  <c r="L53" i="18"/>
  <c r="L54" i="18"/>
  <c r="L55" i="18"/>
  <c r="L56" i="18"/>
  <c r="L57" i="18"/>
  <c r="L58" i="18"/>
  <c r="L59" i="18"/>
  <c r="L60" i="18"/>
  <c r="L61" i="18"/>
  <c r="L62" i="18"/>
  <c r="L63" i="18"/>
  <c r="L86" i="18"/>
  <c r="L87" i="18"/>
  <c r="L88" i="18"/>
  <c r="L89" i="18"/>
  <c r="L90" i="18"/>
  <c r="L91" i="18"/>
  <c r="L92" i="18"/>
  <c r="L93" i="18"/>
  <c r="L94" i="18"/>
  <c r="L95" i="18"/>
  <c r="L96" i="18"/>
  <c r="L97" i="18"/>
  <c r="L98" i="18"/>
  <c r="L99" i="18"/>
  <c r="L100" i="18"/>
  <c r="L101" i="18"/>
  <c r="L102" i="18"/>
  <c r="L103" i="18"/>
  <c r="L104" i="18"/>
  <c r="L105" i="18"/>
  <c r="L106" i="18"/>
  <c r="L107" i="18"/>
  <c r="L108" i="18"/>
  <c r="L109" i="18"/>
  <c r="L110" i="18"/>
  <c r="L111" i="18"/>
  <c r="L112" i="18"/>
  <c r="L113" i="18"/>
  <c r="L114" i="18"/>
  <c r="L115" i="18"/>
  <c r="L116" i="18"/>
  <c r="L117" i="18"/>
  <c r="L118" i="18"/>
  <c r="L119" i="18"/>
  <c r="L120" i="18"/>
  <c r="L121" i="18"/>
  <c r="L122" i="18"/>
  <c r="L123" i="18"/>
  <c r="L124" i="18"/>
  <c r="L125" i="18"/>
  <c r="L140" i="18"/>
  <c r="L141" i="18"/>
  <c r="L142" i="18"/>
  <c r="L143" i="18"/>
  <c r="L144" i="18"/>
  <c r="L145" i="18"/>
  <c r="L146" i="18"/>
  <c r="L147" i="18"/>
  <c r="L148" i="18"/>
  <c r="L149" i="18"/>
  <c r="L150" i="18"/>
  <c r="L151" i="18"/>
  <c r="L152" i="18"/>
  <c r="L153" i="18"/>
  <c r="L154" i="18"/>
  <c r="L155" i="18"/>
  <c r="L156" i="18"/>
  <c r="L157" i="18"/>
  <c r="L158" i="18"/>
  <c r="L159" i="18"/>
  <c r="L160" i="18"/>
  <c r="L161" i="18"/>
  <c r="L162" i="18"/>
  <c r="L163" i="18"/>
  <c r="L164" i="18"/>
  <c r="L165" i="18"/>
  <c r="L166" i="18"/>
  <c r="L167" i="18"/>
  <c r="L168" i="18"/>
  <c r="L169" i="18"/>
  <c r="L170" i="18"/>
  <c r="L171" i="18"/>
  <c r="L172" i="18"/>
  <c r="L173" i="18"/>
  <c r="L174" i="18"/>
  <c r="L175" i="18"/>
  <c r="L176" i="18"/>
  <c r="L177" i="18"/>
  <c r="L178" i="18"/>
  <c r="L179" i="18"/>
  <c r="L180" i="18"/>
  <c r="L181" i="18"/>
  <c r="L182" i="18"/>
  <c r="L183" i="18"/>
  <c r="L184" i="18"/>
  <c r="L185" i="18"/>
  <c r="L186" i="18"/>
  <c r="L187" i="18"/>
  <c r="L189" i="18"/>
  <c r="L190" i="18"/>
  <c r="L191" i="18"/>
  <c r="L192" i="18"/>
  <c r="L193" i="18"/>
  <c r="L194" i="18"/>
  <c r="L195" i="18"/>
  <c r="L196" i="18"/>
  <c r="L197" i="18"/>
  <c r="L198" i="18"/>
  <c r="L199" i="18"/>
  <c r="L200" i="18"/>
  <c r="L201" i="18"/>
  <c r="L202" i="18"/>
  <c r="L203" i="18"/>
  <c r="L204" i="18"/>
  <c r="L205" i="18"/>
  <c r="L206" i="18"/>
  <c r="L207" i="18"/>
  <c r="L208" i="18"/>
  <c r="L209" i="18"/>
  <c r="L210" i="18"/>
  <c r="L211" i="18"/>
  <c r="L212" i="18"/>
  <c r="L213" i="18"/>
  <c r="L214" i="18"/>
  <c r="L215" i="18"/>
  <c r="L216" i="18"/>
  <c r="L217" i="18"/>
  <c r="L218" i="18"/>
  <c r="L219" i="18"/>
  <c r="L220" i="18"/>
  <c r="L221" i="18"/>
  <c r="L222" i="18"/>
  <c r="L223" i="18"/>
  <c r="L224" i="18"/>
  <c r="L225" i="18"/>
  <c r="L226" i="18"/>
  <c r="L227" i="18"/>
  <c r="L228" i="18"/>
  <c r="L229" i="18"/>
  <c r="L230" i="18"/>
  <c r="L231" i="18"/>
  <c r="L232" i="18"/>
  <c r="L233" i="18"/>
  <c r="L234" i="18"/>
  <c r="L235" i="18"/>
  <c r="L236" i="18"/>
  <c r="L237" i="18"/>
  <c r="L3" i="18"/>
  <c r="N228" i="18"/>
  <c r="N229" i="18"/>
  <c r="N230" i="18"/>
  <c r="N231" i="18"/>
  <c r="N232" i="18"/>
  <c r="N233" i="18"/>
  <c r="N234" i="18"/>
  <c r="N235" i="18"/>
  <c r="N236" i="18"/>
  <c r="N237" i="18"/>
  <c r="G124" i="31"/>
  <c r="I124" i="31"/>
  <c r="J124" i="31"/>
  <c r="H124" i="31" s="1"/>
  <c r="G125" i="31"/>
  <c r="I125" i="31"/>
  <c r="J125" i="31"/>
  <c r="H125" i="31" s="1"/>
  <c r="G126" i="31"/>
  <c r="I126" i="31"/>
  <c r="J126" i="31"/>
  <c r="H126" i="31" s="1"/>
  <c r="G127" i="31"/>
  <c r="I127" i="31"/>
  <c r="J127" i="31"/>
  <c r="H127" i="31" s="1"/>
  <c r="G128" i="31"/>
  <c r="I128" i="31"/>
  <c r="J128" i="31"/>
  <c r="H128" i="31" s="1"/>
  <c r="G129" i="31"/>
  <c r="I129" i="31"/>
  <c r="J129" i="31"/>
  <c r="H129" i="31" s="1"/>
  <c r="G130" i="31"/>
  <c r="I130" i="31"/>
  <c r="J130" i="31"/>
  <c r="H130" i="31" s="1"/>
  <c r="G131" i="31"/>
  <c r="I131" i="31"/>
  <c r="J131" i="31"/>
  <c r="H131" i="31" s="1"/>
  <c r="G132" i="31"/>
  <c r="I132" i="31"/>
  <c r="J132" i="31"/>
  <c r="H132" i="31" s="1"/>
  <c r="G133" i="31"/>
  <c r="I133" i="31"/>
  <c r="J133" i="31"/>
  <c r="H133" i="31" s="1"/>
  <c r="G134" i="31"/>
  <c r="I134" i="31"/>
  <c r="J134" i="31"/>
  <c r="H134" i="31" s="1"/>
  <c r="G135" i="31"/>
  <c r="I135" i="31"/>
  <c r="J135" i="31"/>
  <c r="H135" i="31" s="1"/>
  <c r="G136" i="31"/>
  <c r="I136" i="31"/>
  <c r="J136" i="31"/>
  <c r="H136" i="31" s="1"/>
  <c r="G137" i="31"/>
  <c r="I137" i="31"/>
  <c r="J137" i="31"/>
  <c r="H137" i="31" s="1"/>
  <c r="G138" i="31"/>
  <c r="I138" i="31"/>
  <c r="J138" i="31"/>
  <c r="H138" i="31" s="1"/>
  <c r="G139" i="31"/>
  <c r="I139" i="31"/>
  <c r="J139" i="31"/>
  <c r="H139" i="31" s="1"/>
  <c r="G140" i="31"/>
  <c r="I140" i="31"/>
  <c r="J140" i="31"/>
  <c r="H140" i="31" s="1"/>
  <c r="G141" i="31"/>
  <c r="I141" i="31"/>
  <c r="J141" i="31"/>
  <c r="H141" i="31" s="1"/>
  <c r="G142" i="31"/>
  <c r="I142" i="31"/>
  <c r="J142" i="31"/>
  <c r="H142" i="31" s="1"/>
  <c r="G143" i="31"/>
  <c r="I143" i="31"/>
  <c r="J143" i="31"/>
  <c r="H143" i="31" s="1"/>
  <c r="G145" i="31"/>
  <c r="I145" i="31"/>
  <c r="J145" i="31"/>
  <c r="H145" i="31" s="1"/>
  <c r="G146" i="31"/>
  <c r="I146" i="31"/>
  <c r="J146" i="31"/>
  <c r="H146" i="31" s="1"/>
  <c r="L146" i="31" s="1"/>
  <c r="G147" i="31"/>
  <c r="I147" i="31"/>
  <c r="J147" i="31"/>
  <c r="H147" i="31" s="1"/>
  <c r="G148" i="31"/>
  <c r="I148" i="31"/>
  <c r="J148" i="31"/>
  <c r="H148" i="31" s="1"/>
  <c r="L148" i="31" s="1"/>
  <c r="G149" i="31"/>
  <c r="I149" i="31"/>
  <c r="J149" i="31"/>
  <c r="H149" i="31" s="1"/>
  <c r="L149" i="31" s="1"/>
  <c r="G150" i="31"/>
  <c r="I150" i="31"/>
  <c r="J150" i="31"/>
  <c r="H150" i="31" s="1"/>
  <c r="L150" i="31" s="1"/>
  <c r="G151" i="31"/>
  <c r="I151" i="31"/>
  <c r="J151" i="31"/>
  <c r="H151" i="31" s="1"/>
  <c r="K151" i="31" s="1"/>
  <c r="G152" i="31"/>
  <c r="I152" i="31"/>
  <c r="J152" i="31"/>
  <c r="H152" i="31" s="1"/>
  <c r="L152" i="31" s="1"/>
  <c r="G153" i="31"/>
  <c r="I153" i="31"/>
  <c r="J153" i="31"/>
  <c r="H153" i="31" s="1"/>
  <c r="G154" i="31"/>
  <c r="I154" i="31"/>
  <c r="J154" i="31"/>
  <c r="H154" i="31" s="1"/>
  <c r="L154" i="31" s="1"/>
  <c r="G155" i="31"/>
  <c r="I155" i="31"/>
  <c r="J155" i="31"/>
  <c r="H155" i="31" s="1"/>
  <c r="G156" i="31"/>
  <c r="I156" i="31"/>
  <c r="J156" i="31"/>
  <c r="H156" i="31" s="1"/>
  <c r="L156" i="31" s="1"/>
  <c r="G157" i="31"/>
  <c r="I157" i="31"/>
  <c r="J157" i="31"/>
  <c r="H157" i="31" s="1"/>
  <c r="G158" i="31"/>
  <c r="I158" i="31"/>
  <c r="J158" i="31"/>
  <c r="H158" i="31" s="1"/>
  <c r="L158" i="31" s="1"/>
  <c r="G159" i="31"/>
  <c r="I159" i="31"/>
  <c r="J159" i="31"/>
  <c r="H159" i="31" s="1"/>
  <c r="G160" i="31"/>
  <c r="I160" i="31"/>
  <c r="J160" i="31"/>
  <c r="H160" i="31" s="1"/>
  <c r="L160" i="31" s="1"/>
  <c r="G161" i="31"/>
  <c r="I161" i="31"/>
  <c r="J161" i="31"/>
  <c r="H161" i="31" s="1"/>
  <c r="G162" i="31"/>
  <c r="I162" i="31"/>
  <c r="J162" i="31"/>
  <c r="H162" i="31" s="1"/>
  <c r="L162" i="31" s="1"/>
  <c r="G163" i="31"/>
  <c r="I163" i="31"/>
  <c r="J163" i="31"/>
  <c r="H163" i="31" s="1"/>
  <c r="G165" i="31"/>
  <c r="I165" i="31"/>
  <c r="J165" i="31"/>
  <c r="H165" i="31" s="1"/>
  <c r="G166" i="31"/>
  <c r="I166" i="31"/>
  <c r="J166" i="31"/>
  <c r="H166" i="31" s="1"/>
  <c r="L166" i="31" s="1"/>
  <c r="G167" i="31"/>
  <c r="I167" i="31"/>
  <c r="J167" i="31"/>
  <c r="H167" i="31" s="1"/>
  <c r="G168" i="31"/>
  <c r="I168" i="31"/>
  <c r="J168" i="31"/>
  <c r="H168" i="31" s="1"/>
  <c r="L168" i="31" s="1"/>
  <c r="G169" i="31"/>
  <c r="I169" i="31"/>
  <c r="J169" i="31"/>
  <c r="H169" i="31" s="1"/>
  <c r="G170" i="31"/>
  <c r="I170" i="31"/>
  <c r="J170" i="31"/>
  <c r="H170" i="31" s="1"/>
  <c r="L170" i="31" s="1"/>
  <c r="G171" i="31"/>
  <c r="I171" i="31"/>
  <c r="J171" i="31"/>
  <c r="H171" i="31" s="1"/>
  <c r="G172" i="31"/>
  <c r="I172" i="31"/>
  <c r="J172" i="31"/>
  <c r="H172" i="31" s="1"/>
  <c r="L172" i="31" s="1"/>
  <c r="G173" i="31"/>
  <c r="I173" i="31"/>
  <c r="J173" i="31"/>
  <c r="H173" i="31" s="1"/>
  <c r="G174" i="31"/>
  <c r="I174" i="31"/>
  <c r="J174" i="31"/>
  <c r="H174" i="31" s="1"/>
  <c r="L174" i="31" s="1"/>
  <c r="G175" i="31"/>
  <c r="I175" i="31"/>
  <c r="J175" i="31"/>
  <c r="H175" i="31" s="1"/>
  <c r="G176" i="31"/>
  <c r="I176" i="31"/>
  <c r="J176" i="31"/>
  <c r="H176" i="31" s="1"/>
  <c r="L176" i="31" s="1"/>
  <c r="G177" i="31"/>
  <c r="I177" i="31"/>
  <c r="J177" i="31"/>
  <c r="H177" i="31" s="1"/>
  <c r="G178" i="31"/>
  <c r="I178" i="31"/>
  <c r="J178" i="31"/>
  <c r="H178" i="31" s="1"/>
  <c r="L178" i="31" s="1"/>
  <c r="G179" i="31"/>
  <c r="I179" i="31"/>
  <c r="J179" i="31"/>
  <c r="H179" i="31" s="1"/>
  <c r="G180" i="31"/>
  <c r="I180" i="31"/>
  <c r="J180" i="31"/>
  <c r="H180" i="31" s="1"/>
  <c r="L180" i="31" s="1"/>
  <c r="G181" i="31"/>
  <c r="I181" i="31"/>
  <c r="J181" i="31"/>
  <c r="H181" i="31" s="1"/>
  <c r="G183" i="31"/>
  <c r="I183" i="31"/>
  <c r="J183" i="31"/>
  <c r="H183" i="31" s="1"/>
  <c r="K183" i="31" s="1"/>
  <c r="G184" i="31"/>
  <c r="I184" i="31"/>
  <c r="J184" i="31"/>
  <c r="H184" i="31" s="1"/>
  <c r="L184" i="31" s="1"/>
  <c r="G185" i="31"/>
  <c r="I185" i="31"/>
  <c r="J185" i="31"/>
  <c r="H185" i="31" s="1"/>
  <c r="G186" i="31"/>
  <c r="I186" i="31"/>
  <c r="J186" i="31"/>
  <c r="H186" i="31" s="1"/>
  <c r="L186" i="31" s="1"/>
  <c r="G187" i="31"/>
  <c r="I187" i="31"/>
  <c r="J187" i="31"/>
  <c r="H187" i="31" s="1"/>
  <c r="G188" i="31"/>
  <c r="I188" i="31"/>
  <c r="J188" i="31"/>
  <c r="H188" i="31" s="1"/>
  <c r="L188" i="31" s="1"/>
  <c r="G189" i="31"/>
  <c r="I189" i="31"/>
  <c r="J189" i="31"/>
  <c r="H189" i="31" s="1"/>
  <c r="K189" i="31" s="1"/>
  <c r="G190" i="31"/>
  <c r="I190" i="31"/>
  <c r="J190" i="31"/>
  <c r="H190" i="31" s="1"/>
  <c r="L190" i="31" s="1"/>
  <c r="G191" i="31"/>
  <c r="I191" i="31"/>
  <c r="J191" i="31"/>
  <c r="H191" i="31" s="1"/>
  <c r="K191" i="31" s="1"/>
  <c r="G192" i="31"/>
  <c r="I192" i="31"/>
  <c r="J192" i="31"/>
  <c r="H192" i="31" s="1"/>
  <c r="L192" i="31" s="1"/>
  <c r="G193" i="31"/>
  <c r="I193" i="31"/>
  <c r="J193" i="31"/>
  <c r="H193" i="31" s="1"/>
  <c r="G194" i="31"/>
  <c r="I194" i="31"/>
  <c r="J194" i="31"/>
  <c r="H194" i="31" s="1"/>
  <c r="L194" i="31" s="1"/>
  <c r="G196" i="31"/>
  <c r="I196" i="31"/>
  <c r="J196" i="31"/>
  <c r="H196" i="31" s="1"/>
  <c r="L196" i="31" s="1"/>
  <c r="G197" i="31"/>
  <c r="I197" i="31"/>
  <c r="J197" i="31"/>
  <c r="H197" i="31" s="1"/>
  <c r="K197" i="31" s="1"/>
  <c r="G198" i="31"/>
  <c r="I198" i="31"/>
  <c r="J198" i="31"/>
  <c r="H198" i="31" s="1"/>
  <c r="L198" i="31" s="1"/>
  <c r="G199" i="31"/>
  <c r="I199" i="31"/>
  <c r="J199" i="31"/>
  <c r="H199" i="31" s="1"/>
  <c r="L199" i="31" s="1"/>
  <c r="G201" i="31"/>
  <c r="I201" i="31"/>
  <c r="J201" i="31"/>
  <c r="H201" i="31" s="1"/>
  <c r="G202" i="31"/>
  <c r="I202" i="31"/>
  <c r="J202" i="31"/>
  <c r="H202" i="31" s="1"/>
  <c r="L202" i="31" s="1"/>
  <c r="G203" i="31"/>
  <c r="I203" i="31"/>
  <c r="J203" i="31"/>
  <c r="H203" i="31" s="1"/>
  <c r="G204" i="31"/>
  <c r="I204" i="31"/>
  <c r="J204" i="31"/>
  <c r="H204" i="31" s="1"/>
  <c r="L204" i="31" s="1"/>
  <c r="G205" i="31"/>
  <c r="I205" i="31"/>
  <c r="J205" i="31"/>
  <c r="H205" i="31" s="1"/>
  <c r="K205" i="31" s="1"/>
  <c r="G206" i="31"/>
  <c r="I206" i="31"/>
  <c r="J206" i="31"/>
  <c r="H206" i="31" s="1"/>
  <c r="L206" i="31" s="1"/>
  <c r="G207" i="31"/>
  <c r="I207" i="31"/>
  <c r="J207" i="31"/>
  <c r="H207" i="31" s="1"/>
  <c r="K207" i="31" s="1"/>
  <c r="G208" i="31"/>
  <c r="I208" i="31"/>
  <c r="J208" i="31"/>
  <c r="H208" i="31" s="1"/>
  <c r="K208" i="31" s="1"/>
  <c r="G209" i="31"/>
  <c r="I209" i="31"/>
  <c r="J209" i="31"/>
  <c r="H209" i="31" s="1"/>
  <c r="G210" i="31"/>
  <c r="I210" i="31"/>
  <c r="J210" i="31"/>
  <c r="H210" i="31" s="1"/>
  <c r="L210" i="31" s="1"/>
  <c r="G211" i="31"/>
  <c r="I211" i="31"/>
  <c r="J211" i="31"/>
  <c r="H211" i="31" s="1"/>
  <c r="G212" i="31"/>
  <c r="I212" i="31"/>
  <c r="J212" i="31"/>
  <c r="H212" i="31" s="1"/>
  <c r="K212" i="31" s="1"/>
  <c r="G213" i="31"/>
  <c r="I213" i="31"/>
  <c r="J213" i="31"/>
  <c r="H213" i="31" s="1"/>
  <c r="G214" i="31"/>
  <c r="I214" i="31"/>
  <c r="J214" i="31"/>
  <c r="H214" i="31" s="1"/>
  <c r="L214" i="31" s="1"/>
  <c r="G215" i="31"/>
  <c r="I215" i="31"/>
  <c r="J215" i="31"/>
  <c r="H215" i="31" s="1"/>
  <c r="G216" i="31"/>
  <c r="I216" i="31"/>
  <c r="J216" i="31"/>
  <c r="H216" i="31" s="1"/>
  <c r="L216" i="31" s="1"/>
  <c r="G217" i="31"/>
  <c r="I217" i="31"/>
  <c r="J217" i="31"/>
  <c r="H217" i="31" s="1"/>
  <c r="G218" i="31"/>
  <c r="I218" i="31"/>
  <c r="J218" i="31"/>
  <c r="H218" i="31" s="1"/>
  <c r="K218" i="31" s="1"/>
  <c r="G219" i="31"/>
  <c r="I219" i="31"/>
  <c r="J219" i="31"/>
  <c r="H219" i="31" s="1"/>
  <c r="G220" i="31"/>
  <c r="I220" i="31"/>
  <c r="J220" i="31"/>
  <c r="H220" i="31" s="1"/>
  <c r="G221" i="31"/>
  <c r="I221" i="31"/>
  <c r="J221" i="31"/>
  <c r="H221" i="31" s="1"/>
  <c r="G222" i="31"/>
  <c r="I222" i="31"/>
  <c r="J222" i="31"/>
  <c r="H222" i="31" s="1"/>
  <c r="G224" i="31"/>
  <c r="I224" i="31"/>
  <c r="J224" i="31"/>
  <c r="H224" i="31" s="1"/>
  <c r="L224" i="31" s="1"/>
  <c r="G225" i="31"/>
  <c r="I225" i="31"/>
  <c r="J225" i="31"/>
  <c r="H225" i="31" s="1"/>
  <c r="G226" i="31"/>
  <c r="I226" i="31"/>
  <c r="J226" i="31"/>
  <c r="H226" i="31" s="1"/>
  <c r="K226" i="31" s="1"/>
  <c r="G227" i="31"/>
  <c r="I227" i="31"/>
  <c r="J227" i="31"/>
  <c r="H227" i="31" s="1"/>
  <c r="G228" i="31"/>
  <c r="I228" i="31"/>
  <c r="J228" i="31"/>
  <c r="H228" i="31" s="1"/>
  <c r="K228" i="31" s="1"/>
  <c r="G229" i="31"/>
  <c r="I229" i="31"/>
  <c r="J229" i="31"/>
  <c r="H229" i="31" s="1"/>
  <c r="G230" i="31"/>
  <c r="I230" i="31"/>
  <c r="J230" i="31"/>
  <c r="H230" i="31" s="1"/>
  <c r="K230" i="31" s="1"/>
  <c r="G231" i="31"/>
  <c r="I231" i="31"/>
  <c r="J231" i="31"/>
  <c r="H231" i="31" s="1"/>
  <c r="G232" i="31"/>
  <c r="I232" i="31"/>
  <c r="J232" i="31"/>
  <c r="H232" i="31" s="1"/>
  <c r="K232" i="31" s="1"/>
  <c r="G233" i="31"/>
  <c r="I233" i="31"/>
  <c r="J233" i="31"/>
  <c r="H233" i="31" s="1"/>
  <c r="G234" i="31"/>
  <c r="I234" i="31"/>
  <c r="J234" i="31"/>
  <c r="H234" i="31" s="1"/>
  <c r="K234" i="31" s="1"/>
  <c r="G235" i="31"/>
  <c r="I235" i="31"/>
  <c r="J235" i="31"/>
  <c r="H235" i="31" s="1"/>
  <c r="G236" i="31"/>
  <c r="I236" i="31"/>
  <c r="J236" i="31"/>
  <c r="H236" i="31" s="1"/>
  <c r="K236" i="31" s="1"/>
  <c r="G237" i="31"/>
  <c r="I237" i="31"/>
  <c r="J237" i="31"/>
  <c r="H237" i="31" s="1"/>
  <c r="G238" i="31"/>
  <c r="I238" i="31"/>
  <c r="J238" i="31"/>
  <c r="H238" i="31" s="1"/>
  <c r="K238" i="31" s="1"/>
  <c r="G239" i="31"/>
  <c r="I239" i="31"/>
  <c r="J239" i="31"/>
  <c r="H239" i="31" s="1"/>
  <c r="G240" i="31"/>
  <c r="H240" i="31"/>
  <c r="K240" i="31" s="1"/>
  <c r="I240" i="31"/>
  <c r="J240" i="31"/>
  <c r="G241" i="31"/>
  <c r="I241" i="31"/>
  <c r="J241" i="31"/>
  <c r="H241" i="31" s="1"/>
  <c r="G242" i="31"/>
  <c r="I242" i="31"/>
  <c r="J242" i="31"/>
  <c r="H242" i="31" s="1"/>
  <c r="L242" i="31" s="1"/>
  <c r="G243" i="31"/>
  <c r="I243" i="31"/>
  <c r="J243" i="31"/>
  <c r="H243" i="31" s="1"/>
  <c r="G244" i="31"/>
  <c r="I244" i="31"/>
  <c r="J244" i="31"/>
  <c r="H244" i="31" s="1"/>
  <c r="G245" i="31"/>
  <c r="I245" i="31"/>
  <c r="J245" i="31"/>
  <c r="H245" i="31" s="1"/>
  <c r="G246" i="31"/>
  <c r="I246" i="31"/>
  <c r="J246" i="31"/>
  <c r="H246" i="31" s="1"/>
  <c r="L246" i="31" s="1"/>
  <c r="J123" i="31"/>
  <c r="H123" i="31" s="1"/>
  <c r="I123" i="31"/>
  <c r="G123" i="31"/>
  <c r="J119" i="31"/>
  <c r="H119" i="31" s="1"/>
  <c r="I119" i="31"/>
  <c r="G119" i="31"/>
  <c r="J118" i="31"/>
  <c r="H118" i="31" s="1"/>
  <c r="I118" i="31"/>
  <c r="G118" i="31"/>
  <c r="J117" i="31"/>
  <c r="H117" i="31" s="1"/>
  <c r="I117" i="31"/>
  <c r="G117" i="31"/>
  <c r="J116" i="31"/>
  <c r="H116" i="31" s="1"/>
  <c r="I116" i="31"/>
  <c r="G116" i="31"/>
  <c r="J115" i="31"/>
  <c r="H115" i="31" s="1"/>
  <c r="I115" i="31"/>
  <c r="G115" i="31"/>
  <c r="J114" i="31"/>
  <c r="H114" i="31" s="1"/>
  <c r="I114" i="31"/>
  <c r="G114" i="31"/>
  <c r="J113" i="31"/>
  <c r="H113" i="31" s="1"/>
  <c r="I113" i="31"/>
  <c r="G113" i="31"/>
  <c r="J112" i="31"/>
  <c r="H112" i="31" s="1"/>
  <c r="I112" i="31"/>
  <c r="G112" i="31"/>
  <c r="J111" i="31"/>
  <c r="H111" i="31" s="1"/>
  <c r="I111" i="31"/>
  <c r="G111" i="31"/>
  <c r="J110" i="31"/>
  <c r="H110" i="31" s="1"/>
  <c r="I110" i="31"/>
  <c r="G110" i="31"/>
  <c r="J109" i="31"/>
  <c r="H109" i="31" s="1"/>
  <c r="I109" i="31"/>
  <c r="G109" i="31"/>
  <c r="J108" i="31"/>
  <c r="H108" i="31" s="1"/>
  <c r="L108" i="31" s="1"/>
  <c r="I108" i="31"/>
  <c r="G108" i="31"/>
  <c r="J107" i="31"/>
  <c r="H107" i="31" s="1"/>
  <c r="L107" i="31" s="1"/>
  <c r="I107" i="31"/>
  <c r="G107" i="31"/>
  <c r="J106" i="31"/>
  <c r="H106" i="31" s="1"/>
  <c r="I106" i="31"/>
  <c r="G106" i="31"/>
  <c r="J105" i="31"/>
  <c r="H105" i="31" s="1"/>
  <c r="I105" i="31"/>
  <c r="G105" i="31"/>
  <c r="J104" i="31"/>
  <c r="H104" i="31" s="1"/>
  <c r="I104" i="31"/>
  <c r="G104" i="31"/>
  <c r="J103" i="31"/>
  <c r="H103" i="31" s="1"/>
  <c r="I103" i="31"/>
  <c r="G103" i="31"/>
  <c r="J102" i="31"/>
  <c r="H102" i="31" s="1"/>
  <c r="I102" i="31"/>
  <c r="G102" i="31"/>
  <c r="J101" i="31"/>
  <c r="H101" i="31" s="1"/>
  <c r="I101" i="31"/>
  <c r="G101" i="31"/>
  <c r="H64" i="31"/>
  <c r="G94" i="31"/>
  <c r="I94" i="31"/>
  <c r="J94" i="31"/>
  <c r="H94" i="31" s="1"/>
  <c r="G95" i="31"/>
  <c r="I95" i="31"/>
  <c r="J95" i="31"/>
  <c r="H95" i="31" s="1"/>
  <c r="K95" i="31" s="1"/>
  <c r="G96" i="31"/>
  <c r="I96" i="31"/>
  <c r="J96" i="31"/>
  <c r="H96" i="31" s="1"/>
  <c r="G97" i="31"/>
  <c r="I97" i="31"/>
  <c r="J97" i="31"/>
  <c r="H97" i="31" s="1"/>
  <c r="J93" i="31"/>
  <c r="H93" i="31" s="1"/>
  <c r="I93" i="31"/>
  <c r="G93" i="31"/>
  <c r="J92" i="31"/>
  <c r="H92" i="31" s="1"/>
  <c r="K92" i="31" s="1"/>
  <c r="I92" i="31"/>
  <c r="G92" i="31"/>
  <c r="J91" i="31"/>
  <c r="H91" i="31" s="1"/>
  <c r="I91" i="31"/>
  <c r="G91" i="31"/>
  <c r="J90" i="31"/>
  <c r="H90" i="31" s="1"/>
  <c r="I90" i="31"/>
  <c r="G90" i="31"/>
  <c r="J89" i="31"/>
  <c r="H89" i="31" s="1"/>
  <c r="I89" i="31"/>
  <c r="G89" i="31"/>
  <c r="J88" i="31"/>
  <c r="H88" i="31" s="1"/>
  <c r="K88" i="31" s="1"/>
  <c r="I88" i="31"/>
  <c r="G88" i="31"/>
  <c r="J87" i="31"/>
  <c r="H87" i="31" s="1"/>
  <c r="I87" i="31"/>
  <c r="G87" i="31"/>
  <c r="J86" i="31"/>
  <c r="H86" i="31" s="1"/>
  <c r="I86" i="31"/>
  <c r="G86" i="31"/>
  <c r="J85" i="31"/>
  <c r="H85" i="31" s="1"/>
  <c r="I85" i="31"/>
  <c r="G85" i="31"/>
  <c r="J84" i="31"/>
  <c r="H84" i="31" s="1"/>
  <c r="K84" i="31" s="1"/>
  <c r="I84" i="31"/>
  <c r="G84" i="31"/>
  <c r="J83" i="31"/>
  <c r="H83" i="31" s="1"/>
  <c r="I83" i="31"/>
  <c r="G83" i="31"/>
  <c r="J82" i="31"/>
  <c r="H82" i="31" s="1"/>
  <c r="I82" i="31"/>
  <c r="G82" i="31"/>
  <c r="J81" i="31"/>
  <c r="H81" i="31" s="1"/>
  <c r="I81" i="31"/>
  <c r="G81" i="31"/>
  <c r="J80" i="31"/>
  <c r="H80" i="31" s="1"/>
  <c r="L80" i="31" s="1"/>
  <c r="I80" i="31"/>
  <c r="G80" i="31"/>
  <c r="J79" i="31"/>
  <c r="H79" i="31" s="1"/>
  <c r="I79" i="31"/>
  <c r="G79" i="31"/>
  <c r="J78" i="31"/>
  <c r="H78" i="31" s="1"/>
  <c r="I78" i="31"/>
  <c r="G78" i="31"/>
  <c r="J77" i="31"/>
  <c r="H77" i="31" s="1"/>
  <c r="I77" i="31"/>
  <c r="G77" i="31"/>
  <c r="J76" i="31"/>
  <c r="H76" i="31" s="1"/>
  <c r="L76" i="31" s="1"/>
  <c r="I76" i="31"/>
  <c r="G76" i="31"/>
  <c r="J72" i="31"/>
  <c r="H72" i="31" s="1"/>
  <c r="I72" i="31"/>
  <c r="G72" i="31"/>
  <c r="J71" i="31"/>
  <c r="H71" i="31" s="1"/>
  <c r="I71" i="31"/>
  <c r="G71" i="31"/>
  <c r="J70" i="31"/>
  <c r="H70" i="31" s="1"/>
  <c r="I70" i="31"/>
  <c r="G70" i="31"/>
  <c r="J69" i="31"/>
  <c r="H69" i="31" s="1"/>
  <c r="I69" i="31"/>
  <c r="G69" i="31"/>
  <c r="J68" i="31"/>
  <c r="H68" i="31" s="1"/>
  <c r="I68" i="31"/>
  <c r="G68" i="31"/>
  <c r="J67" i="31"/>
  <c r="H67" i="31" s="1"/>
  <c r="I67" i="31"/>
  <c r="G67" i="31"/>
  <c r="J66" i="31"/>
  <c r="H66" i="31" s="1"/>
  <c r="I66" i="31"/>
  <c r="G66" i="31"/>
  <c r="J65" i="31"/>
  <c r="H65" i="31" s="1"/>
  <c r="I65" i="31"/>
  <c r="G65" i="31"/>
  <c r="J64" i="31"/>
  <c r="I64" i="31"/>
  <c r="G64" i="31"/>
  <c r="J63" i="31"/>
  <c r="H63" i="31" s="1"/>
  <c r="I63" i="31"/>
  <c r="G63" i="31"/>
  <c r="J62" i="31"/>
  <c r="H62" i="31" s="1"/>
  <c r="I62" i="31"/>
  <c r="G62" i="31"/>
  <c r="J61" i="31"/>
  <c r="H61" i="31" s="1"/>
  <c r="I61" i="31"/>
  <c r="G61" i="31"/>
  <c r="J60" i="31"/>
  <c r="H60" i="31" s="1"/>
  <c r="I60" i="31"/>
  <c r="G60" i="31"/>
  <c r="J59" i="31"/>
  <c r="H59" i="31" s="1"/>
  <c r="I59" i="31"/>
  <c r="G59" i="31"/>
  <c r="J58" i="31"/>
  <c r="H58" i="31" s="1"/>
  <c r="I58" i="31"/>
  <c r="G58" i="31"/>
  <c r="J57" i="31"/>
  <c r="H57" i="31" s="1"/>
  <c r="I57" i="31"/>
  <c r="G57" i="31"/>
  <c r="J56" i="31"/>
  <c r="H56" i="31" s="1"/>
  <c r="I56" i="31"/>
  <c r="G56" i="31"/>
  <c r="J55" i="31"/>
  <c r="H55" i="31" s="1"/>
  <c r="K55" i="31" s="1"/>
  <c r="I55" i="31"/>
  <c r="G55" i="31"/>
  <c r="B7" i="33" l="1"/>
  <c r="B9" i="33"/>
  <c r="B11" i="33"/>
  <c r="B13" i="33"/>
  <c r="B15" i="33"/>
  <c r="B17" i="33"/>
  <c r="B6" i="33"/>
  <c r="B8" i="33"/>
  <c r="B10" i="33"/>
  <c r="B12" i="33"/>
  <c r="B14" i="33"/>
  <c r="B16" i="33"/>
  <c r="I22" i="25"/>
  <c r="I10" i="25"/>
  <c r="I25" i="25"/>
  <c r="I21" i="25"/>
  <c r="I17" i="25"/>
  <c r="I13" i="25"/>
  <c r="I9" i="25"/>
  <c r="I18" i="25"/>
  <c r="I28" i="25"/>
  <c r="I24" i="25"/>
  <c r="I20" i="25"/>
  <c r="I16" i="25"/>
  <c r="I12" i="25"/>
  <c r="I8" i="25"/>
  <c r="I26" i="25"/>
  <c r="I14" i="25"/>
  <c r="I27" i="25"/>
  <c r="I23" i="25"/>
  <c r="I19" i="25"/>
  <c r="I15" i="25"/>
  <c r="I11" i="25"/>
  <c r="I7" i="25"/>
  <c r="N136" i="18"/>
  <c r="N128" i="18"/>
  <c r="N132" i="18"/>
  <c r="K259" i="31"/>
  <c r="L259" i="31"/>
  <c r="K249" i="31"/>
  <c r="L249" i="31"/>
  <c r="K251" i="31"/>
  <c r="L251" i="31"/>
  <c r="K261" i="31"/>
  <c r="L261" i="31"/>
  <c r="K257" i="31"/>
  <c r="L257" i="31"/>
  <c r="K255" i="31"/>
  <c r="L255" i="31"/>
  <c r="K253" i="31"/>
  <c r="L253" i="31"/>
  <c r="L258" i="31"/>
  <c r="L252" i="31"/>
  <c r="L250" i="31"/>
  <c r="L248" i="31"/>
  <c r="K248" i="31"/>
  <c r="K63" i="31"/>
  <c r="L63" i="31"/>
  <c r="L102" i="31"/>
  <c r="K102" i="31"/>
  <c r="L104" i="31"/>
  <c r="K104" i="31"/>
  <c r="K59" i="31"/>
  <c r="L59" i="31"/>
  <c r="K67" i="31"/>
  <c r="L67" i="31"/>
  <c r="K71" i="31"/>
  <c r="L71" i="31"/>
  <c r="K78" i="31"/>
  <c r="L78" i="31"/>
  <c r="L86" i="31"/>
  <c r="K86" i="31"/>
  <c r="K108" i="31"/>
  <c r="K65" i="31"/>
  <c r="L65" i="31"/>
  <c r="L90" i="31"/>
  <c r="K90" i="31"/>
  <c r="K69" i="31"/>
  <c r="L69" i="31"/>
  <c r="L113" i="31"/>
  <c r="K113" i="31"/>
  <c r="L82" i="31"/>
  <c r="K82" i="31"/>
  <c r="L105" i="31"/>
  <c r="K105" i="31"/>
  <c r="L106" i="31"/>
  <c r="K106" i="31"/>
  <c r="L109" i="31"/>
  <c r="K109" i="31"/>
  <c r="L117" i="31"/>
  <c r="K117" i="31"/>
  <c r="K57" i="31"/>
  <c r="L57" i="31"/>
  <c r="K61" i="31"/>
  <c r="L61" i="31"/>
  <c r="L111" i="31"/>
  <c r="K111" i="31"/>
  <c r="L115" i="31"/>
  <c r="K115" i="31"/>
  <c r="L119" i="31"/>
  <c r="K119" i="31"/>
  <c r="K107" i="31"/>
  <c r="N82" i="18"/>
  <c r="N78" i="18"/>
  <c r="N74" i="18"/>
  <c r="N66" i="18"/>
  <c r="N70" i="18"/>
  <c r="P3" i="18" a="1"/>
  <c r="P3" i="18" s="1"/>
  <c r="L208" i="31"/>
  <c r="K181" i="31"/>
  <c r="L181" i="31"/>
  <c r="K165" i="31"/>
  <c r="L165" i="31"/>
  <c r="K157" i="31"/>
  <c r="L157" i="31"/>
  <c r="K175" i="31"/>
  <c r="L175" i="31"/>
  <c r="K167" i="31"/>
  <c r="L167" i="31"/>
  <c r="K173" i="31"/>
  <c r="L173" i="31"/>
  <c r="K159" i="31"/>
  <c r="L159" i="31"/>
  <c r="L207" i="31"/>
  <c r="L205" i="31"/>
  <c r="L197" i="31"/>
  <c r="K152" i="31"/>
  <c r="L191" i="31"/>
  <c r="L189" i="31"/>
  <c r="L183" i="31"/>
  <c r="K244" i="31"/>
  <c r="L244" i="31"/>
  <c r="L201" i="31"/>
  <c r="K201" i="31"/>
  <c r="K147" i="31"/>
  <c r="L147" i="31"/>
  <c r="K143" i="31"/>
  <c r="L143" i="31"/>
  <c r="K139" i="31"/>
  <c r="L139" i="31"/>
  <c r="K135" i="31"/>
  <c r="L135" i="31"/>
  <c r="K131" i="31"/>
  <c r="L131" i="31"/>
  <c r="K127" i="31"/>
  <c r="L127" i="31"/>
  <c r="K222" i="31"/>
  <c r="L222" i="31"/>
  <c r="K187" i="31"/>
  <c r="L187" i="31"/>
  <c r="K179" i="31"/>
  <c r="L179" i="31"/>
  <c r="K171" i="31"/>
  <c r="L171" i="31"/>
  <c r="K163" i="31"/>
  <c r="L163" i="31"/>
  <c r="K155" i="31"/>
  <c r="L155" i="31"/>
  <c r="K203" i="31"/>
  <c r="L203" i="31"/>
  <c r="L145" i="31"/>
  <c r="K145" i="31"/>
  <c r="K141" i="31"/>
  <c r="L141" i="31"/>
  <c r="K137" i="31"/>
  <c r="L137" i="31"/>
  <c r="K133" i="31"/>
  <c r="L133" i="31"/>
  <c r="K129" i="31"/>
  <c r="L129" i="31"/>
  <c r="K125" i="31"/>
  <c r="L125" i="31"/>
  <c r="K220" i="31"/>
  <c r="L220" i="31"/>
  <c r="L193" i="31"/>
  <c r="K193" i="31"/>
  <c r="L185" i="31"/>
  <c r="K185" i="31"/>
  <c r="L177" i="31"/>
  <c r="K177" i="31"/>
  <c r="L169" i="31"/>
  <c r="K169" i="31"/>
  <c r="L161" i="31"/>
  <c r="K161" i="31"/>
  <c r="L153" i="31"/>
  <c r="K153" i="31"/>
  <c r="L228" i="31"/>
  <c r="K199" i="31"/>
  <c r="K149" i="31"/>
  <c r="L226" i="31"/>
  <c r="L212" i="31"/>
  <c r="L151" i="31"/>
  <c r="L240" i="31"/>
  <c r="K156" i="31"/>
  <c r="K148" i="31"/>
  <c r="K245" i="31"/>
  <c r="L245" i="31"/>
  <c r="K217" i="31"/>
  <c r="L217" i="31"/>
  <c r="K235" i="31"/>
  <c r="L235" i="31"/>
  <c r="K221" i="31"/>
  <c r="L221" i="31"/>
  <c r="K219" i="31"/>
  <c r="L219" i="31"/>
  <c r="K209" i="31"/>
  <c r="L209" i="31"/>
  <c r="K237" i="31"/>
  <c r="L237" i="31"/>
  <c r="K229" i="31"/>
  <c r="L229" i="31"/>
  <c r="K227" i="31"/>
  <c r="L227" i="31"/>
  <c r="K225" i="31"/>
  <c r="L225" i="31"/>
  <c r="K213" i="31"/>
  <c r="L213" i="31"/>
  <c r="K211" i="31"/>
  <c r="L211" i="31"/>
  <c r="K243" i="31"/>
  <c r="L243" i="31"/>
  <c r="K233" i="31"/>
  <c r="L233" i="31"/>
  <c r="K241" i="31"/>
  <c r="L241" i="31"/>
  <c r="K239" i="31"/>
  <c r="L239" i="31"/>
  <c r="K231" i="31"/>
  <c r="L231" i="31"/>
  <c r="K215" i="31"/>
  <c r="L215" i="31"/>
  <c r="L238" i="31"/>
  <c r="L236" i="31"/>
  <c r="L234" i="31"/>
  <c r="L232" i="31"/>
  <c r="L230" i="31"/>
  <c r="L218" i="31"/>
  <c r="K246" i="31"/>
  <c r="K242" i="31"/>
  <c r="K224" i="31"/>
  <c r="K216" i="31"/>
  <c r="K214" i="31"/>
  <c r="K210" i="31"/>
  <c r="K204" i="31"/>
  <c r="K196" i="31"/>
  <c r="K192" i="31"/>
  <c r="K188" i="31"/>
  <c r="K184" i="31"/>
  <c r="K180" i="31"/>
  <c r="K176" i="31"/>
  <c r="K172" i="31"/>
  <c r="K168" i="31"/>
  <c r="K160" i="31"/>
  <c r="K142" i="31"/>
  <c r="L142" i="31"/>
  <c r="K140" i="31"/>
  <c r="L140" i="31"/>
  <c r="K138" i="31"/>
  <c r="L138" i="31"/>
  <c r="K136" i="31"/>
  <c r="L136" i="31"/>
  <c r="K134" i="31"/>
  <c r="L134" i="31"/>
  <c r="K132" i="31"/>
  <c r="L132" i="31"/>
  <c r="K130" i="31"/>
  <c r="L130" i="31"/>
  <c r="K128" i="31"/>
  <c r="L128" i="31"/>
  <c r="K126" i="31"/>
  <c r="L126" i="31"/>
  <c r="K124" i="31"/>
  <c r="L124" i="31"/>
  <c r="K206" i="31"/>
  <c r="K202" i="31"/>
  <c r="K198" i="31"/>
  <c r="K194" i="31"/>
  <c r="K190" i="31"/>
  <c r="K186" i="31"/>
  <c r="K178" i="31"/>
  <c r="K174" i="31"/>
  <c r="K170" i="31"/>
  <c r="K166" i="31"/>
  <c r="K162" i="31"/>
  <c r="K158" i="31"/>
  <c r="K154" i="31"/>
  <c r="K150" i="31"/>
  <c r="K146" i="31"/>
  <c r="L123" i="31"/>
  <c r="K123" i="31"/>
  <c r="K101" i="31"/>
  <c r="L101" i="31"/>
  <c r="K103" i="31"/>
  <c r="L103" i="31"/>
  <c r="L110" i="31"/>
  <c r="K110" i="31"/>
  <c r="L112" i="31"/>
  <c r="K112" i="31"/>
  <c r="L114" i="31"/>
  <c r="K114" i="31"/>
  <c r="L116" i="31"/>
  <c r="K116" i="31"/>
  <c r="L118" i="31"/>
  <c r="K118" i="31"/>
  <c r="L55" i="31"/>
  <c r="K80" i="31"/>
  <c r="L84" i="31"/>
  <c r="L88" i="31"/>
  <c r="L92" i="31"/>
  <c r="K76" i="31"/>
  <c r="K97" i="31"/>
  <c r="L97" i="31"/>
  <c r="K94" i="31"/>
  <c r="L94" i="31"/>
  <c r="K96" i="31"/>
  <c r="L96" i="31"/>
  <c r="L95" i="31"/>
  <c r="L77" i="31"/>
  <c r="K77" i="31"/>
  <c r="L81" i="31"/>
  <c r="K81" i="31"/>
  <c r="L85" i="31"/>
  <c r="K85" i="31"/>
  <c r="L89" i="31"/>
  <c r="K89" i="31"/>
  <c r="L93" i="31"/>
  <c r="K93" i="31"/>
  <c r="L79" i="31"/>
  <c r="K79" i="31"/>
  <c r="L83" i="31"/>
  <c r="K83" i="31"/>
  <c r="L87" i="31"/>
  <c r="K87" i="31"/>
  <c r="L91" i="31"/>
  <c r="K91" i="31"/>
  <c r="L56" i="31"/>
  <c r="K56" i="31"/>
  <c r="L60" i="31"/>
  <c r="K60" i="31"/>
  <c r="L62" i="31"/>
  <c r="K62" i="31"/>
  <c r="L68" i="31"/>
  <c r="K68" i="31"/>
  <c r="L70" i="31"/>
  <c r="K70" i="31"/>
  <c r="L58" i="31"/>
  <c r="K58" i="31"/>
  <c r="L64" i="31"/>
  <c r="K64" i="31"/>
  <c r="L66" i="31"/>
  <c r="K66" i="31"/>
  <c r="L72" i="31"/>
  <c r="K72" i="31"/>
  <c r="G51" i="31"/>
  <c r="I51" i="31"/>
  <c r="J51" i="31"/>
  <c r="H51" i="31" s="1"/>
  <c r="J50" i="31"/>
  <c r="H50" i="31" s="1"/>
  <c r="I50" i="31"/>
  <c r="G50" i="31"/>
  <c r="J49" i="31"/>
  <c r="H49" i="31" s="1"/>
  <c r="I49" i="31"/>
  <c r="G49" i="31"/>
  <c r="J48" i="31"/>
  <c r="H48" i="31" s="1"/>
  <c r="L48" i="31" s="1"/>
  <c r="I48" i="31"/>
  <c r="G48" i="31"/>
  <c r="J47" i="31"/>
  <c r="H47" i="31" s="1"/>
  <c r="I47" i="31"/>
  <c r="G47" i="31"/>
  <c r="J46" i="31"/>
  <c r="H46" i="31" s="1"/>
  <c r="I46" i="31"/>
  <c r="G46" i="31"/>
  <c r="J45" i="31"/>
  <c r="H45" i="31" s="1"/>
  <c r="I45" i="31"/>
  <c r="G45" i="31"/>
  <c r="J44" i="31"/>
  <c r="H44" i="31" s="1"/>
  <c r="L44" i="31" s="1"/>
  <c r="I44" i="31"/>
  <c r="G44" i="31"/>
  <c r="J43" i="31"/>
  <c r="H43" i="31" s="1"/>
  <c r="I43" i="31"/>
  <c r="G43" i="31"/>
  <c r="J42" i="31"/>
  <c r="H42" i="31" s="1"/>
  <c r="I42" i="31"/>
  <c r="G42" i="31"/>
  <c r="J41" i="31"/>
  <c r="H41" i="31" s="1"/>
  <c r="I41" i="31"/>
  <c r="G41" i="31"/>
  <c r="J40" i="31"/>
  <c r="H40" i="31" s="1"/>
  <c r="L40" i="31" s="1"/>
  <c r="I40" i="31"/>
  <c r="G40" i="31"/>
  <c r="J39" i="31"/>
  <c r="H39" i="31" s="1"/>
  <c r="I39" i="31"/>
  <c r="G39" i="31"/>
  <c r="J38" i="31"/>
  <c r="H38" i="31" s="1"/>
  <c r="I38" i="31"/>
  <c r="G38" i="31"/>
  <c r="J37" i="31"/>
  <c r="H37" i="31" s="1"/>
  <c r="I37" i="31"/>
  <c r="G37" i="31"/>
  <c r="J36" i="31"/>
  <c r="H36" i="31" s="1"/>
  <c r="L36" i="31" s="1"/>
  <c r="I36" i="31"/>
  <c r="G36" i="31"/>
  <c r="J35" i="31"/>
  <c r="H35" i="31" s="1"/>
  <c r="I35" i="31"/>
  <c r="G35" i="31"/>
  <c r="J34" i="31"/>
  <c r="H34" i="31" s="1"/>
  <c r="I34" i="31"/>
  <c r="G34" i="31"/>
  <c r="J33" i="31"/>
  <c r="H33" i="31" s="1"/>
  <c r="I33" i="31"/>
  <c r="G33" i="31"/>
  <c r="J32" i="31"/>
  <c r="H32" i="31" s="1"/>
  <c r="L32" i="31" s="1"/>
  <c r="I32" i="31"/>
  <c r="G32" i="31"/>
  <c r="J31" i="31"/>
  <c r="H31" i="31" s="1"/>
  <c r="I31" i="31"/>
  <c r="G31" i="31"/>
  <c r="J30" i="31"/>
  <c r="H30" i="31" s="1"/>
  <c r="K30" i="31" s="1"/>
  <c r="I30" i="31"/>
  <c r="G30" i="31"/>
  <c r="I7" i="31"/>
  <c r="I8" i="31"/>
  <c r="I9" i="31"/>
  <c r="I10" i="31"/>
  <c r="I11" i="31"/>
  <c r="I12" i="31"/>
  <c r="I13" i="31"/>
  <c r="I14" i="31"/>
  <c r="I15" i="31"/>
  <c r="I16" i="31"/>
  <c r="I17" i="31"/>
  <c r="I18" i="31"/>
  <c r="I19" i="31"/>
  <c r="I20" i="31"/>
  <c r="I21" i="31"/>
  <c r="I22" i="31"/>
  <c r="I23" i="31"/>
  <c r="I24" i="31"/>
  <c r="I25" i="31"/>
  <c r="I26" i="31"/>
  <c r="I6" i="31"/>
  <c r="G7" i="31"/>
  <c r="J7" i="31"/>
  <c r="H7" i="31" s="1"/>
  <c r="G8" i="31"/>
  <c r="J8" i="31"/>
  <c r="H8" i="31" s="1"/>
  <c r="G9" i="31"/>
  <c r="J9" i="31"/>
  <c r="H9" i="31" s="1"/>
  <c r="L9" i="31" s="1"/>
  <c r="G10" i="31"/>
  <c r="J10" i="31"/>
  <c r="H10" i="31" s="1"/>
  <c r="G11" i="31"/>
  <c r="J11" i="31"/>
  <c r="H11" i="31" s="1"/>
  <c r="G12" i="31"/>
  <c r="J12" i="31"/>
  <c r="H12" i="31" s="1"/>
  <c r="G13" i="31"/>
  <c r="J13" i="31"/>
  <c r="H13" i="31" s="1"/>
  <c r="L13" i="31" s="1"/>
  <c r="G14" i="31"/>
  <c r="J14" i="31"/>
  <c r="H14" i="31" s="1"/>
  <c r="G15" i="31"/>
  <c r="J15" i="31"/>
  <c r="H15" i="31" s="1"/>
  <c r="G16" i="31"/>
  <c r="J16" i="31"/>
  <c r="H16" i="31" s="1"/>
  <c r="G17" i="31"/>
  <c r="J17" i="31"/>
  <c r="H17" i="31" s="1"/>
  <c r="L17" i="31" s="1"/>
  <c r="G18" i="31"/>
  <c r="J18" i="31"/>
  <c r="H18" i="31" s="1"/>
  <c r="G19" i="31"/>
  <c r="J19" i="31"/>
  <c r="H19" i="31" s="1"/>
  <c r="G20" i="31"/>
  <c r="J20" i="31"/>
  <c r="H20" i="31" s="1"/>
  <c r="G21" i="31"/>
  <c r="J21" i="31"/>
  <c r="H21" i="31" s="1"/>
  <c r="L21" i="31" s="1"/>
  <c r="G22" i="31"/>
  <c r="J22" i="31"/>
  <c r="H22" i="31" s="1"/>
  <c r="L22" i="31" s="1"/>
  <c r="G23" i="31"/>
  <c r="J23" i="31"/>
  <c r="H23" i="31" s="1"/>
  <c r="G24" i="31"/>
  <c r="J24" i="31"/>
  <c r="H24" i="31" s="1"/>
  <c r="G25" i="31"/>
  <c r="J25" i="31"/>
  <c r="H25" i="31" s="1"/>
  <c r="G26" i="31"/>
  <c r="J26" i="31"/>
  <c r="H26" i="31" s="1"/>
  <c r="J6" i="31"/>
  <c r="H6" i="31" s="1"/>
  <c r="G6" i="31"/>
  <c r="I29" i="25" l="1"/>
  <c r="L24" i="31"/>
  <c r="L20" i="31"/>
  <c r="L16" i="31"/>
  <c r="L12" i="31"/>
  <c r="L8" i="31"/>
  <c r="L25" i="31"/>
  <c r="L6" i="31"/>
  <c r="L23" i="31"/>
  <c r="L19" i="31"/>
  <c r="L15" i="31"/>
  <c r="L11" i="31"/>
  <c r="L7" i="31"/>
  <c r="L26" i="31"/>
  <c r="L18" i="31"/>
  <c r="L14" i="31"/>
  <c r="L10" i="31"/>
  <c r="K34" i="31"/>
  <c r="L34" i="31"/>
  <c r="K38" i="31"/>
  <c r="L38" i="31"/>
  <c r="K42" i="31"/>
  <c r="L42" i="31"/>
  <c r="K46" i="31"/>
  <c r="L46" i="31"/>
  <c r="K50" i="31"/>
  <c r="L50" i="31"/>
  <c r="L33" i="31"/>
  <c r="K33" i="31"/>
  <c r="L37" i="31"/>
  <c r="K37" i="31"/>
  <c r="L41" i="31"/>
  <c r="K41" i="31"/>
  <c r="L45" i="31"/>
  <c r="K45" i="31"/>
  <c r="K49" i="31"/>
  <c r="L49" i="31"/>
  <c r="L31" i="31"/>
  <c r="K31" i="31"/>
  <c r="L35" i="31"/>
  <c r="K35" i="31"/>
  <c r="L39" i="31"/>
  <c r="K39" i="31"/>
  <c r="L43" i="31"/>
  <c r="K43" i="31"/>
  <c r="L47" i="31"/>
  <c r="K47" i="31"/>
  <c r="L51" i="31"/>
  <c r="K51" i="31"/>
  <c r="K48" i="31"/>
  <c r="K44" i="31"/>
  <c r="K40" i="31"/>
  <c r="K36" i="31"/>
  <c r="K32" i="31"/>
  <c r="L30" i="31"/>
  <c r="K25" i="31"/>
  <c r="K23" i="31"/>
  <c r="K21" i="31"/>
  <c r="K19" i="31"/>
  <c r="K17" i="31"/>
  <c r="K15" i="31"/>
  <c r="K13" i="31"/>
  <c r="K11" i="31"/>
  <c r="K9" i="31"/>
  <c r="K7" i="31"/>
  <c r="K6" i="31"/>
  <c r="K26" i="31"/>
  <c r="K24" i="31"/>
  <c r="K22" i="31"/>
  <c r="K20" i="31"/>
  <c r="K18" i="31"/>
  <c r="K16" i="31"/>
  <c r="K14" i="31"/>
  <c r="K12" i="31"/>
  <c r="K10" i="31"/>
  <c r="K8" i="31"/>
  <c r="D8" i="5" a="1"/>
  <c r="D8" i="5" s="1"/>
  <c r="J7" i="22" a="1"/>
  <c r="J7" i="22" s="1"/>
  <c r="S3" i="18" a="1"/>
  <c r="S3" i="18" s="1"/>
  <c r="R3" i="18" l="1" a="1"/>
  <c r="R3" i="18" s="1"/>
  <c r="N4" i="18" l="1"/>
  <c r="N5" i="18"/>
  <c r="N6" i="18"/>
  <c r="N7" i="18"/>
  <c r="N8" i="18"/>
  <c r="N9" i="18"/>
  <c r="N10" i="18"/>
  <c r="N11" i="18"/>
  <c r="N12" i="18"/>
  <c r="N13" i="18"/>
  <c r="N14" i="18"/>
  <c r="N15" i="18"/>
  <c r="N16" i="18"/>
  <c r="N17" i="18"/>
  <c r="N18" i="18"/>
  <c r="N19" i="18"/>
  <c r="N20" i="18"/>
  <c r="N21" i="18"/>
  <c r="N22" i="18"/>
  <c r="N23" i="18"/>
  <c r="N24" i="18"/>
  <c r="N25" i="18"/>
  <c r="N26" i="18"/>
  <c r="N27" i="18"/>
  <c r="N28" i="18"/>
  <c r="N29" i="18"/>
  <c r="N30" i="18"/>
  <c r="N31" i="18"/>
  <c r="N32" i="18"/>
  <c r="N33" i="18"/>
  <c r="N34" i="18"/>
  <c r="N35" i="18"/>
  <c r="N36" i="18"/>
  <c r="N37" i="18"/>
  <c r="N38" i="18"/>
  <c r="N39" i="18"/>
  <c r="N40" i="18"/>
  <c r="N41" i="18"/>
  <c r="N42" i="18"/>
  <c r="N43" i="18"/>
  <c r="N44" i="18"/>
  <c r="N45" i="18"/>
  <c r="N46" i="18"/>
  <c r="N47" i="18"/>
  <c r="N48" i="18"/>
  <c r="N49" i="18"/>
  <c r="N50" i="18"/>
  <c r="N51" i="18"/>
  <c r="N52" i="18"/>
  <c r="N53" i="18"/>
  <c r="N54" i="18"/>
  <c r="N55" i="18"/>
  <c r="N56" i="18"/>
  <c r="N57" i="18"/>
  <c r="N58" i="18"/>
  <c r="N59" i="18"/>
  <c r="N60" i="18"/>
  <c r="N61" i="18"/>
  <c r="N62" i="18"/>
  <c r="N63" i="18"/>
  <c r="N86" i="18"/>
  <c r="N87" i="18"/>
  <c r="N88" i="18"/>
  <c r="N89" i="18"/>
  <c r="N90" i="18"/>
  <c r="N91" i="18"/>
  <c r="N92" i="18"/>
  <c r="N93" i="18"/>
  <c r="N94" i="18"/>
  <c r="N95" i="18"/>
  <c r="N96" i="18"/>
  <c r="N97" i="18"/>
  <c r="N98" i="18"/>
  <c r="N99" i="18"/>
  <c r="N100" i="18"/>
  <c r="N101" i="18"/>
  <c r="N102" i="18"/>
  <c r="N103" i="18"/>
  <c r="N104" i="18"/>
  <c r="N105" i="18"/>
  <c r="N106" i="18"/>
  <c r="N107" i="18"/>
  <c r="N108" i="18"/>
  <c r="N109" i="18"/>
  <c r="N110" i="18"/>
  <c r="N111" i="18"/>
  <c r="N112" i="18"/>
  <c r="N113" i="18"/>
  <c r="N114" i="18"/>
  <c r="N115" i="18"/>
  <c r="N116" i="18"/>
  <c r="N117" i="18"/>
  <c r="N118" i="18"/>
  <c r="N119" i="18"/>
  <c r="N120" i="18"/>
  <c r="N121" i="18"/>
  <c r="N122" i="18"/>
  <c r="N123" i="18"/>
  <c r="N124" i="18"/>
  <c r="N125" i="18"/>
  <c r="N140" i="18"/>
  <c r="N141" i="18"/>
  <c r="N142" i="18"/>
  <c r="N143" i="18"/>
  <c r="N144" i="18"/>
  <c r="N145" i="18"/>
  <c r="N146" i="18"/>
  <c r="N147" i="18"/>
  <c r="N148" i="18"/>
  <c r="N149" i="18"/>
  <c r="N150" i="18"/>
  <c r="N151" i="18"/>
  <c r="N152" i="18"/>
  <c r="N153" i="18"/>
  <c r="N154" i="18"/>
  <c r="N155" i="18"/>
  <c r="N156" i="18"/>
  <c r="N157" i="18"/>
  <c r="N158" i="18"/>
  <c r="N159" i="18"/>
  <c r="N160" i="18"/>
  <c r="N161" i="18"/>
  <c r="N162" i="18"/>
  <c r="N163" i="18"/>
  <c r="N164" i="18"/>
  <c r="N165" i="18"/>
  <c r="N166" i="18"/>
  <c r="N167" i="18"/>
  <c r="N168" i="18"/>
  <c r="N169" i="18"/>
  <c r="N170" i="18"/>
  <c r="N171" i="18"/>
  <c r="N172" i="18"/>
  <c r="N173" i="18"/>
  <c r="N174" i="18"/>
  <c r="N175" i="18"/>
  <c r="N176" i="18"/>
  <c r="N177" i="18"/>
  <c r="N178" i="18"/>
  <c r="N179" i="18"/>
  <c r="N180" i="18"/>
  <c r="N181" i="18"/>
  <c r="N182" i="18"/>
  <c r="N183" i="18"/>
  <c r="N184" i="18"/>
  <c r="N185" i="18"/>
  <c r="N186" i="18"/>
  <c r="N187" i="18"/>
  <c r="N189" i="18"/>
  <c r="N190" i="18"/>
  <c r="N191" i="18"/>
  <c r="N192" i="18"/>
  <c r="N193" i="18"/>
  <c r="N194" i="18"/>
  <c r="N195" i="18"/>
  <c r="N196" i="18"/>
  <c r="N197" i="18"/>
  <c r="N198" i="18"/>
  <c r="N199" i="18"/>
  <c r="N200" i="18"/>
  <c r="N201" i="18"/>
  <c r="N202" i="18"/>
  <c r="N203" i="18"/>
  <c r="N204" i="18"/>
  <c r="N205" i="18"/>
  <c r="N206" i="18"/>
  <c r="N207" i="18"/>
  <c r="N208" i="18"/>
  <c r="N209" i="18"/>
  <c r="N210" i="18"/>
  <c r="N211" i="18"/>
  <c r="N212" i="18"/>
  <c r="N213" i="18"/>
  <c r="N214" i="18"/>
  <c r="N215" i="18"/>
  <c r="N216" i="18"/>
  <c r="N217" i="18"/>
  <c r="N218" i="18"/>
  <c r="N219" i="18"/>
  <c r="N220" i="18"/>
  <c r="N221" i="18"/>
  <c r="N222" i="18"/>
  <c r="N223" i="18"/>
  <c r="N224" i="18"/>
  <c r="N225" i="18"/>
  <c r="N226" i="18"/>
  <c r="N227" i="18"/>
  <c r="N3" i="18"/>
  <c r="J238" i="18"/>
  <c r="I238" i="18"/>
  <c r="D5" i="5"/>
  <c r="I60" i="16"/>
  <c r="E15" i="5" s="1"/>
  <c r="I58" i="16"/>
  <c r="E14" i="5" s="1"/>
  <c r="I39" i="16"/>
  <c r="D13" i="5" s="1"/>
  <c r="O48" i="16"/>
  <c r="J233" i="16"/>
  <c r="I233" i="16"/>
  <c r="J232" i="16"/>
  <c r="N8" i="5" s="1"/>
  <c r="I232" i="16"/>
  <c r="J231" i="16"/>
  <c r="I231" i="16"/>
  <c r="N14" i="5" s="1"/>
  <c r="J230" i="16"/>
  <c r="I230" i="16"/>
  <c r="N13" i="5" s="1"/>
  <c r="J216" i="16"/>
  <c r="I216" i="16"/>
  <c r="M15" i="5" s="1"/>
  <c r="J215" i="16"/>
  <c r="M8" i="5" s="1"/>
  <c r="I215" i="16"/>
  <c r="J214" i="16"/>
  <c r="I214" i="16"/>
  <c r="M14" i="5" s="1"/>
  <c r="J213" i="16"/>
  <c r="I213" i="16"/>
  <c r="M13" i="5" s="1"/>
  <c r="J200" i="16"/>
  <c r="I200" i="16"/>
  <c r="L15" i="5" s="1"/>
  <c r="J199" i="16"/>
  <c r="L8" i="5" s="1"/>
  <c r="I199" i="16"/>
  <c r="J198" i="16"/>
  <c r="I198" i="16"/>
  <c r="L14" i="5" s="1"/>
  <c r="J197" i="16"/>
  <c r="I197" i="16"/>
  <c r="L13" i="5" s="1"/>
  <c r="J185" i="16"/>
  <c r="I185" i="16"/>
  <c r="K15" i="5" s="1"/>
  <c r="J184" i="16"/>
  <c r="K8" i="5" s="1"/>
  <c r="I184" i="16"/>
  <c r="J183" i="16"/>
  <c r="I183" i="16"/>
  <c r="K14" i="5" s="1"/>
  <c r="J182" i="16"/>
  <c r="I182" i="16"/>
  <c r="K13" i="5" s="1"/>
  <c r="J157" i="16"/>
  <c r="I157" i="16"/>
  <c r="J15" i="5" s="1"/>
  <c r="J156" i="16"/>
  <c r="J8" i="5" s="1"/>
  <c r="J9" i="5" s="1"/>
  <c r="I156" i="16"/>
  <c r="J155" i="16"/>
  <c r="I155" i="16"/>
  <c r="J14" i="5" s="1"/>
  <c r="J154" i="16"/>
  <c r="I154" i="16"/>
  <c r="J13" i="5" s="1"/>
  <c r="J137" i="16"/>
  <c r="I137" i="16"/>
  <c r="I15" i="5" s="1"/>
  <c r="J136" i="16"/>
  <c r="I8" i="5" s="1"/>
  <c r="I136" i="16"/>
  <c r="J135" i="16"/>
  <c r="I135" i="16"/>
  <c r="I14" i="5" s="1"/>
  <c r="J134" i="16"/>
  <c r="I134" i="16"/>
  <c r="I13" i="5" s="1"/>
  <c r="J117" i="16"/>
  <c r="I117" i="16"/>
  <c r="H15" i="5" s="1"/>
  <c r="J116" i="16"/>
  <c r="H8" i="5" s="1"/>
  <c r="I116" i="16"/>
  <c r="J115" i="16"/>
  <c r="I115" i="16"/>
  <c r="H14" i="5" s="1"/>
  <c r="J114" i="16"/>
  <c r="I114" i="16"/>
  <c r="H13" i="5" s="1"/>
  <c r="J98" i="16"/>
  <c r="I98" i="16"/>
  <c r="G15" i="5" s="1"/>
  <c r="J97" i="16"/>
  <c r="G8" i="5" s="1"/>
  <c r="I97" i="16"/>
  <c r="J96" i="16"/>
  <c r="I96" i="16"/>
  <c r="G14" i="5" s="1"/>
  <c r="J95" i="16"/>
  <c r="I95" i="16"/>
  <c r="G13" i="5" s="1"/>
  <c r="J75" i="16"/>
  <c r="I75" i="16"/>
  <c r="F15" i="5" s="1"/>
  <c r="J74" i="16"/>
  <c r="F8" i="5" s="1"/>
  <c r="I74" i="16"/>
  <c r="J73" i="16"/>
  <c r="I73" i="16"/>
  <c r="F14" i="5" s="1"/>
  <c r="J72" i="16"/>
  <c r="I72" i="16"/>
  <c r="F13" i="5" s="1"/>
  <c r="J60" i="16"/>
  <c r="J59" i="16"/>
  <c r="E8" i="5" s="1"/>
  <c r="I59" i="16"/>
  <c r="J58" i="16"/>
  <c r="J57" i="16"/>
  <c r="I57" i="16"/>
  <c r="E13" i="5" s="1"/>
  <c r="J42" i="16"/>
  <c r="I42" i="16"/>
  <c r="D15" i="5" s="1"/>
  <c r="J41" i="16"/>
  <c r="I41" i="16"/>
  <c r="J40" i="16"/>
  <c r="I40" i="16"/>
  <c r="D14" i="5" s="1"/>
  <c r="J39" i="16"/>
  <c r="J15" i="16"/>
  <c r="I15" i="16"/>
  <c r="J14" i="16"/>
  <c r="O8" i="5" s="1"/>
  <c r="I14" i="16"/>
  <c r="J13" i="16"/>
  <c r="I13" i="16"/>
  <c r="O14" i="5" s="1"/>
  <c r="J12" i="16"/>
  <c r="I12" i="16"/>
  <c r="O13" i="5" s="1"/>
  <c r="N248" i="16"/>
  <c r="O248" i="16"/>
  <c r="N220" i="16"/>
  <c r="O220" i="16"/>
  <c r="O203" i="16"/>
  <c r="N203" i="16"/>
  <c r="N187" i="16"/>
  <c r="O187" i="16"/>
  <c r="N172" i="16"/>
  <c r="O172" i="16"/>
  <c r="N144" i="16"/>
  <c r="O144" i="16"/>
  <c r="N124" i="16"/>
  <c r="O124" i="16"/>
  <c r="N104" i="16"/>
  <c r="O104" i="16"/>
  <c r="O85" i="16"/>
  <c r="N85" i="16"/>
  <c r="O61" i="16"/>
  <c r="N48" i="16"/>
  <c r="E223" i="16"/>
  <c r="E206" i="16"/>
  <c r="E190" i="16"/>
  <c r="E175" i="16"/>
  <c r="E147" i="16"/>
  <c r="E127" i="16"/>
  <c r="E107" i="16"/>
  <c r="E88" i="16"/>
  <c r="E65" i="16"/>
  <c r="E50" i="16"/>
  <c r="E32" i="16"/>
  <c r="E5" i="16"/>
  <c r="O29" i="16"/>
  <c r="N29" i="16"/>
  <c r="D4" i="5"/>
  <c r="E4" i="5" l="1"/>
  <c r="D7" i="5"/>
  <c r="D12" i="5"/>
  <c r="N15" i="5"/>
  <c r="J8" i="22" a="1"/>
  <c r="J8" i="22" s="1"/>
  <c r="C6" i="24" a="1"/>
  <c r="C6" i="23" a="1"/>
  <c r="Q3" i="18" a="1"/>
  <c r="Q3" i="18" s="1"/>
  <c r="O15" i="5"/>
  <c r="F16" i="5"/>
  <c r="N61" i="16"/>
  <c r="J61" i="16"/>
  <c r="I76" i="16"/>
  <c r="J138" i="16"/>
  <c r="I158" i="16"/>
  <c r="J217" i="16"/>
  <c r="J76" i="16"/>
  <c r="I99" i="16"/>
  <c r="J158" i="16"/>
  <c r="I159" i="16" s="1"/>
  <c r="I160" i="16" s="1"/>
  <c r="I186" i="16"/>
  <c r="J234" i="16"/>
  <c r="I234" i="16"/>
  <c r="J99" i="16"/>
  <c r="J186" i="16"/>
  <c r="I201" i="16"/>
  <c r="I43" i="16"/>
  <c r="I118" i="16"/>
  <c r="J43" i="16"/>
  <c r="I61" i="16"/>
  <c r="J118" i="16"/>
  <c r="I138" i="16"/>
  <c r="J201" i="16"/>
  <c r="I217" i="16"/>
  <c r="I9" i="5"/>
  <c r="J16" i="5"/>
  <c r="B8" i="23" l="1"/>
  <c r="B12" i="23"/>
  <c r="B16" i="23"/>
  <c r="B20" i="23"/>
  <c r="B24" i="23"/>
  <c r="B28" i="23"/>
  <c r="B32" i="23"/>
  <c r="B36" i="23"/>
  <c r="B9" i="23"/>
  <c r="B13" i="23"/>
  <c r="B17" i="23"/>
  <c r="B21" i="23"/>
  <c r="B25" i="23"/>
  <c r="B29" i="23"/>
  <c r="B33" i="23"/>
  <c r="B37" i="23"/>
  <c r="B10" i="23"/>
  <c r="B14" i="23"/>
  <c r="B18" i="23"/>
  <c r="B22" i="23"/>
  <c r="B26" i="23"/>
  <c r="B30" i="23"/>
  <c r="B34" i="23"/>
  <c r="B38" i="23"/>
  <c r="B7" i="23"/>
  <c r="B11" i="23"/>
  <c r="B15" i="23"/>
  <c r="B19" i="23"/>
  <c r="B23" i="23"/>
  <c r="B27" i="23"/>
  <c r="B31" i="23"/>
  <c r="B35" i="23"/>
  <c r="B10" i="24"/>
  <c r="B14" i="24"/>
  <c r="B18" i="24"/>
  <c r="B22" i="24"/>
  <c r="B26" i="24"/>
  <c r="B30" i="24"/>
  <c r="B34" i="24"/>
  <c r="B38" i="24"/>
  <c r="B42" i="24"/>
  <c r="B46" i="24"/>
  <c r="B50" i="24"/>
  <c r="B54" i="24"/>
  <c r="B58" i="24"/>
  <c r="B62" i="24"/>
  <c r="B66" i="24"/>
  <c r="B70" i="24"/>
  <c r="B74" i="24"/>
  <c r="B78" i="24"/>
  <c r="B82" i="24"/>
  <c r="B86" i="24"/>
  <c r="B90" i="24"/>
  <c r="B94" i="24"/>
  <c r="B98" i="24"/>
  <c r="B102" i="24"/>
  <c r="B106" i="24"/>
  <c r="B110" i="24"/>
  <c r="B114" i="24"/>
  <c r="B118" i="24"/>
  <c r="B122" i="24"/>
  <c r="B126" i="24"/>
  <c r="B130" i="24"/>
  <c r="B134" i="24"/>
  <c r="B138" i="24"/>
  <c r="B7" i="24"/>
  <c r="B11" i="24"/>
  <c r="B15" i="24"/>
  <c r="B19" i="24"/>
  <c r="B23" i="24"/>
  <c r="B27" i="24"/>
  <c r="B31" i="24"/>
  <c r="B35" i="24"/>
  <c r="B39" i="24"/>
  <c r="B43" i="24"/>
  <c r="B47" i="24"/>
  <c r="B51" i="24"/>
  <c r="B55" i="24"/>
  <c r="B59" i="24"/>
  <c r="B63" i="24"/>
  <c r="B67" i="24"/>
  <c r="B71" i="24"/>
  <c r="B75" i="24"/>
  <c r="B79" i="24"/>
  <c r="B83" i="24"/>
  <c r="B87" i="24"/>
  <c r="B91" i="24"/>
  <c r="B95" i="24"/>
  <c r="B99" i="24"/>
  <c r="B103" i="24"/>
  <c r="B107" i="24"/>
  <c r="B111" i="24"/>
  <c r="B115" i="24"/>
  <c r="B119" i="24"/>
  <c r="B123" i="24"/>
  <c r="B127" i="24"/>
  <c r="B131" i="24"/>
  <c r="B135" i="24"/>
  <c r="B8" i="24"/>
  <c r="B12" i="24"/>
  <c r="B16" i="24"/>
  <c r="B20" i="24"/>
  <c r="B24" i="24"/>
  <c r="B28" i="24"/>
  <c r="B32" i="24"/>
  <c r="B36" i="24"/>
  <c r="B40" i="24"/>
  <c r="B44" i="24"/>
  <c r="B48" i="24"/>
  <c r="B52" i="24"/>
  <c r="B56" i="24"/>
  <c r="B60" i="24"/>
  <c r="B64" i="24"/>
  <c r="B68" i="24"/>
  <c r="B72" i="24"/>
  <c r="B76" i="24"/>
  <c r="B80" i="24"/>
  <c r="B84" i="24"/>
  <c r="B88" i="24"/>
  <c r="B92" i="24"/>
  <c r="B96" i="24"/>
  <c r="B100" i="24"/>
  <c r="B104" i="24"/>
  <c r="B108" i="24"/>
  <c r="B112" i="24"/>
  <c r="B116" i="24"/>
  <c r="B120" i="24"/>
  <c r="B124" i="24"/>
  <c r="B128" i="24"/>
  <c r="B132" i="24"/>
  <c r="B136" i="24"/>
  <c r="B9" i="24"/>
  <c r="B13" i="24"/>
  <c r="B17" i="24"/>
  <c r="B21" i="24"/>
  <c r="B25" i="24"/>
  <c r="B29" i="24"/>
  <c r="B33" i="24"/>
  <c r="B37" i="24"/>
  <c r="B41" i="24"/>
  <c r="B45" i="24"/>
  <c r="B49" i="24"/>
  <c r="B53" i="24"/>
  <c r="B57" i="24"/>
  <c r="B61" i="24"/>
  <c r="B65" i="24"/>
  <c r="B69" i="24"/>
  <c r="B73" i="24"/>
  <c r="B77" i="24"/>
  <c r="B81" i="24"/>
  <c r="B85" i="24"/>
  <c r="B89" i="24"/>
  <c r="B93" i="24"/>
  <c r="B97" i="24"/>
  <c r="B101" i="24"/>
  <c r="B105" i="24"/>
  <c r="B109" i="24"/>
  <c r="B113" i="24"/>
  <c r="B117" i="24"/>
  <c r="B121" i="24"/>
  <c r="B125" i="24"/>
  <c r="B129" i="24"/>
  <c r="B133" i="24"/>
  <c r="B137" i="24"/>
  <c r="F4" i="5"/>
  <c r="E7" i="5"/>
  <c r="E12" i="5"/>
  <c r="C6" i="24"/>
  <c r="B6" i="24" s="1"/>
  <c r="C6" i="23"/>
  <c r="B6" i="23" s="1"/>
  <c r="H11" i="22"/>
  <c r="H10" i="22"/>
  <c r="H9" i="22"/>
  <c r="H8" i="22"/>
  <c r="G11" i="22"/>
  <c r="G8" i="22"/>
  <c r="G10" i="22"/>
  <c r="G9" i="22"/>
  <c r="Q32" i="22"/>
  <c r="P32" i="22"/>
  <c r="I139" i="16"/>
  <c r="I140" i="16" s="1"/>
  <c r="I119" i="16"/>
  <c r="I120" i="16" s="1"/>
  <c r="I100" i="16"/>
  <c r="I101" i="16" s="1"/>
  <c r="I77" i="16"/>
  <c r="I78" i="16" s="1"/>
  <c r="I235" i="16"/>
  <c r="I236" i="16" s="1"/>
  <c r="I218" i="16"/>
  <c r="I219" i="16" s="1"/>
  <c r="I62" i="16"/>
  <c r="I63" i="16" s="1"/>
  <c r="I202" i="16"/>
  <c r="I203" i="16" s="1"/>
  <c r="I44" i="16"/>
  <c r="I45" i="16" s="1"/>
  <c r="I187" i="16"/>
  <c r="I188" i="16" s="1"/>
  <c r="P13" i="5"/>
  <c r="S9" i="24" l="1"/>
  <c r="S13" i="24"/>
  <c r="S17" i="24"/>
  <c r="S6" i="24"/>
  <c r="S10" i="24"/>
  <c r="S14" i="24"/>
  <c r="S7" i="24"/>
  <c r="S11" i="24"/>
  <c r="S15" i="24"/>
  <c r="S8" i="24"/>
  <c r="S12" i="24"/>
  <c r="S16" i="24"/>
  <c r="R8" i="23"/>
  <c r="R12" i="23"/>
  <c r="R16" i="23"/>
  <c r="R9" i="23"/>
  <c r="R13" i="23"/>
  <c r="R17" i="23"/>
  <c r="R10" i="23"/>
  <c r="R14" i="23"/>
  <c r="R6" i="23"/>
  <c r="R7" i="23"/>
  <c r="R11" i="23"/>
  <c r="R15" i="23"/>
  <c r="G4" i="5"/>
  <c r="F7" i="5"/>
  <c r="F12" i="5"/>
  <c r="H12" i="22"/>
  <c r="G12" i="22"/>
  <c r="N7" i="10"/>
  <c r="L7" i="10"/>
  <c r="K7" i="10"/>
  <c r="J7" i="10"/>
  <c r="I7" i="10"/>
  <c r="D7" i="10"/>
  <c r="E7" i="10"/>
  <c r="F7" i="10"/>
  <c r="G7" i="10"/>
  <c r="H7" i="10"/>
  <c r="C7" i="10"/>
  <c r="P8" i="5"/>
  <c r="S18" i="24" l="1"/>
  <c r="R18" i="23"/>
  <c r="H4" i="5"/>
  <c r="G7" i="5"/>
  <c r="G12" i="5"/>
  <c r="O7" i="10"/>
  <c r="I4" i="5" l="1"/>
  <c r="H12" i="5"/>
  <c r="H7" i="5"/>
  <c r="G16" i="5"/>
  <c r="K16" i="5"/>
  <c r="L16" i="5"/>
  <c r="M16" i="5"/>
  <c r="O16" i="5"/>
  <c r="H16" i="5"/>
  <c r="D16" i="5"/>
  <c r="E16" i="5"/>
  <c r="I16" i="5"/>
  <c r="N16" i="5"/>
  <c r="D9" i="5"/>
  <c r="F9" i="5"/>
  <c r="G9" i="5"/>
  <c r="K9" i="5"/>
  <c r="O9" i="5"/>
  <c r="N9" i="5"/>
  <c r="M9" i="5"/>
  <c r="L9" i="5"/>
  <c r="H9" i="5"/>
  <c r="J4" i="5" l="1"/>
  <c r="I7" i="5"/>
  <c r="I12" i="5"/>
  <c r="D10" i="5"/>
  <c r="D17" i="5" s="1"/>
  <c r="E5" i="5" s="1"/>
  <c r="P15" i="5"/>
  <c r="E9" i="5"/>
  <c r="P9" i="5" s="1"/>
  <c r="P14" i="5"/>
  <c r="K4" i="5" l="1"/>
  <c r="J7" i="5"/>
  <c r="J12" i="5"/>
  <c r="P16" i="5"/>
  <c r="E10" i="5"/>
  <c r="E17" i="5" s="1"/>
  <c r="F5" i="5" s="1"/>
  <c r="F10" i="5" s="1"/>
  <c r="F17" i="5" s="1"/>
  <c r="G5" i="5" s="1"/>
  <c r="G10" i="5" s="1"/>
  <c r="G17" i="5" s="1"/>
  <c r="H5" i="5" s="1"/>
  <c r="H10" i="5" s="1"/>
  <c r="H17" i="5" s="1"/>
  <c r="I5" i="5" s="1"/>
  <c r="I10" i="5" s="1"/>
  <c r="I17" i="5" s="1"/>
  <c r="J5" i="5" s="1"/>
  <c r="J10" i="5" s="1"/>
  <c r="J17" i="5" s="1"/>
  <c r="K5" i="5" s="1"/>
  <c r="K10" i="5" s="1"/>
  <c r="K17" i="5" s="1"/>
  <c r="L5" i="5" s="1"/>
  <c r="L10" i="5" s="1"/>
  <c r="L17" i="5" s="1"/>
  <c r="M5" i="5" s="1"/>
  <c r="M10" i="5" s="1"/>
  <c r="M17" i="5" s="1"/>
  <c r="N5" i="5" s="1"/>
  <c r="N10" i="5" s="1"/>
  <c r="N17" i="5" s="1"/>
  <c r="O5" i="5" s="1"/>
  <c r="O10" i="5" s="1"/>
  <c r="O17" i="5" s="1"/>
  <c r="I16" i="16"/>
  <c r="J16" i="16"/>
  <c r="L4" i="5" l="1"/>
  <c r="K7" i="5"/>
  <c r="K12" i="5"/>
  <c r="I17" i="16"/>
  <c r="I18" i="16" s="1"/>
  <c r="M4" i="5" l="1"/>
  <c r="L12" i="5"/>
  <c r="L7" i="5"/>
  <c r="N4" i="5" l="1"/>
  <c r="M7" i="5"/>
  <c r="M12" i="5"/>
  <c r="O4" i="5" l="1"/>
  <c r="N7" i="5"/>
  <c r="N12" i="5"/>
  <c r="O7" i="5" l="1"/>
  <c r="O12" i="5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C24" authorId="0" shapeId="0" xr:uid="{FF358A1E-39F7-4B04-A931-68A8945D9766}">
      <text>
        <r>
          <rPr>
            <b/>
            <sz val="9"/>
            <color indexed="81"/>
            <rFont val="Tahoma"/>
            <family val="2"/>
          </rPr>
          <t>Not sure if the date on the check is 28th or 25th</t>
        </r>
      </text>
    </comment>
    <comment ref="C76" authorId="0" shapeId="0" xr:uid="{00313A60-8A97-49A4-AAF2-50DB63746A3D}">
      <text>
        <r>
          <rPr>
            <b/>
            <sz val="9"/>
            <color indexed="81"/>
            <rFont val="Tahoma"/>
            <family val="2"/>
          </rPr>
          <t>No date on Check copy</t>
        </r>
      </text>
    </comment>
    <comment ref="C88" authorId="0" shapeId="0" xr:uid="{06D383D5-EA03-47C8-8200-0A929B6B5949}">
      <text>
        <r>
          <rPr>
            <b/>
            <sz val="9"/>
            <color indexed="81"/>
            <rFont val="Tahoma"/>
            <family val="2"/>
          </rPr>
          <t>No date on Check copy</t>
        </r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<sst xmlns="http://schemas.openxmlformats.org/spreadsheetml/2006/main" count="2134" uniqueCount="551">
  <si>
    <t>Starting date</t>
  </si>
  <si>
    <t>Total</t>
  </si>
  <si>
    <t>Opening Balance</t>
  </si>
  <si>
    <t>CREDITS</t>
  </si>
  <si>
    <t xml:space="preserve"> </t>
  </si>
  <si>
    <t>RDC DEPOSIT</t>
  </si>
  <si>
    <t>TOTAL CREDITS</t>
  </si>
  <si>
    <t>OPENING + CREDITS</t>
  </si>
  <si>
    <t>DEBITS</t>
  </si>
  <si>
    <t>MORTGAGE</t>
  </si>
  <si>
    <t xml:space="preserve">CHECKS PRESENTED </t>
  </si>
  <si>
    <t>MISCELLANEOUS*</t>
  </si>
  <si>
    <t>TOTAL DEBITS</t>
  </si>
  <si>
    <t>CLOSING BALANCE</t>
  </si>
  <si>
    <t>Date</t>
  </si>
  <si>
    <t>Description</t>
  </si>
  <si>
    <t>Debit (-)</t>
  </si>
  <si>
    <t>Credit (+)</t>
  </si>
  <si>
    <t>Prada &amp; Sons</t>
  </si>
  <si>
    <t>The Borough of Fort Lee</t>
  </si>
  <si>
    <t>Abraham Properties</t>
  </si>
  <si>
    <t>Dayali Landscaping</t>
  </si>
  <si>
    <t>Account Number 1718003533</t>
  </si>
  <si>
    <t>Due date</t>
  </si>
  <si>
    <t>Payment date</t>
  </si>
  <si>
    <t>1-Dec-20</t>
  </si>
  <si>
    <t>04-Jan</t>
  </si>
  <si>
    <t>01-Mar</t>
  </si>
  <si>
    <t>01-Apr</t>
  </si>
  <si>
    <t>03-May</t>
  </si>
  <si>
    <t>01-Jul</t>
  </si>
  <si>
    <t>02-Aug</t>
  </si>
  <si>
    <t>01-Sep</t>
  </si>
  <si>
    <t>01-Oct</t>
  </si>
  <si>
    <t>01-Nov</t>
  </si>
  <si>
    <t>01-Dec</t>
  </si>
  <si>
    <t>Principal</t>
  </si>
  <si>
    <t>Interest</t>
  </si>
  <si>
    <t>Escrow</t>
  </si>
  <si>
    <t>Monthly Payment</t>
  </si>
  <si>
    <t>01-Jun</t>
  </si>
  <si>
    <t>01-Feb</t>
  </si>
  <si>
    <t xml:space="preserve">DIWALI INVESTMENT LLC  - Income/expense report </t>
  </si>
  <si>
    <t>Opening</t>
  </si>
  <si>
    <t>Checks presented</t>
  </si>
  <si>
    <t xml:space="preserve">From </t>
  </si>
  <si>
    <t>Debit</t>
  </si>
  <si>
    <t>Credit</t>
  </si>
  <si>
    <t>Column1</t>
  </si>
  <si>
    <t>Column2</t>
  </si>
  <si>
    <t>Column4</t>
  </si>
  <si>
    <t>TRANSFER TO LOAN ACCT NO. 1718003533</t>
  </si>
  <si>
    <t xml:space="preserve">TOTAL OF 2 CHECKS PRESENTED </t>
  </si>
  <si>
    <t xml:space="preserve">TOTAL OF 1 CHECK PRESENTED </t>
  </si>
  <si>
    <t xml:space="preserve">RDC DEPOSIT </t>
  </si>
  <si>
    <t>ACH PMT JPW DENTAL LLC 11005366769 DIWALI I</t>
  </si>
  <si>
    <t>PUBLIC SERVICE PSEG ACH TRACE# 091000012010720</t>
  </si>
  <si>
    <t>PUBLIC SERVICE PSEG ACH TRACE# 091000012014033</t>
  </si>
  <si>
    <t>PUBLIC SERVICE PSEG ACH TRACE# 091000012011236</t>
  </si>
  <si>
    <t>WATER BILL VEOLIA WATER NEW 10006752433605 DIWALI I</t>
  </si>
  <si>
    <t>P S E AND G NJ BILL PAY ACH TRACE# 711960040003317</t>
  </si>
  <si>
    <t>P S E AND G NJ BILL PAY ACH TRACE# 711960040003318</t>
  </si>
  <si>
    <t>P S E AND G NJ BILL PAY ACH TRACE# 711960040003319</t>
  </si>
  <si>
    <t xml:space="preserve">TOTAL OF 3 CHECKS PRESENTED </t>
  </si>
  <si>
    <t>TIME WARNER CABLBILL PAY ACH TRACE# 711960040004358</t>
  </si>
  <si>
    <t>WEB PAY UTICA MUTUAL INS 000001496507227 DIWALI I</t>
  </si>
  <si>
    <t>RDC deposit</t>
  </si>
  <si>
    <t>Miscellaneous</t>
  </si>
  <si>
    <t xml:space="preserve">TRANSFER TO LOAN ACCT NO. XXXXXXXXXXXX3533 </t>
  </si>
  <si>
    <t xml:space="preserve">PUBLIC SERVICE PSEG ACH TRACE#091000010984204 </t>
  </si>
  <si>
    <t xml:space="preserve">PUBLIC SERVICE PSEG ACH TRACE#091000010976091 </t>
  </si>
  <si>
    <t xml:space="preserve">SUEZ WATER BILL PAY ACH TRACE#711960040001146 </t>
  </si>
  <si>
    <t xml:space="preserve">PUBLIC SERVICE PSEG ACH TRACE#091000010972896 </t>
  </si>
  <si>
    <t xml:space="preserve">SUEZ WATER BILL PAY ACH TRACE#711960040001753 </t>
  </si>
  <si>
    <t xml:space="preserve">SUEZ WATER BILL PAY ACH TRACE#711960040001212 </t>
  </si>
  <si>
    <t xml:space="preserve">WEB PAY UTICA MUTUAL INS 000001403359730 DIWALI I </t>
  </si>
  <si>
    <t xml:space="preserve">TIME WARNER CABLBILL PAY ACH TRACE#711960040001617 </t>
  </si>
  <si>
    <t xml:space="preserve">WEB PAY UTICA MUTUAL INS 000001414222607 DIWALI I </t>
  </si>
  <si>
    <t xml:space="preserve">SUEZ WATER BILL PAY ACH TRACE#711960040001062 </t>
  </si>
  <si>
    <t xml:space="preserve">TIME WARNER CABLBILL PAY ACH TRACE#711960040001055 </t>
  </si>
  <si>
    <t xml:space="preserve">ACTION CARTING EBILL PAY ACH TRACE#711960040001057 </t>
  </si>
  <si>
    <t xml:space="preserve">PUBLIC SERVICE PSEG ACH TRACE#091000015899039 </t>
  </si>
  <si>
    <t xml:space="preserve">PUBLIC SERVICE PSEG ACH TRACE#091000015901760 </t>
  </si>
  <si>
    <t xml:space="preserve">PUBLIC SERVICE PSEG ACH TRACE#091000015884044 </t>
  </si>
  <si>
    <t xml:space="preserve">NJ.GOV SER NJ.GOV 609-586-2600 DIWALI I </t>
  </si>
  <si>
    <t xml:space="preserve">SUEZ WATER BILL PAY ACH TRACE#711960040001247 </t>
  </si>
  <si>
    <t xml:space="preserve">SUEZ WATER BILL PAY ACH TRACE#711960040001248 </t>
  </si>
  <si>
    <t xml:space="preserve">TIME WARNER CABLBILL PAY ACH TRACE#711960040001243 </t>
  </si>
  <si>
    <t xml:space="preserve">WEB PAY UTICA MUTUAL INS 000001421498771 DIWALI I </t>
  </si>
  <si>
    <t xml:space="preserve">ACTION CARTING EBILL PAY ACH TRACE#711960040000893 </t>
  </si>
  <si>
    <t xml:space="preserve">NJWEB30301 DEP PAYMENT 091000019300572 DIWALI ITXP*B06AC3CDE0748*30301*220430*T*25500*P*0000032401***JERE\ </t>
  </si>
  <si>
    <t xml:space="preserve">PUBLIC SERVICE PSEG ACH TRACE#091000014407008 </t>
  </si>
  <si>
    <t xml:space="preserve">PUBLIC SERVICE PSEG ACH TRACE#091000014400056 </t>
  </si>
  <si>
    <t xml:space="preserve">PUBLIC SERVICE PSEG ACH TRACE#091000014388506 </t>
  </si>
  <si>
    <t xml:space="preserve">NJWEB04824 NJ WEB PMT 04824 091000019954489 DIWALI ITXP*B474360127000*04824*211231 *T*45000*****DIWA\ </t>
  </si>
  <si>
    <t xml:space="preserve">WEB PAY UTICA MUTUAL INS 000001429737163 DIWALI I </t>
  </si>
  <si>
    <t>SUEZ WATER BILL PAY ACH TRACE# 711960040001009</t>
  </si>
  <si>
    <t>SUEZ WATER BILL PAY ACH TRACE# 711960040001008</t>
  </si>
  <si>
    <t>TIME WARNER CABLBILL PAY ACH TRACE# 711960040001003</t>
  </si>
  <si>
    <t>ACTION CARTING EBILL PAY ACH TRACE# 711960040001006</t>
  </si>
  <si>
    <t>PUBLIC SERVICE PSEG ACH TRACE# 091000014977748</t>
  </si>
  <si>
    <t>PUBLIC SERVICE PSEG ACH TRACE# 091000014964833</t>
  </si>
  <si>
    <t xml:space="preserve">PUBLIC SERVICE PSEG </t>
  </si>
  <si>
    <t>SUEZ WATER BILL PAY ACH TRACE# 711960040001002</t>
  </si>
  <si>
    <t>SUEZ WATER BILL PAY ACH TRACE# 711960040001001</t>
  </si>
  <si>
    <t>TIME WARNER CABLBILL PAY ACH TRACE# 711960040000809</t>
  </si>
  <si>
    <t>WEB PAY UTICA MUTUAL INS 000001438397829 DIWALI I</t>
  </si>
  <si>
    <t>SUEZ WATER BILL PAY ACH TRACE# 711960040002168</t>
  </si>
  <si>
    <t>SUEZ WATER BILL PAY ACH TRACE# 711960040002167</t>
  </si>
  <si>
    <t>BUS PRODS DELUXE BUS SYS. 12190120 UNKNOWN</t>
  </si>
  <si>
    <t>PUBLIC SERVICE PSEG ACH TRACE# 091000018007982</t>
  </si>
  <si>
    <t>PUBLIC SERVICE PSEG ACH TRACE# 091000017978986</t>
  </si>
  <si>
    <t>PUBLIC SERVICE PSEG ACH TRACE# 091000018007978</t>
  </si>
  <si>
    <t>WEB PAY UTICA MUTUAL INS 000001446119205 DIWALI I</t>
  </si>
  <si>
    <t>P S E AND G NJ BILL PAY ACH TRACE# 711960040003121</t>
  </si>
  <si>
    <t>P S E AND G NJ BILL PAY ACH TRACE# 711960040003120</t>
  </si>
  <si>
    <t>VEOLIA WATER BILL PAY ACH TRACE# 711960040003130</t>
  </si>
  <si>
    <t>VEOLIA WATER BILL PAY ACH TRACE# 711960040003129</t>
  </si>
  <si>
    <t>VEOLIA WATER BILL PAY ACH TRACE# 711960040003127</t>
  </si>
  <si>
    <t>VEOLIA WATER BILL PAY ACH TRACE# 711960040003128</t>
  </si>
  <si>
    <t>P S E AND G NJ BILL PAY ACH TRACE# 711960040003119</t>
  </si>
  <si>
    <t>ACTION CARTING EBILL PAY ACH TRACE# 711960040003123</t>
  </si>
  <si>
    <t>TIME WARNER CABLBILL PAY ACH TRACE# 711960040003307</t>
  </si>
  <si>
    <t>PUBLIC SERVICE PSEG ACH TRACE# 091000015422343</t>
  </si>
  <si>
    <t>PUBLIC SERVICE PSEG ACH TRACE# 091000015427226</t>
  </si>
  <si>
    <t>PUBLIC SERVICE PSEG ACH TRACE# 091000015420837</t>
  </si>
  <si>
    <t>VEOLIA WATER BILL PAY ACH TRACE# 711960040002202</t>
  </si>
  <si>
    <t>VEOLIA WATER BILL PAY ACH TRACE# 711960040002201</t>
  </si>
  <si>
    <t>TIME WARNER CABLBILL PAY ACH TRACE# 711960040002207</t>
  </si>
  <si>
    <t>WEB PAY UTICA MUTUAL INS 000001454340831 DIWALI I</t>
  </si>
  <si>
    <t>PUBLIC SERVICE PSEG ACH TRACE# 091000016349190</t>
  </si>
  <si>
    <t>PUBLIC SERVICE PSEG ACH TRACE# 091000016349183</t>
  </si>
  <si>
    <t>SUEZ SUEZ DEBIT INTERNET-INITIATED ENTRIES 10006752433605</t>
  </si>
  <si>
    <t>WEB PAY UTICA MUTUAL INS 000001463176268 DIWALI I</t>
  </si>
  <si>
    <t>TIME WARNER CABLBILL PAY ACH TRACE# 711960040002506</t>
  </si>
  <si>
    <t>ACTION CARTING EBILL PAY ACH TRACE# 711960040002508</t>
  </si>
  <si>
    <t>NJGOVSERVE NJGOVSERVEW 609-586-2600 DIWALI C</t>
  </si>
  <si>
    <t>PUBLIC SERVICE PSEG ACH TRACE# 091000012886767</t>
  </si>
  <si>
    <t>PUBLIC SERVICE PSEG ACH TRACE# 091000012863568</t>
  </si>
  <si>
    <t>WEB PAY UTICA MUTUAL INS 000001471707346 DIWALI I</t>
  </si>
  <si>
    <t>PUBLIC SERVICE PSEG ACH TRACE# 091000013431815</t>
  </si>
  <si>
    <t>PUBLIC SERVICE PSEG ACH TRACE# 091000013431318</t>
  </si>
  <si>
    <t>ACH PMT JPW DENTAL LLC 5357214158 DIWALI I</t>
  </si>
  <si>
    <t>ACH PMT JPW DENTAL LLC 11000046992 DIWALI I</t>
  </si>
  <si>
    <t>TIME WARNER CABLBILL PAY ACH TRACE# 711960040002664</t>
  </si>
  <si>
    <t>WEB PAY UTICA MUTUAL INS 000001480456204 DIWALI I</t>
  </si>
  <si>
    <t>TIME WARNER CABLBILL PAY ACH TRACE# 711960040003139</t>
  </si>
  <si>
    <t>ACTION CARTING EBILL PAY ACH TRACE# 711960040003127</t>
  </si>
  <si>
    <t>ACH PMT JPW DENTAL LLC 11001697932 DIWALI I</t>
  </si>
  <si>
    <t>VEOLIA WATER BILL PAY ACH TRACE# 711960040003457</t>
  </si>
  <si>
    <t>PUBLIC SERVICE PSEG ACH TRACE# 091000014039636</t>
  </si>
  <si>
    <t>PUBLIC SERVICE PSEG ACH TRACE# 091000014037994</t>
  </si>
  <si>
    <t>P S E AND G NJ BILL PAY ACH TRACE# 711960040002725</t>
  </si>
  <si>
    <t>VEOLIA WATER BILL PAY ACH TRACE# 711960040002731</t>
  </si>
  <si>
    <t>P S E AND G NJ BILL PAY ACH TRACE# 711960040002724</t>
  </si>
  <si>
    <t>WEB PAY UTICA MUTUAL INS 000001488511042 DIWALI I</t>
  </si>
  <si>
    <t>ACTION CARTING EBILL PAY ACH TRACE# 711960040004163</t>
  </si>
  <si>
    <t>Closing</t>
  </si>
  <si>
    <t>Through</t>
  </si>
  <si>
    <t>Check</t>
  </si>
  <si>
    <t>Transfer</t>
  </si>
  <si>
    <t>Misc</t>
  </si>
  <si>
    <t>RDC</t>
  </si>
  <si>
    <t>Transfer to loan acct No. 1718003533</t>
  </si>
  <si>
    <t xml:space="preserve">ACTION CARTING EBILL PAY ACH TRACE#711960040000739 </t>
  </si>
  <si>
    <t xml:space="preserve">PUBLIC SERVICE PSEG ACH TRACE#091000013895008 </t>
  </si>
  <si>
    <t xml:space="preserve">PUBLIC SERVICE PSEG ACH TRACE#091000013920179 </t>
  </si>
  <si>
    <t xml:space="preserve">PUBLIC SERVICE PSEG ACH TRACE#091000013922051 </t>
  </si>
  <si>
    <t xml:space="preserve">SUEZ WATER BILL PAY ACH TRACE#711960040000987 </t>
  </si>
  <si>
    <t xml:space="preserve">SUEZ WATER BILL PAY ACH TRACE#711960040000988 </t>
  </si>
  <si>
    <t>Select month</t>
  </si>
  <si>
    <t>Transaction type</t>
  </si>
  <si>
    <t>Month</t>
  </si>
  <si>
    <t>-</t>
  </si>
  <si>
    <t>Column12</t>
  </si>
  <si>
    <t>May</t>
  </si>
  <si>
    <t>Months</t>
  </si>
  <si>
    <t>Transaction Type</t>
  </si>
  <si>
    <t>-2</t>
  </si>
  <si>
    <t>-3</t>
  </si>
  <si>
    <t>Select Month</t>
  </si>
  <si>
    <t>January</t>
  </si>
  <si>
    <t>February</t>
  </si>
  <si>
    <t>March</t>
  </si>
  <si>
    <t>April</t>
  </si>
  <si>
    <t>June</t>
  </si>
  <si>
    <t>July</t>
  </si>
  <si>
    <t>August</t>
  </si>
  <si>
    <t>September</t>
  </si>
  <si>
    <t>October</t>
  </si>
  <si>
    <t>November</t>
  </si>
  <si>
    <t>December</t>
  </si>
  <si>
    <t>RDC Deposits</t>
  </si>
  <si>
    <t>ALL</t>
  </si>
  <si>
    <t>Check Register</t>
  </si>
  <si>
    <t>Check No</t>
  </si>
  <si>
    <t>Rand Commercial</t>
  </si>
  <si>
    <t>Craig S Hughes</t>
  </si>
  <si>
    <t>A.P Certified Testing LLC</t>
  </si>
  <si>
    <t>Month2</t>
  </si>
  <si>
    <t>Column2.1</t>
  </si>
  <si>
    <t/>
  </si>
  <si>
    <t>Amount</t>
  </si>
  <si>
    <t>Transfer to Loan</t>
  </si>
  <si>
    <t>ACTION CARTING EBill Pay</t>
  </si>
  <si>
    <t>FIRE PREVENTION Bill Pay</t>
  </si>
  <si>
    <t>VEOLIA WATER Bill Pay</t>
  </si>
  <si>
    <t>ACTION ELEVATOR Bill Pay</t>
  </si>
  <si>
    <t>PUBLIC SERVICE PSEG</t>
  </si>
  <si>
    <t>TIME WARNER CABLBill Pay</t>
  </si>
  <si>
    <t>P S E AND G NJ Bill Pay</t>
  </si>
  <si>
    <t>Column2.2.1</t>
  </si>
  <si>
    <t>Column2.2.2.1</t>
  </si>
  <si>
    <t>Column2.2.2.2</t>
  </si>
  <si>
    <t>Total of 2 Checks Presented</t>
  </si>
  <si>
    <t>Acct No. 1718003533</t>
  </si>
  <si>
    <t>RDC Deposit</t>
  </si>
  <si>
    <t>Total of 1 Check Presented</t>
  </si>
  <si>
    <t>ACH TRACE#711960040003072</t>
  </si>
  <si>
    <t>ACH TRACE#711960040005423</t>
  </si>
  <si>
    <t>ACH TRACE#711960040005403</t>
  </si>
  <si>
    <t>WATER BILL VEOLIA WATER NEW</t>
  </si>
  <si>
    <t>10006752433605 Diwali I</t>
  </si>
  <si>
    <t>ACH TRACE#711960040005421</t>
  </si>
  <si>
    <t>ACH TRACE#711960040005422</t>
  </si>
  <si>
    <t>ACH TRACE#091000015296962</t>
  </si>
  <si>
    <t>ACH TRACE#711960040003761</t>
  </si>
  <si>
    <t>ACH TRACE#091000011652282</t>
  </si>
  <si>
    <t>ACH Pmt JPW DENTAL LLC</t>
  </si>
  <si>
    <t>11009057551 Diwali I</t>
  </si>
  <si>
    <t>ACH TRACE#711960040002852</t>
  </si>
  <si>
    <t>ACH TRACE#711960040002853</t>
  </si>
  <si>
    <t>Web Pay Utica Mutual Ins</t>
  </si>
  <si>
    <t>000001505141582 DIWALI I</t>
  </si>
  <si>
    <t>Transfer to LoanAcct No. 1718003533</t>
  </si>
  <si>
    <t>ACTION CARTING EBill PayACH TRACE#711960040003072</t>
  </si>
  <si>
    <t>FIRE PREVENTION Bill PayACH TRACE#711960040005423</t>
  </si>
  <si>
    <t>VEOLIA WATER Bill PayACH TRACE#711960040005403</t>
  </si>
  <si>
    <t>WATER BILL VEOLIA WATER NEW10006752433605 Diwali I</t>
  </si>
  <si>
    <t>ACTION ELEVATOR Bill PayACH TRACE#711960040005421</t>
  </si>
  <si>
    <t>FIRE PREVENTION Bill PayACH TRACE#711960040005422</t>
  </si>
  <si>
    <t>PUBLIC SERVICE PSEGACH TRACE#091000015296962</t>
  </si>
  <si>
    <t>TIME WARNER CABLBill PayACH TRACE#711960040003761</t>
  </si>
  <si>
    <t>PUBLIC SERVICE PSEGACH TRACE#091000011652282</t>
  </si>
  <si>
    <t>ACH Pmt JPW DENTAL LLC11009057551 Diwali I</t>
  </si>
  <si>
    <t>P S E AND G NJ Bill PayACH TRACE#711960040002852</t>
  </si>
  <si>
    <t>P S E AND G NJ Bill PayACH TRACE#711960040002853</t>
  </si>
  <si>
    <t>Web Pay Utica Mutual Ins000001505141582 DIWALI I</t>
  </si>
  <si>
    <t>Deb/Cred?</t>
  </si>
  <si>
    <t>ACH TRACE#711960040002568</t>
  </si>
  <si>
    <t>ACH TRACE#711960040003025</t>
  </si>
  <si>
    <t>ACH TRACE#711960040003130</t>
  </si>
  <si>
    <t>ACH TRACE#711960040003123</t>
  </si>
  <si>
    <t>ACH TRACE#711960040003026</t>
  </si>
  <si>
    <t>ACH TRACE#091000010934332</t>
  </si>
  <si>
    <t>ACH TRACE#091000010949778</t>
  </si>
  <si>
    <t>ACH TRACE#091000010950730</t>
  </si>
  <si>
    <t>ACH TRACE#711960040004218</t>
  </si>
  <si>
    <t>P S E AND G NJ Bill PayACH TRACE#711960040002568</t>
  </si>
  <si>
    <t>P S E AND G NJ Bill PayACH TRACE#711960040003025</t>
  </si>
  <si>
    <t>ACTION ELEVATOR Bill PayACH TRACE#711960040003130</t>
  </si>
  <si>
    <t>VEOLIA WATER Bill PayACH TRACE#711960040003123</t>
  </si>
  <si>
    <t>ACTION CARTING EBill PayACH TRACE#711960040003026</t>
  </si>
  <si>
    <t>PUBLIC SERVICE PSEGACH TRACE#091000010934332</t>
  </si>
  <si>
    <t>PUBLIC SERVICE PSEGACH TRACE#091000010949778</t>
  </si>
  <si>
    <t>PUBLIC SERVICE PSEGACH TRACE#091000010950730</t>
  </si>
  <si>
    <t>TIME WARNER CABLBill PayACH TRACE#711960040004218</t>
  </si>
  <si>
    <t>11010185428 Diwali I</t>
  </si>
  <si>
    <t>000001513961198 DIWALI I</t>
  </si>
  <si>
    <t>ACH TRACE#091000018949353</t>
  </si>
  <si>
    <t>ACH TRACE#091000018937452</t>
  </si>
  <si>
    <t>ACH TRACE#091000013563789</t>
  </si>
  <si>
    <t>ACH TRACE#711960040004005</t>
  </si>
  <si>
    <t>ACH TRACE#711960040003984</t>
  </si>
  <si>
    <t>ACH TRACE#711960040004006</t>
  </si>
  <si>
    <t>ACH TRACE#711960040002001</t>
  </si>
  <si>
    <t>ACH TRACE#711960040002005</t>
  </si>
  <si>
    <t>000001521202486 DIWALI I</t>
  </si>
  <si>
    <t>ACH Pmt JPW DENTAL LLC11010185428 Diwali I</t>
  </si>
  <si>
    <t>Web Pay Utica Mutual Ins000001513961198 DIWALI I</t>
  </si>
  <si>
    <t>PUBLIC SERVICE PSEGACH TRACE#091000018949353</t>
  </si>
  <si>
    <t>PUBLIC SERVICE PSEGACH TRACE#091000018937452</t>
  </si>
  <si>
    <t>PUBLIC SERVICE PSEGACH TRACE#091000013563789</t>
  </si>
  <si>
    <t>ACTION ELEVATOR Bill PayACH TRACE#711960040004005</t>
  </si>
  <si>
    <t>ACTION CARTING EBill PayACH TRACE#711960040003984</t>
  </si>
  <si>
    <t>FIRE PREVENTION Bill PayACH TRACE#711960040004006</t>
  </si>
  <si>
    <t>TIME WARNER CABLBill PayACH TRACE#711960040002001</t>
  </si>
  <si>
    <t>ACTION ELEVATOR Bill PayACH TRACE#711960040002005</t>
  </si>
  <si>
    <t>Web Pay Utica Mutual Ins000001521202486 DIWALI I</t>
  </si>
  <si>
    <t>11015076512 Diwali I</t>
  </si>
  <si>
    <t>11015077389 Diwali I</t>
  </si>
  <si>
    <t>ACH TRACE#711960040003240</t>
  </si>
  <si>
    <t>ACH TRACE#711960040003840</t>
  </si>
  <si>
    <t>ACH TRACE#711960040003839</t>
  </si>
  <si>
    <t>ACH TRACE#091000014415810</t>
  </si>
  <si>
    <t>ACH TRACE#091000014436812</t>
  </si>
  <si>
    <t>ACH TRACE#091000014435638</t>
  </si>
  <si>
    <t>Total of 3 Checks Presented</t>
  </si>
  <si>
    <t>NJWEB04823 NJ WEB PMT 04823</t>
  </si>
  <si>
    <t>091000013790666 DIWALI I TXP*B474360127000*04823*221231 *T*45000*****DIWA\</t>
  </si>
  <si>
    <t>ACH TRACE#091000011923898</t>
  </si>
  <si>
    <t>ACH TRACE#711960040003799</t>
  </si>
  <si>
    <t>ACH TRACE#711960040005328</t>
  </si>
  <si>
    <t>000001529630032 DIWALI I</t>
  </si>
  <si>
    <t>ACH TRACE#711960040005301</t>
  </si>
  <si>
    <t>11017673427 Diwali I</t>
  </si>
  <si>
    <t>11017673441 Diwali I</t>
  </si>
  <si>
    <t>ACH TRACE#711960040002635</t>
  </si>
  <si>
    <t>ACH TRACE#091000013968232</t>
  </si>
  <si>
    <t>ACH TRACE#091000013983809</t>
  </si>
  <si>
    <t>ACH TRACE#711960040002831</t>
  </si>
  <si>
    <t>000001537895284 DIWALI I</t>
  </si>
  <si>
    <t>ACTION ELEVATOR Bill PayACH TRACE#711960040005328</t>
  </si>
  <si>
    <t>Web Pay Utica Mutual Ins000001529630032 DIWALI I</t>
  </si>
  <si>
    <t>ACTION CARTING EBill PayACH TRACE#711960040005301</t>
  </si>
  <si>
    <t>ACH Pmt JPW DENTAL LLC11017673427 Diwali I</t>
  </si>
  <si>
    <t>ACH Pmt JPW DENTAL LLC11017673441 Diwali I</t>
  </si>
  <si>
    <t>VEOLIA WATER Bill PayACH TRACE#711960040002635</t>
  </si>
  <si>
    <t>PUBLIC SERVICE PSEGACH TRACE#091000013968232</t>
  </si>
  <si>
    <t>PUBLIC SERVICE PSEGACH TRACE#091000013983809</t>
  </si>
  <si>
    <t>TIME WARNER CABLBill PayACH TRACE#711960040002831</t>
  </si>
  <si>
    <t>Web Pay Utica Mutual Ins000001537895284 DIWALI I</t>
  </si>
  <si>
    <t>Column1.1</t>
  </si>
  <si>
    <t>Column1.2.1</t>
  </si>
  <si>
    <t>Column1.2.2.1</t>
  </si>
  <si>
    <t>Column1.2.2.2.1</t>
  </si>
  <si>
    <t>Column1.2.2.2.2</t>
  </si>
  <si>
    <t>11017673460 Diwali I</t>
  </si>
  <si>
    <t>Acct No. XXXXXX3533</t>
  </si>
  <si>
    <t>ACH  TRACE#711960040003529</t>
  </si>
  <si>
    <t>Encoding error</t>
  </si>
  <si>
    <t>ACH TRACE#711960040002356</t>
  </si>
  <si>
    <t>ACH TRACE#091000011511386</t>
  </si>
  <si>
    <t>ACH TRACE#091000011496776</t>
  </si>
  <si>
    <t>ACH TRACE#711960040003869</t>
  </si>
  <si>
    <t>000001545709746 DIWALI I</t>
  </si>
  <si>
    <t>11020412695 Diwali I</t>
  </si>
  <si>
    <t>11023224753 Diwali I</t>
  </si>
  <si>
    <t>ACH TRACE#711960040002791</t>
  </si>
  <si>
    <t>ACH TRACE#711960040002756</t>
  </si>
  <si>
    <t>ACH TRACE#711960040004055</t>
  </si>
  <si>
    <t>ACH TRACE#091000014194269</t>
  </si>
  <si>
    <t>ACH TRACE#091000014162452</t>
  </si>
  <si>
    <t>ACH TRACE#711960040002760</t>
  </si>
  <si>
    <t>VERIZON COMMUNICBill Pay</t>
  </si>
  <si>
    <t>ACH TRACE#711960040002785</t>
  </si>
  <si>
    <t>ACH TRACE#711960040002761</t>
  </si>
  <si>
    <t>000001562038124 DIWALI I</t>
  </si>
  <si>
    <t>ACH Pmt JPW DENTAL LLC 7</t>
  </si>
  <si>
    <t>11026021698 Diwali I</t>
  </si>
  <si>
    <t>Total of 1 Check Presented 400.00- 47</t>
  </si>
  <si>
    <t>Transfer to Loan 18</t>
  </si>
  <si>
    <t>Total of 1 Check Presented 1</t>
  </si>
  <si>
    <t>Total of 1 Check Presented 2</t>
  </si>
  <si>
    <t>PUBLIC SERVICE PSEG 95.45- 23</t>
  </si>
  <si>
    <t>ACH</t>
  </si>
  <si>
    <t>TRACE#091000014084283</t>
  </si>
  <si>
    <t>Veolia Veolia 415.64- 23</t>
  </si>
  <si>
    <t>DEBIT</t>
  </si>
  <si>
    <t>INTERNET-INITIATED ENTRIES 10006752433605</t>
  </si>
  <si>
    <t>Veolia Veolia 631.75- 22</t>
  </si>
  <si>
    <t>INTERNET-INITIATED ENTRIES 10009806967654</t>
  </si>
  <si>
    <t>PUBLIC SERVICE PSEG 2</t>
  </si>
  <si>
    <t>ACH TRACE#091000014088267</t>
  </si>
  <si>
    <t>WATER BILL VEOLIA WATER NEW 415.64- 19</t>
  </si>
  <si>
    <t>Diwali I</t>
  </si>
  <si>
    <t>ACTION ELEVATOR Bill Pay 175.93- 33</t>
  </si>
  <si>
    <t>TRACE#711960040002621</t>
  </si>
  <si>
    <t>NJWEB30301 DEP PAYMENT 255.00- 33</t>
  </si>
  <si>
    <t>DIWALI I TXP*B8ec0e6beb51e*30301*151231 *T*25500*P*0000032401***JERE\</t>
  </si>
  <si>
    <t>VERIZON PAYMENTREC 192.86- 33</t>
  </si>
  <si>
    <t>INTERNET-INITIATED ENTRIES DIWALI LLC</t>
  </si>
  <si>
    <t>11028986769 Diwali I</t>
  </si>
  <si>
    <t>Web Pay Utica Mutual Ins 729.00- 40</t>
  </si>
  <si>
    <t>DIWALI I</t>
  </si>
  <si>
    <t>RDC Deposit 8</t>
  </si>
  <si>
    <t>Total of 1 Check Presented 900.00- 25</t>
  </si>
  <si>
    <t>WATER BILL VEOLIA WATER NEW 263.99- 24</t>
  </si>
  <si>
    <t>RDC Deposit 6</t>
  </si>
  <si>
    <t>PUBLIC SERVICE PSEG 63.89- 30</t>
  </si>
  <si>
    <t>TRACE#091000014250655</t>
  </si>
  <si>
    <t>VERIZON COMMUNICBill Pay 72.73- 30</t>
  </si>
  <si>
    <t>TRACE#711960040004109</t>
  </si>
  <si>
    <t>P S E AND G NJ Bill Pay 243.95- 30</t>
  </si>
  <si>
    <t>TRACE#711960040004096</t>
  </si>
  <si>
    <t>P S E AND G NJ Bill Pay 269.89- 30</t>
  </si>
  <si>
    <t>TRACE#711960040004095</t>
  </si>
  <si>
    <t>ACH TRACE#091000014265327</t>
  </si>
  <si>
    <t>Total of 1 Check Presented 4</t>
  </si>
  <si>
    <t>RDC Deposit 46</t>
  </si>
  <si>
    <t>VERIZON PAYMENTREC 278.91- 69</t>
  </si>
  <si>
    <t>Web Pay Utica Mutual Ins 729.00- 68</t>
  </si>
  <si>
    <t>11109762206 Diwali I</t>
  </si>
  <si>
    <t>RDC Deposit 12</t>
  </si>
  <si>
    <t>Total of 2 Checks Presented 5</t>
  </si>
  <si>
    <t>Total of 1 Check Presented 945.60- 70</t>
  </si>
  <si>
    <t>Total of 1 Check Presented 20</t>
  </si>
  <si>
    <t>WATER BILL VEOLIA WATER NEW 284.21- 50</t>
  </si>
  <si>
    <t>WATER BILL VEOLIA WATER NEW 312.88- 49</t>
  </si>
  <si>
    <t>RDC Deposit 2</t>
  </si>
  <si>
    <t>PUBLIC SERVICE PSEG 25.39- 52</t>
  </si>
  <si>
    <t>TRACE#091000014321623</t>
  </si>
  <si>
    <t>PUBLIC SERVICE PSEG 1</t>
  </si>
  <si>
    <t>ACH TRACE#091000014318181</t>
  </si>
  <si>
    <t>Chargeback 8448 2</t>
  </si>
  <si>
    <t>Chargeback Fee 20.00- 47</t>
  </si>
  <si>
    <t>Total of 2 Checks Presented 2</t>
  </si>
  <si>
    <t>VERIZON PAYMENTREC 277.45- 43</t>
  </si>
  <si>
    <t>Action Elevator Bill Pay 446.49- 42</t>
  </si>
  <si>
    <t>TRACE#711960040003050</t>
  </si>
  <si>
    <t>ACTION CARTING EBill Pay 1</t>
  </si>
  <si>
    <t>ACH TRACE#711960040002976</t>
  </si>
  <si>
    <t>FIRE PREVENTION Bill Pay 1</t>
  </si>
  <si>
    <t>ACH TRACE#711960040003028</t>
  </si>
  <si>
    <t>Web Pay Utica Mutual Ins 729.00- 39</t>
  </si>
  <si>
    <t>RDC Deposit 11</t>
  </si>
  <si>
    <t>Total of 3 Checks Presented 2</t>
  </si>
  <si>
    <t>Total of 1 Check Presented 47.51- 36</t>
  </si>
  <si>
    <t>Action Elevator Bill Pay 175.93- 36</t>
  </si>
  <si>
    <t>TRACE#711960040002642</t>
  </si>
  <si>
    <t>ACTION CARTING EBill Pay 599.99- 35</t>
  </si>
  <si>
    <t>TRACE#711960040002611</t>
  </si>
  <si>
    <t>Total of 3 Checks Presented 4</t>
  </si>
  <si>
    <t>RDC Deposit 5</t>
  </si>
  <si>
    <t>P S E AND G NJ Bill Pay 239.08- 37</t>
  </si>
  <si>
    <t>TRACE#711960040003811</t>
  </si>
  <si>
    <t>P S E AND G NJ Bill Pay 244.86- 37</t>
  </si>
  <si>
    <t>TRACE#711960040003810</t>
  </si>
  <si>
    <t>Total of 1 Check Presented 569.37- 36</t>
  </si>
  <si>
    <t>VERIZON COMMUNICBill Pay 36.79- 36</t>
  </si>
  <si>
    <t>TRACE#711960040003801</t>
  </si>
  <si>
    <t>WATER BILL VEOLIA WATER NEW 293.33- 36</t>
  </si>
  <si>
    <t>WATER BILL VEOLIA WATER NEW 456.17- 35</t>
  </si>
  <si>
    <t>11117169357 Diwali I</t>
  </si>
  <si>
    <t>PUBLIC SERVICE PSEG 62.66- 43</t>
  </si>
  <si>
    <t>TRACE#091000012870943</t>
  </si>
  <si>
    <t>ACH TRACE#091000012863422</t>
  </si>
  <si>
    <t>VERIZON COMMUNICBill Pay 73.88- 40</t>
  </si>
  <si>
    <t>TRACE#711960040003086</t>
  </si>
  <si>
    <t>RDC Deposit 42</t>
  </si>
  <si>
    <t>VERIZON PAYMENTREC 275.77- 82</t>
  </si>
  <si>
    <t>Total of 5 Checks Presented 7</t>
  </si>
  <si>
    <t>Web Pay Utica Mutual Ins 729.00- 74</t>
  </si>
  <si>
    <t>ACH Pmt JPW DENTAL LLC11017673460 Diwali I</t>
  </si>
  <si>
    <t>Transfer to LoanAcct No. XXXXXX3533</t>
  </si>
  <si>
    <t>ACTION CARTING EBill PayACH TRACE#711960040003529</t>
  </si>
  <si>
    <t>FIRE PREVENTION Bill PayACH TRACE#711960040002356</t>
  </si>
  <si>
    <t>PUBLIC SERVICE PSEGACH TRACE#091000011511386</t>
  </si>
  <si>
    <t>PUBLIC SERVICE PSEGACH TRACE#091000011496776</t>
  </si>
  <si>
    <t>ACTION ELEVATOR Bill PayACH TRACE#711960040003869</t>
  </si>
  <si>
    <t>Web Pay Utica Mutual Ins000001545709746 DIWALI I</t>
  </si>
  <si>
    <t>ACH Pmt JPW DENTAL LLC11020412695 Diwali I</t>
  </si>
  <si>
    <t>ACH Pmt JPW DENTAL LLC11023224753 Diwali I</t>
  </si>
  <si>
    <t>ACTION ELEVATOR Bill PayACH TRACE#711960040002791</t>
  </si>
  <si>
    <t>ACTION CARTING EBill PayACH TRACE#711960040002756</t>
  </si>
  <si>
    <t>P S E AND G NJ Bill PayACH TRACE#711960040004055</t>
  </si>
  <si>
    <t>PUBLIC SERVICE PSEGACH TRACE#091000014194269</t>
  </si>
  <si>
    <t>PUBLIC SERVICE PSEGACH TRACE#091000014162452</t>
  </si>
  <si>
    <t>P S E AND G NJ Bill PayACH TRACE#711960040002760</t>
  </si>
  <si>
    <t>VERIZON COMMUNICBill PayACH TRACE#711960040002785</t>
  </si>
  <si>
    <t>P S E AND G NJ Bill PayACH TRACE#711960040002761</t>
  </si>
  <si>
    <t>Web Pay Utica Mutual Ins000001562038124 DIWALI I</t>
  </si>
  <si>
    <t>ACH Pmt JPW DENTAL LLC 711026021698 Diwali I</t>
  </si>
  <si>
    <t xml:space="preserve">RDC Deposit </t>
  </si>
  <si>
    <t>ACH Pmt JPW DENTAL LLC11015076512 Diwali I</t>
  </si>
  <si>
    <t>ACH Pmt JPW DENTAL LLC11015077389 Diwali I</t>
  </si>
  <si>
    <t>VEOLIA WATER Bill PayACH TRACE#711960040003240</t>
  </si>
  <si>
    <t>VEOLIA WATER Bill PayACH TRACE#711960040003840</t>
  </si>
  <si>
    <t>VEOLIA WATER Bill PayACH TRACE#711960040003839</t>
  </si>
  <si>
    <t>PUBLIC SERVICE PSEGACH TRACE#091000014415810</t>
  </si>
  <si>
    <t>PUBLIC SERVICE PSEGACH TRACE#091000014436812</t>
  </si>
  <si>
    <t>PUBLIC SERVICE PSEGACH TRACE#091000014435638</t>
  </si>
  <si>
    <t>NJWEB04823 NJ WEB PMT 04823091000013790666 DIWALI I TXP*B474360127000*04823*221231 *T*45000*****DIWA\</t>
  </si>
  <si>
    <t>PUBLIC SERVICE PSEGACH TRACE#091000011923898</t>
  </si>
  <si>
    <t>TIME WARNER CABLBill PayACH TRACE#711960040003799</t>
  </si>
  <si>
    <t xml:space="preserve">Total of 1 Check Presented </t>
  </si>
  <si>
    <t>Transfer to Loan Acct No. XXXXXX3533</t>
  </si>
  <si>
    <t>PUBLIC SERVICE PSEG TRACE#091000014084283</t>
  </si>
  <si>
    <t>Veolia Veolia INTERNET-INITIATED ENTRIES 10006752433605</t>
  </si>
  <si>
    <t>Veolia Veolia INTERNET-INITIATED ENTRIES 10009806967654</t>
  </si>
  <si>
    <t>PUBLIC SERVICE PSEG ACH TRACE#091000014088267</t>
  </si>
  <si>
    <t>WATER BILL VEOLIA WATER NEW Diwali I</t>
  </si>
  <si>
    <t>ACTION ELEVATOR Bill Pay TRACE#711960040002621</t>
  </si>
  <si>
    <t>NJWEB30301 DEP PAYMENT DIWALI I TXP*B8ec0e6beb51e*30301*151231 *T*25500*P*0000032401***JERE\</t>
  </si>
  <si>
    <t>VERIZON PAYMENTREC INTERNET-INITIATED ENTRIES DIWALI LLC</t>
  </si>
  <si>
    <t>ACH Pmt JPW DENTAL LLC 11028986769 Diwali I</t>
  </si>
  <si>
    <t>Web Pay Utica Mutual Ins DIWALI I</t>
  </si>
  <si>
    <t>ACH TRACE#091000014012653</t>
  </si>
  <si>
    <t>ACH TRACE#711960040003668</t>
  </si>
  <si>
    <t>ACH TRACE#711960040003659</t>
  </si>
  <si>
    <t>ACH TRACE#711960040003667</t>
  </si>
  <si>
    <t>ACH TRACE#711960040003642</t>
  </si>
  <si>
    <t>ACH TRACE#091000012431325</t>
  </si>
  <si>
    <t>ACH TRACE#711960040002765</t>
  </si>
  <si>
    <t>000001553857927 DIWALI I</t>
  </si>
  <si>
    <t>PUBLIC SERVICE PSEGACH TRACE#091000014012653</t>
  </si>
  <si>
    <t>VERIZON COMMUNICBill PayACH TRACE#711960040003668</t>
  </si>
  <si>
    <t>ACTION ELEVATOR Bill PayACH TRACE#711960040003659</t>
  </si>
  <si>
    <t>VERIZON COMMUNICBill PayACH TRACE#711960040003667</t>
  </si>
  <si>
    <t>ACTION CARTING EBill PayACH TRACE#711960040003642</t>
  </si>
  <si>
    <t>PUBLIC SERVICE PSEGACH TRACE#091000012431325</t>
  </si>
  <si>
    <t>VEOLIA WATER Bill PayACH TRACE#711960040002765</t>
  </si>
  <si>
    <t>Web Pay Utica Mutual Ins000001553857927 DIWALI I</t>
  </si>
  <si>
    <t>PUBLIC SERVICE PSEG TRACE#091000014250655</t>
  </si>
  <si>
    <t>VERIZON COMMUNICBill Pay TRACE#711960040004109</t>
  </si>
  <si>
    <t>P S E AND G NJ Bill PayTRACE#711960040004096</t>
  </si>
  <si>
    <t>P S E AND G NJ Bill Pay TRACE#711960040004095</t>
  </si>
  <si>
    <t>PUBLIC SERVICE PSEG ACH TRACE#091000014265327</t>
  </si>
  <si>
    <t xml:space="preserve">Total of 2 Checks Presented </t>
  </si>
  <si>
    <t>PUBLIC SERVICE PSEG TRACE#091000014321623</t>
  </si>
  <si>
    <t>PUBLIC SERVICE PSEG ACH TRACE#091000014318181</t>
  </si>
  <si>
    <t xml:space="preserve">Chargeback 8448 </t>
  </si>
  <si>
    <t xml:space="preserve">Chargeback Fee </t>
  </si>
  <si>
    <t>Action Elevator Bill Pay TRACE#711960040003050</t>
  </si>
  <si>
    <t>ACTION CARTING EBill Pay ACH TRACE#711960040002976</t>
  </si>
  <si>
    <t>FIRE PREVENTION Bill Pay ACH TRACE#711960040003028</t>
  </si>
  <si>
    <t>ACH Pmt JPW DENTAL LLC 11109762206 Diwali I</t>
  </si>
  <si>
    <t xml:space="preserve">Total of 3 Checks Presented </t>
  </si>
  <si>
    <t>Action Elevator Bill Pay TRACE#711960040002642</t>
  </si>
  <si>
    <t>ACTION CARTING EBill Pay TRACE#711960040002611</t>
  </si>
  <si>
    <t>P S E AND G NJ Bill Pay TRACE#711960040003811</t>
  </si>
  <si>
    <t>P S E AND G NJ Bill Pay TRACE#711960040003810</t>
  </si>
  <si>
    <t>VERIZON COMMUNICBill Pay TRACE#711960040003801</t>
  </si>
  <si>
    <t>WATER BILL VEOLIA WATER NEWDiwali I</t>
  </si>
  <si>
    <t>PUBLIC SERVICE PSEG TRACE#091000012870943</t>
  </si>
  <si>
    <t>PUBLIC SERVICE PSEG ACH TRACE#091000012863422</t>
  </si>
  <si>
    <t>VERIZON COMMUNICBill Pay TRACE#711960040003086</t>
  </si>
  <si>
    <t xml:space="preserve">Total of 5 Checks Presented </t>
  </si>
  <si>
    <t>ACH Pmt JPW DENTAL LLC 11117169357 Diwali I</t>
  </si>
  <si>
    <t>Subtotal</t>
  </si>
  <si>
    <t>Online Transactions</t>
  </si>
  <si>
    <t>Volpe Real Estate</t>
  </si>
  <si>
    <t>Signarama</t>
  </si>
  <si>
    <t>Volpe and Volpe Real Estate Inc</t>
  </si>
  <si>
    <t>DB Plumbing &amp; Heating LLC</t>
  </si>
  <si>
    <t>Fort Lee Podiatry Group LLC</t>
  </si>
  <si>
    <t>Tacks Inc</t>
  </si>
  <si>
    <t>Yukos Mechanical</t>
  </si>
  <si>
    <t>Full Circle Glass</t>
  </si>
  <si>
    <t>MACH</t>
  </si>
  <si>
    <t>Tomas Chitic</t>
  </si>
  <si>
    <t>Abraham Properties NY Inc</t>
  </si>
  <si>
    <t>Pravin Bhanderi</t>
  </si>
  <si>
    <t>Cotize Security Systems</t>
  </si>
  <si>
    <t>Borough of Fort Lee</t>
  </si>
  <si>
    <t>Hudson Valley Sign</t>
  </si>
  <si>
    <t>Craig Hughes</t>
  </si>
  <si>
    <t>Name</t>
  </si>
  <si>
    <t>Transfer to Loan Account</t>
  </si>
  <si>
    <t>Net</t>
  </si>
  <si>
    <t>June-23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</si>
</sst>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8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mmmm"/>
    <numFmt numFmtId="165" formatCode="[$-409]mmm/yy;@"/>
    <numFmt numFmtId="166" formatCode="[$-409]d/mmm;@"/>
    <numFmt numFmtId="167" formatCode="mm/dd/yy;@"/>
    <numFmt numFmtId="168" formatCode="[$-409]d/mmm/yy;@"/>
    <numFmt numFmtId="169" formatCode="mm/dd/yy"/>
  </numFmts>
  <fonts count="32" x14ac:knownFonts="1">
    <font>
      <sz val="8"/>
      <name val="Arial"/>
    </font>
    <font>
      <sz val="8"/>
      <name val="Arial"/>
      <family val="2"/>
    </font>
    <font>
      <sz val="8"/>
      <name val="Century Gothic"/>
      <family val="2"/>
      <scheme val="minor"/>
    </font>
    <font>
      <b/>
      <sz val="10"/>
      <name val="Century Gothic"/>
      <family val="2"/>
      <scheme val="minor"/>
    </font>
    <font>
      <b/>
      <sz val="8"/>
      <name val="Century Gothic"/>
      <family val="2"/>
      <scheme val="minor"/>
    </font>
    <font>
      <sz val="10"/>
      <name val="Century Gothic"/>
      <family val="2"/>
      <scheme val="minor"/>
    </font>
    <font>
      <sz val="8"/>
      <color theme="0"/>
      <name val="Century Gothic"/>
      <family val="2"/>
      <scheme val="minor"/>
    </font>
    <font>
      <b/>
      <sz val="8"/>
      <color theme="0"/>
      <name val="Century Gothic"/>
      <family val="2"/>
      <scheme val="minor"/>
    </font>
    <font>
      <sz val="8"/>
      <color theme="0" tint="-0.249977111117893"/>
      <name val="Century Gothic"/>
      <family val="2"/>
      <scheme val="minor"/>
    </font>
    <font>
      <sz val="11"/>
      <name val="Century Gothic"/>
      <family val="2"/>
      <scheme val="minor"/>
    </font>
    <font>
      <b/>
      <sz val="8"/>
      <color theme="0"/>
      <name val="Arial"/>
      <family val="2"/>
    </font>
    <font>
      <u/>
      <sz val="8"/>
      <color theme="10"/>
      <name val="Arial"/>
      <family val="2"/>
    </font>
    <font>
      <sz val="8"/>
      <color theme="0" tint="-0.249977111117893"/>
      <name val="Arial"/>
      <family val="2"/>
    </font>
    <font>
      <sz val="8"/>
      <color theme="1"/>
      <name val="Century Gothic"/>
      <family val="2"/>
      <scheme val="minor"/>
    </font>
    <font>
      <b/>
      <u/>
      <sz val="14"/>
      <color theme="1" tint="0.249977111117893"/>
      <name val="Century Gothic"/>
      <family val="2"/>
      <scheme val="major"/>
    </font>
    <font>
      <sz val="8"/>
      <color theme="1"/>
      <name val="Arial"/>
      <family val="2"/>
    </font>
    <font>
      <b/>
      <sz val="8"/>
      <color theme="1"/>
      <name val="Arial"/>
      <family val="2"/>
    </font>
    <font>
      <sz val="8"/>
      <name val="Arial"/>
      <family val="2"/>
    </font>
    <font>
      <sz val="8"/>
      <color theme="0"/>
      <name val="Arial"/>
      <family val="2"/>
    </font>
    <font>
      <sz val="10"/>
      <color rgb="FF202124"/>
      <name val="Arial"/>
      <family val="2"/>
    </font>
    <font>
      <b/>
      <sz val="8"/>
      <name val="Arial"/>
      <family val="2"/>
    </font>
    <font>
      <sz val="8"/>
      <color theme="0" tint="-0.14999847407452621"/>
      <name val="Arial"/>
      <family val="2"/>
    </font>
    <font>
      <b/>
      <u val="double"/>
      <sz val="14"/>
      <color theme="0"/>
      <name val="Arial"/>
      <family val="2"/>
    </font>
    <font>
      <b/>
      <sz val="8"/>
      <color theme="0"/>
      <name val="Arial"/>
      <family val="2"/>
    </font>
    <font>
      <sz val="8"/>
      <color theme="1"/>
      <name val="Arial"/>
      <family val="2"/>
    </font>
    <font>
      <sz val="8"/>
      <name val="Arial"/>
      <family val="2"/>
    </font>
    <font>
      <b/>
      <sz val="11"/>
      <color theme="1"/>
      <name val="Century Gothic"/>
      <family val="2"/>
      <scheme val="minor"/>
    </font>
    <font>
      <b/>
      <u val="double"/>
      <sz val="9"/>
      <name val="Arial"/>
      <family val="2"/>
    </font>
    <font>
      <b/>
      <u val="double"/>
      <sz val="10"/>
      <name val="Arial"/>
      <family val="2"/>
    </font>
    <font>
      <b/>
      <sz val="9"/>
      <color indexed="81"/>
      <name val="Tahoma"/>
      <family val="2"/>
    </font>
    <font>
      <b/>
      <sz val="9"/>
      <color theme="1"/>
      <name val="Century Gothic"/>
      <family val="2"/>
      <scheme val="minor"/>
    </font>
    <font>
      <sz val="9"/>
      <name val="Arial"/>
      <family val="2"/>
    </font>
  </fonts>
  <fills count="12">
    <fill>
      <patternFill patternType="none"/>
    </fill>
    <fill>
      <patternFill patternType="gray125"/>
    </fill>
    <fill>
      <patternFill patternType="lightUp">
        <bgColor indexed="22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1" tint="0.34998626667073579"/>
        <bgColor indexed="64"/>
      </patternFill>
    </fill>
    <fill>
      <patternFill patternType="solid">
        <fgColor theme="8"/>
        <bgColor theme="8"/>
      </patternFill>
    </fill>
    <fill>
      <patternFill patternType="solid">
        <fgColor theme="9"/>
        <bgColor theme="9"/>
      </patternFill>
    </fill>
    <fill>
      <patternFill patternType="solid">
        <fgColor theme="9" tint="0.79998168889431442"/>
        <bgColor theme="9" tint="0.79998168889431442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14999847407452621"/>
        <bgColor theme="0" tint="-0.14999847407452621"/>
      </patternFill>
    </fill>
    <fill>
      <patternFill patternType="solid">
        <fgColor theme="0"/>
        <bgColor indexed="64"/>
      </patternFill>
    </fill>
    <fill>
      <patternFill patternType="mediumGray">
        <fgColor rgb="FFFF0000"/>
      </patternFill>
    </fill>
  </fills>
  <borders count="37">
    <border>
      <left/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theme="9"/>
      </top>
      <bottom style="thin">
        <color theme="9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theme="9" tint="0.39997558519241921"/>
      </left>
      <right/>
      <top style="thin">
        <color theme="9" tint="0.39997558519241921"/>
      </top>
      <bottom/>
      <diagonal/>
    </border>
    <border>
      <left/>
      <right style="thin">
        <color theme="9" tint="0.39997558519241921"/>
      </right>
      <top style="thin">
        <color theme="9" tint="0.39997558519241921"/>
      </top>
      <bottom/>
      <diagonal/>
    </border>
    <border>
      <left/>
      <right/>
      <top style="thin">
        <color theme="9" tint="0.39997558519241921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double">
        <color indexed="64"/>
      </bottom>
      <diagonal/>
    </border>
    <border>
      <left/>
      <right/>
      <top style="medium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/>
      <top style="medium">
        <color indexed="64"/>
      </top>
      <bottom style="thin">
        <color theme="1"/>
      </bottom>
      <diagonal/>
    </border>
    <border>
      <left/>
      <right style="medium">
        <color indexed="64"/>
      </right>
      <top style="medium">
        <color indexed="64"/>
      </top>
      <bottom style="thin">
        <color theme="1"/>
      </bottom>
      <diagonal/>
    </border>
    <border>
      <left/>
      <right/>
      <top/>
      <bottom style="double">
        <color theme="4"/>
      </bottom>
      <diagonal/>
    </border>
  </borders>
  <cellStyleXfs count="7">
    <xf numFmtId="0" fontId="0" fillId="0" borderId="0">
      <alignment wrapText="1"/>
    </xf>
    <xf numFmtId="14" fontId="9" fillId="0" borderId="0" applyFont="0" applyFill="0" applyBorder="0">
      <alignment horizontal="right" vertical="center"/>
    </xf>
    <xf numFmtId="0" fontId="9" fillId="0" borderId="0" applyFont="0" applyFill="0" applyBorder="0">
      <alignment horizontal="center" vertical="center"/>
    </xf>
    <xf numFmtId="0" fontId="11" fillId="0" borderId="0" applyNumberFormat="0" applyFill="0" applyBorder="0" applyAlignment="0" applyProtection="0">
      <alignment wrapText="1"/>
    </xf>
    <xf numFmtId="44" fontId="17" fillId="0" borderId="0" applyFont="0" applyFill="0" applyBorder="0" applyAlignment="0" applyProtection="0"/>
    <xf numFmtId="43" fontId="25" fillId="0" borderId="0" applyFont="0" applyFill="0" applyBorder="0" applyAlignment="0" applyProtection="0"/>
    <xf numFmtId="0" fontId="26" fillId="0" borderId="33" applyNumberFormat="0" applyFill="0" applyAlignment="0" applyProtection="0"/>
  </cellStyleXfs>
  <cellXfs count="268">
    <xf numFmtId="0" fontId="0" fillId="0" borderId="0" xfId="0">
      <alignment wrapText="1"/>
    </xf>
    <xf numFmtId="0" fontId="2" fillId="0" borderId="0" xfId="0" applyFont="1" applyAlignment="1"/>
    <xf numFmtId="0" fontId="3" fillId="0" borderId="0" xfId="0" applyFont="1" applyAlignment="1"/>
    <xf numFmtId="0" fontId="2" fillId="0" borderId="0" xfId="0" applyFont="1">
      <alignment wrapText="1"/>
    </xf>
    <xf numFmtId="3" fontId="2" fillId="2" borderId="2" xfId="0" applyNumberFormat="1" applyFont="1" applyFill="1" applyBorder="1">
      <alignment wrapText="1"/>
    </xf>
    <xf numFmtId="0" fontId="5" fillId="0" borderId="0" xfId="0" applyFont="1">
      <alignment wrapText="1"/>
    </xf>
    <xf numFmtId="0" fontId="1" fillId="0" borderId="0" xfId="0" applyFont="1">
      <alignment wrapText="1"/>
    </xf>
    <xf numFmtId="3" fontId="2" fillId="0" borderId="3" xfId="0" applyNumberFormat="1" applyFont="1" applyBorder="1" applyProtection="1">
      <alignment wrapText="1"/>
      <protection locked="0"/>
    </xf>
    <xf numFmtId="165" fontId="2" fillId="0" borderId="0" xfId="0" applyNumberFormat="1" applyFont="1" applyAlignment="1" applyProtection="1">
      <alignment horizontal="right" wrapText="1"/>
      <protection locked="0"/>
    </xf>
    <xf numFmtId="3" fontId="4" fillId="3" borderId="1" xfId="0" applyNumberFormat="1" applyFont="1" applyFill="1" applyBorder="1">
      <alignment wrapText="1"/>
    </xf>
    <xf numFmtId="16" fontId="0" fillId="0" borderId="0" xfId="0" applyNumberFormat="1">
      <alignment wrapText="1"/>
    </xf>
    <xf numFmtId="16" fontId="1" fillId="0" borderId="0" xfId="0" applyNumberFormat="1" applyFont="1">
      <alignment wrapText="1"/>
    </xf>
    <xf numFmtId="0" fontId="11" fillId="0" borderId="0" xfId="3">
      <alignment wrapText="1"/>
    </xf>
    <xf numFmtId="0" fontId="12" fillId="0" borderId="0" xfId="0" applyFont="1">
      <alignment wrapText="1"/>
    </xf>
    <xf numFmtId="166" fontId="0" fillId="0" borderId="0" xfId="0" applyNumberFormat="1">
      <alignment wrapText="1"/>
    </xf>
    <xf numFmtId="166" fontId="12" fillId="0" borderId="0" xfId="0" applyNumberFormat="1" applyFont="1">
      <alignment wrapText="1"/>
    </xf>
    <xf numFmtId="168" fontId="0" fillId="0" borderId="0" xfId="0" applyNumberFormat="1">
      <alignment wrapText="1"/>
    </xf>
    <xf numFmtId="3" fontId="13" fillId="2" borderId="6" xfId="0" applyNumberFormat="1" applyFont="1" applyFill="1" applyBorder="1">
      <alignment wrapText="1"/>
    </xf>
    <xf numFmtId="0" fontId="0" fillId="0" borderId="7" xfId="0" applyBorder="1">
      <alignment wrapText="1"/>
    </xf>
    <xf numFmtId="0" fontId="4" fillId="0" borderId="4" xfId="0" applyFont="1" applyBorder="1">
      <alignment wrapText="1"/>
    </xf>
    <xf numFmtId="0" fontId="4" fillId="0" borderId="5" xfId="0" applyFont="1" applyBorder="1">
      <alignment wrapText="1"/>
    </xf>
    <xf numFmtId="3" fontId="4" fillId="0" borderId="1" xfId="0" applyNumberFormat="1" applyFont="1" applyBorder="1" applyProtection="1">
      <alignment wrapText="1"/>
      <protection locked="0"/>
    </xf>
    <xf numFmtId="3" fontId="2" fillId="0" borderId="1" xfId="0" applyNumberFormat="1" applyFont="1" applyBorder="1" applyProtection="1">
      <alignment wrapText="1"/>
      <protection locked="0"/>
    </xf>
    <xf numFmtId="0" fontId="7" fillId="4" borderId="3" xfId="0" applyFont="1" applyFill="1" applyBorder="1" applyAlignment="1">
      <alignment horizontal="center" wrapText="1"/>
    </xf>
    <xf numFmtId="17" fontId="7" fillId="4" borderId="3" xfId="0" applyNumberFormat="1" applyFont="1" applyFill="1" applyBorder="1" applyAlignment="1">
      <alignment horizontal="center" wrapText="1"/>
    </xf>
    <xf numFmtId="164" fontId="7" fillId="4" borderId="3" xfId="0" applyNumberFormat="1" applyFont="1" applyFill="1" applyBorder="1" applyAlignment="1">
      <alignment horizontal="center" wrapText="1"/>
    </xf>
    <xf numFmtId="3" fontId="2" fillId="2" borderId="3" xfId="0" applyNumberFormat="1" applyFont="1" applyFill="1" applyBorder="1">
      <alignment wrapText="1"/>
    </xf>
    <xf numFmtId="3" fontId="2" fillId="3" borderId="3" xfId="0" applyNumberFormat="1" applyFont="1" applyFill="1" applyBorder="1">
      <alignment wrapText="1"/>
    </xf>
    <xf numFmtId="167" fontId="0" fillId="0" borderId="3" xfId="0" applyNumberFormat="1" applyBorder="1">
      <alignment wrapText="1"/>
    </xf>
    <xf numFmtId="0" fontId="0" fillId="0" borderId="3" xfId="0" applyBorder="1">
      <alignment wrapText="1"/>
    </xf>
    <xf numFmtId="3" fontId="2" fillId="0" borderId="3" xfId="0" applyNumberFormat="1" applyFont="1" applyBorder="1">
      <alignment wrapText="1"/>
    </xf>
    <xf numFmtId="0" fontId="6" fillId="4" borderId="3" xfId="0" applyFont="1" applyFill="1" applyBorder="1">
      <alignment wrapText="1"/>
    </xf>
    <xf numFmtId="0" fontId="6" fillId="4" borderId="3" xfId="0" applyFont="1" applyFill="1" applyBorder="1" applyAlignment="1">
      <alignment horizontal="center" wrapText="1"/>
    </xf>
    <xf numFmtId="3" fontId="11" fillId="3" borderId="3" xfId="3" applyNumberFormat="1" applyFill="1" applyBorder="1">
      <alignment wrapText="1"/>
    </xf>
    <xf numFmtId="3" fontId="8" fillId="2" borderId="3" xfId="0" applyNumberFormat="1" applyFont="1" applyFill="1" applyBorder="1">
      <alignment wrapText="1"/>
    </xf>
    <xf numFmtId="0" fontId="2" fillId="2" borderId="3" xfId="0" applyFont="1" applyFill="1" applyBorder="1">
      <alignment wrapText="1"/>
    </xf>
    <xf numFmtId="165" fontId="2" fillId="0" borderId="3" xfId="0" applyNumberFormat="1" applyFont="1" applyBorder="1" applyAlignment="1" applyProtection="1">
      <alignment horizontal="right" wrapText="1"/>
      <protection locked="0"/>
    </xf>
    <xf numFmtId="0" fontId="2" fillId="0" borderId="5" xfId="0" applyFont="1" applyBorder="1">
      <alignment wrapText="1"/>
    </xf>
    <xf numFmtId="0" fontId="7" fillId="4" borderId="1" xfId="0" applyFont="1" applyFill="1" applyBorder="1">
      <alignment wrapText="1"/>
    </xf>
    <xf numFmtId="0" fontId="0" fillId="0" borderId="8" xfId="0" applyBorder="1">
      <alignment wrapText="1"/>
    </xf>
    <xf numFmtId="0" fontId="4" fillId="0" borderId="9" xfId="0" applyFont="1" applyBorder="1">
      <alignment wrapText="1"/>
    </xf>
    <xf numFmtId="0" fontId="1" fillId="0" borderId="0" xfId="0" applyFont="1" applyAlignment="1"/>
    <xf numFmtId="0" fontId="0" fillId="0" borderId="0" xfId="0" applyAlignment="1"/>
    <xf numFmtId="14" fontId="0" fillId="0" borderId="0" xfId="0" applyNumberFormat="1" applyAlignment="1"/>
    <xf numFmtId="4" fontId="1" fillId="0" borderId="0" xfId="0" applyNumberFormat="1" applyFont="1">
      <alignment wrapText="1"/>
    </xf>
    <xf numFmtId="0" fontId="0" fillId="0" borderId="13" xfId="0" applyBorder="1" applyAlignment="1"/>
    <xf numFmtId="0" fontId="1" fillId="0" borderId="13" xfId="0" applyFont="1" applyBorder="1" applyAlignment="1"/>
    <xf numFmtId="0" fontId="1" fillId="0" borderId="14" xfId="0" applyFont="1" applyBorder="1" applyAlignment="1"/>
    <xf numFmtId="0" fontId="1" fillId="0" borderId="15" xfId="0" applyFont="1" applyBorder="1" applyAlignment="1"/>
    <xf numFmtId="0" fontId="0" fillId="0" borderId="16" xfId="0" applyBorder="1" applyAlignment="1"/>
    <xf numFmtId="0" fontId="0" fillId="0" borderId="17" xfId="0" applyBorder="1" applyAlignment="1"/>
    <xf numFmtId="0" fontId="0" fillId="0" borderId="18" xfId="0" applyBorder="1" applyAlignment="1"/>
    <xf numFmtId="0" fontId="0" fillId="0" borderId="19" xfId="0" applyBorder="1" applyAlignment="1"/>
    <xf numFmtId="0" fontId="1" fillId="0" borderId="12" xfId="0" applyFont="1" applyBorder="1" applyAlignment="1"/>
    <xf numFmtId="0" fontId="0" fillId="0" borderId="20" xfId="0" applyBorder="1" applyAlignment="1"/>
    <xf numFmtId="0" fontId="0" fillId="0" borderId="21" xfId="0" applyBorder="1" applyAlignment="1"/>
    <xf numFmtId="0" fontId="0" fillId="0" borderId="22" xfId="0" applyBorder="1" applyAlignment="1"/>
    <xf numFmtId="0" fontId="1" fillId="8" borderId="15" xfId="0" applyFont="1" applyFill="1" applyBorder="1" applyAlignment="1"/>
    <xf numFmtId="0" fontId="0" fillId="8" borderId="0" xfId="0" applyFill="1" applyAlignment="1"/>
    <xf numFmtId="0" fontId="0" fillId="8" borderId="21" xfId="0" applyFill="1" applyBorder="1" applyAlignment="1"/>
    <xf numFmtId="0" fontId="1" fillId="8" borderId="17" xfId="0" applyFont="1" applyFill="1" applyBorder="1" applyAlignment="1"/>
    <xf numFmtId="0" fontId="0" fillId="8" borderId="18" xfId="0" applyFill="1" applyBorder="1" applyAlignment="1"/>
    <xf numFmtId="0" fontId="0" fillId="8" borderId="22" xfId="0" applyFill="1" applyBorder="1" applyAlignment="1"/>
    <xf numFmtId="0" fontId="0" fillId="8" borderId="12" xfId="0" applyFill="1" applyBorder="1" applyAlignment="1"/>
    <xf numFmtId="0" fontId="0" fillId="8" borderId="13" xfId="0" applyFill="1" applyBorder="1" applyAlignment="1"/>
    <xf numFmtId="0" fontId="1" fillId="8" borderId="20" xfId="0" applyFont="1" applyFill="1" applyBorder="1" applyAlignment="1"/>
    <xf numFmtId="0" fontId="1" fillId="8" borderId="14" xfId="0" applyFont="1" applyFill="1" applyBorder="1" applyAlignment="1"/>
    <xf numFmtId="4" fontId="0" fillId="0" borderId="0" xfId="0" applyNumberFormat="1" applyAlignment="1"/>
    <xf numFmtId="0" fontId="18" fillId="0" borderId="0" xfId="0" applyFont="1" applyAlignment="1"/>
    <xf numFmtId="165" fontId="12" fillId="0" borderId="0" xfId="0" applyNumberFormat="1" applyFont="1" applyAlignment="1"/>
    <xf numFmtId="14" fontId="1" fillId="0" borderId="12" xfId="0" applyNumberFormat="1" applyFont="1" applyBorder="1" applyAlignment="1"/>
    <xf numFmtId="14" fontId="0" fillId="0" borderId="15" xfId="0" applyNumberFormat="1" applyBorder="1" applyAlignment="1"/>
    <xf numFmtId="14" fontId="0" fillId="0" borderId="17" xfId="0" applyNumberFormat="1" applyBorder="1" applyAlignment="1"/>
    <xf numFmtId="0" fontId="1" fillId="0" borderId="18" xfId="0" applyFont="1" applyBorder="1" applyAlignment="1"/>
    <xf numFmtId="0" fontId="15" fillId="0" borderId="0" xfId="0" applyFont="1" applyAlignment="1"/>
    <xf numFmtId="4" fontId="18" fillId="0" borderId="0" xfId="0" applyNumberFormat="1" applyFont="1" applyAlignment="1"/>
    <xf numFmtId="0" fontId="2" fillId="0" borderId="3" xfId="0" applyFont="1" applyBorder="1">
      <alignment wrapText="1"/>
    </xf>
    <xf numFmtId="17" fontId="0" fillId="0" borderId="0" xfId="0" applyNumberFormat="1" applyAlignment="1"/>
    <xf numFmtId="44" fontId="0" fillId="0" borderId="19" xfId="4" applyFont="1" applyBorder="1" applyAlignment="1"/>
    <xf numFmtId="44" fontId="0" fillId="0" borderId="14" xfId="4" applyFont="1" applyBorder="1" applyAlignment="1"/>
    <xf numFmtId="44" fontId="0" fillId="0" borderId="16" xfId="4" applyFont="1" applyBorder="1" applyAlignment="1"/>
    <xf numFmtId="0" fontId="16" fillId="0" borderId="26" xfId="0" applyFont="1" applyBorder="1" applyAlignment="1"/>
    <xf numFmtId="0" fontId="16" fillId="0" borderId="27" xfId="0" applyFont="1" applyBorder="1" applyAlignment="1"/>
    <xf numFmtId="0" fontId="10" fillId="0" borderId="27" xfId="0" applyFont="1" applyBorder="1" applyAlignment="1"/>
    <xf numFmtId="14" fontId="15" fillId="9" borderId="12" xfId="0" applyNumberFormat="1" applyFont="1" applyFill="1" applyBorder="1" applyAlignment="1"/>
    <xf numFmtId="0" fontId="15" fillId="9" borderId="13" xfId="0" applyFont="1" applyFill="1" applyBorder="1" applyAlignment="1"/>
    <xf numFmtId="14" fontId="15" fillId="0" borderId="15" xfId="0" applyNumberFormat="1" applyFont="1" applyBorder="1" applyAlignment="1"/>
    <xf numFmtId="14" fontId="15" fillId="9" borderId="15" xfId="0" applyNumberFormat="1" applyFont="1" applyFill="1" applyBorder="1" applyAlignment="1"/>
    <xf numFmtId="14" fontId="15" fillId="0" borderId="17" xfId="0" applyNumberFormat="1" applyFont="1" applyBorder="1" applyAlignment="1"/>
    <xf numFmtId="0" fontId="15" fillId="0" borderId="18" xfId="0" applyFont="1" applyBorder="1" applyAlignment="1"/>
    <xf numFmtId="0" fontId="16" fillId="0" borderId="28" xfId="0" applyFont="1" applyBorder="1" applyAlignment="1"/>
    <xf numFmtId="0" fontId="15" fillId="9" borderId="0" xfId="0" applyFont="1" applyFill="1" applyAlignment="1"/>
    <xf numFmtId="0" fontId="1" fillId="0" borderId="0" xfId="0" applyFont="1" applyAlignment="1">
      <alignment horizontal="center" vertical="center"/>
    </xf>
    <xf numFmtId="0" fontId="15" fillId="0" borderId="0" xfId="0" applyFont="1" applyAlignment="1">
      <alignment vertical="center"/>
    </xf>
    <xf numFmtId="0" fontId="15" fillId="9" borderId="18" xfId="0" applyFont="1" applyFill="1" applyBorder="1" applyAlignment="1">
      <alignment vertical="center"/>
    </xf>
    <xf numFmtId="44" fontId="15" fillId="9" borderId="13" xfId="4" applyFont="1" applyFill="1" applyBorder="1" applyAlignment="1">
      <alignment horizontal="center" vertical="center"/>
    </xf>
    <xf numFmtId="44" fontId="15" fillId="9" borderId="14" xfId="4" applyFont="1" applyFill="1" applyBorder="1" applyAlignment="1">
      <alignment horizontal="center" vertical="center"/>
    </xf>
    <xf numFmtId="44" fontId="15" fillId="0" borderId="0" xfId="4" applyFont="1" applyBorder="1" applyAlignment="1">
      <alignment horizontal="center" vertical="center"/>
    </xf>
    <xf numFmtId="44" fontId="15" fillId="0" borderId="16" xfId="4" applyFont="1" applyBorder="1" applyAlignment="1">
      <alignment horizontal="center" vertical="center"/>
    </xf>
    <xf numFmtId="44" fontId="15" fillId="9" borderId="0" xfId="4" applyFont="1" applyFill="1" applyBorder="1" applyAlignment="1">
      <alignment horizontal="center" vertical="center"/>
    </xf>
    <xf numFmtId="44" fontId="15" fillId="9" borderId="16" xfId="4" applyFont="1" applyFill="1" applyBorder="1" applyAlignment="1">
      <alignment horizontal="center" vertical="center"/>
    </xf>
    <xf numFmtId="44" fontId="15" fillId="0" borderId="18" xfId="4" applyFont="1" applyBorder="1" applyAlignment="1">
      <alignment horizontal="center" vertical="center"/>
    </xf>
    <xf numFmtId="44" fontId="15" fillId="0" borderId="19" xfId="4" applyFont="1" applyBorder="1" applyAlignment="1">
      <alignment horizontal="center" vertical="center"/>
    </xf>
    <xf numFmtId="0" fontId="0" fillId="0" borderId="12" xfId="0" applyBorder="1" applyAlignment="1"/>
    <xf numFmtId="0" fontId="0" fillId="0" borderId="15" xfId="0" applyBorder="1" applyAlignment="1"/>
    <xf numFmtId="0" fontId="0" fillId="0" borderId="29" xfId="0" applyBorder="1" applyAlignment="1"/>
    <xf numFmtId="0" fontId="0" fillId="0" borderId="30" xfId="0" applyBorder="1" applyAlignment="1"/>
    <xf numFmtId="44" fontId="0" fillId="0" borderId="20" xfId="4" applyFont="1" applyBorder="1" applyAlignment="1"/>
    <xf numFmtId="44" fontId="0" fillId="0" borderId="21" xfId="4" applyFont="1" applyBorder="1" applyAlignment="1"/>
    <xf numFmtId="44" fontId="0" fillId="0" borderId="22" xfId="4" applyFont="1" applyBorder="1" applyAlignment="1"/>
    <xf numFmtId="0" fontId="0" fillId="0" borderId="0" xfId="0" applyAlignment="1">
      <alignment vertical="center"/>
    </xf>
    <xf numFmtId="44" fontId="18" fillId="0" borderId="0" xfId="4" applyFont="1" applyBorder="1" applyAlignment="1">
      <alignment vertical="center"/>
    </xf>
    <xf numFmtId="44" fontId="15" fillId="0" borderId="0" xfId="4" applyFont="1" applyBorder="1" applyAlignment="1">
      <alignment vertical="center"/>
    </xf>
    <xf numFmtId="44" fontId="21" fillId="9" borderId="0" xfId="4" applyFont="1" applyFill="1" applyBorder="1" applyAlignment="1">
      <alignment vertical="center"/>
    </xf>
    <xf numFmtId="44" fontId="15" fillId="9" borderId="0" xfId="4" applyFont="1" applyFill="1" applyBorder="1" applyAlignment="1">
      <alignment vertical="center"/>
    </xf>
    <xf numFmtId="0" fontId="1" fillId="0" borderId="0" xfId="0" applyFont="1" applyAlignment="1">
      <alignment vertical="center"/>
    </xf>
    <xf numFmtId="166" fontId="15" fillId="0" borderId="15" xfId="0" applyNumberFormat="1" applyFont="1" applyBorder="1" applyAlignment="1">
      <alignment vertical="center"/>
    </xf>
    <xf numFmtId="166" fontId="15" fillId="9" borderId="15" xfId="0" applyNumberFormat="1" applyFont="1" applyFill="1" applyBorder="1" applyAlignment="1">
      <alignment vertical="center"/>
    </xf>
    <xf numFmtId="166" fontId="15" fillId="9" borderId="17" xfId="0" applyNumberFormat="1" applyFont="1" applyFill="1" applyBorder="1" applyAlignment="1">
      <alignment vertical="center"/>
    </xf>
    <xf numFmtId="44" fontId="15" fillId="9" borderId="18" xfId="4" applyFont="1" applyFill="1" applyBorder="1" applyAlignment="1">
      <alignment vertical="center"/>
    </xf>
    <xf numFmtId="0" fontId="0" fillId="0" borderId="27" xfId="0" applyBorder="1" applyAlignment="1">
      <alignment vertical="center"/>
    </xf>
    <xf numFmtId="44" fontId="1" fillId="0" borderId="0" xfId="4" applyFont="1" applyBorder="1" applyAlignment="1">
      <alignment vertical="center"/>
    </xf>
    <xf numFmtId="44" fontId="1" fillId="9" borderId="0" xfId="4" applyFont="1" applyFill="1" applyBorder="1" applyAlignment="1">
      <alignment vertical="center"/>
    </xf>
    <xf numFmtId="44" fontId="1" fillId="9" borderId="18" xfId="4" applyFont="1" applyFill="1" applyBorder="1" applyAlignment="1">
      <alignment vertical="center"/>
    </xf>
    <xf numFmtId="44" fontId="15" fillId="0" borderId="13" xfId="4" applyFont="1" applyBorder="1" applyAlignment="1">
      <alignment vertical="center"/>
    </xf>
    <xf numFmtId="44" fontId="15" fillId="0" borderId="14" xfId="4" applyFont="1" applyBorder="1" applyAlignment="1">
      <alignment vertical="center"/>
    </xf>
    <xf numFmtId="44" fontId="15" fillId="9" borderId="16" xfId="4" applyFont="1" applyFill="1" applyBorder="1" applyAlignment="1">
      <alignment vertical="center"/>
    </xf>
    <xf numFmtId="44" fontId="15" fillId="0" borderId="16" xfId="4" applyFont="1" applyBorder="1" applyAlignment="1">
      <alignment vertical="center"/>
    </xf>
    <xf numFmtId="44" fontId="15" fillId="9" borderId="19" xfId="4" applyFont="1" applyFill="1" applyBorder="1" applyAlignment="1">
      <alignment vertical="center"/>
    </xf>
    <xf numFmtId="44" fontId="15" fillId="0" borderId="0" xfId="4" applyFont="1" applyFill="1" applyBorder="1" applyAlignment="1">
      <alignment vertical="center"/>
    </xf>
    <xf numFmtId="16" fontId="15" fillId="0" borderId="0" xfId="0" applyNumberFormat="1" applyFont="1" applyAlignment="1">
      <alignment vertical="center"/>
    </xf>
    <xf numFmtId="44" fontId="1" fillId="0" borderId="0" xfId="4" applyFont="1" applyFill="1" applyBorder="1" applyAlignment="1">
      <alignment vertical="center"/>
    </xf>
    <xf numFmtId="166" fontId="15" fillId="0" borderId="0" xfId="0" applyNumberFormat="1" applyFont="1" applyAlignment="1">
      <alignment vertical="center"/>
    </xf>
    <xf numFmtId="0" fontId="15" fillId="0" borderId="18" xfId="0" applyFont="1" applyBorder="1" applyAlignment="1">
      <alignment vertical="center"/>
    </xf>
    <xf numFmtId="0" fontId="20" fillId="10" borderId="31" xfId="0" applyFont="1" applyFill="1" applyBorder="1" applyAlignment="1">
      <alignment horizontal="center"/>
    </xf>
    <xf numFmtId="0" fontId="20" fillId="10" borderId="28" xfId="0" applyFont="1" applyFill="1" applyBorder="1" applyAlignment="1">
      <alignment horizontal="center"/>
    </xf>
    <xf numFmtId="0" fontId="10" fillId="5" borderId="12" xfId="0" applyFont="1" applyFill="1" applyBorder="1" applyAlignment="1">
      <alignment vertical="center"/>
    </xf>
    <xf numFmtId="0" fontId="10" fillId="5" borderId="14" xfId="0" applyFont="1" applyFill="1" applyBorder="1" applyAlignment="1">
      <alignment horizontal="center" vertical="center"/>
    </xf>
    <xf numFmtId="0" fontId="18" fillId="0" borderId="0" xfId="0" applyFont="1">
      <alignment wrapText="1"/>
    </xf>
    <xf numFmtId="0" fontId="24" fillId="0" borderId="32" xfId="0" applyFont="1" applyBorder="1">
      <alignment wrapText="1"/>
    </xf>
    <xf numFmtId="0" fontId="23" fillId="6" borderId="23" xfId="0" applyFont="1" applyFill="1" applyBorder="1" applyAlignment="1"/>
    <xf numFmtId="0" fontId="23" fillId="6" borderId="25" xfId="0" applyFont="1" applyFill="1" applyBorder="1" applyAlignment="1"/>
    <xf numFmtId="0" fontId="23" fillId="6" borderId="24" xfId="0" applyFont="1" applyFill="1" applyBorder="1" applyAlignment="1"/>
    <xf numFmtId="14" fontId="24" fillId="7" borderId="23" xfId="0" applyNumberFormat="1" applyFont="1" applyFill="1" applyBorder="1" applyAlignment="1"/>
    <xf numFmtId="0" fontId="24" fillId="7" borderId="25" xfId="0" applyFont="1" applyFill="1" applyBorder="1" applyAlignment="1"/>
    <xf numFmtId="0" fontId="24" fillId="7" borderId="24" xfId="0" applyFont="1" applyFill="1" applyBorder="1" applyAlignment="1"/>
    <xf numFmtId="14" fontId="24" fillId="0" borderId="23" xfId="0" applyNumberFormat="1" applyFont="1" applyBorder="1" applyAlignment="1"/>
    <xf numFmtId="0" fontId="24" fillId="0" borderId="25" xfId="0" applyFont="1" applyBorder="1" applyAlignment="1"/>
    <xf numFmtId="0" fontId="24" fillId="0" borderId="24" xfId="0" applyFont="1" applyBorder="1" applyAlignment="1"/>
    <xf numFmtId="14" fontId="24" fillId="7" borderId="10" xfId="0" applyNumberFormat="1" applyFont="1" applyFill="1" applyBorder="1" applyAlignment="1"/>
    <xf numFmtId="0" fontId="24" fillId="7" borderId="32" xfId="0" applyFont="1" applyFill="1" applyBorder="1" applyAlignment="1"/>
    <xf numFmtId="0" fontId="24" fillId="7" borderId="11" xfId="0" applyFont="1" applyFill="1" applyBorder="1" applyAlignment="1"/>
    <xf numFmtId="0" fontId="24" fillId="7" borderId="25" xfId="0" applyFont="1" applyFill="1" applyBorder="1">
      <alignment wrapText="1"/>
    </xf>
    <xf numFmtId="0" fontId="24" fillId="0" borderId="25" xfId="0" applyFont="1" applyBorder="1">
      <alignment wrapText="1"/>
    </xf>
    <xf numFmtId="14" fontId="24" fillId="0" borderId="10" xfId="0" applyNumberFormat="1" applyFont="1" applyBorder="1" applyAlignment="1"/>
    <xf numFmtId="0" fontId="24" fillId="0" borderId="32" xfId="0" applyFont="1" applyBorder="1" applyAlignment="1"/>
    <xf numFmtId="0" fontId="24" fillId="0" borderId="11" xfId="0" applyFont="1" applyBorder="1" applyAlignment="1"/>
    <xf numFmtId="0" fontId="15" fillId="7" borderId="32" xfId="0" applyFont="1" applyFill="1" applyBorder="1">
      <alignment wrapText="1"/>
    </xf>
    <xf numFmtId="0" fontId="15" fillId="0" borderId="32" xfId="0" applyFont="1" applyBorder="1">
      <alignment wrapText="1"/>
    </xf>
    <xf numFmtId="0" fontId="10" fillId="6" borderId="23" xfId="0" applyFont="1" applyFill="1" applyBorder="1" applyAlignment="1"/>
    <xf numFmtId="0" fontId="10" fillId="6" borderId="25" xfId="0" applyFont="1" applyFill="1" applyBorder="1" applyAlignment="1"/>
    <xf numFmtId="0" fontId="10" fillId="6" borderId="24" xfId="0" applyFont="1" applyFill="1" applyBorder="1" applyAlignment="1"/>
    <xf numFmtId="14" fontId="15" fillId="7" borderId="23" xfId="0" applyNumberFormat="1" applyFont="1" applyFill="1" applyBorder="1" applyAlignment="1"/>
    <xf numFmtId="0" fontId="15" fillId="7" borderId="25" xfId="0" applyFont="1" applyFill="1" applyBorder="1" applyAlignment="1"/>
    <xf numFmtId="0" fontId="15" fillId="7" borderId="25" xfId="0" applyFont="1" applyFill="1" applyBorder="1">
      <alignment wrapText="1"/>
    </xf>
    <xf numFmtId="0" fontId="15" fillId="7" borderId="24" xfId="0" applyFont="1" applyFill="1" applyBorder="1" applyAlignment="1"/>
    <xf numFmtId="14" fontId="15" fillId="0" borderId="23" xfId="0" applyNumberFormat="1" applyFont="1" applyBorder="1" applyAlignment="1"/>
    <xf numFmtId="0" fontId="15" fillId="0" borderId="25" xfId="0" applyFont="1" applyBorder="1" applyAlignment="1"/>
    <xf numFmtId="0" fontId="15" fillId="0" borderId="25" xfId="0" applyFont="1" applyBorder="1">
      <alignment wrapText="1"/>
    </xf>
    <xf numFmtId="0" fontId="15" fillId="0" borderId="24" xfId="0" applyFont="1" applyBorder="1" applyAlignment="1"/>
    <xf numFmtId="14" fontId="15" fillId="0" borderId="10" xfId="0" applyNumberFormat="1" applyFont="1" applyBorder="1" applyAlignment="1"/>
    <xf numFmtId="0" fontId="15" fillId="0" borderId="32" xfId="0" applyFont="1" applyBorder="1" applyAlignment="1"/>
    <xf numFmtId="0" fontId="15" fillId="0" borderId="11" xfId="0" applyFont="1" applyBorder="1" applyAlignment="1"/>
    <xf numFmtId="14" fontId="15" fillId="7" borderId="10" xfId="0" applyNumberFormat="1" applyFont="1" applyFill="1" applyBorder="1" applyAlignment="1"/>
    <xf numFmtId="0" fontId="15" fillId="7" borderId="32" xfId="0" applyFont="1" applyFill="1" applyBorder="1" applyAlignment="1"/>
    <xf numFmtId="0" fontId="15" fillId="7" borderId="11" xfId="0" applyFont="1" applyFill="1" applyBorder="1" applyAlignment="1"/>
    <xf numFmtId="4" fontId="15" fillId="7" borderId="25" xfId="0" applyNumberFormat="1" applyFont="1" applyFill="1" applyBorder="1" applyAlignment="1"/>
    <xf numFmtId="4" fontId="15" fillId="0" borderId="25" xfId="0" applyNumberFormat="1" applyFont="1" applyBorder="1" applyAlignment="1"/>
    <xf numFmtId="0" fontId="0" fillId="0" borderId="0" xfId="0" applyAlignment="1">
      <alignment horizontal="right"/>
    </xf>
    <xf numFmtId="0" fontId="1" fillId="0" borderId="0" xfId="0" applyFont="1" applyAlignment="1">
      <alignment horizontal="center"/>
    </xf>
    <xf numFmtId="0" fontId="19" fillId="11" borderId="0" xfId="0" applyFont="1" applyFill="1" applyAlignment="1"/>
    <xf numFmtId="0" fontId="19" fillId="0" borderId="0" xfId="0" applyFont="1" applyAlignment="1"/>
    <xf numFmtId="0" fontId="0" fillId="11" borderId="0" xfId="0" applyFill="1" applyAlignment="1"/>
    <xf numFmtId="0" fontId="1" fillId="0" borderId="0" xfId="0" applyFont="1" applyAlignment="1">
      <alignment horizontal="right" vertical="center"/>
    </xf>
    <xf numFmtId="0" fontId="0" fillId="0" borderId="0" xfId="0" applyAlignment="1">
      <alignment horizontal="center"/>
    </xf>
    <xf numFmtId="169" fontId="0" fillId="0" borderId="0" xfId="0" applyNumberFormat="1" applyAlignment="1"/>
    <xf numFmtId="0" fontId="1" fillId="0" borderId="0" xfId="0" applyFont="1" applyAlignment="1">
      <alignment horizontal="right"/>
    </xf>
    <xf numFmtId="0" fontId="10" fillId="5" borderId="0" xfId="0" applyFont="1" applyFill="1" applyAlignment="1">
      <alignment vertical="center"/>
    </xf>
    <xf numFmtId="0" fontId="10" fillId="5" borderId="0" xfId="0" applyFont="1" applyFill="1" applyAlignment="1">
      <alignment horizontal="center" vertical="center"/>
    </xf>
    <xf numFmtId="0" fontId="15" fillId="9" borderId="0" xfId="0" applyFont="1" applyFill="1" applyAlignment="1">
      <alignment vertical="center"/>
    </xf>
    <xf numFmtId="0" fontId="10" fillId="5" borderId="13" xfId="0" applyFont="1" applyFill="1" applyBorder="1" applyAlignment="1">
      <alignment horizontal="center" vertical="center"/>
    </xf>
    <xf numFmtId="0" fontId="0" fillId="0" borderId="13" xfId="0" applyBorder="1" applyAlignment="1">
      <alignment vertical="center"/>
    </xf>
    <xf numFmtId="0" fontId="10" fillId="5" borderId="13" xfId="0" applyFont="1" applyFill="1" applyBorder="1" applyAlignment="1">
      <alignment vertical="center"/>
    </xf>
    <xf numFmtId="166" fontId="15" fillId="0" borderId="17" xfId="0" applyNumberFormat="1" applyFont="1" applyBorder="1" applyAlignment="1">
      <alignment vertical="center"/>
    </xf>
    <xf numFmtId="44" fontId="18" fillId="0" borderId="18" xfId="4" applyFont="1" applyBorder="1" applyAlignment="1">
      <alignment vertical="center"/>
    </xf>
    <xf numFmtId="44" fontId="15" fillId="0" borderId="18" xfId="4" applyFont="1" applyBorder="1" applyAlignment="1">
      <alignment vertical="center"/>
    </xf>
    <xf numFmtId="0" fontId="10" fillId="5" borderId="14" xfId="0" applyFont="1" applyFill="1" applyBorder="1" applyAlignment="1">
      <alignment vertical="center"/>
    </xf>
    <xf numFmtId="43" fontId="15" fillId="0" borderId="16" xfId="5" applyFont="1" applyBorder="1" applyAlignment="1">
      <alignment vertical="center"/>
    </xf>
    <xf numFmtId="43" fontId="15" fillId="9" borderId="16" xfId="5" applyFont="1" applyFill="1" applyBorder="1" applyAlignment="1">
      <alignment vertical="center"/>
    </xf>
    <xf numFmtId="43" fontId="15" fillId="0" borderId="19" xfId="5" applyFont="1" applyBorder="1" applyAlignment="1">
      <alignment vertical="center"/>
    </xf>
    <xf numFmtId="44" fontId="15" fillId="0" borderId="21" xfId="4" applyFont="1" applyBorder="1" applyAlignment="1">
      <alignment vertical="center"/>
    </xf>
    <xf numFmtId="44" fontId="15" fillId="9" borderId="21" xfId="4" applyFont="1" applyFill="1" applyBorder="1" applyAlignment="1">
      <alignment vertical="center"/>
    </xf>
    <xf numFmtId="44" fontId="15" fillId="9" borderId="22" xfId="4" applyFont="1" applyFill="1" applyBorder="1" applyAlignment="1">
      <alignment vertical="center"/>
    </xf>
    <xf numFmtId="43" fontId="15" fillId="9" borderId="19" xfId="5" applyFont="1" applyFill="1" applyBorder="1" applyAlignment="1">
      <alignment vertical="center"/>
    </xf>
    <xf numFmtId="168" fontId="15" fillId="0" borderId="0" xfId="0" applyNumberFormat="1" applyFont="1" applyAlignment="1">
      <alignment horizontal="left" vertical="center"/>
    </xf>
    <xf numFmtId="43" fontId="1" fillId="0" borderId="0" xfId="5" applyFont="1" applyFill="1" applyBorder="1" applyAlignment="1">
      <alignment horizontal="left" vertical="center"/>
    </xf>
    <xf numFmtId="0" fontId="15" fillId="0" borderId="0" xfId="0" applyFont="1" applyAlignment="1">
      <alignment horizontal="left" vertical="center"/>
    </xf>
    <xf numFmtId="43" fontId="1" fillId="0" borderId="0" xfId="0" applyNumberFormat="1" applyFont="1" applyAlignment="1">
      <alignment horizontal="left" vertical="center"/>
    </xf>
    <xf numFmtId="0" fontId="10" fillId="5" borderId="35" xfId="0" applyFont="1" applyFill="1" applyBorder="1" applyAlignment="1">
      <alignment vertical="center"/>
    </xf>
    <xf numFmtId="0" fontId="10" fillId="5" borderId="34" xfId="0" applyFont="1" applyFill="1" applyBorder="1" applyAlignment="1">
      <alignment horizontal="left" vertical="center"/>
    </xf>
    <xf numFmtId="0" fontId="15" fillId="9" borderId="0" xfId="0" applyFont="1" applyFill="1" applyAlignment="1">
      <alignment horizontal="center" vertical="center"/>
    </xf>
    <xf numFmtId="0" fontId="15" fillId="0" borderId="0" xfId="0" applyFont="1" applyAlignment="1">
      <alignment horizontal="center" vertical="center"/>
    </xf>
    <xf numFmtId="44" fontId="15" fillId="9" borderId="16" xfId="4" applyFont="1" applyFill="1" applyBorder="1" applyAlignment="1">
      <alignment horizontal="left" vertical="center"/>
    </xf>
    <xf numFmtId="44" fontId="15" fillId="0" borderId="16" xfId="4" applyFont="1" applyBorder="1" applyAlignment="1">
      <alignment horizontal="left" vertical="center"/>
    </xf>
    <xf numFmtId="44" fontId="26" fillId="0" borderId="36" xfId="4" applyFont="1" applyFill="1" applyBorder="1" applyAlignment="1">
      <alignment wrapText="1"/>
    </xf>
    <xf numFmtId="44" fontId="15" fillId="9" borderId="19" xfId="4" applyFont="1" applyFill="1" applyBorder="1" applyAlignment="1">
      <alignment horizontal="left" vertical="center"/>
    </xf>
    <xf numFmtId="0" fontId="16" fillId="0" borderId="15" xfId="0" applyFont="1" applyBorder="1" applyAlignment="1">
      <alignment vertical="center"/>
    </xf>
    <xf numFmtId="0" fontId="16" fillId="9" borderId="15" xfId="0" applyFont="1" applyFill="1" applyBorder="1" applyAlignment="1">
      <alignment vertical="center"/>
    </xf>
    <xf numFmtId="0" fontId="16" fillId="9" borderId="17" xfId="0" applyFont="1" applyFill="1" applyBorder="1" applyAlignment="1">
      <alignment vertical="center"/>
    </xf>
    <xf numFmtId="0" fontId="28" fillId="0" borderId="13" xfId="0" applyFont="1" applyBorder="1" applyAlignment="1">
      <alignment vertical="center"/>
    </xf>
    <xf numFmtId="0" fontId="28" fillId="0" borderId="18" xfId="0" applyFont="1" applyBorder="1" applyAlignment="1">
      <alignment vertical="center"/>
    </xf>
    <xf numFmtId="0" fontId="28" fillId="0" borderId="14" xfId="0" applyFont="1" applyBorder="1" applyAlignment="1">
      <alignment vertical="center"/>
    </xf>
    <xf numFmtId="0" fontId="28" fillId="0" borderId="19" xfId="0" applyFont="1" applyBorder="1" applyAlignment="1">
      <alignment vertical="center"/>
    </xf>
    <xf numFmtId="0" fontId="1" fillId="0" borderId="17" xfId="0" applyFont="1" applyBorder="1" applyAlignment="1"/>
    <xf numFmtId="44" fontId="1" fillId="0" borderId="16" xfId="4" applyFont="1" applyBorder="1" applyAlignment="1">
      <alignment vertical="center"/>
    </xf>
    <xf numFmtId="44" fontId="1" fillId="9" borderId="16" xfId="4" applyFont="1" applyFill="1" applyBorder="1" applyAlignment="1">
      <alignment vertical="center"/>
    </xf>
    <xf numFmtId="44" fontId="1" fillId="9" borderId="19" xfId="4" applyFont="1" applyFill="1" applyBorder="1" applyAlignment="1">
      <alignment vertical="center"/>
    </xf>
    <xf numFmtId="0" fontId="10" fillId="5" borderId="13" xfId="0" applyFont="1" applyFill="1" applyBorder="1" applyAlignment="1">
      <alignment horizontal="left" vertical="center"/>
    </xf>
    <xf numFmtId="0" fontId="15" fillId="9" borderId="18" xfId="0" applyFont="1" applyFill="1" applyBorder="1" applyAlignment="1">
      <alignment horizontal="center" vertical="center"/>
    </xf>
    <xf numFmtId="166" fontId="15" fillId="0" borderId="15" xfId="0" applyNumberFormat="1" applyFont="1" applyBorder="1" applyAlignment="1">
      <alignment horizontal="center" vertical="center"/>
    </xf>
    <xf numFmtId="166" fontId="15" fillId="9" borderId="15" xfId="0" applyNumberFormat="1" applyFont="1" applyFill="1" applyBorder="1" applyAlignment="1">
      <alignment horizontal="center" vertical="center"/>
    </xf>
    <xf numFmtId="166" fontId="15" fillId="9" borderId="17" xfId="0" applyNumberFormat="1" applyFont="1" applyFill="1" applyBorder="1" applyAlignment="1">
      <alignment horizontal="center" vertical="center"/>
    </xf>
    <xf numFmtId="0" fontId="27" fillId="0" borderId="14" xfId="0" applyFont="1" applyBorder="1" applyAlignment="1">
      <alignment vertical="center"/>
    </xf>
    <xf numFmtId="0" fontId="27" fillId="0" borderId="19" xfId="0" applyFont="1" applyBorder="1" applyAlignment="1">
      <alignment vertical="center"/>
    </xf>
    <xf numFmtId="0" fontId="1" fillId="0" borderId="3" xfId="0" applyFont="1" applyBorder="1" applyAlignment="1"/>
    <xf numFmtId="0" fontId="0" fillId="11" borderId="3" xfId="0" applyFill="1" applyBorder="1" applyAlignment="1"/>
    <xf numFmtId="2" fontId="0" fillId="11" borderId="3" xfId="0" applyNumberFormat="1" applyFill="1" applyBorder="1" applyAlignment="1"/>
    <xf numFmtId="0" fontId="0" fillId="0" borderId="3" xfId="0" applyBorder="1" applyAlignment="1"/>
    <xf numFmtId="0" fontId="15" fillId="0" borderId="15" xfId="0" applyFont="1" applyBorder="1" applyAlignment="1">
      <alignment vertical="center"/>
    </xf>
    <xf numFmtId="0" fontId="15" fillId="9" borderId="15" xfId="0" applyFont="1" applyFill="1" applyBorder="1" applyAlignment="1">
      <alignment vertical="center"/>
    </xf>
    <xf numFmtId="0" fontId="15" fillId="9" borderId="17" xfId="0" applyFont="1" applyFill="1" applyBorder="1" applyAlignment="1">
      <alignment vertical="center"/>
    </xf>
    <xf numFmtId="44" fontId="30" fillId="0" borderId="33" xfId="6" applyNumberFormat="1" applyFont="1" applyAlignment="1">
      <alignment wrapText="1"/>
    </xf>
    <xf numFmtId="0" fontId="31" fillId="0" borderId="0" xfId="0" applyFont="1" applyAlignment="1">
      <alignment vertical="center"/>
    </xf>
    <xf numFmtId="0" fontId="31" fillId="0" borderId="0" xfId="0" applyFont="1">
      <alignment wrapText="1"/>
    </xf>
    <xf numFmtId="0" fontId="15" fillId="9" borderId="15" xfId="0" applyFont="1" applyFill="1" applyBorder="1" applyAlignment="1">
      <alignment horizontal="left" vertical="center"/>
    </xf>
    <xf numFmtId="0" fontId="15" fillId="0" borderId="15" xfId="0" applyFont="1" applyBorder="1" applyAlignment="1">
      <alignment horizontal="left" vertical="center"/>
    </xf>
    <xf numFmtId="0" fontId="15" fillId="9" borderId="17" xfId="0" applyFont="1" applyFill="1" applyBorder="1" applyAlignment="1">
      <alignment horizontal="left" vertical="center"/>
    </xf>
    <xf numFmtId="0" fontId="14" fillId="0" borderId="0" xfId="0" applyFont="1" applyAlignment="1">
      <alignment horizontal="center" wrapText="1"/>
    </xf>
    <xf numFmtId="0" fontId="22" fillId="5" borderId="12" xfId="0" applyFont="1" applyFill="1" applyBorder="1" applyAlignment="1">
      <alignment horizontal="center" vertical="center"/>
    </xf>
    <xf numFmtId="0" fontId="22" fillId="5" borderId="13" xfId="0" applyFont="1" applyFill="1" applyBorder="1" applyAlignment="1">
      <alignment horizontal="center" vertical="center"/>
    </xf>
    <xf numFmtId="0" fontId="22" fillId="5" borderId="14" xfId="0" applyFont="1" applyFill="1" applyBorder="1" applyAlignment="1">
      <alignment horizontal="center" vertical="center"/>
    </xf>
    <xf numFmtId="0" fontId="22" fillId="5" borderId="17" xfId="0" applyFont="1" applyFill="1" applyBorder="1" applyAlignment="1">
      <alignment horizontal="center" vertical="center"/>
    </xf>
    <xf numFmtId="0" fontId="22" fillId="5" borderId="18" xfId="0" applyFont="1" applyFill="1" applyBorder="1" applyAlignment="1">
      <alignment horizontal="center" vertical="center"/>
    </xf>
    <xf numFmtId="0" fontId="22" fillId="5" borderId="19" xfId="0" applyFont="1" applyFill="1" applyBorder="1" applyAlignment="1">
      <alignment horizontal="center" vertical="center"/>
    </xf>
    <xf numFmtId="0" fontId="28" fillId="0" borderId="12" xfId="0" applyFont="1" applyBorder="1" applyAlignment="1">
      <alignment horizontal="center" vertical="center"/>
    </xf>
    <xf numFmtId="0" fontId="28" fillId="0" borderId="13" xfId="0" applyFont="1" applyBorder="1" applyAlignment="1">
      <alignment horizontal="center" vertical="center"/>
    </xf>
    <xf numFmtId="0" fontId="28" fillId="0" borderId="14" xfId="0" applyFont="1" applyBorder="1" applyAlignment="1">
      <alignment horizontal="center" vertical="center"/>
    </xf>
    <xf numFmtId="0" fontId="28" fillId="0" borderId="17" xfId="0" applyFont="1" applyBorder="1" applyAlignment="1">
      <alignment horizontal="center" vertical="center"/>
    </xf>
    <xf numFmtId="0" fontId="28" fillId="0" borderId="18" xfId="0" applyFont="1" applyBorder="1" applyAlignment="1">
      <alignment horizontal="center" vertical="center"/>
    </xf>
    <xf numFmtId="0" fontId="28" fillId="0" borderId="19" xfId="0" applyFont="1" applyBorder="1" applyAlignment="1">
      <alignment horizontal="center" vertical="center"/>
    </xf>
    <xf numFmtId="0" fontId="27" fillId="0" borderId="12" xfId="0" applyFont="1" applyBorder="1" applyAlignment="1">
      <alignment horizontal="center" vertical="center"/>
    </xf>
    <xf numFmtId="0" fontId="27" fillId="0" borderId="13" xfId="0" applyFont="1" applyBorder="1" applyAlignment="1">
      <alignment horizontal="center" vertical="center"/>
    </xf>
    <xf numFmtId="0" fontId="27" fillId="0" borderId="14" xfId="0" applyFont="1" applyBorder="1" applyAlignment="1">
      <alignment horizontal="center" vertical="center"/>
    </xf>
    <xf numFmtId="0" fontId="27" fillId="0" borderId="17" xfId="0" applyFont="1" applyBorder="1" applyAlignment="1">
      <alignment horizontal="center" vertical="center"/>
    </xf>
    <xf numFmtId="0" fontId="27" fillId="0" borderId="18" xfId="0" applyFont="1" applyBorder="1" applyAlignment="1">
      <alignment horizontal="center" vertical="center"/>
    </xf>
    <xf numFmtId="0" fontId="27" fillId="0" borderId="19" xfId="0" applyFont="1" applyBorder="1" applyAlignment="1">
      <alignment horizontal="center" vertical="center"/>
    </xf>
    <xf numFmtId="0" fontId="1" fillId="0" borderId="0" xfId="0" applyFont="1" applyAlignment="1">
      <alignment horizontal="center" wrapText="1"/>
    </xf>
    <xf numFmtId="0" fontId="0" fillId="0" borderId="0" xfId="0" applyAlignment="1">
      <alignment horizontal="center" wrapText="1"/>
    </xf>
  </cellXfs>
  <cellStyles count="7">
    <cellStyle name="Check Clearance Status" xfId="2" xr:uid="{B2998BEA-0AAA-448C-A0CE-14DFF185895F}"/>
    <cellStyle name="Comma" xfId="5" builtinId="3"/>
    <cellStyle name="Currency" xfId="4" builtinId="4"/>
    <cellStyle name="Date" xfId="1" xr:uid="{2602DD45-7D88-46C4-A4E8-7571BD5461FA}"/>
    <cellStyle name="Hyperlink" xfId="3" builtinId="8"/>
    <cellStyle name="Normal" xfId="0" builtinId="0" customBuiltin="1"/>
    <cellStyle name="Total" xfId="6" builtinId="25"/>
  </cellStyles>
  <dxfs count="246">
    <dxf>
      <font>
        <color rgb="FF9C5700"/>
      </font>
      <fill>
        <patternFill>
          <bgColor rgb="FFFFEB9C"/>
        </patternFill>
      </fill>
    </dxf>
    <dxf>
      <font>
        <color rgb="FFC00000"/>
      </font>
    </dxf>
    <dxf>
      <font>
        <color rgb="FFC00000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</dxf>
    <dxf>
      <numFmt numFmtId="170" formatCode="dd\-mmm"/>
    </dxf>
    <dxf>
      <alignment horizontal="general" vertical="bottom" textRotation="0" wrapText="0" indent="0" justifyLastLine="0" shrinkToFit="0" readingOrder="0"/>
      <border diagonalUp="0" diagonalDown="0" outline="0">
        <left/>
        <right/>
        <top/>
        <bottom/>
      </border>
    </dxf>
    <dxf>
      <fill>
        <patternFill patternType="mediumGray">
          <fgColor rgb="FFFF0000"/>
          <bgColor indexed="65"/>
        </patternFill>
      </fill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alignment horizontal="center" vertical="bottom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202124"/>
        <name val="Arial"/>
        <family val="2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alignment horizontal="center" vertical="bottom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  <sz val="10"/>
        <color rgb="FF202124"/>
        <family val="2"/>
      </font>
      <fill>
        <patternFill patternType="mediumGray">
          <fgColor rgb="FFFF0000"/>
          <bgColor indexed="65"/>
        </patternFill>
      </fill>
      <alignment horizontal="general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  <border diagonalUp="0" diagonalDown="0" outline="0">
        <left/>
        <right/>
        <top/>
        <bottom/>
      </border>
    </dxf>
    <dxf>
      <alignment horizontal="center" vertical="bottom" textRotation="0" wrapText="0" indent="0" justifyLastLine="0" shrinkToFit="0" readingOrder="0"/>
    </dxf>
    <dxf>
      <fill>
        <patternFill patternType="mediumGray">
          <fgColor rgb="FFFF0000"/>
          <bgColor indexed="65"/>
        </patternFill>
      </fill>
      <alignment horizontal="general" vertical="bottom" textRotation="0" wrapText="0" indent="0" justifyLastLine="0" shrinkToFit="0" readingOrder="0"/>
      <border diagonalUp="0" diagonalDown="0" outline="0">
        <left/>
        <right/>
        <top/>
        <bottom/>
      </border>
    </dxf>
    <dxf>
      <alignment horizontal="general" vertical="bottom" textRotation="0" wrapText="0" indent="0" justifyLastLine="0" shrinkToFit="0" readingOrder="0"/>
    </dxf>
    <dxf>
      <fill>
        <patternFill patternType="mediumGray">
          <fgColor rgb="FFFF0000"/>
          <bgColor indexed="65"/>
        </patternFill>
      </fill>
      <alignment horizontal="general" vertical="bottom" textRotation="0" wrapText="0" indent="0" justifyLastLine="0" shrinkToFit="0" readingOrder="0"/>
      <border diagonalUp="0" diagonalDown="0" outline="0">
        <left/>
        <right/>
        <top/>
        <bottom/>
      </border>
    </dxf>
    <dxf>
      <alignment horizontal="right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  <border diagonalUp="0" diagonalDown="0" outline="0">
        <left/>
        <right/>
        <top/>
        <bottom/>
      </border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  <border diagonalUp="0" diagonalDown="0" outline="0">
        <left/>
        <right/>
        <top/>
        <bottom/>
      </border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  <border diagonalUp="0" diagonalDown="0" outline="0">
        <left/>
        <right/>
        <top/>
        <bottom/>
      </border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  <border diagonalUp="0" diagonalDown="0" outline="0">
        <left/>
        <right/>
        <top/>
        <bottom/>
      </border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  <border diagonalUp="0" diagonalDown="0" outline="0">
        <left/>
        <right/>
        <top/>
        <bottom/>
      </border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  <border diagonalUp="0" diagonalDown="0" outline="0">
        <left/>
        <right/>
        <top/>
        <bottom/>
      </border>
    </dxf>
    <dxf>
      <numFmt numFmtId="169" formatCode="mm/dd/yy"/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border>
        <bottom style="medium">
          <color indexed="64"/>
        </bottom>
      </border>
    </dxf>
    <dxf>
      <alignment horizontal="general" vertical="bottom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numFmt numFmtId="35" formatCode="_(* #,##0.00_);_(* \(#,##0.00\);_(* &quot;-&quot;??_);_(@_)"/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scheme val="none"/>
      </font>
      <fill>
        <patternFill patternType="none">
          <fgColor theme="0" tint="-0.14999847407452621"/>
          <bgColor auto="1"/>
        </patternFill>
      </fill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scheme val="none"/>
      </font>
      <fill>
        <patternFill patternType="none">
          <fgColor theme="0" tint="-0.14999847407452621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8"/>
        <color auto="1"/>
        <name val="Arial"/>
        <scheme val="none"/>
      </font>
      <fill>
        <patternFill patternType="none"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family val="2"/>
        <scheme val="none"/>
      </font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family val="2"/>
        <scheme val="none"/>
      </font>
      <numFmt numFmtId="168" formatCode="[$-409]d/mmm/yy;@"/>
      <fill>
        <patternFill patternType="none">
          <bgColor auto="1"/>
        </patternFill>
      </fill>
      <alignment horizontal="left" vertical="center" textRotation="0" wrapText="0" indent="0" justifyLastLine="0" shrinkToFit="0" readingOrder="0"/>
    </dxf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fill>
        <patternFill patternType="none">
          <bgColor auto="1"/>
        </patternFill>
      </fill>
      <alignment horizontal="left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theme="0"/>
        <name val="Arial"/>
        <family val="2"/>
        <scheme val="none"/>
      </font>
      <fill>
        <patternFill patternType="solid">
          <fgColor theme="8"/>
          <bgColor theme="8"/>
        </patternFill>
      </fill>
      <alignment horizontal="general" vertical="center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numFmt numFmtId="169" formatCode="mm/dd/yy"/>
      <alignment horizontal="general" vertical="bottom" textRotation="0" wrapText="0" indent="0" justifyLastLine="0" shrinkToFit="0" readingOrder="0"/>
    </dxf>
    <dxf>
      <border outline="0">
        <left style="medium">
          <color indexed="64"/>
        </left>
        <right style="medium">
          <color indexed="64"/>
        </right>
        <top style="medium">
          <color indexed="64"/>
        </top>
      </border>
    </dxf>
    <dxf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numFmt numFmtId="169" formatCode="mm/dd/yy"/>
      <alignment horizontal="general" vertical="bottom" textRotation="0" wrapText="0" indent="0" justifyLastLine="0" shrinkToFit="0" readingOrder="0"/>
    </dxf>
    <dxf>
      <border outline="0">
        <left style="medium">
          <color indexed="64"/>
        </left>
        <right style="medium">
          <color indexed="64"/>
        </right>
        <top style="medium">
          <color indexed="64"/>
        </top>
      </border>
    </dxf>
    <dxf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numFmt numFmtId="169" formatCode="mm/dd/yy"/>
      <alignment horizontal="general" vertical="bottom" textRotation="0" wrapText="0" indent="0" justifyLastLine="0" shrinkToFit="0" readingOrder="0"/>
    </dxf>
    <dxf>
      <border outline="0">
        <left style="medium">
          <color indexed="64"/>
        </left>
        <right style="medium">
          <color indexed="64"/>
        </right>
        <top style="medium">
          <color indexed="64"/>
        </top>
      </border>
    </dxf>
    <dxf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numFmt numFmtId="169" formatCode="mm/dd/yy"/>
      <alignment horizontal="general" vertical="bottom" textRotation="0" wrapText="0" indent="0" justifyLastLine="0" shrinkToFit="0" readingOrder="0"/>
    </dxf>
    <dxf>
      <border outline="0">
        <left style="medium">
          <color indexed="64"/>
        </left>
        <right style="medium">
          <color indexed="64"/>
        </right>
        <top style="medium">
          <color indexed="64"/>
        </top>
      </border>
    </dxf>
    <dxf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numFmt numFmtId="169" formatCode="mm/dd/yy"/>
      <alignment horizontal="general" vertical="bottom" textRotation="0" wrapText="0" indent="0" justifyLastLine="0" shrinkToFit="0" readingOrder="0"/>
    </dxf>
    <dxf>
      <border outline="0">
        <left style="medium">
          <color indexed="64"/>
        </left>
        <right style="medium">
          <color indexed="64"/>
        </right>
        <top style="medium">
          <color indexed="64"/>
        </top>
      </border>
    </dxf>
    <dxf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numFmt numFmtId="169" formatCode="mm/dd/yy"/>
      <alignment horizontal="general" vertical="bottom" textRotation="0" wrapText="0" indent="0" justifyLastLine="0" shrinkToFit="0" readingOrder="0"/>
    </dxf>
    <dxf>
      <border outline="0">
        <left style="medium">
          <color indexed="64"/>
        </left>
        <right style="medium">
          <color indexed="64"/>
        </right>
        <top style="medium">
          <color indexed="64"/>
        </top>
      </border>
    </dxf>
    <dxf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numFmt numFmtId="169" formatCode="mm/dd/yy"/>
      <alignment horizontal="general" vertical="bottom" textRotation="0" wrapText="0" indent="0" justifyLastLine="0" shrinkToFit="0" readingOrder="0"/>
    </dxf>
    <dxf>
      <border outline="0">
        <left style="medium">
          <color indexed="64"/>
        </left>
        <right style="medium">
          <color indexed="64"/>
        </right>
        <top style="medium">
          <color indexed="64"/>
        </top>
      </border>
    </dxf>
    <dxf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numFmt numFmtId="169" formatCode="mm/dd/yy"/>
      <alignment horizontal="general" vertical="bottom" textRotation="0" wrapText="0" indent="0" justifyLastLine="0" shrinkToFit="0" readingOrder="0"/>
    </dxf>
    <dxf>
      <border outline="0">
        <left style="medium">
          <color indexed="64"/>
        </left>
        <right style="medium">
          <color indexed="64"/>
        </right>
        <top style="medium">
          <color indexed="64"/>
        </top>
      </border>
    </dxf>
    <dxf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numFmt numFmtId="169" formatCode="mm/dd/yy"/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border outline="0">
        <left style="medium">
          <color indexed="64"/>
        </left>
        <right style="medium">
          <color indexed="64"/>
        </right>
        <top style="medium">
          <color indexed="64"/>
        </top>
      </border>
    </dxf>
    <dxf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numFmt numFmtId="169" formatCode="mm/dd/yy"/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border outline="0">
        <left style="medium">
          <color indexed="64"/>
        </left>
        <right style="medium">
          <color indexed="64"/>
        </right>
        <top style="medium">
          <color indexed="64"/>
        </top>
      </border>
    </dxf>
    <dxf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  <border diagonalUp="0" diagonalDown="0" outline="0">
        <left/>
        <right style="medium">
          <color indexed="64"/>
        </right>
        <top/>
        <bottom/>
      </border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numFmt numFmtId="169" formatCode="mm/dd/yy"/>
      <alignment horizontal="general" vertical="bottom" textRotation="0" wrapText="0" indent="0" justifyLastLine="0" shrinkToFit="0" readingOrder="0"/>
      <border diagonalUp="0" diagonalDown="0" outline="0">
        <left style="medium">
          <color indexed="64"/>
        </left>
        <right/>
        <top/>
        <bottom/>
      </border>
    </dxf>
    <dxf>
      <alignment horizontal="general" vertical="bottom" textRotation="0" wrapText="0" indent="0" justifyLastLine="0" shrinkToFit="0" readingOrder="0"/>
    </dxf>
    <dxf>
      <border outline="0">
        <left style="medium">
          <color indexed="64"/>
        </left>
        <right style="medium">
          <color indexed="64"/>
        </right>
        <top style="medium">
          <color indexed="64"/>
        </top>
      </border>
    </dxf>
    <dxf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  <border diagonalUp="0" diagonalDown="0" outline="0">
        <left/>
        <right style="medium">
          <color indexed="64"/>
        </right>
        <top/>
        <bottom/>
      </border>
    </dxf>
    <dxf>
      <alignment horizontal="general" vertical="bottom" textRotation="0" wrapText="0" indent="0" justifyLastLine="0" shrinkToFit="0" readingOrder="0"/>
      <border diagonalUp="0" diagonalDown="0" outline="0">
        <left/>
        <right style="medium">
          <color indexed="64"/>
        </right>
        <top/>
        <bottom/>
      </border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  <border diagonalUp="0" diagonalDown="0" outline="0">
        <left style="medium">
          <color indexed="64"/>
        </left>
        <right/>
        <top/>
        <bottom/>
      </border>
    </dxf>
    <dxf>
      <numFmt numFmtId="169" formatCode="mm/dd/yy"/>
      <alignment horizontal="general" vertical="bottom" textRotation="0" wrapText="0" indent="0" justifyLastLine="0" shrinkToFit="0" readingOrder="0"/>
      <border diagonalUp="0" diagonalDown="0" outline="0">
        <left style="medium">
          <color indexed="64"/>
        </left>
        <right/>
        <top/>
        <bottom/>
      </border>
    </dxf>
    <dxf>
      <alignment horizontal="general" vertical="bottom" textRotation="0" wrapText="0" indent="0" justifyLastLine="0" shrinkToFit="0" readingOrder="0"/>
    </dxf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fill>
        <patternFill>
          <bgColor theme="0" tint="-4.9989318521683403E-2"/>
        </patternFill>
      </fill>
      <border>
        <left style="thin">
          <color theme="6" tint="0.39994506668294322"/>
        </left>
        <right style="thin">
          <color theme="6" tint="0.39994506668294322"/>
        </right>
        <top style="thin">
          <color theme="6" tint="0.39994506668294322"/>
        </top>
        <bottom style="thin">
          <color theme="6" tint="0.39994506668294322"/>
        </bottom>
        <vertical style="thin">
          <color theme="6" tint="0.39994506668294322"/>
        </vertical>
        <horizontal style="thin">
          <color theme="6" tint="0.39994506668294322"/>
        </horizontal>
      </border>
    </dxf>
    <dxf>
      <border>
        <left style="thin">
          <color theme="6" tint="0.39994506668294322"/>
        </left>
        <right style="thin">
          <color theme="6" tint="0.39994506668294322"/>
        </right>
        <top style="thin">
          <color theme="6" tint="0.39994506668294322"/>
        </top>
        <bottom style="thin">
          <color theme="6" tint="0.39994506668294322"/>
        </bottom>
        <vertical style="thin">
          <color theme="6" tint="0.39994506668294322"/>
        </vertical>
        <horizontal style="thin">
          <color theme="6" tint="0.39994506668294322"/>
        </horizontal>
      </border>
    </dxf>
    <dxf>
      <font>
        <color theme="1" tint="0.34998626667073579"/>
      </font>
      <fill>
        <patternFill>
          <bgColor theme="6" tint="0.59996337778862885"/>
        </patternFill>
      </fill>
      <border>
        <left style="thin">
          <color theme="6" tint="0.39994506668294322"/>
        </left>
        <right style="thin">
          <color theme="6" tint="0.39994506668294322"/>
        </right>
        <top style="thin">
          <color theme="6" tint="0.39994506668294322"/>
        </top>
        <bottom style="thin">
          <color theme="6" tint="0.39994506668294322"/>
        </bottom>
        <vertical style="thin">
          <color theme="6" tint="0.39994506668294322"/>
        </vertical>
        <horizontal style="thin">
          <color theme="6" tint="0.39994506668294322"/>
        </horizontal>
      </border>
    </dxf>
    <dxf>
      <font>
        <color theme="1" tint="0.34998626667073579"/>
      </font>
      <border>
        <left style="thin">
          <color theme="6" tint="0.39994506668294322"/>
        </left>
        <right style="thin">
          <color theme="6" tint="0.39994506668294322"/>
        </right>
        <top style="thin">
          <color theme="6" tint="0.39994506668294322"/>
        </top>
        <bottom style="thin">
          <color theme="6" tint="0.39994506668294322"/>
        </bottom>
        <vertical style="thin">
          <color theme="6" tint="0.39994506668294322"/>
        </vertical>
        <horizontal style="thin">
          <color theme="6" tint="0.39994506668294322"/>
        </horizontal>
      </border>
    </dxf>
    <dxf>
      <font>
        <b/>
        <i val="0"/>
      </font>
    </dxf>
    <dxf>
      <fill>
        <patternFill>
          <bgColor theme="0" tint="-4.9989318521683403E-2"/>
        </patternFill>
      </fill>
    </dxf>
    <dxf>
      <font>
        <b/>
        <i val="0"/>
        <color theme="0"/>
      </font>
      <fill>
        <patternFill>
          <bgColor theme="1" tint="0.499984740745262"/>
        </patternFill>
      </fill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</dxfs>
  <tableStyles count="2" defaultTableStyle="TableStyleMedium2" defaultPivotStyle="PivotStyleLight16">
    <tableStyle name="Cash" pivot="0" count="4" xr9:uid="{3973EF6A-B0C6-494A-AB23-DAB401262EA5}">
      <tableStyleElement type="wholeTable" dxfId="245"/>
      <tableStyleElement type="headerRow" dxfId="244"/>
      <tableStyleElement type="totalRow" dxfId="243"/>
      <tableStyleElement type="firstTotalCell" dxfId="242"/>
    </tableStyle>
    <tableStyle name="Check Register" pivot="0" count="4" xr9:uid="{7E6B5E16-55D1-4DD8-ADAA-5561B0F3EC3F}">
      <tableStyleElement type="wholeTable" dxfId="241"/>
      <tableStyleElement type="headerRow" dxfId="240"/>
      <tableStyleElement type="firstRowStripe" dxfId="239"/>
      <tableStyleElement type="secondRowStripe" dxfId="238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DDDDDD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CCFF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8AFF4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sharedStrings" Target="sharedStrings.xml"/><Relationship Id="rId18" Type="http://schemas.openxmlformats.org/officeDocument/2006/relationships/customXml" Target="../customXml/item3.xml"/><Relationship Id="rId26" Type="http://schemas.openxmlformats.org/officeDocument/2006/relationships/customXml" Target="../customXml/item11.xml"/><Relationship Id="rId39" Type="http://schemas.openxmlformats.org/officeDocument/2006/relationships/customXml" Target="../customXml/item24.xml"/><Relationship Id="rId21" Type="http://schemas.openxmlformats.org/officeDocument/2006/relationships/customXml" Target="../customXml/item6.xml"/><Relationship Id="rId34" Type="http://schemas.openxmlformats.org/officeDocument/2006/relationships/customXml" Target="../customXml/item19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1.xml"/><Relationship Id="rId20" Type="http://schemas.openxmlformats.org/officeDocument/2006/relationships/customXml" Target="../customXml/item5.xml"/><Relationship Id="rId29" Type="http://schemas.openxmlformats.org/officeDocument/2006/relationships/customXml" Target="../customXml/item14.xml"/><Relationship Id="rId41" Type="http://schemas.openxmlformats.org/officeDocument/2006/relationships/customXml" Target="../customXml/item2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24" Type="http://schemas.openxmlformats.org/officeDocument/2006/relationships/customXml" Target="../customXml/item9.xml"/><Relationship Id="rId32" Type="http://schemas.openxmlformats.org/officeDocument/2006/relationships/customXml" Target="../customXml/item17.xml"/><Relationship Id="rId37" Type="http://schemas.openxmlformats.org/officeDocument/2006/relationships/customXml" Target="../customXml/item22.xml"/><Relationship Id="rId40" Type="http://schemas.openxmlformats.org/officeDocument/2006/relationships/customXml" Target="../customXml/item25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23" Type="http://schemas.openxmlformats.org/officeDocument/2006/relationships/customXml" Target="../customXml/item8.xml"/><Relationship Id="rId28" Type="http://schemas.openxmlformats.org/officeDocument/2006/relationships/customXml" Target="../customXml/item13.xml"/><Relationship Id="rId36" Type="http://schemas.openxmlformats.org/officeDocument/2006/relationships/customXml" Target="../customXml/item21.xml"/><Relationship Id="rId10" Type="http://schemas.openxmlformats.org/officeDocument/2006/relationships/worksheet" Target="worksheets/sheet10.xml"/><Relationship Id="rId19" Type="http://schemas.openxmlformats.org/officeDocument/2006/relationships/customXml" Target="../customXml/item4.xml"/><Relationship Id="rId31" Type="http://schemas.openxmlformats.org/officeDocument/2006/relationships/customXml" Target="../customXml/item16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eetMetadata" Target="metadata.xml"/><Relationship Id="rId22" Type="http://schemas.openxmlformats.org/officeDocument/2006/relationships/customXml" Target="../customXml/item7.xml"/><Relationship Id="rId27" Type="http://schemas.openxmlformats.org/officeDocument/2006/relationships/customXml" Target="../customXml/item12.xml"/><Relationship Id="rId30" Type="http://schemas.openxmlformats.org/officeDocument/2006/relationships/customXml" Target="../customXml/item15.xml"/><Relationship Id="rId35" Type="http://schemas.openxmlformats.org/officeDocument/2006/relationships/customXml" Target="../customXml/item20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12" Type="http://schemas.openxmlformats.org/officeDocument/2006/relationships/styles" Target="styles.xml"/><Relationship Id="rId17" Type="http://schemas.openxmlformats.org/officeDocument/2006/relationships/customXml" Target="../customXml/item2.xml"/><Relationship Id="rId25" Type="http://schemas.openxmlformats.org/officeDocument/2006/relationships/customXml" Target="../customXml/item10.xml"/><Relationship Id="rId33" Type="http://schemas.openxmlformats.org/officeDocument/2006/relationships/customXml" Target="../customXml/item18.xml"/><Relationship Id="rId38" Type="http://schemas.openxmlformats.org/officeDocument/2006/relationships/customXml" Target="../customXml/item23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1" xr:uid="{88CE98BE-03D5-4582-8FC7-4ED68506604C}" name="Table21" displayName="Table21" ref="L5:P29" totalsRowCount="1" headerRowDxfId="237" dataDxfId="236" totalsRowDxfId="234" tableBorderDxfId="235">
  <autoFilter ref="L5:P28" xr:uid="{88CE98BE-03D5-4582-8FC7-4ED68506604C}"/>
  <sortState xmlns:xlrd2="http://schemas.microsoft.com/office/spreadsheetml/2017/richdata2" ref="L6:P28">
    <sortCondition ref="L5:L28"/>
  </sortState>
  <tableColumns count="5">
    <tableColumn id="1" xr3:uid="{F2CDEA7C-04E7-497F-8EAC-2CEB218CD69D}" name="Date" totalsRowLabel="Total" dataDxfId="233" totalsRowDxfId="232"/>
    <tableColumn id="2" xr3:uid="{88D7B271-68EE-4EA7-8C1E-1F266F603CCE}" name="Description" dataDxfId="231" totalsRowDxfId="230"/>
    <tableColumn id="3" xr3:uid="{863D11BD-F7B7-48BC-9429-73A83D341ED3}" name="Debit" totalsRowFunction="sum" dataDxfId="229" totalsRowDxfId="228"/>
    <tableColumn id="4" xr3:uid="{574AC99E-AA91-41C5-A290-8F25F21B9EFA}" name="Credit" totalsRowFunction="sum" dataDxfId="227" totalsRowDxfId="226"/>
    <tableColumn id="5" xr3:uid="{FEFD682A-8BB9-4C48-9D05-4567514616B5}" name="Column1" dataDxfId="225" totalsRowDxfId="224"/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2" xr:uid="{1414EB5F-C511-40EB-AD2B-E07A52D48593}" name="Table22" displayName="Table22" ref="L32:P48" totalsRowCount="1" headerRowDxfId="223" dataDxfId="222" totalsRowDxfId="220" tableBorderDxfId="221">
  <autoFilter ref="L32:P47" xr:uid="{1414EB5F-C511-40EB-AD2B-E07A52D48593}"/>
  <sortState xmlns:xlrd2="http://schemas.microsoft.com/office/spreadsheetml/2017/richdata2" ref="L33:P47">
    <sortCondition ref="L32:L47"/>
  </sortState>
  <tableColumns count="5">
    <tableColumn id="1" xr3:uid="{D2CC0700-C2C8-4CB2-AAA6-22239C5C28BB}" name="Date" totalsRowLabel="Total" dataDxfId="219" totalsRowDxfId="218"/>
    <tableColumn id="2" xr3:uid="{4F6487C6-F03C-4523-B7C3-31410CC0D689}" name="Description" dataDxfId="217" totalsRowDxfId="216"/>
    <tableColumn id="3" xr3:uid="{B240157A-F102-4310-9A45-9E4296A5B226}" name="Debit" totalsRowFunction="sum" dataDxfId="215" totalsRowDxfId="214"/>
    <tableColumn id="4" xr3:uid="{BFBDAF52-3A17-4870-B933-B4A12C5F81D2}" name="Credit" totalsRowFunction="sum" dataDxfId="213" totalsRowDxfId="212"/>
    <tableColumn id="5" xr3:uid="{CF7E26B3-5E1B-4D0B-9508-F293C8830D11}" name="Column1" dataDxfId="211" totalsRowDxfId="210"/>
  </tableColumns>
  <tableStyleInfo name="TableStyleLight1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3" xr:uid="{56E855EA-376A-43A1-BD1B-7BD2D5E82245}" name="Table23" displayName="Table23" ref="L50:P61" totalsRowCount="1" headerRowDxfId="209" dataDxfId="208" totalsRowDxfId="206" tableBorderDxfId="207">
  <autoFilter ref="L50:P60" xr:uid="{56E855EA-376A-43A1-BD1B-7BD2D5E82245}"/>
  <sortState xmlns:xlrd2="http://schemas.microsoft.com/office/spreadsheetml/2017/richdata2" ref="L51:P60">
    <sortCondition ref="L50:L60"/>
  </sortState>
  <tableColumns count="5">
    <tableColumn id="1" xr3:uid="{2B1DC945-FFAF-44C8-A23D-876E0C2FC88C}" name="Date" totalsRowLabel="Total" dataDxfId="205" totalsRowDxfId="204"/>
    <tableColumn id="2" xr3:uid="{3AC90C93-EFFC-4512-A9E8-46400C1B144A}" name="Description" dataDxfId="203" totalsRowDxfId="202"/>
    <tableColumn id="3" xr3:uid="{0EC0CD4D-BE02-444E-8094-6E123C3A8837}" name="Debit" totalsRowFunction="sum" dataDxfId="201" totalsRowDxfId="200"/>
    <tableColumn id="4" xr3:uid="{A2627F78-C5EA-4435-A742-D86199986705}" name="Credit" totalsRowFunction="sum" dataDxfId="199" totalsRowDxfId="198"/>
    <tableColumn id="5" xr3:uid="{3A461EAE-8307-44D4-8F29-8334E109ECBC}" name="Column1" dataDxfId="197" totalsRowDxfId="196"/>
  </tableColumns>
  <tableStyleInfo name="TableStyleLight1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4" xr:uid="{B53A4783-813A-4C78-B1D0-776FF5F1B0E4}" name="Table24" displayName="Table24" ref="L65:P85" totalsRowCount="1" headerRowDxfId="195" dataDxfId="194" totalsRowDxfId="192" tableBorderDxfId="193">
  <autoFilter ref="L65:P84" xr:uid="{B53A4783-813A-4C78-B1D0-776FF5F1B0E4}"/>
  <sortState xmlns:xlrd2="http://schemas.microsoft.com/office/spreadsheetml/2017/richdata2" ref="L66:P84">
    <sortCondition ref="L65:L84"/>
  </sortState>
  <tableColumns count="5">
    <tableColumn id="1" xr3:uid="{98A81B47-7C8E-4252-9837-7A784369100E}" name="Date" totalsRowLabel="Total" dataDxfId="191" totalsRowDxfId="190"/>
    <tableColumn id="2" xr3:uid="{693D4C29-2482-4E83-BDDC-D6A17737D821}" name="Description" dataDxfId="189" totalsRowDxfId="188"/>
    <tableColumn id="3" xr3:uid="{D37FE2C9-7066-49E6-9986-62D673BDF213}" name="Debit" totalsRowFunction="sum" dataDxfId="187" totalsRowDxfId="186"/>
    <tableColumn id="4" xr3:uid="{11DEC57D-9358-49B4-BF4B-E763EC00F937}" name="Credit" totalsRowFunction="sum" dataDxfId="185" totalsRowDxfId="184"/>
    <tableColumn id="5" xr3:uid="{E12770ED-2571-4928-86D9-A15651A4EC9E}" name="Column1" dataDxfId="183" totalsRowDxfId="182"/>
  </tableColumns>
  <tableStyleInfo name="TableStyleLight1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5" xr:uid="{39CC3301-F7F1-48B9-A2D9-68A600F60592}" name="Table25" displayName="Table25" ref="L88:P104" totalsRowCount="1" headerRowDxfId="181" dataDxfId="180" tableBorderDxfId="179">
  <autoFilter ref="L88:P103" xr:uid="{39CC3301-F7F1-48B9-A2D9-68A600F60592}"/>
  <sortState xmlns:xlrd2="http://schemas.microsoft.com/office/spreadsheetml/2017/richdata2" ref="L89:P103">
    <sortCondition ref="L88:L103"/>
  </sortState>
  <tableColumns count="5">
    <tableColumn id="1" xr3:uid="{0EBE7AFE-83E3-471A-BC5D-FEFB12911841}" name="Date" totalsRowLabel="Total" dataDxfId="178" totalsRowDxfId="177"/>
    <tableColumn id="2" xr3:uid="{990DC273-AB0E-4B32-AB50-039D6005FAE0}" name="Description" dataDxfId="176" totalsRowDxfId="175"/>
    <tableColumn id="3" xr3:uid="{F8271F80-52C7-4B2F-96B5-EC546CE76CD8}" name="Debit" totalsRowFunction="sum" dataDxfId="174" totalsRowDxfId="173"/>
    <tableColumn id="4" xr3:uid="{BD37283A-F039-4B2C-8686-42E1BC8ED28A}" name="Credit" totalsRowFunction="sum" dataDxfId="172" totalsRowDxfId="171"/>
    <tableColumn id="5" xr3:uid="{7A1BD42F-D64C-4B3E-86A7-9C76E9CC0016}" name="Column1" dataDxfId="170" totalsRowDxfId="169"/>
  </tableColumns>
  <tableStyleInfo name="TableStyleLight1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6" xr:uid="{A928D7BC-1ED9-402A-B084-719D16692A40}" name="Table26" displayName="Table26" ref="L107:P124" totalsRowCount="1" headerRowDxfId="168" dataDxfId="167" tableBorderDxfId="166">
  <autoFilter ref="L107:P123" xr:uid="{A928D7BC-1ED9-402A-B084-719D16692A40}"/>
  <sortState xmlns:xlrd2="http://schemas.microsoft.com/office/spreadsheetml/2017/richdata2" ref="L108:P123">
    <sortCondition ref="L107:L123"/>
  </sortState>
  <tableColumns count="5">
    <tableColumn id="1" xr3:uid="{B3D87D43-FD6F-4FB9-B6E7-E05A4232F645}" name="Date" totalsRowLabel="Total" dataDxfId="165" totalsRowDxfId="164"/>
    <tableColumn id="2" xr3:uid="{96F8F037-117C-4C45-B9B1-AAB834360B1D}" name="Description" dataDxfId="163" totalsRowDxfId="162"/>
    <tableColumn id="3" xr3:uid="{BA6E7939-F28A-4058-BA50-B499250A12BA}" name="Debit" totalsRowFunction="sum" dataDxfId="161" totalsRowDxfId="160"/>
    <tableColumn id="4" xr3:uid="{2D111E6A-D8B8-4446-B061-103C3178AF38}" name="Credit" totalsRowFunction="sum" dataDxfId="159" totalsRowDxfId="158"/>
    <tableColumn id="5" xr3:uid="{8CA8D235-C5E3-435F-AAD9-CA89157F18DC}" name="Column1" dataDxfId="157" totalsRowDxfId="156"/>
  </tableColumns>
  <tableStyleInfo name="TableStyleLight1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7" xr:uid="{BD9661B1-E7A0-4437-BAB6-7FC1409F02E5}" name="Table27" displayName="Table27" ref="L127:P144" totalsRowCount="1" headerRowDxfId="155" dataDxfId="154" tableBorderDxfId="153">
  <autoFilter ref="L127:P143" xr:uid="{BD9661B1-E7A0-4437-BAB6-7FC1409F02E5}"/>
  <sortState xmlns:xlrd2="http://schemas.microsoft.com/office/spreadsheetml/2017/richdata2" ref="L128:P143">
    <sortCondition ref="M127:M143"/>
  </sortState>
  <tableColumns count="5">
    <tableColumn id="1" xr3:uid="{A582E130-8B22-45F6-B34E-BC10DE24EC2C}" name="Date" totalsRowLabel="Total" dataDxfId="152" totalsRowDxfId="151"/>
    <tableColumn id="2" xr3:uid="{52B82C2B-EF53-4C4E-B629-5CCFAFE81D07}" name="Description" dataDxfId="150" totalsRowDxfId="149"/>
    <tableColumn id="3" xr3:uid="{C436547A-D17F-4050-A0D4-4E7C66CF3DDB}" name="Debit" totalsRowFunction="sum" dataDxfId="148" totalsRowDxfId="147"/>
    <tableColumn id="4" xr3:uid="{3D06A487-957D-4578-A14C-8268805B8DB0}" name="Credit" totalsRowFunction="sum" dataDxfId="146" totalsRowDxfId="145"/>
    <tableColumn id="5" xr3:uid="{70047344-A980-4618-8C4D-76B3EAEB6A02}" name="Column1" dataDxfId="144" totalsRowDxfId="143"/>
  </tableColumns>
  <tableStyleInfo name="TableStyleLight1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8" xr:uid="{AA2ADC0F-7AB0-46BB-8498-CFA398C75A13}" name="Table28" displayName="Table28" ref="L147:P172" totalsRowCount="1" headerRowDxfId="142" dataDxfId="141" tableBorderDxfId="140">
  <autoFilter ref="L147:P171" xr:uid="{AA2ADC0F-7AB0-46BB-8498-CFA398C75A13}"/>
  <sortState xmlns:xlrd2="http://schemas.microsoft.com/office/spreadsheetml/2017/richdata2" ref="L148:P171">
    <sortCondition ref="L147:L171"/>
  </sortState>
  <tableColumns count="5">
    <tableColumn id="1" xr3:uid="{80702628-26E6-4FD4-82AA-23BBF5B476BB}" name="Date" totalsRowLabel="Total" dataDxfId="139" totalsRowDxfId="138"/>
    <tableColumn id="2" xr3:uid="{1BB67697-6C35-431A-9C6F-23658E1634B0}" name="Description" dataDxfId="137" totalsRowDxfId="136"/>
    <tableColumn id="3" xr3:uid="{886A7450-31B3-4485-B1D9-71C1643E45DE}" name="Debit" totalsRowFunction="sum" dataDxfId="135" totalsRowDxfId="134"/>
    <tableColumn id="4" xr3:uid="{63A7C129-304D-4CD6-83EC-D11823BB571E}" name="Credit" totalsRowFunction="sum" dataDxfId="133" totalsRowDxfId="132"/>
    <tableColumn id="5" xr3:uid="{10904541-2394-49E3-86EE-69B78E1A55F6}" name="Column1" dataDxfId="131" totalsRowDxfId="130"/>
  </tableColumns>
  <tableStyleInfo name="TableStyleLight1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9" xr:uid="{189142E4-C68C-4E84-B46F-7EADDDEF3B28}" name="Table29" displayName="Table29" ref="L175:P187" totalsRowCount="1" headerRowDxfId="129" dataDxfId="128" tableBorderDxfId="127">
  <autoFilter ref="L175:P186" xr:uid="{189142E4-C68C-4E84-B46F-7EADDDEF3B28}"/>
  <sortState xmlns:xlrd2="http://schemas.microsoft.com/office/spreadsheetml/2017/richdata2" ref="L176:P186">
    <sortCondition ref="M175:M186"/>
  </sortState>
  <tableColumns count="5">
    <tableColumn id="1" xr3:uid="{FE2F3299-D436-4389-AF08-C8AADBE8DFD9}" name="Date" totalsRowLabel="Total" dataDxfId="126" totalsRowDxfId="125"/>
    <tableColumn id="2" xr3:uid="{B0786C36-D942-48BF-9D15-EC4B0B14B28D}" name="Description" dataDxfId="124" totalsRowDxfId="123"/>
    <tableColumn id="3" xr3:uid="{6BEC1CC1-0FEE-4ECF-8752-520AB85F6942}" name="Debit" totalsRowFunction="sum" dataDxfId="122" totalsRowDxfId="121"/>
    <tableColumn id="4" xr3:uid="{7D298B7C-FE8D-4AAA-B16D-12950F6F3C91}" name="Credit" totalsRowFunction="sum" dataDxfId="120" totalsRowDxfId="119"/>
    <tableColumn id="5" xr3:uid="{B5A90279-CB31-4ACA-903E-A222D7D1CDB1}" name="Column1" dataDxfId="118" totalsRowDxfId="117"/>
  </tableColumns>
  <tableStyleInfo name="TableStyleLight1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0" xr:uid="{224B10FB-9524-4FA8-84EE-D1AC47B80D90}" name="Table30" displayName="Table30" ref="L190:P203" totalsRowCount="1" headerRowDxfId="116" dataDxfId="115" tableBorderDxfId="114">
  <autoFilter ref="L190:P202" xr:uid="{224B10FB-9524-4FA8-84EE-D1AC47B80D90}"/>
  <sortState xmlns:xlrd2="http://schemas.microsoft.com/office/spreadsheetml/2017/richdata2" ref="L191:P202">
    <sortCondition ref="M190:M202"/>
  </sortState>
  <tableColumns count="5">
    <tableColumn id="1" xr3:uid="{087B0E90-2164-43A1-8B23-8D9272D986DB}" name="Date" totalsRowLabel="Total" dataDxfId="113" totalsRowDxfId="112"/>
    <tableColumn id="2" xr3:uid="{86E19BC0-DA88-4CB9-87D2-0917D0449554}" name="Description" dataDxfId="111" totalsRowDxfId="110"/>
    <tableColumn id="3" xr3:uid="{CB01680C-BBD1-4701-800B-357A827F28E8}" name="Debit" totalsRowFunction="sum" dataDxfId="109" totalsRowDxfId="108"/>
    <tableColumn id="4" xr3:uid="{259E96E9-7D54-47DF-A57E-ED65250A59BE}" name="Credit" totalsRowFunction="sum" dataDxfId="107" totalsRowDxfId="106"/>
    <tableColumn id="5" xr3:uid="{A923602B-6BE9-402E-8523-925C22C53AB3}" name="Column1" dataDxfId="105" totalsRowDxfId="104"/>
  </tableColumns>
  <tableStyleInfo name="TableStyleLight1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1" xr:uid="{2ED07EBD-7BE8-42A0-A4F2-D7E10B74895E}" name="Table31" displayName="Table31" ref="L206:P220" totalsRowCount="1" headerRowDxfId="103" dataDxfId="102" tableBorderDxfId="101">
  <autoFilter ref="L206:P219" xr:uid="{2ED07EBD-7BE8-42A0-A4F2-D7E10B74895E}"/>
  <sortState xmlns:xlrd2="http://schemas.microsoft.com/office/spreadsheetml/2017/richdata2" ref="L207:P219">
    <sortCondition ref="L206:L219"/>
  </sortState>
  <tableColumns count="5">
    <tableColumn id="1" xr3:uid="{B5497E3A-3872-4FC3-B8EA-E2F8CDAFD81B}" name="Date" totalsRowLabel="Total" dataDxfId="100" totalsRowDxfId="99"/>
    <tableColumn id="2" xr3:uid="{34ADFFE9-3E73-4237-8958-6223911A5978}" name="Description" dataDxfId="98" totalsRowDxfId="97"/>
    <tableColumn id="3" xr3:uid="{356B9E9C-E276-424A-89E5-4F64C73D5133}" name="Debit" totalsRowFunction="sum" dataDxfId="96" totalsRowDxfId="95"/>
    <tableColumn id="4" xr3:uid="{95B65F80-C494-4BF2-B204-6DBC27ED0B73}" name="Credit" totalsRowFunction="sum" dataDxfId="94" totalsRowDxfId="93"/>
    <tableColumn id="5" xr3:uid="{1D7AB78B-7DB0-49F3-8A89-EA90258AC7A3}" name="Column1" dataDxfId="92" totalsRowDxfId="91"/>
  </tableColumns>
  <tableStyleInfo name="TableStyleLight1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2" xr:uid="{255B6A10-A536-4CE4-A3EB-5F14AB590977}" name="Table32" displayName="Table32" ref="L223:P248" totalsRowCount="1" headerRowDxfId="90" dataDxfId="89" tableBorderDxfId="88">
  <autoFilter ref="L223:P247" xr:uid="{255B6A10-A536-4CE4-A3EB-5F14AB590977}"/>
  <sortState xmlns:xlrd2="http://schemas.microsoft.com/office/spreadsheetml/2017/richdata2" ref="L224:P247">
    <sortCondition ref="L223:L247"/>
  </sortState>
  <tableColumns count="5">
    <tableColumn id="1" xr3:uid="{A33ECCE2-C5B1-4637-84BC-9DD19AF3F7D1}" name="Date" totalsRowLabel="Total" dataDxfId="87" totalsRowDxfId="86"/>
    <tableColumn id="2" xr3:uid="{2957CCA6-CC31-4225-8537-1769DD57F791}" name="Description" dataDxfId="85" totalsRowDxfId="84"/>
    <tableColumn id="3" xr3:uid="{B7E00D2E-AEB1-48BB-9D9C-EEC9F3439838}" name="Debit" totalsRowFunction="sum" dataDxfId="83" totalsRowDxfId="82"/>
    <tableColumn id="4" xr3:uid="{2B57445F-23FE-463D-9086-CA7FD6FEB292}" name="Credit" totalsRowFunction="sum" dataDxfId="81" totalsRowDxfId="80"/>
    <tableColumn id="5" xr3:uid="{1BD14190-8086-4FB3-A3F0-7589A57B434A}" name="Column1" dataDxfId="79" totalsRowDxfId="78"/>
  </tableColumns>
  <tableStyleInfo name="TableStyleLight1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9" xr:uid="{0FE80319-34A2-41E3-952C-5EDF85949E3B}" name="Table39" displayName="Table39" ref="C7:H12" totalsRowShown="0" headerRowDxfId="77" dataDxfId="76" tableBorderDxfId="75">
  <autoFilter ref="C7:H12" xr:uid="{0FE80319-34A2-41E3-952C-5EDF85949E3B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</autoFilter>
  <tableColumns count="6">
    <tableColumn id="1" xr3:uid="{994F87FD-991B-4A66-98C0-ED675A5251CA}" name="Transaction Type" dataDxfId="74"/>
    <tableColumn id="2" xr3:uid="{7E67814D-1DBE-4620-BC3F-8FE4151D8014}" name="-" dataDxfId="73"/>
    <tableColumn id="3" xr3:uid="{CF45A932-01BA-4C59-895A-FD1BDEF4B6CC}" name="-2" dataDxfId="72"/>
    <tableColumn id="4" xr3:uid="{FE7394E6-67A8-4878-A04D-312D4A1AAA8A}" name="-3" dataDxfId="71"/>
    <tableColumn id="5" xr3:uid="{E9D41BC5-1934-47F9-8428-9A3F5E4A3B51}" name="Debit" dataDxfId="70" dataCellStyle="Currency"/>
    <tableColumn id="6" xr3:uid="{1CB85740-FE69-49DC-927F-39679FB97D9E}" name="Credit" dataDxfId="69" dataCellStyle="Currency"/>
  </tableColumns>
  <tableStyleInfo name="TableStyleLight1" showFirstColumn="0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D65B4655-E933-4C14-81EC-2CF18C411C44}" name="Table10" displayName="Table10" ref="C5:F90" totalsRowCount="1" headerRowDxfId="68" dataDxfId="67" tableBorderDxfId="66">
  <autoFilter ref="C5:F89" xr:uid="{D65B4655-E933-4C14-81EC-2CF18C411C44}"/>
  <tableColumns count="4">
    <tableColumn id="1" xr3:uid="{FC3C38F7-B916-4BBD-AD38-03002DE130E9}" name="Date" totalsRowLabel="Total" dataDxfId="65" totalsRowDxfId="64"/>
    <tableColumn id="2" xr3:uid="{2ABC6BB3-75AD-45AB-B063-BB4E39BF1132}" name="Check No" dataDxfId="63" totalsRowDxfId="62"/>
    <tableColumn id="3" xr3:uid="{0277CCBA-1878-41A5-98F1-DC4F1DE7C3D9}" name="Description" dataDxfId="61" totalsRowDxfId="60"/>
    <tableColumn id="4" xr3:uid="{9936F766-5426-423A-B58D-32C66B983A0F}" name="Amount" totalsRowFunction="sum" dataDxfId="59" totalsRowDxfId="58" dataCellStyle="Comma"/>
  </tableColumns>
  <tableStyleInfo name="TableStyleLight1" showFirstColumn="0" showLastColumn="0" showRowStripes="1" showColumnStripes="0"/>
</table>
</file>

<file path=xl/tables/table1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6" xr:uid="{04B7B461-E670-4FEB-829F-6DA08E8C1FC4}" name="TransactionsTable" displayName="TransactionsTable" ref="C2:N238" totalsRowCount="1" headerRowDxfId="57" dataDxfId="55" headerRowBorderDxfId="56">
  <autoFilter ref="C2:N237" xr:uid="{04B7B461-E670-4FEB-829F-6DA08E8C1FC4}"/>
  <tableColumns count="12">
    <tableColumn id="1" xr3:uid="{ED6A00E7-7122-42FD-82EE-35D824948248}" name="Date" totalsRowLabel="Total" dataDxfId="54" totalsRowDxfId="53"/>
    <tableColumn id="2" xr3:uid="{CF2F20CC-90C4-4DA5-8ECC-C8D3CAA7C298}" name="Description" dataDxfId="52" totalsRowDxfId="51"/>
    <tableColumn id="11" xr3:uid="{060AA541-CAFB-41B3-A5FD-C5F99AFF59C4}" name="-" dataDxfId="50" totalsRowDxfId="49"/>
    <tableColumn id="13" xr3:uid="{C0DF6658-C5E5-41C9-8C8A-56E616020EF0}" name="Column2" dataDxfId="48" totalsRowDxfId="47"/>
    <tableColumn id="12" xr3:uid="{6DB832BD-7230-4F4F-98F7-9C0719F6188D}" name="Column1" dataDxfId="46" totalsRowDxfId="45"/>
    <tableColumn id="14" xr3:uid="{BF4959FB-5809-4F2F-A7E1-845FAD64B9AF}" name="Column12" dataDxfId="44" totalsRowDxfId="43"/>
    <tableColumn id="3" xr3:uid="{97F962D2-6935-4DC2-A169-DD95376461E2}" name="Debit" totalsRowFunction="sum" dataDxfId="42" totalsRowDxfId="41"/>
    <tableColumn id="4" xr3:uid="{FD5A8B56-6352-4F1D-B126-C92C81E31814}" name="Credit" totalsRowFunction="sum" dataDxfId="40" totalsRowDxfId="39"/>
    <tableColumn id="5" xr3:uid="{A5305E39-B541-4B3B-B232-CAD082DE0604}" name="Transaction type" dataDxfId="38" totalsRowDxfId="37"/>
    <tableColumn id="6" xr3:uid="{8188AE83-C982-4D7F-ACC5-AF1673E0E036}" name="Month" dataDxfId="36" totalsRowDxfId="35">
      <calculatedColumnFormula>IF(NOT(ISBLANK(TransactionsTable[[#This Row],[Date]])),TEXT(TransactionsTable[[#This Row],[Date]],"mmmm-yy"),"")</calculatedColumnFormula>
    </tableColumn>
    <tableColumn id="9" xr3:uid="{438888FC-9E35-465C-9592-9C653D85BC28}" name="Column4" dataDxfId="34" totalsRowDxfId="33"/>
    <tableColumn id="15" xr3:uid="{EC6A50DD-EE24-4FA7-A39B-246DFFEFA200}" name="Month2" dataDxfId="32" totalsRowDxfId="31">
      <calculatedColumnFormula>MONTH(TransactionsTable[[#This Row],[Date]])</calculatedColumnFormula>
    </tableColumn>
  </tableColumns>
  <tableStyleInfo name="TableStyleLight1" showFirstColumn="0" showLastColumn="0" showRowStripes="1" showColumnStripes="0"/>
</table>
</file>

<file path=xl/tables/table1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083BF8CE-3932-45CB-A04A-EDF00EA5AD33}" name="Table11" displayName="Table11" ref="A3:O7" totalsRowShown="0" headerRowDxfId="30">
  <tableColumns count="15">
    <tableColumn id="1" xr3:uid="{3B97D830-5208-4E4F-825D-843B07A4AE4F}" name="Payment date" dataDxfId="29"/>
    <tableColumn id="15" xr3:uid="{7E488DFD-9B53-4D84-A38A-600DEFDB45EE}" name="1-Dec-20" dataDxfId="28"/>
    <tableColumn id="2" xr3:uid="{528EE855-CC1E-469B-9A50-97725C0DB4F1}" name="04-Jan"/>
    <tableColumn id="3" xr3:uid="{FC58EBB1-5C1C-43BC-ADD9-425640C3ACBF}" name="01-Feb"/>
    <tableColumn id="4" xr3:uid="{E780D920-7BBB-4DA6-AC27-B37B6C1F6559}" name="01-Mar"/>
    <tableColumn id="5" xr3:uid="{CC3DBBEE-08AC-470E-B014-0BDB5A13DC7C}" name="01-Apr"/>
    <tableColumn id="6" xr3:uid="{96831EBE-81FF-4EC3-930A-F6D38E474AAE}" name="03-May"/>
    <tableColumn id="7" xr3:uid="{25F8A46C-C1C4-416F-A1C5-3A653684D2BB}" name="01-Jun"/>
    <tableColumn id="8" xr3:uid="{EBB3D9EB-FA10-486C-B461-BC5E81E20276}" name="01-Jul"/>
    <tableColumn id="9" xr3:uid="{D304150A-8E87-46AC-B414-2CB0EDF7AABF}" name="02-Aug"/>
    <tableColumn id="10" xr3:uid="{EC028B11-FD30-4907-A527-A2A4410AC2F7}" name="01-Sep"/>
    <tableColumn id="11" xr3:uid="{7B5305E5-5826-4E40-8211-04DE18FC680B}" name="01-Oct"/>
    <tableColumn id="12" xr3:uid="{BC4B51AA-74F5-4D21-96BE-E41350F797AD}" name="01-Nov"/>
    <tableColumn id="13" xr3:uid="{92EF9931-B429-4F4B-8EF5-BAE12A34112C}" name="01-Dec"/>
    <tableColumn id="14" xr3:uid="{97EC35C9-634E-45CC-99FD-6873FC1127D7}" name="Total">
      <calculatedColumnFormula>SUM(Table11[[#This Row],[04-Jan]:[01-Dec]])</calculatedColumnFormula>
    </tableColumn>
  </tableColumns>
  <tableStyleInfo name="TableStyleLight21" showFirstColumn="0" showLastColumn="1" showRowStripes="1" showColumnStripes="0"/>
</table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Ion">
  <a:themeElements>
    <a:clrScheme name="Custom 5">
      <a:dk1>
        <a:sysClr val="windowText" lastClr="000000"/>
      </a:dk1>
      <a:lt1>
        <a:sysClr val="window" lastClr="FFFFFF"/>
      </a:lt1>
      <a:dk2>
        <a:srgbClr val="1E5155"/>
      </a:dk2>
      <a:lt2>
        <a:srgbClr val="EBEBEB"/>
      </a:lt2>
      <a:accent1>
        <a:srgbClr val="B01513"/>
      </a:accent1>
      <a:accent2>
        <a:srgbClr val="EA6312"/>
      </a:accent2>
      <a:accent3>
        <a:srgbClr val="E6B729"/>
      </a:accent3>
      <a:accent4>
        <a:srgbClr val="6AAC90"/>
      </a:accent4>
      <a:accent5>
        <a:srgbClr val="54849A"/>
      </a:accent5>
      <a:accent6>
        <a:srgbClr val="9E5E9B"/>
      </a:accent6>
      <a:hlink>
        <a:srgbClr val="0033CC"/>
      </a:hlink>
      <a:folHlink>
        <a:srgbClr val="7030A0"/>
      </a:folHlink>
    </a:clrScheme>
    <a:fontScheme name="Ion">
      <a:majorFont>
        <a:latin typeface="Century Gothic" panose="020B0502020202020204"/>
        <a:ea typeface=""/>
        <a:cs typeface=""/>
        <a:font script="Jpan" typeface="メイリオ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entury Gothic" panose="020B0502020202020204"/>
        <a:ea typeface=""/>
        <a:cs typeface=""/>
        <a:font script="Jpan" typeface="メイリオ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Ion">
      <a:fillStyleLst>
        <a:solidFill>
          <a:schemeClr val="phClr"/>
        </a:solidFill>
        <a:gradFill rotWithShape="1">
          <a:gsLst>
            <a:gs pos="0">
              <a:schemeClr val="phClr">
                <a:tint val="64000"/>
                <a:lumMod val="118000"/>
              </a:schemeClr>
            </a:gs>
            <a:gs pos="100000">
              <a:schemeClr val="phClr">
                <a:tint val="92000"/>
                <a:alpha val="100000"/>
                <a:lumMod val="110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tint val="98000"/>
                <a:lumMod val="114000"/>
              </a:schemeClr>
            </a:gs>
            <a:gs pos="100000">
              <a:schemeClr val="phClr">
                <a:shade val="90000"/>
                <a:lumMod val="84000"/>
              </a:schemeClr>
            </a:gs>
          </a:gsLst>
          <a:lin ang="5400000" scaled="0"/>
        </a:gradFill>
      </a:fillStyleLst>
      <a:lnStyleLst>
        <a:ln w="9525" cap="rnd" cmpd="sng" algn="ctr">
          <a:solidFill>
            <a:schemeClr val="phClr"/>
          </a:solidFill>
          <a:prstDash val="solid"/>
        </a:ln>
        <a:ln w="19050" cap="rnd" cmpd="sng" algn="ctr">
          <a:solidFill>
            <a:schemeClr val="phClr"/>
          </a:solidFill>
          <a:prstDash val="solid"/>
        </a:ln>
        <a:ln w="28575" cap="rnd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38100" dist="25400" dir="5400000" rotWithShape="0">
              <a:srgbClr val="000000">
                <a:alpha val="45000"/>
              </a:srgbClr>
            </a:outerShdw>
          </a:effectLst>
        </a:effectStyle>
        <a:effectStyle>
          <a:effectLst>
            <a:outerShdw blurRad="63500" dist="38100" dir="5400000" rotWithShape="0">
              <a:srgbClr val="000000">
                <a:alpha val="60000"/>
              </a:srgbClr>
            </a:outerShdw>
          </a:effectLst>
          <a:scene3d>
            <a:camera prst="orthographicFront">
              <a:rot lat="0" lon="0" rev="0"/>
            </a:camera>
            <a:lightRig rig="threePt" dir="tl"/>
          </a:scene3d>
          <a:sp3d prstMaterial="plastic">
            <a:bevelT w="0" h="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97000"/>
                <a:hueMod val="88000"/>
                <a:satMod val="130000"/>
                <a:lumMod val="124000"/>
              </a:schemeClr>
            </a:gs>
            <a:gs pos="100000">
              <a:schemeClr val="phClr">
                <a:tint val="96000"/>
                <a:shade val="88000"/>
                <a:hueMod val="108000"/>
                <a:satMod val="164000"/>
                <a:lumMod val="76000"/>
              </a:schemeClr>
            </a:gs>
          </a:gsLst>
          <a:path path="circle">
            <a:fillToRect l="45000" t="65000" r="125000" b="100000"/>
          </a:path>
        </a:gradFill>
        <a:blipFill rotWithShape="1">
          <a:blip xmlns:r="http://schemas.openxmlformats.org/officeDocument/2006/relationships" r:embed="rId1">
            <a:duotone>
              <a:schemeClr val="phClr">
                <a:shade val="69000"/>
                <a:hueMod val="108000"/>
                <a:satMod val="164000"/>
                <a:lumMod val="74000"/>
              </a:schemeClr>
              <a:schemeClr val="phClr">
                <a:tint val="96000"/>
                <a:hueMod val="88000"/>
                <a:satMod val="140000"/>
                <a:lumMod val="132000"/>
              </a:schemeClr>
            </a:duotone>
          </a:blip>
          <a:stretch/>
        </a:blip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Ion" id="{B8441ADB-2E43-4AF7-B97A-BD870242C6A8}" vid="{292E63A9-BB86-4E3D-B92A-7223C6510D2E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table" Target="../tables/table7.xml"/><Relationship Id="rId13" Type="http://schemas.openxmlformats.org/officeDocument/2006/relationships/table" Target="../tables/table12.xml"/><Relationship Id="rId3" Type="http://schemas.openxmlformats.org/officeDocument/2006/relationships/table" Target="../tables/table2.xml"/><Relationship Id="rId7" Type="http://schemas.openxmlformats.org/officeDocument/2006/relationships/table" Target="../tables/table6.xml"/><Relationship Id="rId12" Type="http://schemas.openxmlformats.org/officeDocument/2006/relationships/table" Target="../tables/table11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Relationship Id="rId6" Type="http://schemas.openxmlformats.org/officeDocument/2006/relationships/table" Target="../tables/table5.xml"/><Relationship Id="rId11" Type="http://schemas.openxmlformats.org/officeDocument/2006/relationships/table" Target="../tables/table10.xml"/><Relationship Id="rId5" Type="http://schemas.openxmlformats.org/officeDocument/2006/relationships/table" Target="../tables/table4.xml"/><Relationship Id="rId10" Type="http://schemas.openxmlformats.org/officeDocument/2006/relationships/table" Target="../tables/table9.xml"/><Relationship Id="rId4" Type="http://schemas.openxmlformats.org/officeDocument/2006/relationships/table" Target="../tables/table3.xml"/><Relationship Id="rId9" Type="http://schemas.openxmlformats.org/officeDocument/2006/relationships/table" Target="../tables/table8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3.x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4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3.bin"/><Relationship Id="rId4" Type="http://schemas.openxmlformats.org/officeDocument/2006/relationships/comments" Target="../comments1.xm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5.xml"/><Relationship Id="rId1" Type="http://schemas.openxmlformats.org/officeDocument/2006/relationships/printerSettings" Target="../printerSettings/printerSettings4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6.x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0FFAFB-E6E4-4A6B-A65E-B83A80C101E6}">
  <dimension ref="C2:P248"/>
  <sheetViews>
    <sheetView zoomScale="130" zoomScaleNormal="130" workbookViewId="0">
      <selection activeCell="M9" sqref="M9"/>
    </sheetView>
  </sheetViews>
  <sheetFormatPr defaultRowHeight="10.199999999999999" x14ac:dyDescent="0.2"/>
  <cols>
    <col min="1" max="2" width="2.5703125" style="42" customWidth="1"/>
    <col min="3" max="3" width="9.140625" style="42"/>
    <col min="4" max="4" width="9.42578125" style="42" customWidth="1"/>
    <col min="5" max="5" width="9.5703125" style="42" bestFit="1" customWidth="1"/>
    <col min="6" max="8" width="9.140625" style="42"/>
    <col min="9" max="9" width="10.7109375" style="42" bestFit="1" customWidth="1"/>
    <col min="10" max="11" width="9.140625" style="42"/>
    <col min="12" max="12" width="11.7109375" style="42" customWidth="1"/>
    <col min="13" max="13" width="59.28515625" style="42" bestFit="1" customWidth="1"/>
    <col min="14" max="14" width="11.7109375" style="42" customWidth="1"/>
    <col min="15" max="15" width="9.5703125" style="42" bestFit="1" customWidth="1"/>
    <col min="16" max="16" width="11.85546875" style="42" bestFit="1" customWidth="1"/>
    <col min="17" max="20" width="10.7109375" style="42" customWidth="1"/>
    <col min="21" max="16384" width="9.140625" style="42"/>
  </cols>
  <sheetData>
    <row r="2" spans="3:16" x14ac:dyDescent="0.2">
      <c r="C2" s="42" t="s">
        <v>170</v>
      </c>
      <c r="E2" s="77">
        <v>44562</v>
      </c>
    </row>
    <row r="4" spans="3:16" ht="10.8" thickBot="1" x14ac:dyDescent="0.25"/>
    <row r="5" spans="3:16" x14ac:dyDescent="0.2">
      <c r="C5" s="41" t="s">
        <v>45</v>
      </c>
      <c r="D5" s="43">
        <v>44896</v>
      </c>
      <c r="E5" s="69">
        <f>D5</f>
        <v>44896</v>
      </c>
      <c r="L5" s="70" t="s">
        <v>14</v>
      </c>
      <c r="M5" s="46" t="s">
        <v>15</v>
      </c>
      <c r="N5" s="46" t="s">
        <v>46</v>
      </c>
      <c r="O5" s="47" t="s">
        <v>47</v>
      </c>
      <c r="P5" s="42" t="s">
        <v>48</v>
      </c>
    </row>
    <row r="6" spans="3:16" x14ac:dyDescent="0.2">
      <c r="C6" s="41" t="s">
        <v>158</v>
      </c>
      <c r="D6" s="43">
        <v>44926</v>
      </c>
      <c r="L6" s="71">
        <v>44896</v>
      </c>
      <c r="M6" s="42" t="s">
        <v>51</v>
      </c>
      <c r="N6" s="42">
        <v>18708.78</v>
      </c>
      <c r="O6" s="49"/>
      <c r="P6" s="41" t="s">
        <v>160</v>
      </c>
    </row>
    <row r="7" spans="3:16" x14ac:dyDescent="0.2">
      <c r="L7" s="71">
        <v>44900</v>
      </c>
      <c r="M7" s="42" t="s">
        <v>52</v>
      </c>
      <c r="N7" s="42">
        <v>3600</v>
      </c>
      <c r="O7" s="49"/>
      <c r="P7" s="41" t="s">
        <v>159</v>
      </c>
    </row>
    <row r="8" spans="3:16" x14ac:dyDescent="0.2">
      <c r="C8" s="41" t="s">
        <v>43</v>
      </c>
      <c r="D8" s="44">
        <v>80168.63</v>
      </c>
      <c r="L8" s="71">
        <v>44902</v>
      </c>
      <c r="M8" s="42" t="s">
        <v>53</v>
      </c>
      <c r="N8" s="42">
        <v>1055.58</v>
      </c>
      <c r="O8" s="49"/>
      <c r="P8" s="41" t="s">
        <v>159</v>
      </c>
    </row>
    <row r="9" spans="3:16" x14ac:dyDescent="0.2">
      <c r="C9" s="41" t="s">
        <v>157</v>
      </c>
      <c r="D9" s="44">
        <v>40421.800000000003</v>
      </c>
      <c r="L9" s="71">
        <v>44903</v>
      </c>
      <c r="M9" s="42" t="s">
        <v>53</v>
      </c>
      <c r="N9" s="42">
        <v>5000</v>
      </c>
      <c r="O9" s="49"/>
      <c r="P9" s="41" t="s">
        <v>159</v>
      </c>
    </row>
    <row r="10" spans="3:16" ht="10.8" thickBot="1" x14ac:dyDescent="0.25">
      <c r="L10" s="71">
        <v>44904</v>
      </c>
      <c r="M10" s="42" t="s">
        <v>53</v>
      </c>
      <c r="N10" s="42">
        <v>621.5</v>
      </c>
      <c r="O10" s="49"/>
      <c r="P10" s="41" t="s">
        <v>159</v>
      </c>
    </row>
    <row r="11" spans="3:16" ht="10.8" thickBot="1" x14ac:dyDescent="0.25">
      <c r="C11" s="63"/>
      <c r="D11" s="64"/>
      <c r="E11" s="64"/>
      <c r="F11" s="64"/>
      <c r="G11" s="64"/>
      <c r="H11" s="64"/>
      <c r="I11" s="65" t="s">
        <v>46</v>
      </c>
      <c r="J11" s="66" t="s">
        <v>47</v>
      </c>
      <c r="L11" s="71">
        <v>44907</v>
      </c>
      <c r="M11" s="42" t="s">
        <v>54</v>
      </c>
      <c r="O11" s="49">
        <v>7344.63</v>
      </c>
      <c r="P11" s="41" t="s">
        <v>162</v>
      </c>
    </row>
    <row r="12" spans="3:16" x14ac:dyDescent="0.2">
      <c r="C12" s="53" t="s">
        <v>163</v>
      </c>
      <c r="D12" s="45"/>
      <c r="E12" s="45"/>
      <c r="F12" s="45"/>
      <c r="G12" s="45"/>
      <c r="H12" s="45"/>
      <c r="I12" s="54">
        <f>SUMIFS(Table21[Debit],Table21[Column1],"Transfer")</f>
        <v>18708.78</v>
      </c>
      <c r="J12" s="54">
        <f>SUMIFS(Table21[Credit],Table21[Column1],"Transfer")</f>
        <v>0</v>
      </c>
      <c r="L12" s="71">
        <v>44907</v>
      </c>
      <c r="M12" s="42" t="s">
        <v>52</v>
      </c>
      <c r="N12" s="42">
        <v>5050</v>
      </c>
      <c r="O12" s="49"/>
      <c r="P12" s="41" t="s">
        <v>159</v>
      </c>
    </row>
    <row r="13" spans="3:16" x14ac:dyDescent="0.2">
      <c r="C13" s="57" t="s">
        <v>44</v>
      </c>
      <c r="D13" s="58"/>
      <c r="E13" s="58"/>
      <c r="F13" s="58"/>
      <c r="G13" s="58"/>
      <c r="H13" s="58"/>
      <c r="I13" s="59">
        <f>SUMIFS(Table21[Debit],Table21[Column1],"Check")</f>
        <v>35505.740000000005</v>
      </c>
      <c r="J13" s="59">
        <f>SUMIFS(Table21[Credit],Table21[Column1],"Check")</f>
        <v>0</v>
      </c>
      <c r="L13" s="71">
        <v>44908</v>
      </c>
      <c r="M13" s="42" t="s">
        <v>55</v>
      </c>
      <c r="O13" s="49">
        <v>7354.7</v>
      </c>
      <c r="P13" s="41" t="s">
        <v>161</v>
      </c>
    </row>
    <row r="14" spans="3:16" x14ac:dyDescent="0.2">
      <c r="C14" s="48" t="s">
        <v>66</v>
      </c>
      <c r="I14" s="55">
        <f>SUMIFS(Table21[Debit],Table21[Column1],"RDC")</f>
        <v>0</v>
      </c>
      <c r="J14" s="55">
        <f>SUMIFS(Table21[Credit],Table21[Column1],"RDC")</f>
        <v>10629.91</v>
      </c>
      <c r="L14" s="71">
        <v>44908</v>
      </c>
      <c r="M14" s="42" t="s">
        <v>54</v>
      </c>
      <c r="O14" s="49">
        <v>3285.28</v>
      </c>
      <c r="P14" s="41" t="s">
        <v>162</v>
      </c>
    </row>
    <row r="15" spans="3:16" ht="10.8" thickBot="1" x14ac:dyDescent="0.25">
      <c r="C15" s="60" t="s">
        <v>67</v>
      </c>
      <c r="D15" s="61"/>
      <c r="E15" s="61"/>
      <c r="F15" s="61"/>
      <c r="G15" s="61"/>
      <c r="H15" s="61"/>
      <c r="I15" s="62">
        <f>SUMIFS(Table21[Debit],Table21[Column1],"Misc")</f>
        <v>3516.92</v>
      </c>
      <c r="J15" s="62">
        <f>SUMIFS(Table21[Credit],Table21[Column1],"Misc")</f>
        <v>7354.7</v>
      </c>
      <c r="L15" s="71">
        <v>44910</v>
      </c>
      <c r="M15" s="42" t="s">
        <v>56</v>
      </c>
      <c r="N15" s="42">
        <v>13.15</v>
      </c>
      <c r="O15" s="49"/>
      <c r="P15" s="41" t="s">
        <v>161</v>
      </c>
    </row>
    <row r="16" spans="3:16" ht="10.8" thickBot="1" x14ac:dyDescent="0.25">
      <c r="C16" s="50"/>
      <c r="D16" s="51"/>
      <c r="E16" s="51"/>
      <c r="F16" s="51"/>
      <c r="G16" s="51"/>
      <c r="H16" s="73" t="s">
        <v>1</v>
      </c>
      <c r="I16" s="56">
        <f>SUM(I12:I15)</f>
        <v>57731.44</v>
      </c>
      <c r="J16" s="52">
        <f>SUM(J12:J15)</f>
        <v>17984.61</v>
      </c>
      <c r="L16" s="71">
        <v>44910</v>
      </c>
      <c r="M16" s="42" t="s">
        <v>58</v>
      </c>
      <c r="N16" s="42">
        <v>1852.78</v>
      </c>
      <c r="O16" s="49"/>
      <c r="P16" s="41" t="s">
        <v>161</v>
      </c>
    </row>
    <row r="17" spans="3:16" x14ac:dyDescent="0.2">
      <c r="I17" s="68">
        <f>I16-J16</f>
        <v>39746.83</v>
      </c>
      <c r="L17" s="71">
        <v>44910</v>
      </c>
      <c r="M17" s="42" t="s">
        <v>57</v>
      </c>
      <c r="N17" s="42">
        <v>16.329999999999998</v>
      </c>
      <c r="O17" s="49"/>
      <c r="P17" s="41" t="s">
        <v>161</v>
      </c>
    </row>
    <row r="18" spans="3:16" x14ac:dyDescent="0.2">
      <c r="I18" s="75">
        <f>D8-I17</f>
        <v>40421.800000000003</v>
      </c>
      <c r="L18" s="71">
        <v>44911</v>
      </c>
      <c r="M18" s="42" t="s">
        <v>53</v>
      </c>
      <c r="N18" s="42">
        <v>750</v>
      </c>
      <c r="O18" s="49"/>
      <c r="P18" s="41" t="s">
        <v>159</v>
      </c>
    </row>
    <row r="19" spans="3:16" x14ac:dyDescent="0.2">
      <c r="L19" s="71">
        <v>44911</v>
      </c>
      <c r="M19" s="42" t="s">
        <v>59</v>
      </c>
      <c r="N19" s="42">
        <v>476.23</v>
      </c>
      <c r="O19" s="49"/>
      <c r="P19" s="41" t="s">
        <v>161</v>
      </c>
    </row>
    <row r="20" spans="3:16" x14ac:dyDescent="0.2">
      <c r="L20" s="71">
        <v>44914</v>
      </c>
      <c r="M20" s="42" t="s">
        <v>53</v>
      </c>
      <c r="N20" s="42">
        <v>5000</v>
      </c>
      <c r="O20" s="49"/>
      <c r="P20" s="41" t="s">
        <v>159</v>
      </c>
    </row>
    <row r="21" spans="3:16" x14ac:dyDescent="0.2">
      <c r="L21" s="71">
        <v>44915</v>
      </c>
      <c r="M21" s="42" t="s">
        <v>53</v>
      </c>
      <c r="N21" s="42">
        <v>2000</v>
      </c>
      <c r="O21" s="49"/>
      <c r="P21" s="41" t="s">
        <v>159</v>
      </c>
    </row>
    <row r="22" spans="3:16" x14ac:dyDescent="0.2">
      <c r="L22" s="71">
        <v>44917</v>
      </c>
      <c r="M22" s="42" t="s">
        <v>60</v>
      </c>
      <c r="N22" s="42">
        <v>13.53</v>
      </c>
      <c r="O22" s="49"/>
      <c r="P22" s="41" t="s">
        <v>161</v>
      </c>
    </row>
    <row r="23" spans="3:16" x14ac:dyDescent="0.2">
      <c r="L23" s="71">
        <v>44917</v>
      </c>
      <c r="M23" s="42" t="s">
        <v>61</v>
      </c>
      <c r="N23" s="42">
        <v>14.76</v>
      </c>
      <c r="O23" s="49"/>
      <c r="P23" s="41" t="s">
        <v>161</v>
      </c>
    </row>
    <row r="24" spans="3:16" x14ac:dyDescent="0.2">
      <c r="L24" s="71">
        <v>44917</v>
      </c>
      <c r="M24" s="42" t="s">
        <v>62</v>
      </c>
      <c r="N24" s="42">
        <v>63.22</v>
      </c>
      <c r="O24" s="49"/>
      <c r="P24" s="41" t="s">
        <v>161</v>
      </c>
    </row>
    <row r="25" spans="3:16" x14ac:dyDescent="0.2">
      <c r="L25" s="71">
        <v>44917</v>
      </c>
      <c r="M25" s="42" t="s">
        <v>53</v>
      </c>
      <c r="N25" s="42">
        <v>5128.66</v>
      </c>
      <c r="O25" s="49"/>
      <c r="P25" s="41" t="s">
        <v>159</v>
      </c>
    </row>
    <row r="26" spans="3:16" x14ac:dyDescent="0.2">
      <c r="L26" s="71">
        <v>44922</v>
      </c>
      <c r="M26" s="42" t="s">
        <v>64</v>
      </c>
      <c r="N26" s="42">
        <v>420.92</v>
      </c>
      <c r="O26" s="49"/>
      <c r="P26" s="41" t="s">
        <v>161</v>
      </c>
    </row>
    <row r="27" spans="3:16" x14ac:dyDescent="0.2">
      <c r="L27" s="71">
        <v>44922</v>
      </c>
      <c r="M27" s="42" t="s">
        <v>63</v>
      </c>
      <c r="N27" s="42">
        <v>7300</v>
      </c>
      <c r="O27" s="49"/>
      <c r="P27" s="41" t="s">
        <v>159</v>
      </c>
    </row>
    <row r="28" spans="3:16" x14ac:dyDescent="0.2">
      <c r="L28" s="71">
        <v>44924</v>
      </c>
      <c r="M28" s="42" t="s">
        <v>65</v>
      </c>
      <c r="N28" s="42">
        <v>646</v>
      </c>
      <c r="O28" s="49"/>
      <c r="P28" s="41" t="s">
        <v>161</v>
      </c>
    </row>
    <row r="29" spans="3:16" ht="10.8" thickBot="1" x14ac:dyDescent="0.25">
      <c r="L29" s="50" t="s">
        <v>1</v>
      </c>
      <c r="M29" s="51"/>
      <c r="N29" s="51">
        <f>SUBTOTAL(109,Table21[Debit])</f>
        <v>57731.44</v>
      </c>
      <c r="O29" s="52">
        <f>SUBTOTAL(109,Table21[Credit])</f>
        <v>17984.61</v>
      </c>
    </row>
    <row r="31" spans="3:16" ht="10.8" thickBot="1" x14ac:dyDescent="0.25"/>
    <row r="32" spans="3:16" x14ac:dyDescent="0.2">
      <c r="C32" s="41" t="s">
        <v>45</v>
      </c>
      <c r="D32" s="43">
        <v>44562</v>
      </c>
      <c r="E32" s="69">
        <f>D32</f>
        <v>44562</v>
      </c>
      <c r="L32" s="70" t="s">
        <v>14</v>
      </c>
      <c r="M32" s="46" t="s">
        <v>15</v>
      </c>
      <c r="N32" s="46" t="s">
        <v>46</v>
      </c>
      <c r="O32" s="47" t="s">
        <v>47</v>
      </c>
      <c r="P32" s="41" t="s">
        <v>48</v>
      </c>
    </row>
    <row r="33" spans="3:16" x14ac:dyDescent="0.2">
      <c r="C33" s="41" t="s">
        <v>158</v>
      </c>
      <c r="D33" s="43">
        <v>44592</v>
      </c>
      <c r="L33" s="71">
        <v>44564</v>
      </c>
      <c r="M33" s="42" t="s">
        <v>52</v>
      </c>
      <c r="N33" s="42">
        <v>1744.76</v>
      </c>
      <c r="O33" s="49"/>
      <c r="P33" s="41" t="s">
        <v>159</v>
      </c>
    </row>
    <row r="34" spans="3:16" x14ac:dyDescent="0.2">
      <c r="L34" s="71">
        <v>44564</v>
      </c>
      <c r="M34" s="42" t="s">
        <v>68</v>
      </c>
      <c r="N34" s="42">
        <v>18478.79</v>
      </c>
      <c r="O34" s="49"/>
      <c r="P34" s="41" t="s">
        <v>160</v>
      </c>
    </row>
    <row r="35" spans="3:16" x14ac:dyDescent="0.2">
      <c r="C35" s="41" t="s">
        <v>43</v>
      </c>
      <c r="D35" s="44">
        <v>67920.55</v>
      </c>
      <c r="L35" s="71">
        <v>44571</v>
      </c>
      <c r="M35" s="42" t="s">
        <v>54</v>
      </c>
      <c r="O35" s="42">
        <v>13459.89</v>
      </c>
      <c r="P35" s="41" t="s">
        <v>162</v>
      </c>
    </row>
    <row r="36" spans="3:16" x14ac:dyDescent="0.2">
      <c r="C36" s="41" t="s">
        <v>157</v>
      </c>
      <c r="D36" s="44">
        <v>59105.63</v>
      </c>
      <c r="L36" s="71">
        <v>44575</v>
      </c>
      <c r="M36" s="42" t="s">
        <v>72</v>
      </c>
      <c r="N36" s="42">
        <v>2629.84</v>
      </c>
      <c r="O36" s="49"/>
      <c r="P36" s="41" t="s">
        <v>161</v>
      </c>
    </row>
    <row r="37" spans="3:16" ht="10.8" thickBot="1" x14ac:dyDescent="0.25">
      <c r="L37" s="71">
        <v>44575</v>
      </c>
      <c r="M37" s="42" t="s">
        <v>70</v>
      </c>
      <c r="N37" s="42">
        <v>38.21</v>
      </c>
      <c r="O37" s="49"/>
      <c r="P37" s="41" t="s">
        <v>161</v>
      </c>
    </row>
    <row r="38" spans="3:16" ht="10.8" thickBot="1" x14ac:dyDescent="0.25">
      <c r="C38" s="63"/>
      <c r="D38" s="64"/>
      <c r="E38" s="64"/>
      <c r="F38" s="64"/>
      <c r="G38" s="64"/>
      <c r="H38" s="64"/>
      <c r="I38" s="65" t="s">
        <v>46</v>
      </c>
      <c r="J38" s="66" t="s">
        <v>47</v>
      </c>
      <c r="L38" s="71">
        <v>44575</v>
      </c>
      <c r="M38" s="42" t="s">
        <v>69</v>
      </c>
      <c r="N38" s="42">
        <v>35.75</v>
      </c>
      <c r="O38" s="49"/>
      <c r="P38" s="41" t="s">
        <v>161</v>
      </c>
    </row>
    <row r="39" spans="3:16" x14ac:dyDescent="0.2">
      <c r="C39" s="53" t="s">
        <v>163</v>
      </c>
      <c r="D39" s="45"/>
      <c r="E39" s="45"/>
      <c r="F39" s="45"/>
      <c r="G39" s="45"/>
      <c r="H39" s="45"/>
      <c r="I39" s="54">
        <f>SUMIFS(Table22[Debit],Table22[Column1],"Transfer")</f>
        <v>18478.79</v>
      </c>
      <c r="J39" s="54">
        <f>SUMIFS(Table22[Credit],Table22[Column1],"Transfer")</f>
        <v>0</v>
      </c>
      <c r="L39" s="71">
        <v>44575</v>
      </c>
      <c r="M39" s="42" t="s">
        <v>54</v>
      </c>
      <c r="O39" s="42">
        <v>7354.7</v>
      </c>
      <c r="P39" s="41" t="s">
        <v>162</v>
      </c>
    </row>
    <row r="40" spans="3:16" x14ac:dyDescent="0.2">
      <c r="C40" s="57" t="s">
        <v>44</v>
      </c>
      <c r="D40" s="58"/>
      <c r="E40" s="58"/>
      <c r="F40" s="58"/>
      <c r="G40" s="58"/>
      <c r="H40" s="58"/>
      <c r="I40" s="59">
        <f>SUMIFS(Table22[Debit],Table22[Column1],"Check")</f>
        <v>6120.69</v>
      </c>
      <c r="J40" s="59">
        <f>SUMIFS(Table22[Credit],Table22[Column1],"Check")</f>
        <v>0</v>
      </c>
      <c r="L40" s="71">
        <v>44575</v>
      </c>
      <c r="M40" s="42" t="s">
        <v>71</v>
      </c>
      <c r="N40" s="42">
        <v>208.77</v>
      </c>
      <c r="O40" s="49"/>
      <c r="P40" s="41" t="s">
        <v>161</v>
      </c>
    </row>
    <row r="41" spans="3:16" x14ac:dyDescent="0.2">
      <c r="C41" s="48" t="s">
        <v>66</v>
      </c>
      <c r="I41" s="55">
        <f>SUMIFS(Table22[Debit],Table22[Column1],"RDC")</f>
        <v>0</v>
      </c>
      <c r="J41" s="55">
        <f>SUMIFS(Table22[Credit],Table22[Column1],"RDC")</f>
        <v>20814.59</v>
      </c>
      <c r="L41" s="71">
        <v>44579</v>
      </c>
      <c r="M41" s="42" t="s">
        <v>73</v>
      </c>
      <c r="N41" s="42">
        <v>133.97999999999999</v>
      </c>
      <c r="O41" s="49"/>
      <c r="P41" s="41" t="s">
        <v>161</v>
      </c>
    </row>
    <row r="42" spans="3:16" ht="10.8" thickBot="1" x14ac:dyDescent="0.25">
      <c r="C42" s="60" t="s">
        <v>67</v>
      </c>
      <c r="D42" s="61"/>
      <c r="E42" s="61"/>
      <c r="F42" s="61"/>
      <c r="G42" s="61"/>
      <c r="H42" s="61"/>
      <c r="I42" s="62">
        <f>SUMIFS(Table22[Debit],Table22[Column1],"Misc")</f>
        <v>5030.0300000000007</v>
      </c>
      <c r="J42" s="62">
        <f>SUMIFS(Table22[Credit],Table22[Column1],"Misc")</f>
        <v>0</v>
      </c>
      <c r="L42" s="71">
        <v>44585</v>
      </c>
      <c r="M42" s="42" t="s">
        <v>74</v>
      </c>
      <c r="N42" s="42">
        <v>360.3</v>
      </c>
      <c r="O42" s="49"/>
      <c r="P42" s="41" t="s">
        <v>161</v>
      </c>
    </row>
    <row r="43" spans="3:16" ht="10.8" thickBot="1" x14ac:dyDescent="0.25">
      <c r="C43" s="50"/>
      <c r="D43" s="51"/>
      <c r="E43" s="51"/>
      <c r="F43" s="51"/>
      <c r="G43" s="51"/>
      <c r="H43" s="73" t="s">
        <v>1</v>
      </c>
      <c r="I43" s="56">
        <f>SUM(I39:I42)</f>
        <v>29629.510000000002</v>
      </c>
      <c r="J43" s="52">
        <f>SUM(J39:J42)</f>
        <v>20814.59</v>
      </c>
      <c r="L43" s="71">
        <v>44586</v>
      </c>
      <c r="M43" s="42" t="s">
        <v>52</v>
      </c>
      <c r="N43" s="42">
        <v>2675.93</v>
      </c>
      <c r="O43" s="49"/>
      <c r="P43" s="41" t="s">
        <v>159</v>
      </c>
    </row>
    <row r="44" spans="3:16" x14ac:dyDescent="0.2">
      <c r="I44" s="68">
        <f>I43-J43</f>
        <v>8814.9200000000019</v>
      </c>
      <c r="L44" s="71">
        <v>44587</v>
      </c>
      <c r="M44" s="42" t="s">
        <v>53</v>
      </c>
      <c r="N44" s="42">
        <v>1100</v>
      </c>
      <c r="O44" s="49"/>
      <c r="P44" s="41" t="s">
        <v>159</v>
      </c>
    </row>
    <row r="45" spans="3:16" x14ac:dyDescent="0.2">
      <c r="I45" s="67">
        <f>D35-I44</f>
        <v>59105.630000000005</v>
      </c>
      <c r="L45" s="71">
        <v>44592</v>
      </c>
      <c r="M45" s="42" t="s">
        <v>76</v>
      </c>
      <c r="N45" s="42">
        <v>1039.18</v>
      </c>
      <c r="O45" s="49"/>
      <c r="P45" s="41" t="s">
        <v>161</v>
      </c>
    </row>
    <row r="46" spans="3:16" x14ac:dyDescent="0.2">
      <c r="L46" s="71">
        <v>44592</v>
      </c>
      <c r="M46" s="42" t="s">
        <v>53</v>
      </c>
      <c r="N46" s="42">
        <v>600</v>
      </c>
      <c r="O46" s="49"/>
      <c r="P46" s="41" t="s">
        <v>159</v>
      </c>
    </row>
    <row r="47" spans="3:16" ht="10.8" thickBot="1" x14ac:dyDescent="0.25">
      <c r="L47" s="72">
        <v>44592</v>
      </c>
      <c r="M47" s="51" t="s">
        <v>75</v>
      </c>
      <c r="N47" s="51">
        <v>584</v>
      </c>
      <c r="O47" s="52"/>
      <c r="P47" s="41" t="s">
        <v>161</v>
      </c>
    </row>
    <row r="48" spans="3:16" x14ac:dyDescent="0.2">
      <c r="L48" s="42" t="s">
        <v>1</v>
      </c>
      <c r="N48" s="42">
        <f>SUBTOTAL(109,Table22[Debit])</f>
        <v>29629.51</v>
      </c>
      <c r="O48" s="42">
        <f>SUBTOTAL(109,Table22[Credit])</f>
        <v>20814.59</v>
      </c>
    </row>
    <row r="49" spans="3:16" ht="10.8" thickBot="1" x14ac:dyDescent="0.25"/>
    <row r="50" spans="3:16" x14ac:dyDescent="0.2">
      <c r="C50" s="41" t="s">
        <v>45</v>
      </c>
      <c r="D50" s="43">
        <v>44593</v>
      </c>
      <c r="E50" s="69">
        <f>D50</f>
        <v>44593</v>
      </c>
      <c r="L50" s="70" t="s">
        <v>14</v>
      </c>
      <c r="M50" s="46" t="s">
        <v>15</v>
      </c>
      <c r="N50" s="46" t="s">
        <v>46</v>
      </c>
      <c r="O50" s="47" t="s">
        <v>47</v>
      </c>
      <c r="P50" s="41" t="s">
        <v>48</v>
      </c>
    </row>
    <row r="51" spans="3:16" x14ac:dyDescent="0.2">
      <c r="C51" s="41" t="s">
        <v>158</v>
      </c>
      <c r="D51" s="43">
        <v>44620</v>
      </c>
      <c r="L51" s="43">
        <v>44593</v>
      </c>
      <c r="M51" s="42" t="s">
        <v>68</v>
      </c>
      <c r="N51" s="42">
        <v>18478.79</v>
      </c>
      <c r="P51" s="41" t="s">
        <v>160</v>
      </c>
    </row>
    <row r="52" spans="3:16" x14ac:dyDescent="0.2">
      <c r="L52" s="43">
        <v>44595</v>
      </c>
      <c r="M52" s="42" t="s">
        <v>54</v>
      </c>
      <c r="O52" s="42">
        <v>6915.26</v>
      </c>
      <c r="P52" s="41" t="s">
        <v>162</v>
      </c>
    </row>
    <row r="53" spans="3:16" x14ac:dyDescent="0.2">
      <c r="C53" s="41" t="s">
        <v>43</v>
      </c>
      <c r="D53" s="44">
        <v>59105.63</v>
      </c>
      <c r="L53" s="43">
        <v>44596</v>
      </c>
      <c r="M53" s="42" t="s">
        <v>53</v>
      </c>
      <c r="N53" s="42">
        <v>1200</v>
      </c>
      <c r="P53" s="41" t="s">
        <v>159</v>
      </c>
    </row>
    <row r="54" spans="3:16" x14ac:dyDescent="0.2">
      <c r="C54" s="41" t="s">
        <v>157</v>
      </c>
      <c r="D54" s="44">
        <v>53895.08</v>
      </c>
      <c r="L54" s="43">
        <v>44601</v>
      </c>
      <c r="M54" s="42" t="s">
        <v>164</v>
      </c>
      <c r="N54" s="42">
        <v>3265.16</v>
      </c>
      <c r="P54" s="41" t="s">
        <v>161</v>
      </c>
    </row>
    <row r="55" spans="3:16" ht="10.8" thickBot="1" x14ac:dyDescent="0.25">
      <c r="L55" s="43">
        <v>44607</v>
      </c>
      <c r="M55" s="42" t="s">
        <v>165</v>
      </c>
      <c r="N55" s="42">
        <v>26.13</v>
      </c>
      <c r="P55" s="41" t="s">
        <v>161</v>
      </c>
    </row>
    <row r="56" spans="3:16" ht="10.8" thickBot="1" x14ac:dyDescent="0.25">
      <c r="C56" s="63"/>
      <c r="D56" s="64"/>
      <c r="E56" s="64"/>
      <c r="F56" s="64"/>
      <c r="G56" s="64"/>
      <c r="H56" s="64"/>
      <c r="I56" s="65" t="s">
        <v>46</v>
      </c>
      <c r="J56" s="66" t="s">
        <v>47</v>
      </c>
      <c r="L56" s="43">
        <v>44607</v>
      </c>
      <c r="M56" s="42" t="s">
        <v>166</v>
      </c>
      <c r="N56" s="42">
        <v>44.54</v>
      </c>
      <c r="P56" s="41" t="s">
        <v>161</v>
      </c>
    </row>
    <row r="57" spans="3:16" x14ac:dyDescent="0.2">
      <c r="C57" s="53" t="s">
        <v>163</v>
      </c>
      <c r="D57" s="45"/>
      <c r="E57" s="45"/>
      <c r="F57" s="45"/>
      <c r="G57" s="45"/>
      <c r="H57" s="45"/>
      <c r="I57" s="54">
        <f>SUMIFS(Table23[Debit],Table23[Column1],"Transfer")</f>
        <v>18478.79</v>
      </c>
      <c r="J57" s="54">
        <f>SUMIFS(Table23[Credit],Table23[Column1],"Transfer")</f>
        <v>0</v>
      </c>
      <c r="L57" s="43">
        <v>44607</v>
      </c>
      <c r="M57" s="42" t="s">
        <v>167</v>
      </c>
      <c r="N57" s="42">
        <v>2709.46</v>
      </c>
      <c r="P57" s="41" t="s">
        <v>161</v>
      </c>
    </row>
    <row r="58" spans="3:16" x14ac:dyDescent="0.2">
      <c r="C58" s="57" t="s">
        <v>44</v>
      </c>
      <c r="D58" s="58"/>
      <c r="E58" s="58"/>
      <c r="F58" s="58"/>
      <c r="G58" s="58"/>
      <c r="H58" s="58"/>
      <c r="I58" s="59">
        <f>SUMIFS(Table23[Debit],Table23[Column1],"Check")</f>
        <v>1200</v>
      </c>
      <c r="J58" s="59">
        <f>SUMIFS(Table23[Credit],Table23[Column1],"Check")</f>
        <v>0</v>
      </c>
      <c r="L58" s="43">
        <v>44608</v>
      </c>
      <c r="M58" s="42" t="s">
        <v>168</v>
      </c>
      <c r="N58" s="42">
        <v>48.05</v>
      </c>
      <c r="P58" s="41" t="s">
        <v>161</v>
      </c>
    </row>
    <row r="59" spans="3:16" x14ac:dyDescent="0.2">
      <c r="C59" s="48" t="s">
        <v>66</v>
      </c>
      <c r="I59" s="55">
        <f>SUMIFS(Table23[Debit],Table23[Column1],"RDC")</f>
        <v>0</v>
      </c>
      <c r="J59" s="55">
        <f>SUMIFS(Table23[Credit],Table23[Column1],"RDC")</f>
        <v>20814.59</v>
      </c>
      <c r="L59" s="43">
        <v>44608</v>
      </c>
      <c r="M59" s="42" t="s">
        <v>169</v>
      </c>
      <c r="N59" s="42">
        <v>253.01</v>
      </c>
      <c r="P59" s="41" t="s">
        <v>161</v>
      </c>
    </row>
    <row r="60" spans="3:16" ht="10.8" thickBot="1" x14ac:dyDescent="0.25">
      <c r="C60" s="60" t="s">
        <v>67</v>
      </c>
      <c r="D60" s="61"/>
      <c r="E60" s="61"/>
      <c r="F60" s="61"/>
      <c r="G60" s="61"/>
      <c r="H60" s="61"/>
      <c r="I60" s="62">
        <f>SUMIFS(Table23[Debit],Table23[Column1],"Misc")</f>
        <v>6346.35</v>
      </c>
      <c r="J60" s="62">
        <f>SUMIFS(Table23[Credit],Table23[Column1],"Misc")</f>
        <v>0</v>
      </c>
      <c r="L60" s="43">
        <v>44609</v>
      </c>
      <c r="M60" s="42" t="s">
        <v>54</v>
      </c>
      <c r="O60" s="42">
        <v>13899.33</v>
      </c>
      <c r="P60" s="41" t="s">
        <v>162</v>
      </c>
    </row>
    <row r="61" spans="3:16" ht="10.8" thickBot="1" x14ac:dyDescent="0.25">
      <c r="C61" s="50"/>
      <c r="D61" s="51"/>
      <c r="E61" s="51"/>
      <c r="F61" s="51"/>
      <c r="G61" s="51"/>
      <c r="H61" s="73" t="s">
        <v>1</v>
      </c>
      <c r="I61" s="56">
        <f>SUM(I57:I60)</f>
        <v>26025.14</v>
      </c>
      <c r="J61" s="52">
        <f>SUM(J57:J60)</f>
        <v>20814.59</v>
      </c>
      <c r="L61" s="42" t="s">
        <v>1</v>
      </c>
      <c r="N61" s="42">
        <f>SUBTOTAL(109,Table23[Debit])</f>
        <v>26025.14</v>
      </c>
      <c r="O61" s="42">
        <f>SUBTOTAL(109,Table23[Credit])</f>
        <v>20814.59</v>
      </c>
    </row>
    <row r="62" spans="3:16" x14ac:dyDescent="0.2">
      <c r="I62" s="74">
        <f>I61-J61</f>
        <v>5210.5499999999993</v>
      </c>
      <c r="L62" s="43"/>
    </row>
    <row r="63" spans="3:16" x14ac:dyDescent="0.2">
      <c r="I63" s="67">
        <f>D53-I62</f>
        <v>53895.08</v>
      </c>
      <c r="L63" s="43"/>
    </row>
    <row r="64" spans="3:16" ht="10.8" thickBot="1" x14ac:dyDescent="0.25">
      <c r="I64" s="67"/>
      <c r="L64" s="43"/>
    </row>
    <row r="65" spans="3:16" x14ac:dyDescent="0.2">
      <c r="C65" s="41" t="s">
        <v>45</v>
      </c>
      <c r="D65" s="43">
        <v>44621</v>
      </c>
      <c r="E65" s="69">
        <f>D65</f>
        <v>44621</v>
      </c>
      <c r="L65" s="70" t="s">
        <v>14</v>
      </c>
      <c r="M65" s="46" t="s">
        <v>15</v>
      </c>
      <c r="N65" s="46" t="s">
        <v>46</v>
      </c>
      <c r="O65" s="47" t="s">
        <v>47</v>
      </c>
      <c r="P65" s="41" t="s">
        <v>48</v>
      </c>
    </row>
    <row r="66" spans="3:16" x14ac:dyDescent="0.2">
      <c r="C66" s="41" t="s">
        <v>158</v>
      </c>
      <c r="D66" s="43">
        <v>44651</v>
      </c>
      <c r="L66" s="43">
        <v>44621</v>
      </c>
      <c r="M66" s="42" t="s">
        <v>68</v>
      </c>
      <c r="N66" s="42">
        <v>18478.79</v>
      </c>
      <c r="P66" s="41" t="s">
        <v>160</v>
      </c>
    </row>
    <row r="67" spans="3:16" x14ac:dyDescent="0.2">
      <c r="L67" s="43">
        <v>44622</v>
      </c>
      <c r="M67" s="42" t="s">
        <v>53</v>
      </c>
      <c r="N67" s="42">
        <v>2500</v>
      </c>
      <c r="P67" s="41" t="s">
        <v>159</v>
      </c>
    </row>
    <row r="68" spans="3:16" x14ac:dyDescent="0.2">
      <c r="C68" s="41" t="s">
        <v>43</v>
      </c>
      <c r="D68" s="44">
        <v>53895.08</v>
      </c>
      <c r="L68" s="43">
        <v>44622</v>
      </c>
      <c r="M68" s="42" t="s">
        <v>77</v>
      </c>
      <c r="N68" s="42">
        <v>584</v>
      </c>
      <c r="P68" s="41" t="s">
        <v>161</v>
      </c>
    </row>
    <row r="69" spans="3:16" x14ac:dyDescent="0.2">
      <c r="C69" s="41" t="s">
        <v>157</v>
      </c>
      <c r="D69" s="44">
        <v>40198.239999999998</v>
      </c>
      <c r="L69" s="43">
        <v>44623</v>
      </c>
      <c r="M69" s="42" t="s">
        <v>53</v>
      </c>
      <c r="N69" s="42">
        <v>1100</v>
      </c>
      <c r="P69" s="41" t="s">
        <v>159</v>
      </c>
    </row>
    <row r="70" spans="3:16" ht="10.8" thickBot="1" x14ac:dyDescent="0.25">
      <c r="L70" s="43">
        <v>44624</v>
      </c>
      <c r="M70" s="42" t="s">
        <v>80</v>
      </c>
      <c r="N70" s="42">
        <v>1632.58</v>
      </c>
      <c r="P70" s="41" t="s">
        <v>161</v>
      </c>
    </row>
    <row r="71" spans="3:16" ht="10.8" thickBot="1" x14ac:dyDescent="0.25">
      <c r="C71" s="63"/>
      <c r="D71" s="64"/>
      <c r="E71" s="64"/>
      <c r="F71" s="64"/>
      <c r="G71" s="64"/>
      <c r="H71" s="64"/>
      <c r="I71" s="65" t="s">
        <v>46</v>
      </c>
      <c r="J71" s="66" t="s">
        <v>47</v>
      </c>
      <c r="L71" s="43">
        <v>44624</v>
      </c>
      <c r="M71" s="42" t="s">
        <v>78</v>
      </c>
      <c r="N71" s="42">
        <v>253.01</v>
      </c>
      <c r="P71" s="41" t="s">
        <v>161</v>
      </c>
    </row>
    <row r="72" spans="3:16" x14ac:dyDescent="0.2">
      <c r="C72" s="53" t="s">
        <v>163</v>
      </c>
      <c r="D72" s="45"/>
      <c r="E72" s="45"/>
      <c r="F72" s="45"/>
      <c r="G72" s="45"/>
      <c r="H72" s="45"/>
      <c r="I72" s="54">
        <f>SUMIFS(Table24[Debit],Table24[Column1],"Transfer")</f>
        <v>18478.79</v>
      </c>
      <c r="J72" s="54">
        <f>SUMIFS(Table24[Credit],Table24[Column1],"Transfer")</f>
        <v>0</v>
      </c>
      <c r="L72" s="43">
        <v>44624</v>
      </c>
      <c r="M72" s="42" t="s">
        <v>79</v>
      </c>
      <c r="N72" s="42">
        <v>370.92</v>
      </c>
      <c r="P72" s="41" t="s">
        <v>161</v>
      </c>
    </row>
    <row r="73" spans="3:16" x14ac:dyDescent="0.2">
      <c r="C73" s="57" t="s">
        <v>44</v>
      </c>
      <c r="D73" s="58"/>
      <c r="E73" s="58"/>
      <c r="F73" s="58"/>
      <c r="G73" s="58"/>
      <c r="H73" s="58"/>
      <c r="I73" s="59">
        <f>SUMIFS(Table24[Debit],Table24[Column1],"Check")</f>
        <v>5208.26</v>
      </c>
      <c r="J73" s="59">
        <f>SUMIFS(Table24[Credit],Table24[Column1],"Check")</f>
        <v>0</v>
      </c>
      <c r="L73" s="43">
        <v>44629</v>
      </c>
      <c r="M73" s="42" t="s">
        <v>54</v>
      </c>
      <c r="O73" s="42">
        <v>7294.4</v>
      </c>
      <c r="P73" s="41" t="s">
        <v>162</v>
      </c>
    </row>
    <row r="74" spans="3:16" x14ac:dyDescent="0.2">
      <c r="C74" s="48" t="s">
        <v>66</v>
      </c>
      <c r="I74" s="55">
        <f>SUMIFS(Table24[Debit],Table24[Column1],"RDC")</f>
        <v>0</v>
      </c>
      <c r="J74" s="55">
        <f>SUMIFS(Table24[Credit],Table24[Column1],"RDC")</f>
        <v>17593.73</v>
      </c>
      <c r="L74" s="43">
        <v>44630</v>
      </c>
      <c r="M74" s="42" t="s">
        <v>53</v>
      </c>
      <c r="N74" s="42">
        <v>1200</v>
      </c>
      <c r="P74" s="41" t="s">
        <v>159</v>
      </c>
    </row>
    <row r="75" spans="3:16" ht="10.8" thickBot="1" x14ac:dyDescent="0.25">
      <c r="C75" s="60" t="s">
        <v>67</v>
      </c>
      <c r="D75" s="61"/>
      <c r="E75" s="61"/>
      <c r="F75" s="61"/>
      <c r="G75" s="61"/>
      <c r="H75" s="61"/>
      <c r="I75" s="62">
        <f>SUMIFS(Table24[Debit],Table24[Column1],"Misc")</f>
        <v>7603.52</v>
      </c>
      <c r="J75" s="62">
        <f>SUMIFS(Table24[Credit],Table24[Column1],"Misc")</f>
        <v>0</v>
      </c>
      <c r="L75" s="43">
        <v>44634</v>
      </c>
      <c r="M75" s="42" t="s">
        <v>54</v>
      </c>
      <c r="O75" s="42">
        <v>10299.33</v>
      </c>
      <c r="P75" s="41" t="s">
        <v>162</v>
      </c>
    </row>
    <row r="76" spans="3:16" ht="10.8" thickBot="1" x14ac:dyDescent="0.25">
      <c r="C76" s="50"/>
      <c r="D76" s="51"/>
      <c r="E76" s="51"/>
      <c r="F76" s="51"/>
      <c r="G76" s="51"/>
      <c r="H76" s="73" t="s">
        <v>1</v>
      </c>
      <c r="I76" s="56">
        <f>SUM(I72:I75)</f>
        <v>31290.570000000003</v>
      </c>
      <c r="J76" s="52">
        <f>SUM(J72:J75)</f>
        <v>17593.73</v>
      </c>
      <c r="L76" s="43">
        <v>44637</v>
      </c>
      <c r="M76" s="42" t="s">
        <v>83</v>
      </c>
      <c r="N76" s="42">
        <v>2980.86</v>
      </c>
      <c r="P76" s="41" t="s">
        <v>161</v>
      </c>
    </row>
    <row r="77" spans="3:16" x14ac:dyDescent="0.2">
      <c r="I77" s="68">
        <f>I76-J76</f>
        <v>13696.840000000004</v>
      </c>
      <c r="L77" s="43">
        <v>44637</v>
      </c>
      <c r="M77" s="42" t="s">
        <v>81</v>
      </c>
      <c r="N77" s="42">
        <v>23.83</v>
      </c>
      <c r="P77" s="41" t="s">
        <v>161</v>
      </c>
    </row>
    <row r="78" spans="3:16" x14ac:dyDescent="0.2">
      <c r="I78" s="67">
        <f>D68-I77</f>
        <v>40198.239999999998</v>
      </c>
      <c r="L78" s="43">
        <v>44637</v>
      </c>
      <c r="M78" s="42" t="s">
        <v>82</v>
      </c>
      <c r="N78" s="42">
        <v>48.04</v>
      </c>
      <c r="P78" s="41" t="s">
        <v>161</v>
      </c>
    </row>
    <row r="79" spans="3:16" x14ac:dyDescent="0.2">
      <c r="L79" s="43">
        <v>44638</v>
      </c>
      <c r="M79" s="42" t="s">
        <v>84</v>
      </c>
      <c r="N79" s="42">
        <v>75.5</v>
      </c>
      <c r="P79" s="41" t="s">
        <v>161</v>
      </c>
    </row>
    <row r="80" spans="3:16" x14ac:dyDescent="0.2">
      <c r="L80" s="43">
        <v>44645</v>
      </c>
      <c r="M80" s="42" t="s">
        <v>53</v>
      </c>
      <c r="N80" s="42">
        <v>408.26</v>
      </c>
      <c r="P80" s="41" t="s">
        <v>159</v>
      </c>
    </row>
    <row r="81" spans="3:16" x14ac:dyDescent="0.2">
      <c r="L81" s="43">
        <v>44648</v>
      </c>
      <c r="M81" s="42" t="s">
        <v>85</v>
      </c>
      <c r="N81" s="42">
        <v>293.33</v>
      </c>
      <c r="P81" s="41" t="s">
        <v>161</v>
      </c>
    </row>
    <row r="82" spans="3:16" x14ac:dyDescent="0.2">
      <c r="L82" s="43">
        <v>44648</v>
      </c>
      <c r="M82" s="42" t="s">
        <v>86</v>
      </c>
      <c r="N82" s="42">
        <v>376.53</v>
      </c>
      <c r="P82" s="41" t="s">
        <v>161</v>
      </c>
    </row>
    <row r="83" spans="3:16" x14ac:dyDescent="0.2">
      <c r="L83" s="43">
        <v>44648</v>
      </c>
      <c r="M83" s="42" t="s">
        <v>87</v>
      </c>
      <c r="N83" s="42">
        <v>380.92</v>
      </c>
      <c r="P83" s="41" t="s">
        <v>161</v>
      </c>
    </row>
    <row r="84" spans="3:16" x14ac:dyDescent="0.2">
      <c r="L84" s="43">
        <v>44649</v>
      </c>
      <c r="M84" s="42" t="s">
        <v>88</v>
      </c>
      <c r="N84" s="42">
        <v>584</v>
      </c>
      <c r="P84" s="41" t="s">
        <v>161</v>
      </c>
    </row>
    <row r="85" spans="3:16" x14ac:dyDescent="0.2">
      <c r="L85" s="42" t="s">
        <v>1</v>
      </c>
      <c r="N85" s="42">
        <f>SUBTOTAL(109,Table24[Debit])</f>
        <v>31290.57</v>
      </c>
      <c r="O85" s="42">
        <f>SUBTOTAL(109,Table24[Credit])</f>
        <v>17593.73</v>
      </c>
    </row>
    <row r="86" spans="3:16" x14ac:dyDescent="0.2">
      <c r="L86" s="43"/>
    </row>
    <row r="87" spans="3:16" ht="10.8" thickBot="1" x14ac:dyDescent="0.25">
      <c r="L87" s="43"/>
    </row>
    <row r="88" spans="3:16" x14ac:dyDescent="0.2">
      <c r="C88" s="41" t="s">
        <v>45</v>
      </c>
      <c r="D88" s="43">
        <v>44652</v>
      </c>
      <c r="E88" s="69">
        <f>D88</f>
        <v>44652</v>
      </c>
      <c r="L88" s="70" t="s">
        <v>14</v>
      </c>
      <c r="M88" s="46" t="s">
        <v>15</v>
      </c>
      <c r="N88" s="46" t="s">
        <v>46</v>
      </c>
      <c r="O88" s="47" t="s">
        <v>47</v>
      </c>
      <c r="P88" s="41" t="s">
        <v>48</v>
      </c>
    </row>
    <row r="89" spans="3:16" x14ac:dyDescent="0.2">
      <c r="C89" s="41" t="s">
        <v>158</v>
      </c>
      <c r="D89" s="43">
        <v>44682</v>
      </c>
      <c r="L89" s="43">
        <v>44652</v>
      </c>
      <c r="M89" s="42" t="s">
        <v>54</v>
      </c>
      <c r="O89" s="42">
        <v>3220.86</v>
      </c>
      <c r="P89" s="41" t="s">
        <v>162</v>
      </c>
    </row>
    <row r="90" spans="3:16" x14ac:dyDescent="0.2">
      <c r="L90" s="43">
        <v>44652</v>
      </c>
      <c r="M90" s="42" t="s">
        <v>68</v>
      </c>
      <c r="N90" s="42">
        <v>18478.79</v>
      </c>
      <c r="P90" s="41" t="s">
        <v>160</v>
      </c>
    </row>
    <row r="91" spans="3:16" x14ac:dyDescent="0.2">
      <c r="C91" s="41" t="s">
        <v>43</v>
      </c>
      <c r="D91" s="44">
        <v>40198.239999999998</v>
      </c>
      <c r="L91" s="43">
        <v>44655</v>
      </c>
      <c r="M91" s="42" t="s">
        <v>53</v>
      </c>
      <c r="N91" s="42">
        <v>1100</v>
      </c>
      <c r="P91" s="41" t="s">
        <v>159</v>
      </c>
    </row>
    <row r="92" spans="3:16" x14ac:dyDescent="0.2">
      <c r="C92" s="41" t="s">
        <v>157</v>
      </c>
      <c r="D92" s="44">
        <v>75834.58</v>
      </c>
      <c r="L92" s="43">
        <v>44657</v>
      </c>
      <c r="M92" s="42" t="s">
        <v>89</v>
      </c>
      <c r="N92" s="42">
        <v>1632.58</v>
      </c>
      <c r="P92" s="41" t="s">
        <v>161</v>
      </c>
    </row>
    <row r="93" spans="3:16" ht="10.8" thickBot="1" x14ac:dyDescent="0.25">
      <c r="L93" s="43">
        <v>44658</v>
      </c>
      <c r="M93" s="42" t="s">
        <v>90</v>
      </c>
      <c r="N93" s="42">
        <v>255</v>
      </c>
      <c r="P93" s="41" t="s">
        <v>161</v>
      </c>
    </row>
    <row r="94" spans="3:16" ht="10.8" thickBot="1" x14ac:dyDescent="0.25">
      <c r="C94" s="63"/>
      <c r="D94" s="64"/>
      <c r="E94" s="64"/>
      <c r="F94" s="64"/>
      <c r="G94" s="64"/>
      <c r="H94" s="64"/>
      <c r="I94" s="65" t="s">
        <v>46</v>
      </c>
      <c r="J94" s="66" t="s">
        <v>47</v>
      </c>
      <c r="L94" s="43">
        <v>44658</v>
      </c>
      <c r="M94" s="42" t="s">
        <v>52</v>
      </c>
      <c r="N94" s="42">
        <v>2831.36</v>
      </c>
      <c r="P94" s="41" t="s">
        <v>159</v>
      </c>
    </row>
    <row r="95" spans="3:16" x14ac:dyDescent="0.2">
      <c r="C95" s="53" t="s">
        <v>163</v>
      </c>
      <c r="D95" s="45"/>
      <c r="E95" s="45"/>
      <c r="F95" s="45"/>
      <c r="G95" s="45"/>
      <c r="H95" s="45"/>
      <c r="I95" s="54">
        <f>SUMIFS(Table25[Debit],Table25[Column1],"Transfer")</f>
        <v>18478.79</v>
      </c>
      <c r="J95" s="54">
        <f>SUMIFS(Table25[Credit],Table25[Column1],"Transfer")</f>
        <v>0</v>
      </c>
      <c r="L95" s="43">
        <v>44659</v>
      </c>
      <c r="M95" s="42" t="s">
        <v>54</v>
      </c>
      <c r="O95" s="42">
        <v>13459.89</v>
      </c>
      <c r="P95" s="41" t="s">
        <v>162</v>
      </c>
    </row>
    <row r="96" spans="3:16" x14ac:dyDescent="0.2">
      <c r="C96" s="57" t="s">
        <v>44</v>
      </c>
      <c r="D96" s="58"/>
      <c r="E96" s="58"/>
      <c r="F96" s="58"/>
      <c r="G96" s="58"/>
      <c r="H96" s="58"/>
      <c r="I96" s="59">
        <f>SUMIFS(Table25[Debit],Table25[Column1],"Check")</f>
        <v>4440.3600000000006</v>
      </c>
      <c r="J96" s="59">
        <f>SUMIFS(Table25[Credit],Table25[Column1],"Check")</f>
        <v>0</v>
      </c>
      <c r="L96" s="43">
        <v>44664</v>
      </c>
      <c r="M96" s="42" t="s">
        <v>54</v>
      </c>
      <c r="O96" s="42">
        <v>47354.7</v>
      </c>
      <c r="P96" s="41" t="s">
        <v>162</v>
      </c>
    </row>
    <row r="97" spans="3:16" x14ac:dyDescent="0.2">
      <c r="C97" s="48" t="s">
        <v>66</v>
      </c>
      <c r="I97" s="55">
        <f>SUMIFS(Table25[Debit],Table25[Column1],"RDC")</f>
        <v>0</v>
      </c>
      <c r="J97" s="55">
        <f>SUMIFS(Table25[Credit],Table25[Column1],"RDC")</f>
        <v>64035.45</v>
      </c>
      <c r="L97" s="43">
        <v>44666</v>
      </c>
      <c r="M97" s="42" t="s">
        <v>93</v>
      </c>
      <c r="N97" s="42">
        <v>2488.02</v>
      </c>
      <c r="P97" s="41" t="s">
        <v>161</v>
      </c>
    </row>
    <row r="98" spans="3:16" ht="10.8" thickBot="1" x14ac:dyDescent="0.25">
      <c r="C98" s="60" t="s">
        <v>67</v>
      </c>
      <c r="D98" s="61"/>
      <c r="E98" s="61"/>
      <c r="F98" s="61"/>
      <c r="G98" s="61"/>
      <c r="H98" s="61"/>
      <c r="I98" s="62">
        <f>SUMIFS(Table25[Debit],Table25[Column1],"Misc")</f>
        <v>5479.96</v>
      </c>
      <c r="J98" s="62">
        <f>SUMIFS(Table25[Credit],Table25[Column1],"Misc")</f>
        <v>0</v>
      </c>
      <c r="L98" s="43">
        <v>44666</v>
      </c>
      <c r="M98" s="42" t="s">
        <v>92</v>
      </c>
      <c r="N98" s="42">
        <v>45.94</v>
      </c>
      <c r="P98" s="41" t="s">
        <v>161</v>
      </c>
    </row>
    <row r="99" spans="3:16" ht="10.8" thickBot="1" x14ac:dyDescent="0.25">
      <c r="C99" s="50"/>
      <c r="D99" s="51"/>
      <c r="E99" s="51"/>
      <c r="F99" s="51"/>
      <c r="G99" s="51"/>
      <c r="H99" s="73" t="s">
        <v>1</v>
      </c>
      <c r="I99" s="56">
        <f>SUM(I95:I98)</f>
        <v>28399.11</v>
      </c>
      <c r="J99" s="52">
        <f>SUM(J95:J98)</f>
        <v>64035.45</v>
      </c>
      <c r="L99" s="43">
        <v>44666</v>
      </c>
      <c r="M99" s="42" t="s">
        <v>91</v>
      </c>
      <c r="N99" s="42">
        <v>24.42</v>
      </c>
      <c r="P99" s="41" t="s">
        <v>161</v>
      </c>
    </row>
    <row r="100" spans="3:16" x14ac:dyDescent="0.2">
      <c r="I100" s="68">
        <f>I99-J99</f>
        <v>-35636.339999999997</v>
      </c>
      <c r="L100" s="43">
        <v>44673</v>
      </c>
      <c r="M100" s="42" t="s">
        <v>94</v>
      </c>
      <c r="N100" s="42">
        <v>450</v>
      </c>
      <c r="P100" s="41" t="s">
        <v>161</v>
      </c>
    </row>
    <row r="101" spans="3:16" x14ac:dyDescent="0.2">
      <c r="I101" s="67">
        <f>D91-I100</f>
        <v>75834.579999999987</v>
      </c>
      <c r="L101" s="43">
        <v>44676</v>
      </c>
      <c r="M101" s="42" t="s">
        <v>53</v>
      </c>
      <c r="N101" s="42">
        <v>259</v>
      </c>
      <c r="P101" s="41" t="s">
        <v>159</v>
      </c>
    </row>
    <row r="102" spans="3:16" x14ac:dyDescent="0.2">
      <c r="L102" s="43">
        <v>44678</v>
      </c>
      <c r="M102" s="42" t="s">
        <v>53</v>
      </c>
      <c r="N102" s="42">
        <v>250</v>
      </c>
      <c r="P102" s="41" t="s">
        <v>159</v>
      </c>
    </row>
    <row r="103" spans="3:16" x14ac:dyDescent="0.2">
      <c r="L103" s="43">
        <v>44680</v>
      </c>
      <c r="M103" s="42" t="s">
        <v>95</v>
      </c>
      <c r="N103" s="42">
        <v>584</v>
      </c>
      <c r="P103" s="41" t="s">
        <v>161</v>
      </c>
    </row>
    <row r="104" spans="3:16" x14ac:dyDescent="0.2">
      <c r="L104" s="42" t="s">
        <v>1</v>
      </c>
      <c r="N104" s="42">
        <f>SUBTOTAL(109,Table25[Debit])</f>
        <v>28399.11</v>
      </c>
      <c r="O104" s="42">
        <f>SUBTOTAL(109,Table25[Credit])</f>
        <v>64035.45</v>
      </c>
    </row>
    <row r="105" spans="3:16" x14ac:dyDescent="0.2">
      <c r="L105" s="43"/>
    </row>
    <row r="106" spans="3:16" ht="10.8" thickBot="1" x14ac:dyDescent="0.25">
      <c r="L106" s="43"/>
    </row>
    <row r="107" spans="3:16" x14ac:dyDescent="0.2">
      <c r="C107" s="41" t="s">
        <v>45</v>
      </c>
      <c r="D107" s="43">
        <v>44683</v>
      </c>
      <c r="E107" s="69">
        <f>D107</f>
        <v>44683</v>
      </c>
      <c r="L107" s="70" t="s">
        <v>14</v>
      </c>
      <c r="M107" s="46" t="s">
        <v>15</v>
      </c>
      <c r="N107" s="46" t="s">
        <v>46</v>
      </c>
      <c r="O107" s="47" t="s">
        <v>47</v>
      </c>
      <c r="P107" s="41" t="s">
        <v>48</v>
      </c>
    </row>
    <row r="108" spans="3:16" x14ac:dyDescent="0.2">
      <c r="C108" s="41" t="s">
        <v>158</v>
      </c>
      <c r="D108" s="43">
        <v>44712</v>
      </c>
      <c r="L108" s="43">
        <v>44683</v>
      </c>
      <c r="M108" s="42" t="s">
        <v>51</v>
      </c>
      <c r="N108" s="42">
        <v>18478.79</v>
      </c>
      <c r="P108" s="41" t="s">
        <v>160</v>
      </c>
    </row>
    <row r="109" spans="3:16" x14ac:dyDescent="0.2">
      <c r="L109" s="43">
        <v>44684</v>
      </c>
      <c r="M109" s="42" t="s">
        <v>53</v>
      </c>
      <c r="N109" s="42">
        <v>1682.42</v>
      </c>
      <c r="P109" s="41" t="s">
        <v>159</v>
      </c>
    </row>
    <row r="110" spans="3:16" x14ac:dyDescent="0.2">
      <c r="C110" s="41" t="s">
        <v>43</v>
      </c>
      <c r="D110" s="44">
        <v>75834.58</v>
      </c>
      <c r="L110" s="43">
        <v>44687</v>
      </c>
      <c r="M110" s="42" t="s">
        <v>99</v>
      </c>
      <c r="N110" s="42">
        <v>1632.58</v>
      </c>
      <c r="P110" s="41" t="s">
        <v>161</v>
      </c>
    </row>
    <row r="111" spans="3:16" x14ac:dyDescent="0.2">
      <c r="C111" s="41" t="s">
        <v>157</v>
      </c>
      <c r="D111" s="44">
        <v>67184.740000000005</v>
      </c>
      <c r="L111" s="43">
        <v>44687</v>
      </c>
      <c r="M111" s="42" t="s">
        <v>97</v>
      </c>
      <c r="N111" s="42">
        <v>283.55</v>
      </c>
      <c r="P111" s="41" t="s">
        <v>161</v>
      </c>
    </row>
    <row r="112" spans="3:16" ht="10.8" thickBot="1" x14ac:dyDescent="0.25">
      <c r="L112" s="43">
        <v>44687</v>
      </c>
      <c r="M112" s="42" t="s">
        <v>96</v>
      </c>
      <c r="N112" s="42">
        <v>35.130000000000003</v>
      </c>
      <c r="P112" s="41" t="s">
        <v>161</v>
      </c>
    </row>
    <row r="113" spans="3:16" ht="10.8" thickBot="1" x14ac:dyDescent="0.25">
      <c r="C113" s="63"/>
      <c r="D113" s="64"/>
      <c r="E113" s="64"/>
      <c r="F113" s="64"/>
      <c r="G113" s="64"/>
      <c r="H113" s="64"/>
      <c r="I113" s="65" t="s">
        <v>46</v>
      </c>
      <c r="J113" s="66" t="s">
        <v>47</v>
      </c>
      <c r="L113" s="43">
        <v>44687</v>
      </c>
      <c r="M113" s="42" t="s">
        <v>98</v>
      </c>
      <c r="N113" s="42">
        <v>380.92</v>
      </c>
      <c r="P113" s="41" t="s">
        <v>161</v>
      </c>
    </row>
    <row r="114" spans="3:16" x14ac:dyDescent="0.2">
      <c r="C114" s="53" t="s">
        <v>163</v>
      </c>
      <c r="D114" s="45"/>
      <c r="E114" s="45"/>
      <c r="F114" s="45"/>
      <c r="G114" s="45"/>
      <c r="H114" s="45"/>
      <c r="I114" s="54">
        <f>SUMIFS(Table26[Debit],Table26[Column1],"Transfer")</f>
        <v>18478.79</v>
      </c>
      <c r="J114" s="54">
        <f>SUMIFS(Table26[Credit],Table26[Column1],"Transfer")</f>
        <v>0</v>
      </c>
      <c r="L114" s="43">
        <v>44690</v>
      </c>
      <c r="M114" s="42" t="s">
        <v>53</v>
      </c>
      <c r="N114" s="42">
        <v>1100</v>
      </c>
      <c r="P114" s="41" t="s">
        <v>159</v>
      </c>
    </row>
    <row r="115" spans="3:16" x14ac:dyDescent="0.2">
      <c r="C115" s="57" t="s">
        <v>44</v>
      </c>
      <c r="D115" s="58"/>
      <c r="E115" s="58"/>
      <c r="F115" s="58"/>
      <c r="G115" s="58"/>
      <c r="H115" s="58"/>
      <c r="I115" s="59">
        <f>SUMIFS(Table26[Debit],Table26[Column1],"Check")</f>
        <v>5382.42</v>
      </c>
      <c r="J115" s="59">
        <f>SUMIFS(Table26[Credit],Table26[Column1],"Check")</f>
        <v>0</v>
      </c>
      <c r="L115" s="43">
        <v>44692</v>
      </c>
      <c r="M115" s="42" t="s">
        <v>53</v>
      </c>
      <c r="N115" s="42">
        <v>2500</v>
      </c>
      <c r="P115" s="41" t="s">
        <v>159</v>
      </c>
    </row>
    <row r="116" spans="3:16" x14ac:dyDescent="0.2">
      <c r="C116" s="48" t="s">
        <v>66</v>
      </c>
      <c r="I116" s="55">
        <f>SUMIFS(Table26[Debit],Table26[Column1],"RDC")</f>
        <v>0</v>
      </c>
      <c r="J116" s="55">
        <f>SUMIFS(Table26[Credit],Table26[Column1],"RDC")</f>
        <v>20814.59</v>
      </c>
      <c r="L116" s="43">
        <v>44693</v>
      </c>
      <c r="M116" s="42" t="s">
        <v>53</v>
      </c>
      <c r="N116" s="42">
        <v>100</v>
      </c>
      <c r="P116" s="41" t="s">
        <v>159</v>
      </c>
    </row>
    <row r="117" spans="3:16" ht="10.8" thickBot="1" x14ac:dyDescent="0.25">
      <c r="C117" s="60" t="s">
        <v>67</v>
      </c>
      <c r="D117" s="61"/>
      <c r="E117" s="61"/>
      <c r="F117" s="61"/>
      <c r="G117" s="61"/>
      <c r="H117" s="61"/>
      <c r="I117" s="62">
        <f>SUMIFS(Table26[Debit],Table26[Column1],"Misc")</f>
        <v>5603.2199999999993</v>
      </c>
      <c r="J117" s="62">
        <f>SUMIFS(Table26[Credit],Table26[Column1],"Misc")</f>
        <v>0</v>
      </c>
      <c r="L117" s="43">
        <v>44698</v>
      </c>
      <c r="M117" s="42" t="s">
        <v>102</v>
      </c>
      <c r="N117" s="42">
        <v>2099.6999999999998</v>
      </c>
      <c r="P117" s="41" t="s">
        <v>161</v>
      </c>
    </row>
    <row r="118" spans="3:16" ht="10.8" thickBot="1" x14ac:dyDescent="0.25">
      <c r="C118" s="50"/>
      <c r="D118" s="51"/>
      <c r="E118" s="51"/>
      <c r="F118" s="51"/>
      <c r="G118" s="51"/>
      <c r="H118" s="73" t="s">
        <v>1</v>
      </c>
      <c r="I118" s="56">
        <f>SUM(I114:I117)</f>
        <v>29464.43</v>
      </c>
      <c r="J118" s="52">
        <f>SUM(J114:J117)</f>
        <v>20814.59</v>
      </c>
      <c r="L118" s="43">
        <v>44698</v>
      </c>
      <c r="M118" s="42" t="s">
        <v>101</v>
      </c>
      <c r="N118" s="42">
        <v>40.4</v>
      </c>
      <c r="P118" s="41" t="s">
        <v>161</v>
      </c>
    </row>
    <row r="119" spans="3:16" x14ac:dyDescent="0.2">
      <c r="I119" s="68">
        <f>I118-J118</f>
        <v>8649.84</v>
      </c>
      <c r="L119" s="43">
        <v>44698</v>
      </c>
      <c r="M119" s="42" t="s">
        <v>100</v>
      </c>
      <c r="N119" s="42">
        <v>26.33</v>
      </c>
      <c r="P119" s="41" t="s">
        <v>161</v>
      </c>
    </row>
    <row r="120" spans="3:16" x14ac:dyDescent="0.2">
      <c r="I120" s="67">
        <f>D110-I119</f>
        <v>67184.740000000005</v>
      </c>
      <c r="L120" s="43">
        <v>44698</v>
      </c>
      <c r="M120" s="42" t="s">
        <v>54</v>
      </c>
      <c r="O120" s="42">
        <v>20814.59</v>
      </c>
      <c r="P120" s="41" t="s">
        <v>162</v>
      </c>
    </row>
    <row r="121" spans="3:16" x14ac:dyDescent="0.2">
      <c r="L121" s="43">
        <v>44699</v>
      </c>
      <c r="M121" s="42" t="s">
        <v>104</v>
      </c>
      <c r="N121" s="42">
        <v>410.81</v>
      </c>
      <c r="P121" s="41" t="s">
        <v>161</v>
      </c>
    </row>
    <row r="122" spans="3:16" x14ac:dyDescent="0.2">
      <c r="L122" s="43">
        <v>44699</v>
      </c>
      <c r="M122" s="42" t="s">
        <v>103</v>
      </c>
      <c r="N122" s="42">
        <v>312.88</v>
      </c>
      <c r="P122" s="41" t="s">
        <v>161</v>
      </c>
    </row>
    <row r="123" spans="3:16" x14ac:dyDescent="0.2">
      <c r="L123" s="43">
        <v>44707</v>
      </c>
      <c r="M123" s="42" t="s">
        <v>105</v>
      </c>
      <c r="N123" s="42">
        <v>380.92</v>
      </c>
      <c r="P123" s="41" t="s">
        <v>161</v>
      </c>
    </row>
    <row r="124" spans="3:16" x14ac:dyDescent="0.2">
      <c r="L124" s="42" t="s">
        <v>1</v>
      </c>
      <c r="N124" s="42">
        <f>SUBTOTAL(109,Table26[Debit])</f>
        <v>29464.430000000004</v>
      </c>
      <c r="O124" s="42">
        <f>SUBTOTAL(109,Table26[Credit])</f>
        <v>20814.59</v>
      </c>
    </row>
    <row r="125" spans="3:16" x14ac:dyDescent="0.2">
      <c r="L125" s="43"/>
    </row>
    <row r="126" spans="3:16" ht="10.8" thickBot="1" x14ac:dyDescent="0.25">
      <c r="L126" s="43"/>
    </row>
    <row r="127" spans="3:16" x14ac:dyDescent="0.2">
      <c r="C127" s="41" t="s">
        <v>45</v>
      </c>
      <c r="D127" s="43">
        <v>44713</v>
      </c>
      <c r="E127" s="69">
        <f>D127</f>
        <v>44713</v>
      </c>
      <c r="L127" s="70" t="s">
        <v>14</v>
      </c>
      <c r="M127" s="46" t="s">
        <v>15</v>
      </c>
      <c r="N127" s="46" t="s">
        <v>46</v>
      </c>
      <c r="O127" s="47" t="s">
        <v>47</v>
      </c>
      <c r="P127" s="41" t="s">
        <v>48</v>
      </c>
    </row>
    <row r="128" spans="3:16" x14ac:dyDescent="0.2">
      <c r="C128" s="41" t="s">
        <v>158</v>
      </c>
      <c r="D128" s="43">
        <v>44742</v>
      </c>
      <c r="L128" s="43">
        <v>44725</v>
      </c>
      <c r="M128" s="42" t="s">
        <v>109</v>
      </c>
      <c r="N128" s="42">
        <v>205.06</v>
      </c>
      <c r="P128" s="41" t="s">
        <v>161</v>
      </c>
    </row>
    <row r="129" spans="3:16" x14ac:dyDescent="0.2">
      <c r="L129" s="43">
        <v>44728</v>
      </c>
      <c r="M129" s="42" t="s">
        <v>111</v>
      </c>
      <c r="N129" s="42">
        <v>33.840000000000003</v>
      </c>
      <c r="P129" s="41" t="s">
        <v>161</v>
      </c>
    </row>
    <row r="130" spans="3:16" x14ac:dyDescent="0.2">
      <c r="C130" s="41" t="s">
        <v>43</v>
      </c>
      <c r="D130" s="44">
        <v>67184.740000000005</v>
      </c>
      <c r="L130" s="43">
        <v>44728</v>
      </c>
      <c r="M130" s="42" t="s">
        <v>112</v>
      </c>
      <c r="N130" s="42">
        <v>1687.96</v>
      </c>
      <c r="P130" s="41" t="s">
        <v>161</v>
      </c>
    </row>
    <row r="131" spans="3:16" x14ac:dyDescent="0.2">
      <c r="C131" s="41" t="s">
        <v>157</v>
      </c>
      <c r="D131" s="44">
        <v>46573.5</v>
      </c>
      <c r="L131" s="43">
        <v>44728</v>
      </c>
      <c r="M131" s="42" t="s">
        <v>110</v>
      </c>
      <c r="N131" s="42">
        <v>25.23</v>
      </c>
      <c r="P131" s="41" t="s">
        <v>161</v>
      </c>
    </row>
    <row r="132" spans="3:16" ht="10.8" thickBot="1" x14ac:dyDescent="0.25">
      <c r="L132" s="43">
        <v>44720</v>
      </c>
      <c r="M132" s="42" t="s">
        <v>54</v>
      </c>
      <c r="O132" s="42">
        <v>7294.4</v>
      </c>
      <c r="P132" s="41" t="s">
        <v>162</v>
      </c>
    </row>
    <row r="133" spans="3:16" ht="10.8" thickBot="1" x14ac:dyDescent="0.25">
      <c r="C133" s="63"/>
      <c r="D133" s="64"/>
      <c r="E133" s="64"/>
      <c r="F133" s="64"/>
      <c r="G133" s="64"/>
      <c r="H133" s="64"/>
      <c r="I133" s="65" t="s">
        <v>46</v>
      </c>
      <c r="J133" s="66" t="s">
        <v>47</v>
      </c>
      <c r="L133" s="43">
        <v>44736</v>
      </c>
      <c r="M133" s="42" t="s">
        <v>54</v>
      </c>
      <c r="O133" s="42">
        <v>10299.33</v>
      </c>
      <c r="P133" s="41" t="s">
        <v>162</v>
      </c>
    </row>
    <row r="134" spans="3:16" x14ac:dyDescent="0.2">
      <c r="C134" s="53" t="s">
        <v>163</v>
      </c>
      <c r="D134" s="45"/>
      <c r="E134" s="45"/>
      <c r="F134" s="45"/>
      <c r="G134" s="45"/>
      <c r="H134" s="45"/>
      <c r="I134" s="54">
        <f>SUMIFS(Table27[Debit],Table27[Column1],"Transfer")</f>
        <v>18478.79</v>
      </c>
      <c r="J134" s="54">
        <f>SUMIFS(Table27[Credit],Table27[Column1],"Transfer")</f>
        <v>0</v>
      </c>
      <c r="L134" s="43">
        <v>44720</v>
      </c>
      <c r="M134" s="42" t="s">
        <v>108</v>
      </c>
      <c r="N134" s="42">
        <v>303.10000000000002</v>
      </c>
      <c r="P134" s="41" t="s">
        <v>161</v>
      </c>
    </row>
    <row r="135" spans="3:16" x14ac:dyDescent="0.2">
      <c r="C135" s="57" t="s">
        <v>44</v>
      </c>
      <c r="D135" s="58"/>
      <c r="E135" s="58"/>
      <c r="F135" s="58"/>
      <c r="G135" s="58"/>
      <c r="H135" s="58"/>
      <c r="I135" s="59">
        <f>SUMIFS(Table27[Debit],Table27[Column1],"Check")</f>
        <v>16018.56</v>
      </c>
      <c r="J135" s="59">
        <f>SUMIFS(Table27[Credit],Table27[Column1],"Check")</f>
        <v>0</v>
      </c>
      <c r="L135" s="43">
        <v>44720</v>
      </c>
      <c r="M135" s="42" t="s">
        <v>107</v>
      </c>
      <c r="N135" s="42">
        <v>284.43</v>
      </c>
      <c r="P135" s="41" t="s">
        <v>161</v>
      </c>
    </row>
    <row r="136" spans="3:16" x14ac:dyDescent="0.2">
      <c r="C136" s="48" t="s">
        <v>66</v>
      </c>
      <c r="I136" s="55">
        <f>SUMIFS(Table27[Debit],Table27[Column1],"RDC")</f>
        <v>0</v>
      </c>
      <c r="J136" s="55">
        <f>SUMIFS(Table27[Credit],Table27[Column1],"RDC")</f>
        <v>17593.73</v>
      </c>
      <c r="L136" s="43">
        <v>44718</v>
      </c>
      <c r="M136" s="42" t="s">
        <v>53</v>
      </c>
      <c r="N136" s="42">
        <v>1200</v>
      </c>
      <c r="P136" s="41" t="s">
        <v>159</v>
      </c>
    </row>
    <row r="137" spans="3:16" ht="10.8" thickBot="1" x14ac:dyDescent="0.25">
      <c r="C137" s="60" t="s">
        <v>67</v>
      </c>
      <c r="D137" s="61"/>
      <c r="E137" s="61"/>
      <c r="F137" s="61"/>
      <c r="G137" s="61"/>
      <c r="H137" s="61"/>
      <c r="I137" s="62">
        <f>SUMIFS(Table27[Debit],Table27[Column1],"Misc")</f>
        <v>3707.62</v>
      </c>
      <c r="J137" s="62">
        <f>SUMIFS(Table27[Credit],Table27[Column1],"Misc")</f>
        <v>0</v>
      </c>
      <c r="L137" s="43">
        <v>44726</v>
      </c>
      <c r="M137" s="42" t="s">
        <v>53</v>
      </c>
      <c r="N137" s="42">
        <v>1100</v>
      </c>
      <c r="P137" s="41" t="s">
        <v>159</v>
      </c>
    </row>
    <row r="138" spans="3:16" ht="10.8" thickBot="1" x14ac:dyDescent="0.25">
      <c r="C138" s="50"/>
      <c r="D138" s="51"/>
      <c r="E138" s="51"/>
      <c r="F138" s="51"/>
      <c r="G138" s="51"/>
      <c r="H138" s="73" t="s">
        <v>1</v>
      </c>
      <c r="I138" s="56">
        <f>SUM(I134:I137)</f>
        <v>38204.97</v>
      </c>
      <c r="J138" s="52">
        <f>SUM(J134:J137)</f>
        <v>17593.73</v>
      </c>
      <c r="L138" s="43">
        <v>44734</v>
      </c>
      <c r="M138" s="42" t="s">
        <v>53</v>
      </c>
      <c r="N138" s="42">
        <v>580</v>
      </c>
      <c r="P138" s="41" t="s">
        <v>159</v>
      </c>
    </row>
    <row r="139" spans="3:16" x14ac:dyDescent="0.2">
      <c r="I139" s="68">
        <f>I138-J138</f>
        <v>20611.240000000002</v>
      </c>
      <c r="L139" s="43">
        <v>44742</v>
      </c>
      <c r="M139" s="42" t="s">
        <v>53</v>
      </c>
      <c r="N139" s="42">
        <v>10000</v>
      </c>
      <c r="P139" s="41" t="s">
        <v>159</v>
      </c>
    </row>
    <row r="140" spans="3:16" x14ac:dyDescent="0.2">
      <c r="I140" s="67">
        <f>D130-I139</f>
        <v>46573.5</v>
      </c>
      <c r="L140" s="43">
        <v>44721</v>
      </c>
      <c r="M140" s="42" t="s">
        <v>63</v>
      </c>
      <c r="N140" s="42">
        <v>3138.56</v>
      </c>
      <c r="P140" s="41" t="s">
        <v>159</v>
      </c>
    </row>
    <row r="141" spans="3:16" x14ac:dyDescent="0.2">
      <c r="L141" s="43">
        <v>44713</v>
      </c>
      <c r="M141" s="42" t="s">
        <v>51</v>
      </c>
      <c r="N141" s="42">
        <v>18478.79</v>
      </c>
      <c r="P141" s="41" t="s">
        <v>160</v>
      </c>
    </row>
    <row r="142" spans="3:16" x14ac:dyDescent="0.2">
      <c r="L142" s="43">
        <v>44713</v>
      </c>
      <c r="M142" s="42" t="s">
        <v>106</v>
      </c>
      <c r="N142" s="42">
        <v>584</v>
      </c>
      <c r="P142" s="41" t="s">
        <v>161</v>
      </c>
    </row>
    <row r="143" spans="3:16" x14ac:dyDescent="0.2">
      <c r="L143" s="43">
        <v>44741</v>
      </c>
      <c r="M143" s="42" t="s">
        <v>113</v>
      </c>
      <c r="N143" s="42">
        <v>584</v>
      </c>
      <c r="P143" s="41" t="s">
        <v>161</v>
      </c>
    </row>
    <row r="144" spans="3:16" x14ac:dyDescent="0.2">
      <c r="L144" s="42" t="s">
        <v>1</v>
      </c>
      <c r="N144" s="42">
        <f>SUBTOTAL(109,Table27[Debit])</f>
        <v>38204.97</v>
      </c>
      <c r="O144" s="42">
        <f>SUBTOTAL(109,Table27[Credit])</f>
        <v>17593.73</v>
      </c>
    </row>
    <row r="145" spans="3:16" x14ac:dyDescent="0.2">
      <c r="L145" s="43"/>
    </row>
    <row r="146" spans="3:16" ht="10.8" thickBot="1" x14ac:dyDescent="0.25">
      <c r="L146" s="43"/>
    </row>
    <row r="147" spans="3:16" x14ac:dyDescent="0.2">
      <c r="C147" s="41" t="s">
        <v>45</v>
      </c>
      <c r="D147" s="43">
        <v>44743</v>
      </c>
      <c r="E147" s="69">
        <f>D147</f>
        <v>44743</v>
      </c>
      <c r="L147" s="70" t="s">
        <v>14</v>
      </c>
      <c r="M147" s="46" t="s">
        <v>15</v>
      </c>
      <c r="N147" s="46" t="s">
        <v>46</v>
      </c>
      <c r="O147" s="47" t="s">
        <v>47</v>
      </c>
      <c r="P147" s="41" t="s">
        <v>48</v>
      </c>
    </row>
    <row r="148" spans="3:16" x14ac:dyDescent="0.2">
      <c r="C148" s="41" t="s">
        <v>158</v>
      </c>
      <c r="D148" s="43">
        <v>44773</v>
      </c>
      <c r="L148" s="43">
        <v>44743</v>
      </c>
      <c r="M148" s="42" t="s">
        <v>51</v>
      </c>
      <c r="N148" s="42">
        <v>18478.79</v>
      </c>
      <c r="P148" s="41" t="s">
        <v>160</v>
      </c>
    </row>
    <row r="149" spans="3:16" x14ac:dyDescent="0.2">
      <c r="L149" s="43">
        <v>44749</v>
      </c>
      <c r="M149" s="42" t="s">
        <v>121</v>
      </c>
      <c r="N149" s="42">
        <v>3265.16</v>
      </c>
      <c r="P149" s="41" t="s">
        <v>161</v>
      </c>
    </row>
    <row r="150" spans="3:16" x14ac:dyDescent="0.2">
      <c r="C150" s="41" t="s">
        <v>43</v>
      </c>
      <c r="D150" s="44">
        <v>46573.5</v>
      </c>
      <c r="L150" s="43">
        <v>44749</v>
      </c>
      <c r="M150" s="42" t="s">
        <v>120</v>
      </c>
      <c r="N150" s="42">
        <v>1687.96</v>
      </c>
      <c r="P150" s="41" t="s">
        <v>161</v>
      </c>
    </row>
    <row r="151" spans="3:16" x14ac:dyDescent="0.2">
      <c r="C151" s="41" t="s">
        <v>157</v>
      </c>
      <c r="D151" s="44">
        <v>32248.16</v>
      </c>
      <c r="L151" s="43">
        <v>44749</v>
      </c>
      <c r="M151" s="42" t="s">
        <v>115</v>
      </c>
      <c r="N151" s="42">
        <v>33.840000000000003</v>
      </c>
      <c r="P151" s="41" t="s">
        <v>161</v>
      </c>
    </row>
    <row r="152" spans="3:16" ht="10.8" thickBot="1" x14ac:dyDescent="0.25">
      <c r="L152" s="43">
        <v>44749</v>
      </c>
      <c r="M152" s="42" t="s">
        <v>114</v>
      </c>
      <c r="N152" s="42">
        <v>25.23</v>
      </c>
      <c r="P152" s="41" t="s">
        <v>161</v>
      </c>
    </row>
    <row r="153" spans="3:16" ht="10.8" thickBot="1" x14ac:dyDescent="0.25">
      <c r="C153" s="63"/>
      <c r="D153" s="64"/>
      <c r="E153" s="64"/>
      <c r="F153" s="64"/>
      <c r="G153" s="64"/>
      <c r="H153" s="64"/>
      <c r="I153" s="65" t="s">
        <v>46</v>
      </c>
      <c r="J153" s="66" t="s">
        <v>47</v>
      </c>
      <c r="L153" s="43">
        <v>44749</v>
      </c>
      <c r="M153" s="42" t="s">
        <v>118</v>
      </c>
      <c r="N153" s="42">
        <v>284.43</v>
      </c>
      <c r="P153" s="41" t="s">
        <v>161</v>
      </c>
    </row>
    <row r="154" spans="3:16" x14ac:dyDescent="0.2">
      <c r="C154" s="53" t="s">
        <v>163</v>
      </c>
      <c r="D154" s="45"/>
      <c r="E154" s="45"/>
      <c r="F154" s="45"/>
      <c r="G154" s="45"/>
      <c r="H154" s="45"/>
      <c r="I154" s="54">
        <f>SUMIFS(Table28[Debit],Table28[Column1],"Transfer")</f>
        <v>18478.79</v>
      </c>
      <c r="J154" s="54">
        <f>SUMIFS(Table28[Credit],Table28[Column1],"Transfer")</f>
        <v>0</v>
      </c>
      <c r="L154" s="43">
        <v>44749</v>
      </c>
      <c r="M154" s="42" t="s">
        <v>119</v>
      </c>
      <c r="N154" s="42">
        <v>303.10000000000002</v>
      </c>
      <c r="P154" s="41" t="s">
        <v>161</v>
      </c>
    </row>
    <row r="155" spans="3:16" x14ac:dyDescent="0.2">
      <c r="C155" s="57" t="s">
        <v>44</v>
      </c>
      <c r="D155" s="58"/>
      <c r="E155" s="58"/>
      <c r="F155" s="58"/>
      <c r="G155" s="58"/>
      <c r="H155" s="58"/>
      <c r="I155" s="59">
        <f>SUMIFS(Table28[Debit],Table28[Column1],"Check")</f>
        <v>7851.86</v>
      </c>
      <c r="J155" s="59">
        <f>SUMIFS(Table28[Credit],Table28[Column1],"Check")</f>
        <v>0</v>
      </c>
      <c r="L155" s="43">
        <v>44749</v>
      </c>
      <c r="M155" s="42" t="s">
        <v>117</v>
      </c>
      <c r="N155" s="42">
        <v>283.55</v>
      </c>
      <c r="P155" s="41" t="s">
        <v>161</v>
      </c>
    </row>
    <row r="156" spans="3:16" x14ac:dyDescent="0.2">
      <c r="C156" s="48" t="s">
        <v>66</v>
      </c>
      <c r="I156" s="55">
        <f>SUMIFS(Table28[Debit],Table28[Column1],"RDC")</f>
        <v>0</v>
      </c>
      <c r="J156" s="55">
        <f>SUMIFS(Table28[Credit],Table28[Column1],"RDC")</f>
        <v>20814.59</v>
      </c>
      <c r="L156" s="43">
        <v>44749</v>
      </c>
      <c r="M156" s="42" t="s">
        <v>116</v>
      </c>
      <c r="N156" s="42">
        <v>154.30000000000001</v>
      </c>
      <c r="P156" s="41" t="s">
        <v>161</v>
      </c>
    </row>
    <row r="157" spans="3:16" ht="10.8" thickBot="1" x14ac:dyDescent="0.25">
      <c r="C157" s="60" t="s">
        <v>67</v>
      </c>
      <c r="D157" s="61"/>
      <c r="E157" s="61"/>
      <c r="F157" s="61"/>
      <c r="G157" s="61"/>
      <c r="H157" s="61"/>
      <c r="I157" s="62">
        <f>SUMIFS(Table28[Debit],Table28[Column1],"Misc")</f>
        <v>8809.2799999999988</v>
      </c>
      <c r="J157" s="62">
        <f>SUMIFS(Table28[Credit],Table28[Column1],"Misc")</f>
        <v>0</v>
      </c>
      <c r="L157" s="43">
        <v>44750</v>
      </c>
      <c r="M157" s="42" t="s">
        <v>54</v>
      </c>
      <c r="O157" s="42">
        <v>3694.4</v>
      </c>
      <c r="P157" s="41" t="s">
        <v>162</v>
      </c>
    </row>
    <row r="158" spans="3:16" ht="10.8" thickBot="1" x14ac:dyDescent="0.25">
      <c r="C158" s="50"/>
      <c r="D158" s="51"/>
      <c r="E158" s="51"/>
      <c r="F158" s="51"/>
      <c r="G158" s="51"/>
      <c r="H158" s="73" t="s">
        <v>1</v>
      </c>
      <c r="I158" s="56">
        <f>SUM(I154:I157)</f>
        <v>35139.93</v>
      </c>
      <c r="J158" s="52">
        <f>SUM(J154:J157)</f>
        <v>20814.59</v>
      </c>
      <c r="L158" s="43">
        <v>44753</v>
      </c>
      <c r="M158" s="42" t="s">
        <v>54</v>
      </c>
      <c r="O158" s="42">
        <v>13899.33</v>
      </c>
      <c r="P158" s="41" t="s">
        <v>162</v>
      </c>
    </row>
    <row r="159" spans="3:16" x14ac:dyDescent="0.2">
      <c r="I159" s="68">
        <f>I158-J158</f>
        <v>14325.34</v>
      </c>
      <c r="L159" s="43">
        <v>44753</v>
      </c>
      <c r="M159" s="42" t="s">
        <v>122</v>
      </c>
      <c r="N159" s="42">
        <v>380.92</v>
      </c>
      <c r="P159" s="41" t="s">
        <v>161</v>
      </c>
    </row>
    <row r="160" spans="3:16" x14ac:dyDescent="0.2">
      <c r="I160" s="67">
        <f>D150-I159</f>
        <v>32248.16</v>
      </c>
      <c r="L160" s="43">
        <v>44753</v>
      </c>
      <c r="M160" s="42" t="s">
        <v>53</v>
      </c>
      <c r="N160" s="42">
        <v>2500</v>
      </c>
      <c r="P160" s="41" t="s">
        <v>159</v>
      </c>
    </row>
    <row r="161" spans="3:16" x14ac:dyDescent="0.2">
      <c r="L161" s="43">
        <v>44754</v>
      </c>
      <c r="M161" s="42" t="s">
        <v>52</v>
      </c>
      <c r="N161" s="42">
        <v>2040</v>
      </c>
      <c r="P161" s="41" t="s">
        <v>159</v>
      </c>
    </row>
    <row r="162" spans="3:16" x14ac:dyDescent="0.2">
      <c r="L162" s="43">
        <v>44755</v>
      </c>
      <c r="M162" s="42" t="s">
        <v>53</v>
      </c>
      <c r="N162" s="42">
        <v>351.86</v>
      </c>
      <c r="P162" s="41" t="s">
        <v>159</v>
      </c>
    </row>
    <row r="163" spans="3:16" x14ac:dyDescent="0.2">
      <c r="L163" s="43">
        <v>44756</v>
      </c>
      <c r="M163" s="42" t="s">
        <v>54</v>
      </c>
      <c r="O163" s="42">
        <v>3220.86</v>
      </c>
      <c r="P163" s="41" t="s">
        <v>162</v>
      </c>
    </row>
    <row r="164" spans="3:16" x14ac:dyDescent="0.2">
      <c r="L164" s="43">
        <v>44757</v>
      </c>
      <c r="M164" s="42" t="s">
        <v>125</v>
      </c>
      <c r="N164" s="42">
        <v>655.32000000000005</v>
      </c>
      <c r="P164" s="41" t="s">
        <v>161</v>
      </c>
    </row>
    <row r="165" spans="3:16" x14ac:dyDescent="0.2">
      <c r="L165" s="43">
        <v>44757</v>
      </c>
      <c r="M165" s="42" t="s">
        <v>123</v>
      </c>
      <c r="N165" s="42">
        <v>2.79</v>
      </c>
      <c r="P165" s="41" t="s">
        <v>161</v>
      </c>
    </row>
    <row r="166" spans="3:16" x14ac:dyDescent="0.2">
      <c r="L166" s="43">
        <v>44757</v>
      </c>
      <c r="M166" s="42" t="s">
        <v>124</v>
      </c>
      <c r="N166" s="42">
        <v>38.979999999999997</v>
      </c>
      <c r="P166" s="41" t="s">
        <v>161</v>
      </c>
    </row>
    <row r="167" spans="3:16" x14ac:dyDescent="0.2">
      <c r="L167" s="43">
        <v>44760</v>
      </c>
      <c r="M167" s="42" t="s">
        <v>52</v>
      </c>
      <c r="N167" s="42">
        <v>2960</v>
      </c>
      <c r="P167" s="41" t="s">
        <v>159</v>
      </c>
    </row>
    <row r="168" spans="3:16" x14ac:dyDescent="0.2">
      <c r="L168" s="43">
        <v>44761</v>
      </c>
      <c r="M168" s="42" t="s">
        <v>127</v>
      </c>
      <c r="N168" s="42">
        <v>586.65</v>
      </c>
      <c r="P168" s="41" t="s">
        <v>161</v>
      </c>
    </row>
    <row r="169" spans="3:16" x14ac:dyDescent="0.2">
      <c r="L169" s="43">
        <v>44761</v>
      </c>
      <c r="M169" s="42" t="s">
        <v>126</v>
      </c>
      <c r="N169" s="42">
        <v>154.13</v>
      </c>
      <c r="P169" s="41" t="s">
        <v>161</v>
      </c>
    </row>
    <row r="170" spans="3:16" x14ac:dyDescent="0.2">
      <c r="L170" s="43">
        <v>44769</v>
      </c>
      <c r="M170" s="42" t="s">
        <v>128</v>
      </c>
      <c r="N170" s="42">
        <v>380.92</v>
      </c>
      <c r="P170" s="41" t="s">
        <v>161</v>
      </c>
    </row>
    <row r="171" spans="3:16" x14ac:dyDescent="0.2">
      <c r="L171" s="43">
        <v>44771</v>
      </c>
      <c r="M171" s="42" t="s">
        <v>129</v>
      </c>
      <c r="N171" s="42">
        <v>572</v>
      </c>
      <c r="P171" s="41" t="s">
        <v>161</v>
      </c>
    </row>
    <row r="172" spans="3:16" x14ac:dyDescent="0.2">
      <c r="L172" s="42" t="s">
        <v>1</v>
      </c>
      <c r="N172" s="42">
        <f>SUBTOTAL(109,Table28[Debit])</f>
        <v>35139.929999999993</v>
      </c>
      <c r="O172" s="42">
        <f>SUBTOTAL(109,Table28[Credit])</f>
        <v>20814.59</v>
      </c>
    </row>
    <row r="173" spans="3:16" x14ac:dyDescent="0.2">
      <c r="L173" s="43"/>
    </row>
    <row r="174" spans="3:16" ht="10.8" thickBot="1" x14ac:dyDescent="0.25">
      <c r="L174" s="43"/>
    </row>
    <row r="175" spans="3:16" x14ac:dyDescent="0.2">
      <c r="C175" s="41" t="s">
        <v>45</v>
      </c>
      <c r="D175" s="43">
        <v>44774</v>
      </c>
      <c r="E175" s="69">
        <f>D175</f>
        <v>44774</v>
      </c>
      <c r="L175" s="70" t="s">
        <v>14</v>
      </c>
      <c r="M175" s="46" t="s">
        <v>15</v>
      </c>
      <c r="N175" s="46" t="s">
        <v>46</v>
      </c>
      <c r="O175" s="47" t="s">
        <v>47</v>
      </c>
      <c r="P175" s="41" t="s">
        <v>48</v>
      </c>
    </row>
    <row r="176" spans="3:16" x14ac:dyDescent="0.2">
      <c r="C176" s="41" t="s">
        <v>158</v>
      </c>
      <c r="D176" s="43">
        <v>44804</v>
      </c>
      <c r="L176" s="43">
        <v>44789</v>
      </c>
      <c r="M176" s="42" t="s">
        <v>131</v>
      </c>
      <c r="N176" s="42">
        <v>2561.7600000000002</v>
      </c>
      <c r="P176" s="41" t="s">
        <v>161</v>
      </c>
    </row>
    <row r="177" spans="3:16" x14ac:dyDescent="0.2">
      <c r="L177" s="43">
        <v>44789</v>
      </c>
      <c r="M177" s="42" t="s">
        <v>130</v>
      </c>
      <c r="N177" s="42">
        <v>14.87</v>
      </c>
      <c r="P177" s="41" t="s">
        <v>161</v>
      </c>
    </row>
    <row r="178" spans="3:16" x14ac:dyDescent="0.2">
      <c r="C178" s="41" t="s">
        <v>43</v>
      </c>
      <c r="D178" s="44">
        <v>32248.16</v>
      </c>
      <c r="L178" s="43">
        <v>44788</v>
      </c>
      <c r="M178" s="42" t="s">
        <v>54</v>
      </c>
      <c r="O178" s="42">
        <v>28459.89</v>
      </c>
      <c r="P178" s="41" t="s">
        <v>162</v>
      </c>
    </row>
    <row r="179" spans="3:16" x14ac:dyDescent="0.2">
      <c r="C179" s="41" t="s">
        <v>157</v>
      </c>
      <c r="D179" s="44">
        <v>32578.240000000002</v>
      </c>
      <c r="L179" s="43">
        <v>44797</v>
      </c>
      <c r="M179" s="42" t="s">
        <v>132</v>
      </c>
      <c r="N179" s="42">
        <v>143.88</v>
      </c>
      <c r="P179" s="41" t="s">
        <v>161</v>
      </c>
    </row>
    <row r="180" spans="3:16" ht="10.8" thickBot="1" x14ac:dyDescent="0.25">
      <c r="L180" s="43">
        <v>44777</v>
      </c>
      <c r="M180" s="42" t="s">
        <v>53</v>
      </c>
      <c r="N180" s="42">
        <v>2500</v>
      </c>
      <c r="P180" s="41" t="s">
        <v>159</v>
      </c>
    </row>
    <row r="181" spans="3:16" ht="10.8" thickBot="1" x14ac:dyDescent="0.25">
      <c r="C181" s="63"/>
      <c r="D181" s="64"/>
      <c r="E181" s="64"/>
      <c r="F181" s="64"/>
      <c r="G181" s="64"/>
      <c r="H181" s="64"/>
      <c r="I181" s="65" t="s">
        <v>46</v>
      </c>
      <c r="J181" s="66" t="s">
        <v>47</v>
      </c>
      <c r="L181" s="43">
        <v>44783</v>
      </c>
      <c r="M181" s="42" t="s">
        <v>53</v>
      </c>
      <c r="N181" s="42">
        <v>693.25</v>
      </c>
      <c r="P181" s="41" t="s">
        <v>159</v>
      </c>
    </row>
    <row r="182" spans="3:16" x14ac:dyDescent="0.2">
      <c r="C182" s="53" t="s">
        <v>163</v>
      </c>
      <c r="D182" s="45"/>
      <c r="E182" s="45"/>
      <c r="F182" s="45"/>
      <c r="G182" s="45"/>
      <c r="H182" s="45"/>
      <c r="I182" s="54">
        <f>SUMIFS(Table29[Debit],Table29[Column1],"Transfer")</f>
        <v>18478.79</v>
      </c>
      <c r="J182" s="54">
        <f>SUMIFS(Table29[Credit],Table29[Column1],"Transfer")</f>
        <v>0</v>
      </c>
      <c r="L182" s="43">
        <v>44788</v>
      </c>
      <c r="M182" s="42" t="s">
        <v>53</v>
      </c>
      <c r="N182" s="42">
        <v>1200</v>
      </c>
      <c r="P182" s="41" t="s">
        <v>159</v>
      </c>
    </row>
    <row r="183" spans="3:16" x14ac:dyDescent="0.2">
      <c r="C183" s="57" t="s">
        <v>44</v>
      </c>
      <c r="D183" s="58"/>
      <c r="E183" s="58"/>
      <c r="F183" s="58"/>
      <c r="G183" s="58"/>
      <c r="H183" s="58"/>
      <c r="I183" s="59">
        <f>SUMIFS(Table29[Debit],Table29[Column1],"Check")</f>
        <v>6284.51</v>
      </c>
      <c r="J183" s="59">
        <f>SUMIFS(Table29[Credit],Table29[Column1],"Check")</f>
        <v>0</v>
      </c>
      <c r="L183" s="43">
        <v>44795</v>
      </c>
      <c r="M183" s="42" t="s">
        <v>53</v>
      </c>
      <c r="N183" s="42">
        <v>181.26</v>
      </c>
      <c r="P183" s="41" t="s">
        <v>159</v>
      </c>
    </row>
    <row r="184" spans="3:16" x14ac:dyDescent="0.2">
      <c r="C184" s="48" t="s">
        <v>66</v>
      </c>
      <c r="I184" s="55">
        <f>SUMIFS(Table29[Debit],Table29[Column1],"RDC")</f>
        <v>0</v>
      </c>
      <c r="J184" s="55">
        <f>SUMIFS(Table29[Credit],Table29[Column1],"RDC")</f>
        <v>28459.89</v>
      </c>
      <c r="L184" s="43">
        <v>44781</v>
      </c>
      <c r="M184" s="42" t="s">
        <v>52</v>
      </c>
      <c r="N184" s="42">
        <v>1710</v>
      </c>
      <c r="P184" s="41" t="s">
        <v>159</v>
      </c>
    </row>
    <row r="185" spans="3:16" ht="10.8" thickBot="1" x14ac:dyDescent="0.25">
      <c r="C185" s="60" t="s">
        <v>67</v>
      </c>
      <c r="D185" s="61"/>
      <c r="E185" s="61"/>
      <c r="F185" s="61"/>
      <c r="G185" s="61"/>
      <c r="H185" s="61"/>
      <c r="I185" s="62">
        <f>SUMIFS(Table29[Debit],Table29[Column1],"Misc")</f>
        <v>3366.51</v>
      </c>
      <c r="J185" s="62">
        <f>SUMIFS(Table29[Credit],Table29[Column1],"Misc")</f>
        <v>0</v>
      </c>
      <c r="L185" s="43">
        <v>44774</v>
      </c>
      <c r="M185" s="42" t="s">
        <v>51</v>
      </c>
      <c r="N185" s="42">
        <v>18478.79</v>
      </c>
      <c r="P185" s="41" t="s">
        <v>160</v>
      </c>
    </row>
    <row r="186" spans="3:16" ht="10.8" thickBot="1" x14ac:dyDescent="0.25">
      <c r="C186" s="50"/>
      <c r="D186" s="51"/>
      <c r="E186" s="51"/>
      <c r="F186" s="51"/>
      <c r="G186" s="51"/>
      <c r="H186" s="73" t="s">
        <v>1</v>
      </c>
      <c r="I186" s="56">
        <f>SUM(I182:I185)</f>
        <v>28129.810000000005</v>
      </c>
      <c r="J186" s="52">
        <f>SUM(J182:J185)</f>
        <v>28459.89</v>
      </c>
      <c r="L186" s="43">
        <v>44803</v>
      </c>
      <c r="M186" s="42" t="s">
        <v>133</v>
      </c>
      <c r="N186" s="42">
        <v>646</v>
      </c>
      <c r="P186" s="41" t="s">
        <v>161</v>
      </c>
    </row>
    <row r="187" spans="3:16" x14ac:dyDescent="0.2">
      <c r="I187" s="68">
        <f>I186-J186</f>
        <v>-330.07999999999447</v>
      </c>
      <c r="L187" s="42" t="s">
        <v>1</v>
      </c>
      <c r="N187" s="42">
        <f>SUBTOTAL(109,Table29[Debit])</f>
        <v>28129.81</v>
      </c>
      <c r="O187" s="42">
        <f>SUBTOTAL(109,Table29[Credit])</f>
        <v>28459.89</v>
      </c>
    </row>
    <row r="188" spans="3:16" x14ac:dyDescent="0.2">
      <c r="I188" s="67">
        <f>D178-I187</f>
        <v>32578.239999999994</v>
      </c>
      <c r="L188" s="43"/>
    </row>
    <row r="189" spans="3:16" ht="10.8" thickBot="1" x14ac:dyDescent="0.25">
      <c r="L189" s="43"/>
    </row>
    <row r="190" spans="3:16" x14ac:dyDescent="0.2">
      <c r="C190" s="41" t="s">
        <v>45</v>
      </c>
      <c r="D190" s="43">
        <v>44805</v>
      </c>
      <c r="E190" s="69">
        <f>D190</f>
        <v>44805</v>
      </c>
      <c r="L190" s="70" t="s">
        <v>14</v>
      </c>
      <c r="M190" s="46" t="s">
        <v>15</v>
      </c>
      <c r="N190" s="46" t="s">
        <v>46</v>
      </c>
      <c r="O190" s="47" t="s">
        <v>47</v>
      </c>
      <c r="P190" s="41" t="s">
        <v>48</v>
      </c>
    </row>
    <row r="191" spans="3:16" x14ac:dyDescent="0.2">
      <c r="C191" s="41" t="s">
        <v>158</v>
      </c>
      <c r="D191" s="43">
        <v>44836</v>
      </c>
      <c r="L191" s="43">
        <v>44813</v>
      </c>
      <c r="M191" s="42" t="s">
        <v>135</v>
      </c>
      <c r="N191" s="42">
        <v>3265.16</v>
      </c>
      <c r="P191" s="41" t="s">
        <v>161</v>
      </c>
    </row>
    <row r="192" spans="3:16" x14ac:dyDescent="0.2">
      <c r="L192" s="43">
        <v>44817</v>
      </c>
      <c r="M192" s="42" t="s">
        <v>136</v>
      </c>
      <c r="N192" s="42">
        <v>75.5</v>
      </c>
      <c r="P192" s="41" t="s">
        <v>161</v>
      </c>
    </row>
    <row r="193" spans="3:16" x14ac:dyDescent="0.2">
      <c r="C193" s="41" t="s">
        <v>43</v>
      </c>
      <c r="D193" s="44">
        <v>32578.240000000002</v>
      </c>
      <c r="L193" s="43">
        <v>44818</v>
      </c>
      <c r="M193" s="42" t="s">
        <v>138</v>
      </c>
      <c r="N193" s="42">
        <v>2463.16</v>
      </c>
      <c r="P193" s="41" t="s">
        <v>161</v>
      </c>
    </row>
    <row r="194" spans="3:16" x14ac:dyDescent="0.2">
      <c r="C194" s="41" t="s">
        <v>157</v>
      </c>
      <c r="D194" s="44">
        <v>61880.35</v>
      </c>
      <c r="L194" s="43">
        <v>44818</v>
      </c>
      <c r="M194" s="42" t="s">
        <v>137</v>
      </c>
      <c r="N194" s="42">
        <v>17.8</v>
      </c>
      <c r="P194" s="41" t="s">
        <v>161</v>
      </c>
    </row>
    <row r="195" spans="3:16" ht="10.8" thickBot="1" x14ac:dyDescent="0.25">
      <c r="L195" s="43">
        <v>44820</v>
      </c>
      <c r="M195" s="42" t="s">
        <v>54</v>
      </c>
      <c r="O195" s="42">
        <v>20814.59</v>
      </c>
      <c r="P195" s="41" t="s">
        <v>162</v>
      </c>
    </row>
    <row r="196" spans="3:16" ht="10.8" thickBot="1" x14ac:dyDescent="0.25">
      <c r="C196" s="63"/>
      <c r="D196" s="64"/>
      <c r="E196" s="64"/>
      <c r="F196" s="64"/>
      <c r="G196" s="64"/>
      <c r="H196" s="64"/>
      <c r="I196" s="65" t="s">
        <v>46</v>
      </c>
      <c r="J196" s="66" t="s">
        <v>47</v>
      </c>
      <c r="L196" s="43">
        <v>44830</v>
      </c>
      <c r="M196" s="42" t="s">
        <v>54</v>
      </c>
      <c r="O196" s="42">
        <v>38225.699999999997</v>
      </c>
      <c r="P196" s="41" t="s">
        <v>162</v>
      </c>
    </row>
    <row r="197" spans="3:16" x14ac:dyDescent="0.2">
      <c r="C197" s="53" t="s">
        <v>163</v>
      </c>
      <c r="D197" s="45"/>
      <c r="E197" s="45"/>
      <c r="F197" s="45"/>
      <c r="G197" s="45"/>
      <c r="H197" s="45"/>
      <c r="I197" s="54">
        <f>SUMIFS(Table30[Debit],Table30[Column1],"Transfer")</f>
        <v>18478.79</v>
      </c>
      <c r="J197" s="54">
        <f>SUMIFS(Table30[Credit],Table30[Column1],"Transfer")</f>
        <v>0</v>
      </c>
      <c r="L197" s="43">
        <v>44813</v>
      </c>
      <c r="M197" s="42" t="s">
        <v>134</v>
      </c>
      <c r="N197" s="42">
        <v>380.92</v>
      </c>
      <c r="P197" s="41" t="s">
        <v>161</v>
      </c>
    </row>
    <row r="198" spans="3:16" x14ac:dyDescent="0.2">
      <c r="C198" s="57" t="s">
        <v>44</v>
      </c>
      <c r="D198" s="58"/>
      <c r="E198" s="58"/>
      <c r="F198" s="58"/>
      <c r="G198" s="58"/>
      <c r="H198" s="58"/>
      <c r="I198" s="59">
        <f>SUMIFS(Table30[Debit],Table30[Column1],"Check")</f>
        <v>3700</v>
      </c>
      <c r="J198" s="59">
        <f>SUMIFS(Table30[Credit],Table30[Column1],"Check")</f>
        <v>0</v>
      </c>
      <c r="L198" s="43">
        <v>44827</v>
      </c>
      <c r="M198" s="42" t="s">
        <v>53</v>
      </c>
      <c r="N198" s="42">
        <v>1200</v>
      </c>
      <c r="P198" s="41" t="s">
        <v>159</v>
      </c>
    </row>
    <row r="199" spans="3:16" x14ac:dyDescent="0.2">
      <c r="C199" s="48" t="s">
        <v>66</v>
      </c>
      <c r="I199" s="55">
        <f>SUMIFS(Table30[Debit],Table30[Column1],"RDC")</f>
        <v>0</v>
      </c>
      <c r="J199" s="55">
        <f>SUMIFS(Table30[Credit],Table30[Column1],"RDC")</f>
        <v>59040.289999999994</v>
      </c>
      <c r="L199" s="43">
        <v>44830</v>
      </c>
      <c r="M199" s="42" t="s">
        <v>53</v>
      </c>
      <c r="N199" s="42">
        <v>2500</v>
      </c>
      <c r="P199" s="41" t="s">
        <v>159</v>
      </c>
    </row>
    <row r="200" spans="3:16" ht="10.8" thickBot="1" x14ac:dyDescent="0.25">
      <c r="C200" s="60" t="s">
        <v>67</v>
      </c>
      <c r="D200" s="61"/>
      <c r="E200" s="61"/>
      <c r="F200" s="61"/>
      <c r="G200" s="61"/>
      <c r="H200" s="61"/>
      <c r="I200" s="62">
        <f>SUMIFS(Table30[Debit],Table30[Column1],"Misc")</f>
        <v>7559.39</v>
      </c>
      <c r="J200" s="62">
        <f>SUMIFS(Table30[Credit],Table30[Column1],"Misc")</f>
        <v>0</v>
      </c>
      <c r="L200" s="43">
        <v>44805</v>
      </c>
      <c r="M200" s="42" t="s">
        <v>51</v>
      </c>
      <c r="N200" s="42">
        <v>18478.79</v>
      </c>
      <c r="P200" s="41" t="s">
        <v>160</v>
      </c>
    </row>
    <row r="201" spans="3:16" ht="10.8" thickBot="1" x14ac:dyDescent="0.25">
      <c r="C201" s="50"/>
      <c r="D201" s="51"/>
      <c r="E201" s="51"/>
      <c r="F201" s="51"/>
      <c r="G201" s="51"/>
      <c r="H201" s="73" t="s">
        <v>1</v>
      </c>
      <c r="I201" s="56">
        <f>SUM(I197:I200)</f>
        <v>29738.18</v>
      </c>
      <c r="J201" s="52">
        <f>SUM(J197:J200)</f>
        <v>59040.289999999994</v>
      </c>
      <c r="L201" s="43">
        <v>44820</v>
      </c>
      <c r="M201" s="42" t="s">
        <v>59</v>
      </c>
      <c r="N201" s="42">
        <v>710.85</v>
      </c>
      <c r="P201" s="41" t="s">
        <v>161</v>
      </c>
    </row>
    <row r="202" spans="3:16" x14ac:dyDescent="0.2">
      <c r="I202" s="68">
        <f>I201-J201</f>
        <v>-29302.109999999993</v>
      </c>
      <c r="L202" s="43">
        <v>44833</v>
      </c>
      <c r="M202" s="42" t="s">
        <v>139</v>
      </c>
      <c r="N202" s="42">
        <v>646</v>
      </c>
      <c r="P202" s="41" t="s">
        <v>161</v>
      </c>
    </row>
    <row r="203" spans="3:16" x14ac:dyDescent="0.2">
      <c r="I203" s="67">
        <f>D193-I202</f>
        <v>61880.349999999991</v>
      </c>
      <c r="L203" s="42" t="s">
        <v>1</v>
      </c>
      <c r="N203" s="42">
        <f>SUBTOTAL(109,Table30[Debit])</f>
        <v>29738.18</v>
      </c>
      <c r="O203" s="42">
        <f>SUBTOTAL(109,Table30[Credit])</f>
        <v>59040.289999999994</v>
      </c>
    </row>
    <row r="204" spans="3:16" x14ac:dyDescent="0.2">
      <c r="L204" s="43"/>
    </row>
    <row r="205" spans="3:16" ht="10.8" thickBot="1" x14ac:dyDescent="0.25">
      <c r="L205" s="43"/>
    </row>
    <row r="206" spans="3:16" x14ac:dyDescent="0.2">
      <c r="C206" s="41" t="s">
        <v>45</v>
      </c>
      <c r="D206" s="43">
        <v>44837</v>
      </c>
      <c r="E206" s="69">
        <f>D206</f>
        <v>44837</v>
      </c>
      <c r="L206" s="70" t="s">
        <v>14</v>
      </c>
      <c r="M206" s="46" t="s">
        <v>15</v>
      </c>
      <c r="N206" s="46" t="s">
        <v>46</v>
      </c>
      <c r="O206" s="47" t="s">
        <v>47</v>
      </c>
      <c r="P206" s="41" t="s">
        <v>48</v>
      </c>
    </row>
    <row r="207" spans="3:16" x14ac:dyDescent="0.2">
      <c r="C207" s="41" t="s">
        <v>158</v>
      </c>
      <c r="D207" s="43">
        <v>44865</v>
      </c>
      <c r="L207" s="43">
        <v>44837</v>
      </c>
      <c r="M207" s="42" t="s">
        <v>51</v>
      </c>
      <c r="N207" s="42">
        <v>18478.79</v>
      </c>
      <c r="P207" s="41" t="s">
        <v>160</v>
      </c>
    </row>
    <row r="208" spans="3:16" x14ac:dyDescent="0.2">
      <c r="L208" s="43">
        <v>44839</v>
      </c>
      <c r="M208" s="42" t="s">
        <v>53</v>
      </c>
      <c r="N208" s="42">
        <v>250</v>
      </c>
      <c r="P208" s="41" t="s">
        <v>159</v>
      </c>
    </row>
    <row r="209" spans="3:16" x14ac:dyDescent="0.2">
      <c r="C209" s="41" t="s">
        <v>43</v>
      </c>
      <c r="D209" s="44">
        <v>61880.35</v>
      </c>
      <c r="L209" s="43">
        <v>44848</v>
      </c>
      <c r="M209" s="42" t="s">
        <v>141</v>
      </c>
      <c r="N209" s="42">
        <v>2037.58</v>
      </c>
      <c r="P209" s="41" t="s">
        <v>161</v>
      </c>
    </row>
    <row r="210" spans="3:16" x14ac:dyDescent="0.2">
      <c r="C210" s="41" t="s">
        <v>157</v>
      </c>
      <c r="D210" s="44">
        <v>55428.05</v>
      </c>
      <c r="L210" s="43">
        <v>44848</v>
      </c>
      <c r="M210" s="42" t="s">
        <v>140</v>
      </c>
      <c r="N210" s="42">
        <v>14.88</v>
      </c>
      <c r="P210" s="41" t="s">
        <v>161</v>
      </c>
    </row>
    <row r="211" spans="3:16" ht="10.8" thickBot="1" x14ac:dyDescent="0.25">
      <c r="L211" s="43">
        <v>44848</v>
      </c>
      <c r="M211" s="42" t="s">
        <v>54</v>
      </c>
      <c r="O211" s="42">
        <v>13459.89</v>
      </c>
      <c r="P211" s="41" t="s">
        <v>162</v>
      </c>
    </row>
    <row r="212" spans="3:16" ht="10.8" thickBot="1" x14ac:dyDescent="0.25">
      <c r="C212" s="63"/>
      <c r="D212" s="64"/>
      <c r="E212" s="64"/>
      <c r="F212" s="64"/>
      <c r="G212" s="64"/>
      <c r="H212" s="64"/>
      <c r="I212" s="65" t="s">
        <v>46</v>
      </c>
      <c r="J212" s="66" t="s">
        <v>47</v>
      </c>
      <c r="L212" s="43">
        <v>44851</v>
      </c>
      <c r="M212" s="42" t="s">
        <v>142</v>
      </c>
      <c r="O212" s="42">
        <v>5</v>
      </c>
      <c r="P212" s="41" t="s">
        <v>161</v>
      </c>
    </row>
    <row r="213" spans="3:16" x14ac:dyDescent="0.2">
      <c r="C213" s="53" t="s">
        <v>163</v>
      </c>
      <c r="D213" s="45"/>
      <c r="E213" s="45"/>
      <c r="F213" s="45"/>
      <c r="G213" s="45"/>
      <c r="H213" s="45"/>
      <c r="I213" s="54">
        <f>SUMIFS(Table31[Debit],Table31[Column1],"Transfer")</f>
        <v>18478.79</v>
      </c>
      <c r="J213" s="54">
        <f>SUMIFS(Table31[Credit],Table31[Column1],"Transfer")</f>
        <v>0</v>
      </c>
      <c r="L213" s="43">
        <v>44851</v>
      </c>
      <c r="M213" s="42" t="s">
        <v>53</v>
      </c>
      <c r="N213" s="42">
        <v>2500</v>
      </c>
      <c r="P213" s="41" t="s">
        <v>159</v>
      </c>
    </row>
    <row r="214" spans="3:16" x14ac:dyDescent="0.2">
      <c r="C214" s="57" t="s">
        <v>44</v>
      </c>
      <c r="D214" s="58"/>
      <c r="E214" s="58"/>
      <c r="F214" s="58"/>
      <c r="G214" s="58"/>
      <c r="H214" s="58"/>
      <c r="I214" s="59">
        <f>SUMIFS(Table31[Debit],Table31[Column1],"Check")</f>
        <v>5050</v>
      </c>
      <c r="J214" s="59">
        <f>SUMIFS(Table31[Credit],Table31[Column1],"Check")</f>
        <v>0</v>
      </c>
      <c r="L214" s="43">
        <v>44851</v>
      </c>
      <c r="M214" s="42" t="s">
        <v>59</v>
      </c>
      <c r="N214" s="42">
        <v>618.72</v>
      </c>
      <c r="P214" s="41" t="s">
        <v>161</v>
      </c>
    </row>
    <row r="215" spans="3:16" x14ac:dyDescent="0.2">
      <c r="C215" s="48" t="s">
        <v>66</v>
      </c>
      <c r="I215" s="55">
        <f>SUMIFS(Table31[Debit],Table31[Column1],"RDC")</f>
        <v>0</v>
      </c>
      <c r="J215" s="55">
        <f>SUMIFS(Table31[Credit],Table31[Column1],"RDC")</f>
        <v>13459.89</v>
      </c>
      <c r="L215" s="43">
        <v>44852</v>
      </c>
      <c r="M215" s="42" t="s">
        <v>143</v>
      </c>
      <c r="O215" s="42">
        <v>7349.7</v>
      </c>
      <c r="P215" s="41" t="s">
        <v>161</v>
      </c>
    </row>
    <row r="216" spans="3:16" ht="10.8" thickBot="1" x14ac:dyDescent="0.25">
      <c r="C216" s="60" t="s">
        <v>67</v>
      </c>
      <c r="D216" s="61"/>
      <c r="E216" s="61"/>
      <c r="F216" s="61"/>
      <c r="G216" s="61"/>
      <c r="H216" s="61"/>
      <c r="I216" s="62">
        <f>SUMIFS(Table31[Debit],Table31[Column1],"Misc")</f>
        <v>3738.1000000000004</v>
      </c>
      <c r="J216" s="62">
        <f>SUMIFS(Table31[Credit],Table31[Column1],"Misc")</f>
        <v>7354.7</v>
      </c>
      <c r="L216" s="43">
        <v>44852</v>
      </c>
      <c r="M216" s="42" t="s">
        <v>53</v>
      </c>
      <c r="N216" s="42">
        <v>1100</v>
      </c>
      <c r="P216" s="41" t="s">
        <v>159</v>
      </c>
    </row>
    <row r="217" spans="3:16" ht="10.8" thickBot="1" x14ac:dyDescent="0.25">
      <c r="C217" s="50"/>
      <c r="D217" s="51"/>
      <c r="E217" s="51"/>
      <c r="F217" s="51"/>
      <c r="G217" s="51"/>
      <c r="H217" s="73" t="s">
        <v>1</v>
      </c>
      <c r="I217" s="56">
        <f>SUM(I213:I216)</f>
        <v>27266.89</v>
      </c>
      <c r="J217" s="52">
        <f>SUM(J213:J216)</f>
        <v>20814.59</v>
      </c>
      <c r="L217" s="43">
        <v>44853</v>
      </c>
      <c r="M217" s="42" t="s">
        <v>53</v>
      </c>
      <c r="N217" s="42">
        <v>1200</v>
      </c>
      <c r="P217" s="41" t="s">
        <v>159</v>
      </c>
    </row>
    <row r="218" spans="3:16" x14ac:dyDescent="0.2">
      <c r="I218" s="68">
        <f>I217-J217</f>
        <v>6452.2999999999993</v>
      </c>
      <c r="L218" s="43">
        <v>44855</v>
      </c>
      <c r="M218" s="42" t="s">
        <v>144</v>
      </c>
      <c r="N218" s="42">
        <v>420.92</v>
      </c>
      <c r="P218" s="41" t="s">
        <v>161</v>
      </c>
    </row>
    <row r="219" spans="3:16" x14ac:dyDescent="0.2">
      <c r="I219" s="67">
        <f>D209-I218</f>
        <v>55428.05</v>
      </c>
      <c r="L219" s="43">
        <v>44865</v>
      </c>
      <c r="M219" s="42" t="s">
        <v>145</v>
      </c>
      <c r="N219" s="42">
        <v>646</v>
      </c>
      <c r="P219" s="41" t="s">
        <v>161</v>
      </c>
    </row>
    <row r="220" spans="3:16" x14ac:dyDescent="0.2">
      <c r="L220" s="42" t="s">
        <v>1</v>
      </c>
      <c r="N220" s="42">
        <f>SUBTOTAL(109,Table31[Debit])</f>
        <v>27266.890000000003</v>
      </c>
      <c r="O220" s="42">
        <f>SUBTOTAL(109,Table31[Credit])</f>
        <v>20814.59</v>
      </c>
    </row>
    <row r="221" spans="3:16" x14ac:dyDescent="0.2">
      <c r="L221" s="43"/>
    </row>
    <row r="222" spans="3:16" ht="10.8" thickBot="1" x14ac:dyDescent="0.25">
      <c r="L222" s="43"/>
    </row>
    <row r="223" spans="3:16" x14ac:dyDescent="0.2">
      <c r="C223" s="41" t="s">
        <v>45</v>
      </c>
      <c r="D223" s="43">
        <v>44866</v>
      </c>
      <c r="E223" s="69">
        <f>D223</f>
        <v>44866</v>
      </c>
      <c r="L223" s="70" t="s">
        <v>14</v>
      </c>
      <c r="M223" s="46" t="s">
        <v>15</v>
      </c>
      <c r="N223" s="46" t="s">
        <v>46</v>
      </c>
      <c r="O223" s="47" t="s">
        <v>47</v>
      </c>
      <c r="P223" s="41" t="s">
        <v>48</v>
      </c>
    </row>
    <row r="224" spans="3:16" x14ac:dyDescent="0.2">
      <c r="C224" s="41" t="s">
        <v>158</v>
      </c>
      <c r="D224" s="43">
        <v>44895</v>
      </c>
      <c r="L224" s="43">
        <v>44866</v>
      </c>
      <c r="M224" s="42" t="s">
        <v>51</v>
      </c>
      <c r="N224" s="42">
        <v>18708.78</v>
      </c>
      <c r="P224" s="41" t="s">
        <v>160</v>
      </c>
    </row>
    <row r="225" spans="3:16" x14ac:dyDescent="0.2">
      <c r="L225" s="43">
        <v>44869</v>
      </c>
      <c r="M225" s="42" t="s">
        <v>147</v>
      </c>
      <c r="N225" s="42">
        <v>3265.16</v>
      </c>
      <c r="P225" s="41" t="s">
        <v>161</v>
      </c>
    </row>
    <row r="226" spans="3:16" x14ac:dyDescent="0.2">
      <c r="C226" s="41" t="s">
        <v>43</v>
      </c>
      <c r="D226" s="44">
        <v>55428.05</v>
      </c>
      <c r="L226" s="43">
        <v>44869</v>
      </c>
      <c r="M226" s="42" t="s">
        <v>146</v>
      </c>
      <c r="N226" s="42">
        <v>841.84</v>
      </c>
      <c r="P226" s="41" t="s">
        <v>161</v>
      </c>
    </row>
    <row r="227" spans="3:16" x14ac:dyDescent="0.2">
      <c r="C227" s="41" t="s">
        <v>157</v>
      </c>
      <c r="D227" s="44">
        <v>80168.63</v>
      </c>
      <c r="L227" s="43">
        <v>44872</v>
      </c>
      <c r="M227" s="42" t="s">
        <v>148</v>
      </c>
      <c r="O227" s="42">
        <v>7354.7</v>
      </c>
      <c r="P227" s="41" t="s">
        <v>161</v>
      </c>
    </row>
    <row r="228" spans="3:16" ht="10.8" thickBot="1" x14ac:dyDescent="0.25">
      <c r="L228" s="43">
        <v>44872</v>
      </c>
      <c r="M228" s="42" t="s">
        <v>53</v>
      </c>
      <c r="N228" s="42">
        <v>2500</v>
      </c>
      <c r="P228" s="41" t="s">
        <v>159</v>
      </c>
    </row>
    <row r="229" spans="3:16" ht="10.8" thickBot="1" x14ac:dyDescent="0.25">
      <c r="C229" s="63"/>
      <c r="D229" s="64"/>
      <c r="E229" s="64"/>
      <c r="F229" s="64"/>
      <c r="G229" s="64"/>
      <c r="H229" s="64"/>
      <c r="I229" s="65" t="s">
        <v>46</v>
      </c>
      <c r="J229" s="66" t="s">
        <v>47</v>
      </c>
      <c r="L229" s="43">
        <v>44874</v>
      </c>
      <c r="M229" s="42" t="s">
        <v>53</v>
      </c>
      <c r="N229" s="42">
        <v>1100</v>
      </c>
      <c r="P229" s="41" t="s">
        <v>159</v>
      </c>
    </row>
    <row r="230" spans="3:16" x14ac:dyDescent="0.2">
      <c r="C230" s="53" t="s">
        <v>163</v>
      </c>
      <c r="D230" s="45"/>
      <c r="E230" s="45"/>
      <c r="F230" s="45"/>
      <c r="G230" s="45"/>
      <c r="H230" s="45"/>
      <c r="I230" s="54">
        <f>SUMIFS(Table32[Debit],Table32[Column1],"Transfer")</f>
        <v>18708.78</v>
      </c>
      <c r="J230" s="54">
        <f>SUMIFS(Table32[Credit],Table32[Column1],"Transfer")</f>
        <v>0</v>
      </c>
      <c r="L230" s="43">
        <v>44875</v>
      </c>
      <c r="M230" s="42" t="s">
        <v>149</v>
      </c>
      <c r="N230" s="42">
        <v>303.10000000000002</v>
      </c>
      <c r="P230" s="41" t="s">
        <v>161</v>
      </c>
    </row>
    <row r="231" spans="3:16" x14ac:dyDescent="0.2">
      <c r="C231" s="57" t="s">
        <v>44</v>
      </c>
      <c r="D231" s="58"/>
      <c r="E231" s="58"/>
      <c r="F231" s="58"/>
      <c r="G231" s="58"/>
      <c r="H231" s="58"/>
      <c r="I231" s="59">
        <f>SUMIFS(Table32[Debit],Table32[Column1],"Check")</f>
        <v>27000.58</v>
      </c>
      <c r="J231" s="59">
        <f>SUMIFS(Table32[Credit],Table32[Column1],"Check")</f>
        <v>0</v>
      </c>
      <c r="L231" s="43">
        <v>44879</v>
      </c>
      <c r="M231" s="42" t="s">
        <v>151</v>
      </c>
      <c r="N231" s="42">
        <v>1636.55</v>
      </c>
      <c r="P231" s="41" t="s">
        <v>161</v>
      </c>
    </row>
    <row r="232" spans="3:16" x14ac:dyDescent="0.2">
      <c r="C232" s="48" t="s">
        <v>66</v>
      </c>
      <c r="I232" s="55">
        <f>SUMIFS(Table32[Debit],Table32[Column1],"RDC")</f>
        <v>0</v>
      </c>
      <c r="J232" s="55">
        <f>SUMIFS(Table32[Credit],Table32[Column1],"RDC")</f>
        <v>74089.37</v>
      </c>
      <c r="L232" s="43">
        <v>44879</v>
      </c>
      <c r="M232" s="42" t="s">
        <v>150</v>
      </c>
      <c r="N232" s="42">
        <v>14.87</v>
      </c>
      <c r="P232" s="41" t="s">
        <v>161</v>
      </c>
    </row>
    <row r="233" spans="3:16" ht="10.8" thickBot="1" x14ac:dyDescent="0.25">
      <c r="C233" s="60" t="s">
        <v>67</v>
      </c>
      <c r="D233" s="61"/>
      <c r="E233" s="61"/>
      <c r="F233" s="61"/>
      <c r="G233" s="61"/>
      <c r="H233" s="61"/>
      <c r="I233" s="62">
        <f>SUMIFS(Table32[Debit],Table32[Column1],"Misc")</f>
        <v>10994.130000000001</v>
      </c>
      <c r="J233" s="62">
        <f>SUMIFS(Table32[Credit],Table32[Column1],"Misc")</f>
        <v>7354.7</v>
      </c>
      <c r="L233" s="43">
        <v>44879</v>
      </c>
      <c r="M233" s="42" t="s">
        <v>53</v>
      </c>
      <c r="N233" s="42">
        <v>1032.4100000000001</v>
      </c>
      <c r="P233" s="41" t="s">
        <v>159</v>
      </c>
    </row>
    <row r="234" spans="3:16" ht="10.8" thickBot="1" x14ac:dyDescent="0.25">
      <c r="C234" s="50"/>
      <c r="D234" s="51"/>
      <c r="E234" s="51"/>
      <c r="F234" s="51"/>
      <c r="G234" s="51"/>
      <c r="H234" s="73" t="s">
        <v>1</v>
      </c>
      <c r="I234" s="56">
        <f>SUM(I230:I233)</f>
        <v>56703.490000000005</v>
      </c>
      <c r="J234" s="52">
        <f>SUM(J230:J233)</f>
        <v>81444.069999999992</v>
      </c>
      <c r="L234" s="43">
        <v>44880</v>
      </c>
      <c r="M234" s="42" t="s">
        <v>54</v>
      </c>
      <c r="O234" s="42">
        <v>22109.69</v>
      </c>
      <c r="P234" s="41" t="s">
        <v>162</v>
      </c>
    </row>
    <row r="235" spans="3:16" x14ac:dyDescent="0.2">
      <c r="I235" s="68">
        <f>I234-J234</f>
        <v>-24740.579999999987</v>
      </c>
      <c r="L235" s="43">
        <v>44880</v>
      </c>
      <c r="M235" s="42" t="s">
        <v>53</v>
      </c>
      <c r="N235" s="42">
        <v>351.86</v>
      </c>
      <c r="P235" s="41" t="s">
        <v>159</v>
      </c>
    </row>
    <row r="236" spans="3:16" x14ac:dyDescent="0.2">
      <c r="I236" s="67">
        <f>D226-I235</f>
        <v>80168.62999999999</v>
      </c>
      <c r="L236" s="43">
        <v>44882</v>
      </c>
      <c r="M236" s="42" t="s">
        <v>53</v>
      </c>
      <c r="N236" s="42">
        <v>1290</v>
      </c>
      <c r="P236" s="41" t="s">
        <v>159</v>
      </c>
    </row>
    <row r="237" spans="3:16" x14ac:dyDescent="0.2">
      <c r="L237" s="43">
        <v>44882</v>
      </c>
      <c r="M237" s="42" t="s">
        <v>59</v>
      </c>
      <c r="N237" s="42">
        <v>446.76</v>
      </c>
      <c r="P237" s="41" t="s">
        <v>161</v>
      </c>
    </row>
    <row r="238" spans="3:16" x14ac:dyDescent="0.2">
      <c r="L238" s="43">
        <v>44883</v>
      </c>
      <c r="M238" s="42" t="s">
        <v>154</v>
      </c>
      <c r="N238" s="42">
        <v>972.07</v>
      </c>
      <c r="P238" s="41" t="s">
        <v>161</v>
      </c>
    </row>
    <row r="239" spans="3:16" x14ac:dyDescent="0.2">
      <c r="L239" s="43">
        <v>44883</v>
      </c>
      <c r="M239" s="42" t="s">
        <v>152</v>
      </c>
      <c r="N239" s="42">
        <v>609.44000000000005</v>
      </c>
      <c r="P239" s="41" t="s">
        <v>161</v>
      </c>
    </row>
    <row r="240" spans="3:16" x14ac:dyDescent="0.2">
      <c r="L240" s="43">
        <v>44883</v>
      </c>
      <c r="M240" s="42" t="s">
        <v>153</v>
      </c>
      <c r="N240" s="42">
        <v>625.76</v>
      </c>
      <c r="P240" s="41" t="s">
        <v>161</v>
      </c>
    </row>
    <row r="241" spans="12:16" x14ac:dyDescent="0.2">
      <c r="L241" s="43">
        <v>44886</v>
      </c>
      <c r="M241" s="42" t="s">
        <v>54</v>
      </c>
      <c r="O241" s="42">
        <v>3285.28</v>
      </c>
      <c r="P241" s="41" t="s">
        <v>162</v>
      </c>
    </row>
    <row r="242" spans="12:16" x14ac:dyDescent="0.2">
      <c r="L242" s="43">
        <v>44886</v>
      </c>
      <c r="M242" s="42" t="s">
        <v>63</v>
      </c>
      <c r="N242" s="42">
        <v>6568</v>
      </c>
      <c r="P242" s="41" t="s">
        <v>159</v>
      </c>
    </row>
    <row r="243" spans="12:16" x14ac:dyDescent="0.2">
      <c r="L243" s="43">
        <v>44893</v>
      </c>
      <c r="M243" s="42" t="s">
        <v>53</v>
      </c>
      <c r="N243" s="42">
        <v>5000</v>
      </c>
      <c r="P243" s="41" t="s">
        <v>159</v>
      </c>
    </row>
    <row r="244" spans="12:16" x14ac:dyDescent="0.2">
      <c r="L244" s="43">
        <v>44894</v>
      </c>
      <c r="M244" s="42" t="s">
        <v>54</v>
      </c>
      <c r="O244" s="42">
        <v>48694.400000000001</v>
      </c>
      <c r="P244" s="41" t="s">
        <v>162</v>
      </c>
    </row>
    <row r="245" spans="12:16" x14ac:dyDescent="0.2">
      <c r="L245" s="43">
        <v>44894</v>
      </c>
      <c r="M245" s="42" t="s">
        <v>155</v>
      </c>
      <c r="N245" s="42">
        <v>646</v>
      </c>
      <c r="P245" s="41" t="s">
        <v>161</v>
      </c>
    </row>
    <row r="246" spans="12:16" x14ac:dyDescent="0.2">
      <c r="L246" s="43">
        <v>44895</v>
      </c>
      <c r="M246" s="42" t="s">
        <v>156</v>
      </c>
      <c r="N246" s="42">
        <v>1632.58</v>
      </c>
      <c r="P246" s="41" t="s">
        <v>161</v>
      </c>
    </row>
    <row r="247" spans="12:16" x14ac:dyDescent="0.2">
      <c r="L247" s="43">
        <v>44895</v>
      </c>
      <c r="M247" s="42" t="s">
        <v>53</v>
      </c>
      <c r="N247" s="42">
        <v>9158.31</v>
      </c>
      <c r="P247" s="41" t="s">
        <v>159</v>
      </c>
    </row>
    <row r="248" spans="12:16" x14ac:dyDescent="0.2">
      <c r="L248" s="42" t="s">
        <v>1</v>
      </c>
      <c r="N248" s="42">
        <f>SUBTOTAL(109,Table32[Debit])</f>
        <v>56703.49</v>
      </c>
      <c r="O248" s="42">
        <f>SUBTOTAL(109,Table32[Credit])</f>
        <v>81444.070000000007</v>
      </c>
    </row>
  </sheetData>
  <conditionalFormatting sqref="I18 D9">
    <cfRule type="duplicateValues" dxfId="27" priority="13"/>
  </conditionalFormatting>
  <conditionalFormatting sqref="I45 D36">
    <cfRule type="duplicateValues" dxfId="26" priority="12"/>
  </conditionalFormatting>
  <conditionalFormatting sqref="I63:I64 D54">
    <cfRule type="duplicateValues" dxfId="25" priority="11"/>
  </conditionalFormatting>
  <conditionalFormatting sqref="I78 D69">
    <cfRule type="duplicateValues" dxfId="24" priority="10"/>
  </conditionalFormatting>
  <conditionalFormatting sqref="I101 D92">
    <cfRule type="duplicateValues" dxfId="23" priority="9"/>
  </conditionalFormatting>
  <conditionalFormatting sqref="I120 D111">
    <cfRule type="duplicateValues" dxfId="22" priority="8"/>
  </conditionalFormatting>
  <conditionalFormatting sqref="I140 D131">
    <cfRule type="duplicateValues" dxfId="21" priority="7"/>
  </conditionalFormatting>
  <conditionalFormatting sqref="I160 D151">
    <cfRule type="duplicateValues" dxfId="20" priority="6"/>
  </conditionalFormatting>
  <conditionalFormatting sqref="I188 D179">
    <cfRule type="duplicateValues" dxfId="19" priority="5"/>
  </conditionalFormatting>
  <conditionalFormatting sqref="I203 D194">
    <cfRule type="duplicateValues" dxfId="18" priority="4"/>
  </conditionalFormatting>
  <conditionalFormatting sqref="I219 D210">
    <cfRule type="duplicateValues" dxfId="17" priority="3"/>
  </conditionalFormatting>
  <conditionalFormatting sqref="I236 D227">
    <cfRule type="duplicateValues" dxfId="16" priority="2"/>
  </conditionalFormatting>
  <conditionalFormatting sqref="I16:J16 N29:O29">
    <cfRule type="duplicateValues" dxfId="15" priority="1"/>
  </conditionalFormatting>
  <conditionalFormatting sqref="I43:J43 N48:O48">
    <cfRule type="duplicateValues" dxfId="14" priority="24"/>
  </conditionalFormatting>
  <conditionalFormatting sqref="I43:J43">
    <cfRule type="duplicateValues" dxfId="13" priority="25"/>
  </conditionalFormatting>
  <conditionalFormatting sqref="I76:J76 N85:O85">
    <cfRule type="duplicateValues" dxfId="12" priority="22"/>
  </conditionalFormatting>
  <conditionalFormatting sqref="I99:J99 N104:O104">
    <cfRule type="duplicateValues" dxfId="11" priority="21"/>
  </conditionalFormatting>
  <conditionalFormatting sqref="I118:J118 N124:O124">
    <cfRule type="duplicateValues" dxfId="10" priority="20"/>
  </conditionalFormatting>
  <conditionalFormatting sqref="I138:J138 N144:O144">
    <cfRule type="duplicateValues" dxfId="9" priority="19"/>
  </conditionalFormatting>
  <conditionalFormatting sqref="I158:J158 N172:O172">
    <cfRule type="duplicateValues" dxfId="8" priority="18"/>
  </conditionalFormatting>
  <conditionalFormatting sqref="I186:J186 N187:O187">
    <cfRule type="duplicateValues" dxfId="7" priority="17"/>
  </conditionalFormatting>
  <conditionalFormatting sqref="I201:J201 N203:O203">
    <cfRule type="duplicateValues" dxfId="6" priority="16"/>
  </conditionalFormatting>
  <conditionalFormatting sqref="I217:J217 N220:O220">
    <cfRule type="duplicateValues" dxfId="5" priority="15"/>
  </conditionalFormatting>
  <conditionalFormatting sqref="I234:J234 N248:O248">
    <cfRule type="duplicateValues" dxfId="4" priority="14"/>
  </conditionalFormatting>
  <conditionalFormatting sqref="N61:O61 I61:J61">
    <cfRule type="duplicateValues" dxfId="3" priority="23"/>
  </conditionalFormatting>
  <dataValidations count="1">
    <dataValidation type="list" allowBlank="1" showInputMessage="1" showErrorMessage="1" sqref="E2" xr:uid="{FFBCC169-5CCC-477A-B58A-49606E7FE491}">
      <formula1>"Jan-2022,Feb-2022,Mar-2022,Apr-2022,May-2022,Jun-2022,Jul-2022,Aug-2022,Sep-2022,Oct-2022,Nov-2022,Dec-2022"</formula1>
    </dataValidation>
  </dataValidations>
  <pageMargins left="0.7" right="0.7" top="0.75" bottom="0.75" header="0.3" footer="0.3"/>
  <pageSetup orientation="portrait" r:id="rId1"/>
  <tableParts count="12">
    <tablePart r:id="rId2"/>
    <tablePart r:id="rId3"/>
    <tablePart r:id="rId4"/>
    <tablePart r:id="rId5"/>
    <tablePart r:id="rId6"/>
    <tablePart r:id="rId7"/>
    <tablePart r:id="rId8"/>
    <tablePart r:id="rId9"/>
    <tablePart r:id="rId10"/>
    <tablePart r:id="rId11"/>
    <tablePart r:id="rId12"/>
    <tablePart r:id="rId1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91C58B-7CE9-4E45-AF28-B5475D0C40A7}">
  <dimension ref="B1:P22"/>
  <sheetViews>
    <sheetView showGridLines="0" showWhiteSpace="0" zoomScale="115" zoomScaleNormal="115" workbookViewId="0">
      <selection activeCell="D8" sqref="D8"/>
    </sheetView>
  </sheetViews>
  <sheetFormatPr defaultColWidth="9.28515625" defaultRowHeight="10.8" x14ac:dyDescent="0.25"/>
  <cols>
    <col min="1" max="1" width="2.85546875" style="3" customWidth="1"/>
    <col min="2" max="2" width="31.140625" style="3" customWidth="1"/>
    <col min="3" max="4" width="14.42578125" style="3" customWidth="1"/>
    <col min="5" max="11" width="11.85546875" style="3" customWidth="1"/>
    <col min="12" max="16" width="12.85546875" style="3" customWidth="1"/>
    <col min="17" max="17" width="2.85546875" style="3" customWidth="1"/>
    <col min="18" max="16384" width="9.28515625" style="3"/>
  </cols>
  <sheetData>
    <row r="1" spans="2:16" s="1" customFormat="1" ht="17.399999999999999" customHeight="1" x14ac:dyDescent="0.3">
      <c r="B1" s="247" t="s">
        <v>42</v>
      </c>
      <c r="C1" s="247"/>
      <c r="D1" s="247"/>
      <c r="E1" s="247"/>
      <c r="F1" s="247"/>
      <c r="G1" s="247"/>
      <c r="H1" s="247"/>
      <c r="I1" s="247"/>
      <c r="J1" s="247"/>
      <c r="K1" s="247"/>
      <c r="L1" s="247"/>
      <c r="M1" s="247"/>
      <c r="N1" s="247"/>
      <c r="O1" s="247"/>
      <c r="P1" s="247"/>
    </row>
    <row r="2" spans="2:16" s="1" customFormat="1" ht="13.2" x14ac:dyDescent="0.25">
      <c r="B2" s="5" t="s">
        <v>0</v>
      </c>
      <c r="C2" s="36">
        <v>44561</v>
      </c>
      <c r="D2" s="8"/>
    </row>
    <row r="3" spans="2:16" s="1" customFormat="1" ht="13.2" x14ac:dyDescent="0.25">
      <c r="B3" s="5"/>
      <c r="I3" s="2"/>
    </row>
    <row r="4" spans="2:16" x14ac:dyDescent="0.25">
      <c r="B4" s="19"/>
      <c r="C4" s="23" t="s">
        <v>43</v>
      </c>
      <c r="D4" s="24">
        <f>EDATE(C2,1)</f>
        <v>44592</v>
      </c>
      <c r="E4" s="24">
        <f>EDATE(D4,1)</f>
        <v>44620</v>
      </c>
      <c r="F4" s="24">
        <f t="shared" ref="F4:O4" si="0">EDATE(E4,1)</f>
        <v>44648</v>
      </c>
      <c r="G4" s="24">
        <f t="shared" si="0"/>
        <v>44679</v>
      </c>
      <c r="H4" s="24">
        <f t="shared" si="0"/>
        <v>44709</v>
      </c>
      <c r="I4" s="24">
        <f t="shared" si="0"/>
        <v>44740</v>
      </c>
      <c r="J4" s="24">
        <f t="shared" si="0"/>
        <v>44770</v>
      </c>
      <c r="K4" s="24">
        <f t="shared" si="0"/>
        <v>44801</v>
      </c>
      <c r="L4" s="24">
        <f t="shared" si="0"/>
        <v>44832</v>
      </c>
      <c r="M4" s="24">
        <f t="shared" si="0"/>
        <v>44862</v>
      </c>
      <c r="N4" s="24">
        <f t="shared" si="0"/>
        <v>44893</v>
      </c>
      <c r="O4" s="24">
        <f t="shared" si="0"/>
        <v>44923</v>
      </c>
      <c r="P4" s="25" t="s">
        <v>1</v>
      </c>
    </row>
    <row r="5" spans="2:16" x14ac:dyDescent="0.25">
      <c r="B5" s="19" t="s">
        <v>2</v>
      </c>
      <c r="C5" s="26"/>
      <c r="D5" s="27">
        <f>'Monthly(redundant)'!D35</f>
        <v>67920.55</v>
      </c>
      <c r="E5" s="27" t="e">
        <f t="shared" ref="E5:O5" si="1">D17</f>
        <v>#VALUE!</v>
      </c>
      <c r="F5" s="27" t="e">
        <f t="shared" si="1"/>
        <v>#VALUE!</v>
      </c>
      <c r="G5" s="27" t="e">
        <f t="shared" si="1"/>
        <v>#VALUE!</v>
      </c>
      <c r="H5" s="27" t="e">
        <f t="shared" si="1"/>
        <v>#VALUE!</v>
      </c>
      <c r="I5" s="27" t="e">
        <f t="shared" si="1"/>
        <v>#VALUE!</v>
      </c>
      <c r="J5" s="27" t="e">
        <f t="shared" si="1"/>
        <v>#VALUE!</v>
      </c>
      <c r="K5" s="27" t="e">
        <f t="shared" si="1"/>
        <v>#VALUE!</v>
      </c>
      <c r="L5" s="27" t="e">
        <f t="shared" si="1"/>
        <v>#VALUE!</v>
      </c>
      <c r="M5" s="27" t="e">
        <f t="shared" si="1"/>
        <v>#VALUE!</v>
      </c>
      <c r="N5" s="27" t="e">
        <f t="shared" si="1"/>
        <v>#VALUE!</v>
      </c>
      <c r="O5" s="27" t="e">
        <f t="shared" si="1"/>
        <v>#VALUE!</v>
      </c>
      <c r="P5" s="26"/>
    </row>
    <row r="6" spans="2:16" x14ac:dyDescent="0.25">
      <c r="B6" s="19"/>
      <c r="C6" s="28"/>
      <c r="D6" s="28"/>
      <c r="E6" s="28"/>
      <c r="F6" s="28"/>
      <c r="G6" s="28"/>
      <c r="H6" s="28"/>
      <c r="I6" s="28"/>
      <c r="J6" s="29"/>
      <c r="K6" s="28"/>
      <c r="L6" s="28"/>
      <c r="M6" s="28"/>
      <c r="N6" s="28"/>
      <c r="O6" s="28"/>
      <c r="P6" s="30"/>
    </row>
    <row r="7" spans="2:16" x14ac:dyDescent="0.25">
      <c r="B7" s="38" t="s">
        <v>3</v>
      </c>
      <c r="C7" s="31" t="s">
        <v>4</v>
      </c>
      <c r="D7" s="24">
        <f>D4</f>
        <v>44592</v>
      </c>
      <c r="E7" s="24">
        <f t="shared" ref="E7:O7" si="2">E4</f>
        <v>44620</v>
      </c>
      <c r="F7" s="24">
        <f t="shared" si="2"/>
        <v>44648</v>
      </c>
      <c r="G7" s="24">
        <f t="shared" si="2"/>
        <v>44679</v>
      </c>
      <c r="H7" s="24">
        <f t="shared" si="2"/>
        <v>44709</v>
      </c>
      <c r="I7" s="24">
        <f t="shared" si="2"/>
        <v>44740</v>
      </c>
      <c r="J7" s="24">
        <f t="shared" si="2"/>
        <v>44770</v>
      </c>
      <c r="K7" s="24">
        <f t="shared" si="2"/>
        <v>44801</v>
      </c>
      <c r="L7" s="24">
        <f t="shared" si="2"/>
        <v>44832</v>
      </c>
      <c r="M7" s="24">
        <f t="shared" si="2"/>
        <v>44862</v>
      </c>
      <c r="N7" s="24">
        <f t="shared" si="2"/>
        <v>44893</v>
      </c>
      <c r="O7" s="24">
        <f t="shared" si="2"/>
        <v>44923</v>
      </c>
      <c r="P7" s="32" t="s">
        <v>1</v>
      </c>
    </row>
    <row r="8" spans="2:16" x14ac:dyDescent="0.25">
      <c r="B8" s="39" t="s">
        <v>5</v>
      </c>
      <c r="C8" s="26"/>
      <c r="D8" s="30" t="e" cm="1">
        <f t="array" ref="D8">_xlfn._xlws.FILTER(TransactionsTable[],SUMIFS(TransactionsTable[Credit],Credit,"RDC"))</f>
        <v>#VALUE!</v>
      </c>
      <c r="E8" s="30">
        <f>'Monthly(redundant)'!J59</f>
        <v>20814.59</v>
      </c>
      <c r="F8" s="76">
        <f>'Monthly(redundant)'!J74</f>
        <v>17593.73</v>
      </c>
      <c r="G8" s="30">
        <f>'Monthly(redundant)'!J97</f>
        <v>64035.45</v>
      </c>
      <c r="H8" s="30">
        <f>'Monthly(redundant)'!J116</f>
        <v>20814.59</v>
      </c>
      <c r="I8" s="30">
        <f>'Monthly(redundant)'!J136</f>
        <v>17593.73</v>
      </c>
      <c r="J8" s="30">
        <f>'Monthly(redundant)'!J156</f>
        <v>20814.59</v>
      </c>
      <c r="K8" s="30">
        <f>'Monthly(redundant)'!J184</f>
        <v>28459.89</v>
      </c>
      <c r="L8" s="30">
        <f>'Monthly(redundant)'!J199</f>
        <v>59040.289999999994</v>
      </c>
      <c r="M8" s="30">
        <f>'Monthly(redundant)'!J215</f>
        <v>13459.89</v>
      </c>
      <c r="N8" s="30">
        <f>'Monthly(redundant)'!J232</f>
        <v>74089.37</v>
      </c>
      <c r="O8" s="30">
        <f>'Monthly(redundant)'!J14</f>
        <v>10629.91</v>
      </c>
      <c r="P8" s="33" t="e">
        <f>SUM(D8:O8)</f>
        <v>#VALUE!</v>
      </c>
    </row>
    <row r="9" spans="2:16" x14ac:dyDescent="0.25">
      <c r="B9" s="21" t="s">
        <v>6</v>
      </c>
      <c r="C9" s="34"/>
      <c r="D9" s="27" t="e">
        <f t="shared" ref="D9:L9" si="3">D8</f>
        <v>#VALUE!</v>
      </c>
      <c r="E9" s="27">
        <f t="shared" si="3"/>
        <v>20814.59</v>
      </c>
      <c r="F9" s="27">
        <f t="shared" si="3"/>
        <v>17593.73</v>
      </c>
      <c r="G9" s="27">
        <f t="shared" si="3"/>
        <v>64035.45</v>
      </c>
      <c r="H9" s="27">
        <f t="shared" si="3"/>
        <v>20814.59</v>
      </c>
      <c r="I9" s="27">
        <f t="shared" si="3"/>
        <v>17593.73</v>
      </c>
      <c r="J9" s="27">
        <f t="shared" si="3"/>
        <v>20814.59</v>
      </c>
      <c r="K9" s="27">
        <f t="shared" si="3"/>
        <v>28459.89</v>
      </c>
      <c r="L9" s="27">
        <f t="shared" si="3"/>
        <v>59040.289999999994</v>
      </c>
      <c r="M9" s="27">
        <f>M8</f>
        <v>13459.89</v>
      </c>
      <c r="N9" s="27">
        <f>N8</f>
        <v>74089.37</v>
      </c>
      <c r="O9" s="27">
        <f>O8</f>
        <v>10629.91</v>
      </c>
      <c r="P9" s="27" t="e">
        <f>SUM(D9:O9)</f>
        <v>#VALUE!</v>
      </c>
    </row>
    <row r="10" spans="2:16" x14ac:dyDescent="0.25">
      <c r="B10" s="19" t="s">
        <v>7</v>
      </c>
      <c r="C10" s="34"/>
      <c r="D10" s="27" t="e">
        <f t="shared" ref="D10:L10" si="4">D9+D5</f>
        <v>#VALUE!</v>
      </c>
      <c r="E10" s="27" t="e">
        <f t="shared" si="4"/>
        <v>#VALUE!</v>
      </c>
      <c r="F10" s="27" t="e">
        <f t="shared" si="4"/>
        <v>#VALUE!</v>
      </c>
      <c r="G10" s="27" t="e">
        <f t="shared" si="4"/>
        <v>#VALUE!</v>
      </c>
      <c r="H10" s="27" t="e">
        <f t="shared" si="4"/>
        <v>#VALUE!</v>
      </c>
      <c r="I10" s="27" t="e">
        <f t="shared" si="4"/>
        <v>#VALUE!</v>
      </c>
      <c r="J10" s="27" t="e">
        <f t="shared" si="4"/>
        <v>#VALUE!</v>
      </c>
      <c r="K10" s="27" t="e">
        <f t="shared" si="4"/>
        <v>#VALUE!</v>
      </c>
      <c r="L10" s="27" t="e">
        <f t="shared" si="4"/>
        <v>#VALUE!</v>
      </c>
      <c r="M10" s="27" t="e">
        <f>M9+M5</f>
        <v>#VALUE!</v>
      </c>
      <c r="N10" s="27" t="e">
        <f>N9+N5</f>
        <v>#VALUE!</v>
      </c>
      <c r="O10" s="27" t="e">
        <f>O9+O5</f>
        <v>#VALUE!</v>
      </c>
      <c r="P10" s="26"/>
    </row>
    <row r="11" spans="2:16" x14ac:dyDescent="0.25">
      <c r="B11" s="40"/>
      <c r="C11" s="30"/>
      <c r="D11" s="30"/>
      <c r="E11" s="30"/>
      <c r="F11" s="30"/>
      <c r="G11" s="30"/>
      <c r="H11" s="30"/>
      <c r="I11" s="30"/>
      <c r="J11" s="30"/>
      <c r="K11" s="30"/>
      <c r="L11" s="30"/>
      <c r="M11" s="30"/>
      <c r="N11" s="30"/>
      <c r="O11" s="30"/>
      <c r="P11" s="30"/>
    </row>
    <row r="12" spans="2:16" x14ac:dyDescent="0.25">
      <c r="B12" s="38" t="s">
        <v>8</v>
      </c>
      <c r="C12" s="31" t="s">
        <v>4</v>
      </c>
      <c r="D12" s="24">
        <f>D4</f>
        <v>44592</v>
      </c>
      <c r="E12" s="24">
        <f t="shared" ref="E12:O12" si="5">E4</f>
        <v>44620</v>
      </c>
      <c r="F12" s="24">
        <f t="shared" si="5"/>
        <v>44648</v>
      </c>
      <c r="G12" s="24">
        <f t="shared" si="5"/>
        <v>44679</v>
      </c>
      <c r="H12" s="24">
        <f t="shared" si="5"/>
        <v>44709</v>
      </c>
      <c r="I12" s="24">
        <f t="shared" si="5"/>
        <v>44740</v>
      </c>
      <c r="J12" s="24">
        <f t="shared" si="5"/>
        <v>44770</v>
      </c>
      <c r="K12" s="24">
        <f t="shared" si="5"/>
        <v>44801</v>
      </c>
      <c r="L12" s="24">
        <f t="shared" si="5"/>
        <v>44832</v>
      </c>
      <c r="M12" s="24">
        <f t="shared" si="5"/>
        <v>44862</v>
      </c>
      <c r="N12" s="24">
        <f t="shared" si="5"/>
        <v>44893</v>
      </c>
      <c r="O12" s="24">
        <f t="shared" si="5"/>
        <v>44923</v>
      </c>
      <c r="P12" s="32" t="s">
        <v>1</v>
      </c>
    </row>
    <row r="13" spans="2:16" x14ac:dyDescent="0.25">
      <c r="B13" s="22" t="s">
        <v>9</v>
      </c>
      <c r="C13" s="26"/>
      <c r="D13" s="30">
        <f>'Monthly(redundant)'!I39</f>
        <v>18478.79</v>
      </c>
      <c r="E13" s="30">
        <f>'Monthly(redundant)'!I57</f>
        <v>18478.79</v>
      </c>
      <c r="F13" s="3">
        <f>'Monthly(redundant)'!I72</f>
        <v>18478.79</v>
      </c>
      <c r="G13" s="30">
        <f>'Monthly(redundant)'!I95</f>
        <v>18478.79</v>
      </c>
      <c r="H13" s="30">
        <f>'Monthly(redundant)'!I114</f>
        <v>18478.79</v>
      </c>
      <c r="I13" s="30">
        <f>'Monthly(redundant)'!I134</f>
        <v>18478.79</v>
      </c>
      <c r="J13" s="30">
        <f>'Monthly(redundant)'!I154</f>
        <v>18478.79</v>
      </c>
      <c r="K13" s="30">
        <f>'Monthly(redundant)'!I182</f>
        <v>18478.79</v>
      </c>
      <c r="L13" s="30">
        <f>'Monthly(redundant)'!I197</f>
        <v>18478.79</v>
      </c>
      <c r="M13" s="30">
        <f>'Monthly(redundant)'!I213</f>
        <v>18478.79</v>
      </c>
      <c r="N13" s="30">
        <f>'Monthly(redundant)'!I230</f>
        <v>18708.78</v>
      </c>
      <c r="O13" s="30">
        <f>'Monthly(redundant)'!I12</f>
        <v>18708.78</v>
      </c>
      <c r="P13" s="33">
        <f>SUM(D13:O13)</f>
        <v>222205.46000000005</v>
      </c>
    </row>
    <row r="14" spans="2:16" x14ac:dyDescent="0.25">
      <c r="B14" s="39" t="s">
        <v>10</v>
      </c>
      <c r="C14" s="26"/>
      <c r="D14" s="30">
        <f>'Monthly(redundant)'!I40</f>
        <v>6120.69</v>
      </c>
      <c r="E14" s="30">
        <f>'Monthly(redundant)'!I58</f>
        <v>1200</v>
      </c>
      <c r="F14" s="30">
        <f>'Monthly(redundant)'!I73</f>
        <v>5208.26</v>
      </c>
      <c r="G14" s="30">
        <f>'Monthly(redundant)'!I96</f>
        <v>4440.3600000000006</v>
      </c>
      <c r="H14" s="30">
        <f>'Monthly(redundant)'!I115</f>
        <v>5382.42</v>
      </c>
      <c r="I14" s="30">
        <f>'Monthly(redundant)'!I135</f>
        <v>16018.56</v>
      </c>
      <c r="J14" s="30">
        <f>'Monthly(redundant)'!I155</f>
        <v>7851.86</v>
      </c>
      <c r="K14" s="30">
        <f>'Monthly(redundant)'!I183</f>
        <v>6284.51</v>
      </c>
      <c r="L14" s="30">
        <f>'Monthly(redundant)'!I198</f>
        <v>3700</v>
      </c>
      <c r="M14" s="30">
        <f>'Monthly(redundant)'!I214</f>
        <v>5050</v>
      </c>
      <c r="N14" s="30">
        <f>'Monthly(redundant)'!I231</f>
        <v>27000.58</v>
      </c>
      <c r="O14" s="30">
        <f>'Monthly(redundant)'!I13</f>
        <v>35505.740000000005</v>
      </c>
      <c r="P14" s="33">
        <f>SUM(E14:O14)</f>
        <v>117642.29000000001</v>
      </c>
    </row>
    <row r="15" spans="2:16" x14ac:dyDescent="0.25">
      <c r="B15" s="39" t="s">
        <v>11</v>
      </c>
      <c r="C15" s="26"/>
      <c r="D15" s="30">
        <f>'Monthly(redundant)'!I42</f>
        <v>5030.0300000000007</v>
      </c>
      <c r="E15" s="30">
        <f>'Monthly(redundant)'!I60</f>
        <v>6346.35</v>
      </c>
      <c r="F15" s="30">
        <f>'Monthly(redundant)'!I75</f>
        <v>7603.52</v>
      </c>
      <c r="G15" s="30">
        <f>'Monthly(redundant)'!I98</f>
        <v>5479.96</v>
      </c>
      <c r="H15" s="30">
        <f>'Monthly(redundant)'!I117</f>
        <v>5603.2199999999993</v>
      </c>
      <c r="I15" s="30">
        <f>'Monthly(redundant)'!I137</f>
        <v>3707.62</v>
      </c>
      <c r="J15" s="30">
        <f>'Monthly(redundant)'!I157</f>
        <v>8809.2799999999988</v>
      </c>
      <c r="K15" s="30">
        <f>'Monthly(redundant)'!I185</f>
        <v>3366.51</v>
      </c>
      <c r="L15" s="30">
        <f>'Monthly(redundant)'!I200</f>
        <v>7559.39</v>
      </c>
      <c r="M15" s="30">
        <f>'Monthly(redundant)'!I216-'Monthly(redundant)'!J216</f>
        <v>-3616.5999999999995</v>
      </c>
      <c r="N15" s="30">
        <f>'Monthly(redundant)'!I233-'Monthly(redundant)'!J233</f>
        <v>3639.4300000000012</v>
      </c>
      <c r="O15" s="30">
        <f>'Monthly(redundant)'!I15-'Monthly(redundant)'!J15</f>
        <v>-3837.7799999999997</v>
      </c>
      <c r="P15" s="33">
        <f>SUM(E15:O15)</f>
        <v>44660.9</v>
      </c>
    </row>
    <row r="16" spans="2:16" x14ac:dyDescent="0.25">
      <c r="B16" s="21" t="s">
        <v>12</v>
      </c>
      <c r="C16" s="35"/>
      <c r="D16" s="30">
        <f t="shared" ref="D16:O16" si="6">SUM(D13:D15)</f>
        <v>29629.510000000002</v>
      </c>
      <c r="E16" s="7">
        <f t="shared" si="6"/>
        <v>26025.14</v>
      </c>
      <c r="F16" s="30">
        <f>SUM(F13:F15)</f>
        <v>31290.570000000003</v>
      </c>
      <c r="G16" s="7">
        <f t="shared" si="6"/>
        <v>28399.11</v>
      </c>
      <c r="H16" s="7">
        <f t="shared" si="6"/>
        <v>29464.43</v>
      </c>
      <c r="I16" s="7">
        <f t="shared" si="6"/>
        <v>38204.97</v>
      </c>
      <c r="J16" s="7">
        <f t="shared" si="6"/>
        <v>35139.93</v>
      </c>
      <c r="K16" s="7">
        <f t="shared" si="6"/>
        <v>28129.810000000005</v>
      </c>
      <c r="L16" s="7">
        <f t="shared" si="6"/>
        <v>29738.18</v>
      </c>
      <c r="M16" s="7">
        <f t="shared" si="6"/>
        <v>19912.190000000002</v>
      </c>
      <c r="N16" s="7">
        <f t="shared" si="6"/>
        <v>49348.79</v>
      </c>
      <c r="O16" s="7">
        <f t="shared" si="6"/>
        <v>50376.740000000005</v>
      </c>
      <c r="P16" s="27">
        <f>P13+P14+P15</f>
        <v>384508.65000000008</v>
      </c>
    </row>
    <row r="17" spans="2:16" x14ac:dyDescent="0.25">
      <c r="B17" s="9" t="s">
        <v>13</v>
      </c>
      <c r="C17" s="27">
        <v>67920.55</v>
      </c>
      <c r="D17" s="27" t="e">
        <f t="shared" ref="D17:O17" si="7">D10-D16</f>
        <v>#VALUE!</v>
      </c>
      <c r="E17" s="27" t="e">
        <f t="shared" si="7"/>
        <v>#VALUE!</v>
      </c>
      <c r="F17" s="27" t="e">
        <f t="shared" si="7"/>
        <v>#VALUE!</v>
      </c>
      <c r="G17" s="27" t="e">
        <f t="shared" si="7"/>
        <v>#VALUE!</v>
      </c>
      <c r="H17" s="27" t="e">
        <f t="shared" si="7"/>
        <v>#VALUE!</v>
      </c>
      <c r="I17" s="27" t="e">
        <f t="shared" si="7"/>
        <v>#VALUE!</v>
      </c>
      <c r="J17" s="27" t="e">
        <f>J10-J16</f>
        <v>#VALUE!</v>
      </c>
      <c r="K17" s="27" t="e">
        <f t="shared" si="7"/>
        <v>#VALUE!</v>
      </c>
      <c r="L17" s="27" t="e">
        <f t="shared" si="7"/>
        <v>#VALUE!</v>
      </c>
      <c r="M17" s="27" t="e">
        <f t="shared" si="7"/>
        <v>#VALUE!</v>
      </c>
      <c r="N17" s="27" t="e">
        <f t="shared" si="7"/>
        <v>#VALUE!</v>
      </c>
      <c r="O17" s="27" t="e">
        <f t="shared" si="7"/>
        <v>#VALUE!</v>
      </c>
      <c r="P17" s="26"/>
    </row>
    <row r="18" spans="2:16" x14ac:dyDescent="0.25">
      <c r="B18" s="20"/>
      <c r="C18" s="37"/>
      <c r="D18" s="37"/>
      <c r="E18" s="37"/>
      <c r="F18" s="37"/>
      <c r="G18" s="37"/>
      <c r="H18" s="37"/>
      <c r="I18" s="37"/>
      <c r="J18" s="37"/>
      <c r="K18" s="37"/>
      <c r="L18" s="37"/>
      <c r="M18" s="37"/>
      <c r="N18" s="37"/>
      <c r="O18" s="37"/>
      <c r="P18" s="37"/>
    </row>
    <row r="20" spans="2:16" x14ac:dyDescent="0.25">
      <c r="G20" s="12"/>
    </row>
    <row r="22" spans="2:16" x14ac:dyDescent="0.25">
      <c r="I22" s="12"/>
    </row>
  </sheetData>
  <mergeCells count="1">
    <mergeCell ref="B1:P1"/>
  </mergeCells>
  <phoneticPr fontId="1" type="noConversion"/>
  <conditionalFormatting sqref="D5:O5">
    <cfRule type="cellIs" dxfId="2" priority="2" stopIfTrue="1" operator="lessThanOrEqual">
      <formula>#REF!</formula>
    </cfRule>
  </conditionalFormatting>
  <conditionalFormatting sqref="J17">
    <cfRule type="cellIs" dxfId="1" priority="1" stopIfTrue="1" operator="lessThanOrEqual">
      <formula>#REF!</formula>
    </cfRule>
  </conditionalFormatting>
  <dataValidations count="4">
    <dataValidation allowBlank="1" showErrorMessage="1" prompt="Enter Starting Date in cell at right" sqref="B2" xr:uid="{167D7F48-A18B-4A23-9607-27F81B1968F3}"/>
    <dataValidation type="date" allowBlank="1" showInputMessage="1" showErrorMessage="1" error="Please enter a valid date." prompt="Enter Starting Date in this cell" sqref="D2" xr:uid="{59DA18C6-D7AA-4180-9556-CDBD6E4680A4}">
      <formula1>1</formula1>
      <formula2>73415</formula2>
    </dataValidation>
    <dataValidation type="date" allowBlank="1" showErrorMessage="1" error="Please enter a valid date." prompt="Enter Starting Date in this cell" sqref="C2" xr:uid="{64CAFB4C-EB6D-4249-B575-E9EDCC5E52A7}">
      <formula1>1</formula1>
      <formula2>73415</formula2>
    </dataValidation>
    <dataValidation allowBlank="1" showErrorMessage="1" prompt="Enter Company Name in this cell, Starting Date in cell C3, and Cash balance alert minimum in cell C4" sqref="B1" xr:uid="{6E461883-9FB3-4FFF-B841-2ED70967865B}"/>
  </dataValidations>
  <hyperlinks>
    <hyperlink ref="P15" location="Miscellaneous!E42" tooltip="Link" display="Miscellaneous!E42" xr:uid="{29D830AD-A9C7-4285-A6F6-73FD640D951B}"/>
    <hyperlink ref="P14" location="'Check Register'!F103" tooltip="Link" display="'Check Register'!F103" xr:uid="{3D5D8848-717F-4A64-B23E-70CA32D7219C}"/>
    <hyperlink ref="P8" location="'RDC '!E49" tooltip="Link" display="'RDC '!E49" xr:uid="{53264A40-9B20-4172-943D-43D445116A62}"/>
    <hyperlink ref="P13" location="Mortgage!O7" tooltip="Link" display="Mortgage!O7" xr:uid="{A5F99BA6-6776-46BD-87BD-6080659F2A5B}"/>
  </hyperlinks>
  <pageMargins left="0.25" right="0.25" top="0.75" bottom="0.75" header="0.3" footer="0.3"/>
  <pageSetup paperSize="5" scale="185" fitToWidth="0" orientation="landscape" r:id="rId1"/>
  <ignoredErrors>
    <ignoredError sqref="E16 E11:O11 E9:I9 K9:O9 E10:I10 K10:O10 K16:O16 G16:J16" unlockedFormula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DC4E7A-3429-492F-8C1B-D3A88C9B2373}">
  <sheetPr>
    <tabColor rgb="FF8AFF4F"/>
  </sheetPr>
  <dimension ref="A1:Y33"/>
  <sheetViews>
    <sheetView tabSelected="1" zoomScale="130" zoomScaleNormal="130" workbookViewId="0">
      <selection activeCell="D5" sqref="D5"/>
    </sheetView>
  </sheetViews>
  <sheetFormatPr defaultRowHeight="10.199999999999999" x14ac:dyDescent="0.2"/>
  <cols>
    <col min="1" max="2" width="2.42578125" style="42" customWidth="1"/>
    <col min="3" max="3" width="17.42578125" style="42" customWidth="1"/>
    <col min="4" max="4" width="14.140625" style="42" customWidth="1"/>
    <col min="5" max="6" width="9.42578125" style="42" customWidth="1"/>
    <col min="7" max="8" width="13.28515625" style="42" bestFit="1" customWidth="1"/>
    <col min="9" max="9" width="11.28515625" style="42" bestFit="1" customWidth="1"/>
    <col min="10" max="10" width="10.85546875" style="42" customWidth="1"/>
    <col min="11" max="11" width="57" style="42" bestFit="1" customWidth="1"/>
    <col min="12" max="13" width="9.140625" style="42" hidden="1" customWidth="1"/>
    <col min="14" max="14" width="0" style="42" hidden="1" customWidth="1"/>
    <col min="15" max="15" width="18" style="42" hidden="1" customWidth="1"/>
    <col min="16" max="17" width="13.28515625" style="42" bestFit="1" customWidth="1"/>
    <col min="18" max="18" width="14.85546875" style="42" hidden="1" customWidth="1"/>
    <col min="19" max="19" width="6.140625" style="42" hidden="1" customWidth="1"/>
    <col min="20" max="20" width="8.42578125" style="42" hidden="1" customWidth="1"/>
    <col min="21" max="21" width="7.28515625" style="42" hidden="1" customWidth="1"/>
    <col min="22" max="25" width="9.140625" style="42"/>
  </cols>
  <sheetData>
    <row r="1" spans="3:21" ht="10.8" thickBot="1" x14ac:dyDescent="0.25"/>
    <row r="2" spans="3:21" ht="17.399999999999999" customHeight="1" x14ac:dyDescent="0.2">
      <c r="C2" s="248" t="s">
        <v>42</v>
      </c>
      <c r="D2" s="249"/>
      <c r="E2" s="249"/>
      <c r="F2" s="249"/>
      <c r="G2" s="249"/>
      <c r="H2" s="249"/>
      <c r="I2" s="249"/>
      <c r="J2" s="249"/>
      <c r="K2" s="249"/>
      <c r="L2" s="249"/>
      <c r="M2" s="249"/>
      <c r="N2" s="249"/>
      <c r="O2" s="249"/>
      <c r="P2" s="249"/>
      <c r="Q2" s="250"/>
    </row>
    <row r="3" spans="3:21" ht="17.399999999999999" customHeight="1" thickBot="1" x14ac:dyDescent="0.25">
      <c r="C3" s="251"/>
      <c r="D3" s="252"/>
      <c r="E3" s="252"/>
      <c r="F3" s="252"/>
      <c r="G3" s="252"/>
      <c r="H3" s="252"/>
      <c r="I3" s="252"/>
      <c r="J3" s="252"/>
      <c r="K3" s="252"/>
      <c r="L3" s="252"/>
      <c r="M3" s="252"/>
      <c r="N3" s="252"/>
      <c r="O3" s="252"/>
      <c r="P3" s="252"/>
      <c r="Q3" s="253"/>
    </row>
    <row r="4" spans="3:21" ht="10.8" thickBot="1" x14ac:dyDescent="0.25"/>
    <row r="5" spans="3:21" ht="10.8" thickBot="1" x14ac:dyDescent="0.25">
      <c r="C5" s="134" t="s">
        <v>180</v>
      </c>
      <c r="D5" s="135" t="s">
        <v>550</v>
      </c>
      <c r="F5" s="41"/>
      <c r="J5" s="41"/>
    </row>
    <row r="6" spans="3:21" ht="10.8" thickBot="1" x14ac:dyDescent="0.25">
      <c r="C6" s="41"/>
      <c r="D6"/>
      <c r="F6" s="41"/>
    </row>
    <row r="7" spans="3:21" ht="10.8" thickBot="1" x14ac:dyDescent="0.25">
      <c r="C7" s="41" t="s">
        <v>177</v>
      </c>
      <c r="D7" s="68" t="s">
        <v>173</v>
      </c>
      <c r="E7" s="68" t="s">
        <v>178</v>
      </c>
      <c r="F7" s="68" t="s">
        <v>179</v>
      </c>
      <c r="G7" s="53" t="s">
        <v>46</v>
      </c>
      <c r="H7" s="47" t="s">
        <v>47</v>
      </c>
      <c r="J7" s="81" t="str" cm="1">
        <f t="array" ref="J7:U7">TransactionsTable[#Headers]</f>
        <v>Date</v>
      </c>
      <c r="K7" s="82" t="str">
        <v>Description</v>
      </c>
      <c r="L7" s="83" t="str">
        <v>-</v>
      </c>
      <c r="M7" s="83" t="str">
        <v>Column2</v>
      </c>
      <c r="N7" s="83" t="str">
        <v>Column1</v>
      </c>
      <c r="O7" s="83" t="str">
        <v>Column12</v>
      </c>
      <c r="P7" s="82" t="str">
        <v>Debit</v>
      </c>
      <c r="Q7" s="90" t="str">
        <v>Credit</v>
      </c>
      <c r="R7" s="42" t="str">
        <v>Transaction type</v>
      </c>
      <c r="S7" s="42" t="str">
        <v>Month</v>
      </c>
      <c r="T7" s="42" t="str">
        <v>Column4</v>
      </c>
      <c r="U7" s="42" t="str">
        <v>Month2</v>
      </c>
    </row>
    <row r="8" spans="3:21" ht="15.6" customHeight="1" x14ac:dyDescent="0.2">
      <c r="C8" s="103" t="s">
        <v>163</v>
      </c>
      <c r="D8" s="45"/>
      <c r="E8" s="45"/>
      <c r="F8" s="45"/>
      <c r="G8" s="107">
        <f>SUMIFS(Debit,Transaction,"Transfer")</f>
        <v>18708.78</v>
      </c>
      <c r="H8" s="79">
        <f>SUMIFS(Credit,Transaction,"Transfer")</f>
        <v>0</v>
      </c>
      <c r="J8" s="84" cm="1">
        <f t="array" ref="J8:U28">_xlfn._xlws.FILTER(TransactionsTable[],(TransactionsTable[Month]=$D$5),"NA")</f>
        <v>45078</v>
      </c>
      <c r="K8" s="85" t="str">
        <v>ACH Pmt JPW DENTAL LLC11017673460 Diwali I</v>
      </c>
      <c r="L8" s="85">
        <v>0</v>
      </c>
      <c r="M8" s="85">
        <v>0</v>
      </c>
      <c r="N8" s="85">
        <v>0</v>
      </c>
      <c r="O8" s="85">
        <v>0</v>
      </c>
      <c r="P8" s="95" t="str">
        <v/>
      </c>
      <c r="Q8" s="96">
        <v>7454.7</v>
      </c>
      <c r="R8" s="42" t="str">
        <v>Misc</v>
      </c>
      <c r="S8" s="42" t="str">
        <v>June-23</v>
      </c>
      <c r="T8" s="42" t="str">
        <v>ALL</v>
      </c>
      <c r="U8" s="42">
        <v>6</v>
      </c>
    </row>
    <row r="9" spans="3:21" ht="15.6" customHeight="1" x14ac:dyDescent="0.2">
      <c r="C9" s="104" t="s">
        <v>44</v>
      </c>
      <c r="G9" s="108">
        <f>SUMIFS(Debit,Transaction,"Check")</f>
        <v>18555.489999999998</v>
      </c>
      <c r="H9" s="80">
        <f>SUMIFS(Credit,Transaction,"Check")</f>
        <v>0</v>
      </c>
      <c r="J9" s="86">
        <v>45078</v>
      </c>
      <c r="K9" s="74" t="str">
        <v>Transfer to LoanAcct No. XXXXXX3533</v>
      </c>
      <c r="L9" s="74">
        <v>0</v>
      </c>
      <c r="M9" s="74">
        <v>0</v>
      </c>
      <c r="N9" s="74">
        <v>0</v>
      </c>
      <c r="O9" s="74">
        <v>0</v>
      </c>
      <c r="P9" s="97">
        <v>18708.78</v>
      </c>
      <c r="Q9" s="98" t="str">
        <v/>
      </c>
      <c r="R9" s="42" t="str">
        <v>Transfer</v>
      </c>
      <c r="S9" s="42" t="str">
        <v>June-23</v>
      </c>
      <c r="T9" s="42" t="str">
        <v>ALL</v>
      </c>
      <c r="U9" s="42">
        <v>6</v>
      </c>
    </row>
    <row r="10" spans="3:21" ht="15.6" customHeight="1" x14ac:dyDescent="0.2">
      <c r="C10" s="104" t="s">
        <v>66</v>
      </c>
      <c r="G10" s="108">
        <f>SUMIFS(Debit,Transaction,"RDC")</f>
        <v>0</v>
      </c>
      <c r="H10" s="80">
        <f>SUMIFS(Credit,Transaction,"RDC")</f>
        <v>66742.5</v>
      </c>
      <c r="J10" s="87">
        <v>45079</v>
      </c>
      <c r="K10" s="91" t="str">
        <v>Total of 1 Check Presented</v>
      </c>
      <c r="L10" s="91">
        <v>0</v>
      </c>
      <c r="M10" s="91">
        <v>0</v>
      </c>
      <c r="N10" s="91">
        <v>0</v>
      </c>
      <c r="O10" s="91">
        <v>0</v>
      </c>
      <c r="P10" s="99">
        <v>2500</v>
      </c>
      <c r="Q10" s="100" t="str">
        <v/>
      </c>
      <c r="R10" s="42" t="str">
        <v>Check</v>
      </c>
      <c r="S10" s="42" t="str">
        <v>June-23</v>
      </c>
      <c r="T10" s="42" t="str">
        <v>ALL</v>
      </c>
      <c r="U10" s="42">
        <v>6</v>
      </c>
    </row>
    <row r="11" spans="3:21" ht="15.6" customHeight="1" thickBot="1" x14ac:dyDescent="0.25">
      <c r="C11" s="223" t="s">
        <v>530</v>
      </c>
      <c r="D11" s="51"/>
      <c r="E11" s="51"/>
      <c r="F11" s="51"/>
      <c r="G11" s="109">
        <f>SUMIFS(Debit,Transaction,"MISC")</f>
        <v>4293.1499999999996</v>
      </c>
      <c r="H11" s="78">
        <f>SUMIFS(Credit,Transaction,"MISC")</f>
        <v>14909.8</v>
      </c>
      <c r="J11" s="86">
        <v>45079</v>
      </c>
      <c r="K11" s="74" t="str">
        <v>ACTION CARTING EBill PayACH TRACE#711960040003529</v>
      </c>
      <c r="L11" s="74">
        <v>0</v>
      </c>
      <c r="M11" s="74">
        <v>0</v>
      </c>
      <c r="N11" s="74">
        <v>0</v>
      </c>
      <c r="O11" s="74">
        <v>0</v>
      </c>
      <c r="P11" s="97">
        <v>599.99</v>
      </c>
      <c r="Q11" s="98" t="str">
        <v/>
      </c>
      <c r="R11" s="42" t="str">
        <v>Misc</v>
      </c>
      <c r="S11" s="42" t="str">
        <v>June-23</v>
      </c>
      <c r="T11" s="42" t="str">
        <v>ALL</v>
      </c>
      <c r="U11" s="42">
        <v>6</v>
      </c>
    </row>
    <row r="12" spans="3:21" ht="15.6" customHeight="1" thickBot="1" x14ac:dyDescent="0.25">
      <c r="F12" s="92" t="s">
        <v>1</v>
      </c>
      <c r="G12" s="241">
        <f>SUM(G8:G11)</f>
        <v>41557.42</v>
      </c>
      <c r="H12" s="241">
        <f>SUM(H8:H11)</f>
        <v>81652.3</v>
      </c>
      <c r="J12" s="87">
        <v>45082</v>
      </c>
      <c r="K12" s="91" t="str">
        <v>RDC Deposit</v>
      </c>
      <c r="L12" s="91">
        <v>0</v>
      </c>
      <c r="M12" s="91">
        <v>0</v>
      </c>
      <c r="N12" s="91">
        <v>0</v>
      </c>
      <c r="O12" s="91">
        <v>0</v>
      </c>
      <c r="P12" s="99" t="str">
        <v/>
      </c>
      <c r="Q12" s="100">
        <v>20836.59</v>
      </c>
      <c r="R12" s="42" t="str">
        <v>RDC</v>
      </c>
      <c r="S12" s="42" t="str">
        <v>June-23</v>
      </c>
      <c r="T12" s="42" t="str">
        <v>ALL</v>
      </c>
      <c r="U12" s="42">
        <v>6</v>
      </c>
    </row>
    <row r="13" spans="3:21" ht="15.6" customHeight="1" thickTop="1" x14ac:dyDescent="0.2">
      <c r="J13" s="86">
        <v>45082</v>
      </c>
      <c r="K13" s="74" t="str">
        <v>Total of 1 Check Presented</v>
      </c>
      <c r="L13" s="74">
        <v>0</v>
      </c>
      <c r="M13" s="74">
        <v>0</v>
      </c>
      <c r="N13" s="74">
        <v>0</v>
      </c>
      <c r="O13" s="74">
        <v>0</v>
      </c>
      <c r="P13" s="97">
        <v>1100.44</v>
      </c>
      <c r="Q13" s="98" t="str">
        <v/>
      </c>
      <c r="R13" s="42" t="str">
        <v>Check</v>
      </c>
      <c r="S13" s="42" t="str">
        <v>June-23</v>
      </c>
      <c r="T13" s="42" t="str">
        <v>ALL</v>
      </c>
      <c r="U13" s="42">
        <v>6</v>
      </c>
    </row>
    <row r="14" spans="3:21" ht="15.6" customHeight="1" x14ac:dyDescent="0.2">
      <c r="J14" s="87">
        <v>45083</v>
      </c>
      <c r="K14" s="91" t="str">
        <v>Encoding error</v>
      </c>
      <c r="L14" s="91">
        <v>0</v>
      </c>
      <c r="M14" s="91">
        <v>0</v>
      </c>
      <c r="N14" s="91">
        <v>0</v>
      </c>
      <c r="O14" s="91">
        <v>0</v>
      </c>
      <c r="P14" s="99" t="str">
        <v/>
      </c>
      <c r="Q14" s="100">
        <v>0.4</v>
      </c>
      <c r="R14" s="42" t="str">
        <v>Misc</v>
      </c>
      <c r="S14" s="42" t="str">
        <v>June-23</v>
      </c>
      <c r="T14" s="42" t="str">
        <v>ALL</v>
      </c>
      <c r="U14" s="42">
        <v>6</v>
      </c>
    </row>
    <row r="15" spans="3:21" ht="15.6" customHeight="1" x14ac:dyDescent="0.2">
      <c r="J15" s="86">
        <v>45083</v>
      </c>
      <c r="K15" s="74" t="str">
        <v>FIRE PREVENTION Bill PayACH TRACE#711960040002356</v>
      </c>
      <c r="L15" s="74">
        <v>0</v>
      </c>
      <c r="M15" s="74">
        <v>0</v>
      </c>
      <c r="N15" s="74">
        <v>0</v>
      </c>
      <c r="O15" s="74">
        <v>0</v>
      </c>
      <c r="P15" s="97">
        <v>780</v>
      </c>
      <c r="Q15" s="98" t="str">
        <v/>
      </c>
      <c r="R15" s="42" t="str">
        <v>Misc</v>
      </c>
      <c r="S15" s="42" t="str">
        <v>June-23</v>
      </c>
      <c r="T15" s="42" t="str">
        <v>ALL</v>
      </c>
      <c r="U15" s="42">
        <v>6</v>
      </c>
    </row>
    <row r="16" spans="3:21" ht="15.6" customHeight="1" x14ac:dyDescent="0.2">
      <c r="J16" s="87">
        <v>45085</v>
      </c>
      <c r="K16" s="91" t="str">
        <v>RDC Deposit</v>
      </c>
      <c r="L16" s="91">
        <v>0</v>
      </c>
      <c r="M16" s="91">
        <v>0</v>
      </c>
      <c r="N16" s="91">
        <v>0</v>
      </c>
      <c r="O16" s="91">
        <v>0</v>
      </c>
      <c r="P16" s="99" t="str">
        <v/>
      </c>
      <c r="Q16" s="100">
        <v>42961.279999999999</v>
      </c>
      <c r="R16" s="42" t="str">
        <v>RDC</v>
      </c>
      <c r="S16" s="42" t="str">
        <v>June-23</v>
      </c>
      <c r="T16" s="42" t="str">
        <v>ALL</v>
      </c>
      <c r="U16" s="42">
        <v>6</v>
      </c>
    </row>
    <row r="17" spans="10:21" ht="15.6" customHeight="1" x14ac:dyDescent="0.2">
      <c r="J17" s="86">
        <v>45085</v>
      </c>
      <c r="K17" s="74" t="str">
        <v>Total of 1 Check Presented</v>
      </c>
      <c r="L17" s="74">
        <v>0</v>
      </c>
      <c r="M17" s="74">
        <v>0</v>
      </c>
      <c r="N17" s="74">
        <v>0</v>
      </c>
      <c r="O17" s="74">
        <v>0</v>
      </c>
      <c r="P17" s="97">
        <v>1200</v>
      </c>
      <c r="Q17" s="98" t="str">
        <v/>
      </c>
      <c r="R17" s="42" t="str">
        <v>Check</v>
      </c>
      <c r="S17" s="42" t="str">
        <v>June-23</v>
      </c>
      <c r="T17" s="42" t="str">
        <v>ALL</v>
      </c>
      <c r="U17" s="42">
        <v>6</v>
      </c>
    </row>
    <row r="18" spans="10:21" ht="15.6" customHeight="1" x14ac:dyDescent="0.2">
      <c r="J18" s="87">
        <v>45086</v>
      </c>
      <c r="K18" s="91" t="str">
        <v>Total of 2 Checks Presented</v>
      </c>
      <c r="L18" s="91">
        <v>0</v>
      </c>
      <c r="M18" s="91">
        <v>0</v>
      </c>
      <c r="N18" s="91">
        <v>0</v>
      </c>
      <c r="O18" s="91">
        <v>0</v>
      </c>
      <c r="P18" s="99">
        <v>2537.64</v>
      </c>
      <c r="Q18" s="100" t="str">
        <v/>
      </c>
      <c r="R18" s="42" t="str">
        <v>Check</v>
      </c>
      <c r="S18" s="42" t="str">
        <v>June-23</v>
      </c>
      <c r="T18" s="42" t="str">
        <v>ALL</v>
      </c>
      <c r="U18" s="42">
        <v>6</v>
      </c>
    </row>
    <row r="19" spans="10:21" ht="15.6" customHeight="1" x14ac:dyDescent="0.2">
      <c r="J19" s="86">
        <v>45091</v>
      </c>
      <c r="K19" s="74" t="str">
        <v>RDC Deposit</v>
      </c>
      <c r="L19" s="74">
        <v>0</v>
      </c>
      <c r="M19" s="74">
        <v>0</v>
      </c>
      <c r="N19" s="74">
        <v>0</v>
      </c>
      <c r="O19" s="74">
        <v>0</v>
      </c>
      <c r="P19" s="97" t="str">
        <v/>
      </c>
      <c r="Q19" s="98">
        <v>2944.63</v>
      </c>
      <c r="R19" s="42" t="str">
        <v>RDC</v>
      </c>
      <c r="S19" s="42" t="str">
        <v>June-23</v>
      </c>
      <c r="T19" s="42" t="str">
        <v>ALL</v>
      </c>
      <c r="U19" s="42">
        <v>6</v>
      </c>
    </row>
    <row r="20" spans="10:21" ht="15.6" customHeight="1" x14ac:dyDescent="0.2">
      <c r="J20" s="87">
        <v>45092</v>
      </c>
      <c r="K20" s="91" t="str">
        <v>Total of 2 Checks Presented</v>
      </c>
      <c r="L20" s="91">
        <v>0</v>
      </c>
      <c r="M20" s="91">
        <v>0</v>
      </c>
      <c r="N20" s="91">
        <v>0</v>
      </c>
      <c r="O20" s="91">
        <v>0</v>
      </c>
      <c r="P20" s="99">
        <v>3148.64</v>
      </c>
      <c r="Q20" s="100" t="str">
        <v/>
      </c>
      <c r="R20" s="42" t="str">
        <v>Check</v>
      </c>
      <c r="S20" s="42" t="str">
        <v>June-23</v>
      </c>
      <c r="T20" s="42" t="str">
        <v>ALL</v>
      </c>
      <c r="U20" s="42">
        <v>6</v>
      </c>
    </row>
    <row r="21" spans="10:21" ht="15.6" customHeight="1" x14ac:dyDescent="0.2">
      <c r="J21" s="86">
        <v>45093</v>
      </c>
      <c r="K21" s="74" t="str">
        <v>PUBLIC SERVICE PSEGACH TRACE#091000011511386</v>
      </c>
      <c r="L21" s="74">
        <v>0</v>
      </c>
      <c r="M21" s="74">
        <v>0</v>
      </c>
      <c r="N21" s="74">
        <v>0</v>
      </c>
      <c r="O21" s="74">
        <v>0</v>
      </c>
      <c r="P21" s="97">
        <v>32.85</v>
      </c>
      <c r="Q21" s="98" t="str">
        <v/>
      </c>
      <c r="R21" s="42" t="str">
        <v>Misc</v>
      </c>
      <c r="S21" s="42" t="str">
        <v>June-23</v>
      </c>
      <c r="T21" s="42" t="str">
        <v>ALL</v>
      </c>
      <c r="U21" s="42">
        <v>6</v>
      </c>
    </row>
    <row r="22" spans="10:21" ht="15.6" customHeight="1" x14ac:dyDescent="0.2">
      <c r="J22" s="87">
        <v>45093</v>
      </c>
      <c r="K22" s="91" t="str">
        <v>WATER BILL VEOLIA WATER NEW10006752433605 Diwali I</v>
      </c>
      <c r="L22" s="91">
        <v>0</v>
      </c>
      <c r="M22" s="91">
        <v>0</v>
      </c>
      <c r="N22" s="91">
        <v>0</v>
      </c>
      <c r="O22" s="91">
        <v>0</v>
      </c>
      <c r="P22" s="99">
        <v>264.68</v>
      </c>
      <c r="Q22" s="100" t="str">
        <v/>
      </c>
      <c r="R22" s="42" t="str">
        <v>Misc</v>
      </c>
      <c r="S22" s="42" t="str">
        <v>June-23</v>
      </c>
      <c r="T22" s="42" t="str">
        <v>ALL</v>
      </c>
      <c r="U22" s="42">
        <v>6</v>
      </c>
    </row>
    <row r="23" spans="10:21" ht="15.6" customHeight="1" x14ac:dyDescent="0.2">
      <c r="J23" s="86">
        <v>45093</v>
      </c>
      <c r="K23" s="74" t="str">
        <v>PUBLIC SERVICE PSEGACH TRACE#091000011496776</v>
      </c>
      <c r="L23" s="74">
        <v>0</v>
      </c>
      <c r="M23" s="74">
        <v>0</v>
      </c>
      <c r="N23" s="74">
        <v>0</v>
      </c>
      <c r="O23" s="74">
        <v>0</v>
      </c>
      <c r="P23" s="97">
        <v>1793.7</v>
      </c>
      <c r="Q23" s="98" t="str">
        <v/>
      </c>
      <c r="R23" s="42" t="str">
        <v>Misc</v>
      </c>
      <c r="S23" s="42" t="str">
        <v>June-23</v>
      </c>
      <c r="T23" s="42" t="str">
        <v>ALL</v>
      </c>
      <c r="U23" s="42">
        <v>6</v>
      </c>
    </row>
    <row r="24" spans="10:21" ht="15.6" customHeight="1" x14ac:dyDescent="0.2">
      <c r="J24" s="87">
        <v>45098</v>
      </c>
      <c r="K24" s="91" t="str">
        <v>Total of 1 Check Presented</v>
      </c>
      <c r="L24" s="91">
        <v>0</v>
      </c>
      <c r="M24" s="91">
        <v>0</v>
      </c>
      <c r="N24" s="91">
        <v>0</v>
      </c>
      <c r="O24" s="91">
        <v>0</v>
      </c>
      <c r="P24" s="99">
        <v>2468.77</v>
      </c>
      <c r="Q24" s="100" t="str">
        <v/>
      </c>
      <c r="R24" s="42" t="str">
        <v>Check</v>
      </c>
      <c r="S24" s="42" t="str">
        <v>June-23</v>
      </c>
      <c r="T24" s="42" t="str">
        <v>ALL</v>
      </c>
      <c r="U24" s="42">
        <v>6</v>
      </c>
    </row>
    <row r="25" spans="10:21" ht="15.6" customHeight="1" x14ac:dyDescent="0.2">
      <c r="J25" s="86">
        <v>45103</v>
      </c>
      <c r="K25" s="74" t="str">
        <v>ACTION ELEVATOR Bill PayACH TRACE#711960040003869</v>
      </c>
      <c r="L25" s="74">
        <v>0</v>
      </c>
      <c r="M25" s="74">
        <v>0</v>
      </c>
      <c r="N25" s="74">
        <v>0</v>
      </c>
      <c r="O25" s="74">
        <v>0</v>
      </c>
      <c r="P25" s="97">
        <v>175.93</v>
      </c>
      <c r="Q25" s="98" t="str">
        <v/>
      </c>
      <c r="R25" s="42" t="str">
        <v>Misc</v>
      </c>
      <c r="S25" s="42" t="str">
        <v>June-23</v>
      </c>
      <c r="T25" s="42" t="str">
        <v>ALL</v>
      </c>
      <c r="U25" s="42">
        <v>6</v>
      </c>
    </row>
    <row r="26" spans="10:21" ht="15.6" customHeight="1" x14ac:dyDescent="0.2">
      <c r="J26" s="87">
        <v>45104</v>
      </c>
      <c r="K26" s="91" t="str">
        <v>Total of 2 Checks Presented</v>
      </c>
      <c r="L26" s="91">
        <v>0</v>
      </c>
      <c r="M26" s="91">
        <v>0</v>
      </c>
      <c r="N26" s="91">
        <v>0</v>
      </c>
      <c r="O26" s="91">
        <v>0</v>
      </c>
      <c r="P26" s="99">
        <v>5600</v>
      </c>
      <c r="Q26" s="100" t="str">
        <v/>
      </c>
      <c r="R26" s="42" t="str">
        <v>Check</v>
      </c>
      <c r="S26" s="42" t="str">
        <v>June-23</v>
      </c>
      <c r="T26" s="42" t="str">
        <v>ALL</v>
      </c>
      <c r="U26" s="42">
        <v>6</v>
      </c>
    </row>
    <row r="27" spans="10:21" ht="15.6" customHeight="1" x14ac:dyDescent="0.2">
      <c r="J27" s="86">
        <v>45106</v>
      </c>
      <c r="K27" s="74" t="str">
        <v>Web Pay Utica Mutual Ins000001545709746 DIWALI I</v>
      </c>
      <c r="L27" s="74">
        <v>0</v>
      </c>
      <c r="M27" s="74">
        <v>0</v>
      </c>
      <c r="N27" s="74">
        <v>0</v>
      </c>
      <c r="O27" s="74">
        <v>0</v>
      </c>
      <c r="P27" s="97">
        <v>646</v>
      </c>
      <c r="Q27" s="98" t="str">
        <v/>
      </c>
      <c r="R27" s="42" t="str">
        <v>Misc</v>
      </c>
      <c r="S27" s="42" t="str">
        <v>June-23</v>
      </c>
      <c r="T27" s="42" t="str">
        <v>ALL</v>
      </c>
      <c r="U27" s="42">
        <v>6</v>
      </c>
    </row>
    <row r="28" spans="10:21" ht="15.6" customHeight="1" x14ac:dyDescent="0.2">
      <c r="J28" s="87">
        <v>45107</v>
      </c>
      <c r="K28" s="91" t="str">
        <v>ACH Pmt JPW DENTAL LLC11020412695 Diwali I</v>
      </c>
      <c r="L28" s="91">
        <v>0</v>
      </c>
      <c r="M28" s="91">
        <v>0</v>
      </c>
      <c r="N28" s="91">
        <v>0</v>
      </c>
      <c r="O28" s="91">
        <v>0</v>
      </c>
      <c r="P28" s="99" t="str">
        <v/>
      </c>
      <c r="Q28" s="100">
        <v>7454.7</v>
      </c>
      <c r="R28" s="42" t="str">
        <v>Misc</v>
      </c>
      <c r="S28" s="42" t="str">
        <v>June-23</v>
      </c>
      <c r="T28" s="42" t="str">
        <v>ALL</v>
      </c>
      <c r="U28" s="42">
        <v>6</v>
      </c>
    </row>
    <row r="29" spans="10:21" ht="15.6" customHeight="1" x14ac:dyDescent="0.2">
      <c r="J29" s="86"/>
      <c r="K29" s="74"/>
      <c r="L29" s="74"/>
      <c r="M29" s="74"/>
      <c r="N29" s="74"/>
      <c r="O29" s="74"/>
      <c r="P29" s="97"/>
      <c r="Q29" s="98"/>
    </row>
    <row r="30" spans="10:21" ht="15.6" customHeight="1" x14ac:dyDescent="0.2">
      <c r="J30" s="87"/>
      <c r="K30" s="91"/>
      <c r="L30" s="91"/>
      <c r="M30" s="91"/>
      <c r="N30" s="91"/>
      <c r="O30" s="91"/>
      <c r="P30" s="99"/>
      <c r="Q30" s="100"/>
    </row>
    <row r="31" spans="10:21" ht="15.6" customHeight="1" thickBot="1" x14ac:dyDescent="0.25">
      <c r="J31" s="88"/>
      <c r="K31" s="89"/>
      <c r="L31" s="89"/>
      <c r="M31" s="89"/>
      <c r="N31" s="89"/>
      <c r="O31" s="89"/>
      <c r="P31" s="101"/>
      <c r="Q31" s="102"/>
    </row>
    <row r="32" spans="10:21" ht="12" thickBot="1" x14ac:dyDescent="0.25">
      <c r="J32" s="105"/>
      <c r="K32" s="106"/>
      <c r="L32" s="106"/>
      <c r="M32" s="106"/>
      <c r="N32" s="106"/>
      <c r="O32" s="106"/>
      <c r="P32" s="241">
        <f>SUM(P8:P31)</f>
        <v>41557.42</v>
      </c>
      <c r="Q32" s="241">
        <f>SUM(Q8:Q31)</f>
        <v>81652.3</v>
      </c>
    </row>
    <row r="33" ht="10.8" thickTop="1" x14ac:dyDescent="0.2"/>
  </sheetData>
  <mergeCells count="1">
    <mergeCell ref="C2:Q3"/>
  </mergeCells>
  <dataValidations count="1">
    <dataValidation allowBlank="1" showErrorMessage="1" prompt="Enter Company Name in this cell, Starting Date in cell C3, and Cash balance alert minimum in cell C4" sqref="C2" xr:uid="{604D63CD-FB24-4BBB-B5EC-CCFAF9ECB5D7}"/>
  </dataValidations>
  <pageMargins left="0.7" right="0.7" top="0.75" bottom="0.75" header="0.3" footer="0.3"/>
  <tableParts count="1">
    <tablePart r:id="rId1"/>
  </tableParts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B1F0495F-F4DD-4F08-8F1E-440B2D551196}">
          <x14:formula1>
            <xm:f>_xlfn.ANCHORARRAY('Processed Database'!$P$3)</xm:f>
          </x14:formula1>
          <xm:sqref>D5</xm:sqref>
        </x14:dataValidation>
        <x14:dataValidation type="list" allowBlank="1" showInputMessage="1" showErrorMessage="1" xr:uid="{942DB8CF-7365-43E9-AB88-79131F2A850C}">
          <x14:formula1>
            <xm:f>_xlfn.ANCHORARRAY('Processed Database'!$S$3)</xm:f>
          </x14:formula1>
          <xm:sqref>H5:H6 K5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EF3393-2A28-4F5E-BEAB-F5E9581A54BD}">
  <sheetPr>
    <tabColor rgb="FF8AFF4F"/>
  </sheetPr>
  <dimension ref="B1:S138"/>
  <sheetViews>
    <sheetView showGridLines="0" zoomScale="130" zoomScaleNormal="130" workbookViewId="0">
      <selection activeCell="C2" sqref="C2:I3"/>
    </sheetView>
  </sheetViews>
  <sheetFormatPr defaultRowHeight="10.199999999999999" x14ac:dyDescent="0.2"/>
  <cols>
    <col min="1" max="2" width="2.7109375" customWidth="1"/>
    <col min="3" max="3" width="9.140625" style="110"/>
    <col min="4" max="4" width="57.42578125" style="110" customWidth="1"/>
    <col min="5" max="8" width="9.140625" style="110" hidden="1" customWidth="1"/>
    <col min="9" max="9" width="10.7109375" style="110" bestFit="1" customWidth="1"/>
    <col min="10" max="10" width="12.7109375" style="110" customWidth="1"/>
    <col min="11" max="11" width="9.140625" style="110" hidden="1" customWidth="1"/>
    <col min="12" max="12" width="14" style="110" hidden="1" customWidth="1"/>
    <col min="13" max="15" width="8" style="110" hidden="1" customWidth="1"/>
    <col min="18" max="18" width="10" bestFit="1" customWidth="1"/>
    <col min="19" max="19" width="16.5703125" customWidth="1"/>
  </cols>
  <sheetData>
    <row r="1" spans="2:19" ht="10.8" thickBot="1" x14ac:dyDescent="0.25"/>
    <row r="2" spans="2:19" x14ac:dyDescent="0.2">
      <c r="C2" s="254" t="s">
        <v>530</v>
      </c>
      <c r="D2" s="255"/>
      <c r="E2" s="255"/>
      <c r="F2" s="255"/>
      <c r="G2" s="255"/>
      <c r="H2" s="255"/>
      <c r="I2" s="256"/>
    </row>
    <row r="3" spans="2:19" ht="19.8" customHeight="1" thickBot="1" x14ac:dyDescent="0.25">
      <c r="C3" s="257"/>
      <c r="D3" s="258"/>
      <c r="E3" s="258"/>
      <c r="F3" s="258"/>
      <c r="G3" s="258"/>
      <c r="H3" s="258"/>
      <c r="I3" s="259"/>
    </row>
    <row r="4" spans="2:19" ht="10.8" thickBot="1" x14ac:dyDescent="0.25"/>
    <row r="5" spans="2:19" ht="16.8" customHeight="1" thickBot="1" x14ac:dyDescent="0.25">
      <c r="C5" s="136" t="s">
        <v>14</v>
      </c>
      <c r="D5" s="190" t="s">
        <v>15</v>
      </c>
      <c r="E5" s="191"/>
      <c r="F5" s="191"/>
      <c r="G5" s="191"/>
      <c r="H5" s="191"/>
      <c r="I5" s="192" t="s">
        <v>16</v>
      </c>
      <c r="J5" s="196" t="s">
        <v>17</v>
      </c>
      <c r="K5" s="120"/>
      <c r="L5" s="120"/>
      <c r="M5" s="120"/>
      <c r="N5" s="120"/>
      <c r="O5" s="120"/>
      <c r="R5" s="136" t="s">
        <v>172</v>
      </c>
      <c r="S5" s="137" t="s">
        <v>529</v>
      </c>
    </row>
    <row r="6" spans="2:19" ht="15.6" customHeight="1" x14ac:dyDescent="0.2">
      <c r="B6" s="138">
        <f>MONTH(C6)</f>
        <v>1</v>
      </c>
      <c r="C6" s="116" cm="1">
        <f t="array" ref="C6:N138">_xlfn._xlws.FILTER(TransactionsTable[],TransactionsTable[Transaction type]="Misc")</f>
        <v>44932</v>
      </c>
      <c r="D6" s="93" t="str">
        <v>ACTION CARTING EBill PayACH TRACE#711960040003072</v>
      </c>
      <c r="E6" s="93">
        <v>0</v>
      </c>
      <c r="F6" s="93">
        <v>0</v>
      </c>
      <c r="G6" s="93">
        <v>0</v>
      </c>
      <c r="H6" s="93">
        <v>0</v>
      </c>
      <c r="I6" s="121">
        <v>1763.18</v>
      </c>
      <c r="J6" s="127" t="str">
        <v/>
      </c>
      <c r="K6" s="124" t="str">
        <v>Misc</v>
      </c>
      <c r="L6" s="124" t="str">
        <v>January-23</v>
      </c>
      <c r="M6" s="125" t="str">
        <v>ALL</v>
      </c>
      <c r="N6" s="112">
        <v>1</v>
      </c>
      <c r="O6" s="112"/>
      <c r="Q6" s="138">
        <v>1</v>
      </c>
      <c r="R6" s="216" t="s">
        <v>181</v>
      </c>
      <c r="S6" s="197">
        <f>SUMIFS($I$6:$I$138,$B$6:$B$138,Q6)-SUMIFS($J$6:$J$138,$B$6:$B$138,Q6)</f>
        <v>1482.8300000000027</v>
      </c>
    </row>
    <row r="7" spans="2:19" ht="15.6" customHeight="1" x14ac:dyDescent="0.2">
      <c r="B7" s="138">
        <f t="shared" ref="B7:B70" si="0">MONTH(C7)</f>
        <v>1</v>
      </c>
      <c r="C7" s="117">
        <v>44943</v>
      </c>
      <c r="D7" s="189" t="str">
        <v>FIRE PREVENTION Bill PayACH TRACE#711960040005423</v>
      </c>
      <c r="E7" s="189">
        <v>0</v>
      </c>
      <c r="F7" s="189">
        <v>0</v>
      </c>
      <c r="G7" s="189">
        <v>0</v>
      </c>
      <c r="H7" s="189">
        <v>0</v>
      </c>
      <c r="I7" s="122">
        <v>300</v>
      </c>
      <c r="J7" s="126" t="str">
        <v/>
      </c>
      <c r="K7" s="114" t="str">
        <v>Misc</v>
      </c>
      <c r="L7" s="114" t="str">
        <v>January-23</v>
      </c>
      <c r="M7" s="126" t="str">
        <v>ALL</v>
      </c>
      <c r="N7" s="114">
        <v>1</v>
      </c>
      <c r="O7" s="114"/>
      <c r="Q7" s="138">
        <v>2</v>
      </c>
      <c r="R7" s="217" t="s">
        <v>182</v>
      </c>
      <c r="S7" s="198">
        <f t="shared" ref="S7:S17" si="1">SUMIFS($I$6:$I$138,$B$6:$B$138,Q7)-SUMIFS($J$6:$J$138,$B$6:$B$138,Q7)</f>
        <v>5452.43</v>
      </c>
    </row>
    <row r="8" spans="2:19" ht="15.6" customHeight="1" x14ac:dyDescent="0.2">
      <c r="B8" s="138">
        <f t="shared" si="0"/>
        <v>1</v>
      </c>
      <c r="C8" s="116">
        <v>44943</v>
      </c>
      <c r="D8" s="93" t="str">
        <v>VEOLIA WATER Bill PayACH TRACE#711960040005403</v>
      </c>
      <c r="E8" s="93">
        <v>0</v>
      </c>
      <c r="F8" s="93">
        <v>0</v>
      </c>
      <c r="G8" s="93">
        <v>0</v>
      </c>
      <c r="H8" s="93">
        <v>0</v>
      </c>
      <c r="I8" s="121">
        <v>303.11</v>
      </c>
      <c r="J8" s="127" t="str">
        <v/>
      </c>
      <c r="K8" s="112" t="str">
        <v>Misc</v>
      </c>
      <c r="L8" s="112" t="str">
        <v>January-23</v>
      </c>
      <c r="M8" s="127" t="str">
        <v>ALL</v>
      </c>
      <c r="N8" s="112">
        <v>1</v>
      </c>
      <c r="O8" s="112"/>
      <c r="Q8" s="138">
        <v>3</v>
      </c>
      <c r="R8" s="216" t="s">
        <v>183</v>
      </c>
      <c r="S8" s="197">
        <f t="shared" si="1"/>
        <v>-660.33999999999924</v>
      </c>
    </row>
    <row r="9" spans="2:19" ht="15.6" customHeight="1" x14ac:dyDescent="0.2">
      <c r="B9" s="138">
        <f t="shared" si="0"/>
        <v>1</v>
      </c>
      <c r="C9" s="117">
        <v>44943</v>
      </c>
      <c r="D9" s="189" t="str">
        <v>WATER BILL VEOLIA WATER NEW10006752433605 Diwali I</v>
      </c>
      <c r="E9" s="189">
        <v>0</v>
      </c>
      <c r="F9" s="189">
        <v>0</v>
      </c>
      <c r="G9" s="189">
        <v>0</v>
      </c>
      <c r="H9" s="189">
        <v>0</v>
      </c>
      <c r="I9" s="122">
        <v>423.63</v>
      </c>
      <c r="J9" s="126" t="str">
        <v/>
      </c>
      <c r="K9" s="114" t="str">
        <v>Misc</v>
      </c>
      <c r="L9" s="114" t="str">
        <v>January-23</v>
      </c>
      <c r="M9" s="126" t="str">
        <v>ALL</v>
      </c>
      <c r="N9" s="114">
        <v>1</v>
      </c>
      <c r="O9" s="114"/>
      <c r="Q9" s="138">
        <v>4</v>
      </c>
      <c r="R9" s="217" t="s">
        <v>184</v>
      </c>
      <c r="S9" s="198">
        <f t="shared" si="1"/>
        <v>-7401.12</v>
      </c>
    </row>
    <row r="10" spans="2:19" ht="15.6" customHeight="1" x14ac:dyDescent="0.2">
      <c r="B10" s="138">
        <f t="shared" si="0"/>
        <v>1</v>
      </c>
      <c r="C10" s="116">
        <v>44943</v>
      </c>
      <c r="D10" s="93" t="str">
        <v>ACTION ELEVATOR Bill PayACH TRACE#711960040005421</v>
      </c>
      <c r="E10" s="93">
        <v>0</v>
      </c>
      <c r="F10" s="93">
        <v>0</v>
      </c>
      <c r="G10" s="93">
        <v>0</v>
      </c>
      <c r="H10" s="93">
        <v>0</v>
      </c>
      <c r="I10" s="121">
        <v>583.77</v>
      </c>
      <c r="J10" s="127" t="str">
        <v/>
      </c>
      <c r="K10" s="112" t="str">
        <v>Misc</v>
      </c>
      <c r="L10" s="112" t="str">
        <v>January-23</v>
      </c>
      <c r="M10" s="127" t="str">
        <v>ALL</v>
      </c>
      <c r="N10" s="112">
        <v>1</v>
      </c>
      <c r="O10" s="112"/>
      <c r="Q10" s="138">
        <v>5</v>
      </c>
      <c r="R10" s="216" t="s">
        <v>175</v>
      </c>
      <c r="S10" s="197">
        <f t="shared" si="1"/>
        <v>-9520.74</v>
      </c>
    </row>
    <row r="11" spans="2:19" ht="15.6" customHeight="1" x14ac:dyDescent="0.2">
      <c r="B11" s="138">
        <f t="shared" si="0"/>
        <v>1</v>
      </c>
      <c r="C11" s="117">
        <v>44943</v>
      </c>
      <c r="D11" s="189" t="str">
        <v>FIRE PREVENTION Bill PayACH TRACE#711960040005422</v>
      </c>
      <c r="E11" s="189">
        <v>0</v>
      </c>
      <c r="F11" s="189">
        <v>0</v>
      </c>
      <c r="G11" s="189">
        <v>0</v>
      </c>
      <c r="H11" s="189">
        <v>0</v>
      </c>
      <c r="I11" s="122">
        <v>600</v>
      </c>
      <c r="J11" s="126" t="str">
        <v/>
      </c>
      <c r="K11" s="114" t="str">
        <v>Misc</v>
      </c>
      <c r="L11" s="114" t="str">
        <v>January-23</v>
      </c>
      <c r="M11" s="126" t="str">
        <v>ALL</v>
      </c>
      <c r="N11" s="114">
        <v>1</v>
      </c>
      <c r="O11" s="114"/>
      <c r="Q11" s="138">
        <v>6</v>
      </c>
      <c r="R11" s="217" t="s">
        <v>185</v>
      </c>
      <c r="S11" s="198">
        <f t="shared" si="1"/>
        <v>-10616.65</v>
      </c>
    </row>
    <row r="12" spans="2:19" ht="15.6" customHeight="1" x14ac:dyDescent="0.2">
      <c r="B12" s="138">
        <f t="shared" si="0"/>
        <v>1</v>
      </c>
      <c r="C12" s="116">
        <v>44944</v>
      </c>
      <c r="D12" s="93" t="str">
        <v>PUBLIC SERVICE PSEG</v>
      </c>
      <c r="E12" s="93">
        <v>0</v>
      </c>
      <c r="F12" s="93">
        <v>0</v>
      </c>
      <c r="G12" s="93">
        <v>0</v>
      </c>
      <c r="H12" s="93">
        <v>0</v>
      </c>
      <c r="I12" s="121">
        <v>18.329999999999998</v>
      </c>
      <c r="J12" s="127" t="str">
        <v/>
      </c>
      <c r="K12" s="112" t="str">
        <v>Misc</v>
      </c>
      <c r="L12" s="112" t="str">
        <v>January-23</v>
      </c>
      <c r="M12" s="127" t="str">
        <v>ALL</v>
      </c>
      <c r="N12" s="112">
        <v>1</v>
      </c>
      <c r="O12" s="112"/>
      <c r="Q12" s="138">
        <v>7</v>
      </c>
      <c r="R12" s="216" t="s">
        <v>186</v>
      </c>
      <c r="S12" s="197">
        <f t="shared" si="1"/>
        <v>5897.98</v>
      </c>
    </row>
    <row r="13" spans="2:19" ht="15.6" customHeight="1" x14ac:dyDescent="0.2">
      <c r="B13" s="138">
        <f t="shared" si="0"/>
        <v>1</v>
      </c>
      <c r="C13" s="117">
        <v>44944</v>
      </c>
      <c r="D13" s="189" t="str">
        <v>PUBLIC SERVICE PSEGACH TRACE#091000015296962</v>
      </c>
      <c r="E13" s="189">
        <v>0</v>
      </c>
      <c r="F13" s="189">
        <v>0</v>
      </c>
      <c r="G13" s="189">
        <v>0</v>
      </c>
      <c r="H13" s="189">
        <v>0</v>
      </c>
      <c r="I13" s="122">
        <v>66.05</v>
      </c>
      <c r="J13" s="126" t="str">
        <v/>
      </c>
      <c r="K13" s="114" t="str">
        <v>Misc</v>
      </c>
      <c r="L13" s="114" t="str">
        <v>January-23</v>
      </c>
      <c r="M13" s="126" t="str">
        <v>ALL</v>
      </c>
      <c r="N13" s="114">
        <v>1</v>
      </c>
      <c r="O13" s="114"/>
      <c r="Q13" s="138">
        <v>8</v>
      </c>
      <c r="R13" s="217" t="s">
        <v>187</v>
      </c>
      <c r="S13" s="198">
        <f t="shared" si="1"/>
        <v>-2492.96</v>
      </c>
    </row>
    <row r="14" spans="2:19" ht="15.6" customHeight="1" x14ac:dyDescent="0.2">
      <c r="B14" s="138">
        <f t="shared" si="0"/>
        <v>1</v>
      </c>
      <c r="C14" s="116">
        <v>44949</v>
      </c>
      <c r="D14" s="93" t="str">
        <v>TIME WARNER CABLBill PayACH TRACE#711960040003761</v>
      </c>
      <c r="E14" s="93">
        <v>0</v>
      </c>
      <c r="F14" s="93">
        <v>0</v>
      </c>
      <c r="G14" s="93">
        <v>0</v>
      </c>
      <c r="H14" s="93">
        <v>0</v>
      </c>
      <c r="I14" s="121">
        <v>420.92</v>
      </c>
      <c r="J14" s="127" t="str">
        <v/>
      </c>
      <c r="K14" s="112" t="str">
        <v>Misc</v>
      </c>
      <c r="L14" s="112" t="str">
        <v>January-23</v>
      </c>
      <c r="M14" s="127" t="str">
        <v>ALL</v>
      </c>
      <c r="N14" s="112">
        <v>1</v>
      </c>
      <c r="O14" s="112"/>
      <c r="Q14" s="138">
        <v>9</v>
      </c>
      <c r="R14" s="216" t="s">
        <v>188</v>
      </c>
      <c r="S14" s="197">
        <f t="shared" si="1"/>
        <v>-9383.18</v>
      </c>
    </row>
    <row r="15" spans="2:19" ht="15.6" customHeight="1" x14ac:dyDescent="0.2">
      <c r="B15" s="138">
        <f t="shared" si="0"/>
        <v>1</v>
      </c>
      <c r="C15" s="117">
        <v>44949</v>
      </c>
      <c r="D15" s="189" t="str">
        <v>PUBLIC SERVICE PSEGACH TRACE#091000011652282</v>
      </c>
      <c r="E15" s="189">
        <v>0</v>
      </c>
      <c r="F15" s="189">
        <v>0</v>
      </c>
      <c r="G15" s="189">
        <v>0</v>
      </c>
      <c r="H15" s="189">
        <v>0</v>
      </c>
      <c r="I15" s="122">
        <v>3584.72</v>
      </c>
      <c r="J15" s="126" t="str">
        <v/>
      </c>
      <c r="K15" s="114" t="str">
        <v>Misc</v>
      </c>
      <c r="L15" s="114" t="str">
        <v>January-23</v>
      </c>
      <c r="M15" s="126" t="str">
        <v>ALL</v>
      </c>
      <c r="N15" s="114">
        <v>1</v>
      </c>
      <c r="O15" s="114"/>
      <c r="Q15" s="138">
        <v>10</v>
      </c>
      <c r="R15" s="217" t="s">
        <v>189</v>
      </c>
      <c r="S15" s="198">
        <f t="shared" si="1"/>
        <v>4538.49</v>
      </c>
    </row>
    <row r="16" spans="2:19" ht="15.6" customHeight="1" x14ac:dyDescent="0.2">
      <c r="B16" s="138">
        <f t="shared" si="0"/>
        <v>1</v>
      </c>
      <c r="C16" s="116">
        <v>44950</v>
      </c>
      <c r="D16" s="93" t="str">
        <v>ACH Pmt JPW DENTAL LLC11009057551 Diwali I</v>
      </c>
      <c r="E16" s="93">
        <v>0</v>
      </c>
      <c r="F16" s="93">
        <v>0</v>
      </c>
      <c r="G16" s="93">
        <v>0</v>
      </c>
      <c r="H16" s="93">
        <v>0</v>
      </c>
      <c r="I16" s="121" t="str">
        <v/>
      </c>
      <c r="J16" s="127">
        <v>7354.7</v>
      </c>
      <c r="K16" s="112" t="str">
        <v>Misc</v>
      </c>
      <c r="L16" s="112" t="str">
        <v>January-23</v>
      </c>
      <c r="M16" s="127" t="str">
        <v>ALL</v>
      </c>
      <c r="N16" s="112">
        <v>1</v>
      </c>
      <c r="O16" s="112"/>
      <c r="Q16" s="138">
        <v>11</v>
      </c>
      <c r="R16" s="216" t="s">
        <v>190</v>
      </c>
      <c r="S16" s="197">
        <f t="shared" si="1"/>
        <v>1927.3300000000008</v>
      </c>
    </row>
    <row r="17" spans="2:19" ht="15.6" customHeight="1" thickBot="1" x14ac:dyDescent="0.25">
      <c r="B17" s="138">
        <f t="shared" si="0"/>
        <v>1</v>
      </c>
      <c r="C17" s="117">
        <v>44953</v>
      </c>
      <c r="D17" s="189" t="str">
        <v>P S E AND G NJ Bill PayACH TRACE#711960040002852</v>
      </c>
      <c r="E17" s="189">
        <v>0</v>
      </c>
      <c r="F17" s="189">
        <v>0</v>
      </c>
      <c r="G17" s="189">
        <v>0</v>
      </c>
      <c r="H17" s="189">
        <v>0</v>
      </c>
      <c r="I17" s="122">
        <v>46.43</v>
      </c>
      <c r="J17" s="126" t="str">
        <v/>
      </c>
      <c r="K17" s="114" t="str">
        <v>Misc</v>
      </c>
      <c r="L17" s="114" t="str">
        <v>January-23</v>
      </c>
      <c r="M17" s="126" t="str">
        <v>ALL</v>
      </c>
      <c r="N17" s="114">
        <v>1</v>
      </c>
      <c r="O17" s="114"/>
      <c r="Q17" s="138">
        <v>12</v>
      </c>
      <c r="R17" s="218" t="s">
        <v>191</v>
      </c>
      <c r="S17" s="203">
        <f t="shared" si="1"/>
        <v>-2066.5899999999992</v>
      </c>
    </row>
    <row r="18" spans="2:19" ht="15.6" customHeight="1" thickBot="1" x14ac:dyDescent="0.25">
      <c r="B18" s="138">
        <f t="shared" si="0"/>
        <v>1</v>
      </c>
      <c r="C18" s="116">
        <v>44953</v>
      </c>
      <c r="D18" s="93" t="str">
        <v>P S E AND G NJ Bill PayACH TRACE#711960040002853</v>
      </c>
      <c r="E18" s="93">
        <v>0</v>
      </c>
      <c r="F18" s="93">
        <v>0</v>
      </c>
      <c r="G18" s="93">
        <v>0</v>
      </c>
      <c r="H18" s="93">
        <v>0</v>
      </c>
      <c r="I18" s="121">
        <v>81.39</v>
      </c>
      <c r="J18" s="127" t="str">
        <v/>
      </c>
      <c r="K18" s="112" t="str">
        <v>Misc</v>
      </c>
      <c r="L18" s="112" t="str">
        <v>January-23</v>
      </c>
      <c r="M18" s="127" t="str">
        <v>ALL</v>
      </c>
      <c r="N18" s="112">
        <v>1</v>
      </c>
      <c r="O18" s="112"/>
      <c r="S18" s="241">
        <f>SUM(S6:S17)</f>
        <v>-22842.519999999993</v>
      </c>
    </row>
    <row r="19" spans="2:19" ht="15.6" customHeight="1" thickTop="1" x14ac:dyDescent="0.2">
      <c r="B19" s="138">
        <f t="shared" si="0"/>
        <v>1</v>
      </c>
      <c r="C19" s="117">
        <v>44957</v>
      </c>
      <c r="D19" s="189" t="str">
        <v>Web Pay Utica Mutual Ins000001505141582 DIWALI I</v>
      </c>
      <c r="E19" s="189">
        <v>0</v>
      </c>
      <c r="F19" s="189">
        <v>0</v>
      </c>
      <c r="G19" s="189">
        <v>0</v>
      </c>
      <c r="H19" s="189">
        <v>0</v>
      </c>
      <c r="I19" s="122">
        <v>646</v>
      </c>
      <c r="J19" s="126" t="str">
        <v/>
      </c>
      <c r="K19" s="114" t="str">
        <v>Misc</v>
      </c>
      <c r="L19" s="114" t="str">
        <v>January-23</v>
      </c>
      <c r="M19" s="126" t="str">
        <v>ALL</v>
      </c>
      <c r="N19" s="114">
        <v>1</v>
      </c>
      <c r="O19" s="114"/>
    </row>
    <row r="20" spans="2:19" ht="15.6" customHeight="1" x14ac:dyDescent="0.2">
      <c r="B20" s="138">
        <f t="shared" si="0"/>
        <v>2</v>
      </c>
      <c r="C20" s="116">
        <v>44964</v>
      </c>
      <c r="D20" s="93" t="str">
        <v>P S E AND G NJ Bill PayACH TRACE#711960040002568</v>
      </c>
      <c r="E20" s="93">
        <v>0</v>
      </c>
      <c r="F20" s="93">
        <v>0</v>
      </c>
      <c r="G20" s="93">
        <v>0</v>
      </c>
      <c r="H20" s="93">
        <v>0</v>
      </c>
      <c r="I20" s="121">
        <v>73.36</v>
      </c>
      <c r="J20" s="127" t="str">
        <v/>
      </c>
      <c r="K20" s="112" t="str">
        <v>Misc</v>
      </c>
      <c r="L20" s="112" t="str">
        <v>February-23</v>
      </c>
      <c r="M20" s="127" t="str">
        <v>ALL</v>
      </c>
      <c r="N20" s="112">
        <v>2</v>
      </c>
      <c r="O20" s="112"/>
    </row>
    <row r="21" spans="2:19" ht="15.6" customHeight="1" x14ac:dyDescent="0.2">
      <c r="B21" s="138">
        <f t="shared" si="0"/>
        <v>2</v>
      </c>
      <c r="C21" s="117">
        <v>44970</v>
      </c>
      <c r="D21" s="189" t="str">
        <v>WATER BILL VEOLIA WATER NEW10006752433605 Diwali I</v>
      </c>
      <c r="E21" s="189">
        <v>0</v>
      </c>
      <c r="F21" s="189">
        <v>0</v>
      </c>
      <c r="G21" s="189">
        <v>0</v>
      </c>
      <c r="H21" s="189">
        <v>0</v>
      </c>
      <c r="I21" s="122">
        <v>369.49</v>
      </c>
      <c r="J21" s="126" t="str">
        <v/>
      </c>
      <c r="K21" s="114" t="str">
        <v>Misc</v>
      </c>
      <c r="L21" s="114" t="str">
        <v>February-23</v>
      </c>
      <c r="M21" s="126" t="str">
        <v>ALL</v>
      </c>
      <c r="N21" s="114">
        <v>2</v>
      </c>
      <c r="O21" s="114"/>
    </row>
    <row r="22" spans="2:19" ht="15.6" customHeight="1" x14ac:dyDescent="0.2">
      <c r="B22" s="138">
        <f t="shared" si="0"/>
        <v>2</v>
      </c>
      <c r="C22" s="116">
        <v>44971</v>
      </c>
      <c r="D22" s="93" t="str">
        <v>P S E AND G NJ Bill PayACH TRACE#711960040003025</v>
      </c>
      <c r="E22" s="93">
        <v>0</v>
      </c>
      <c r="F22" s="93">
        <v>0</v>
      </c>
      <c r="G22" s="93">
        <v>0</v>
      </c>
      <c r="H22" s="93">
        <v>0</v>
      </c>
      <c r="I22" s="121">
        <v>113.88</v>
      </c>
      <c r="J22" s="127" t="str">
        <v/>
      </c>
      <c r="K22" s="112" t="str">
        <v>Misc</v>
      </c>
      <c r="L22" s="112" t="str">
        <v>February-23</v>
      </c>
      <c r="M22" s="127" t="str">
        <v>ALL</v>
      </c>
      <c r="N22" s="112">
        <v>2</v>
      </c>
      <c r="O22" s="112"/>
    </row>
    <row r="23" spans="2:19" ht="15.6" customHeight="1" x14ac:dyDescent="0.2">
      <c r="B23" s="138">
        <f t="shared" si="0"/>
        <v>2</v>
      </c>
      <c r="C23" s="117">
        <v>44971</v>
      </c>
      <c r="D23" s="189" t="str">
        <v>ACTION ELEVATOR Bill PayACH TRACE#711960040003130</v>
      </c>
      <c r="E23" s="189">
        <v>0</v>
      </c>
      <c r="F23" s="189">
        <v>0</v>
      </c>
      <c r="G23" s="189">
        <v>0</v>
      </c>
      <c r="H23" s="189">
        <v>0</v>
      </c>
      <c r="I23" s="122">
        <v>175.93</v>
      </c>
      <c r="J23" s="126" t="str">
        <v/>
      </c>
      <c r="K23" s="114" t="str">
        <v>Misc</v>
      </c>
      <c r="L23" s="114" t="str">
        <v>February-23</v>
      </c>
      <c r="M23" s="126" t="str">
        <v>ALL</v>
      </c>
      <c r="N23" s="114">
        <v>2</v>
      </c>
      <c r="O23" s="114"/>
    </row>
    <row r="24" spans="2:19" ht="15.6" customHeight="1" x14ac:dyDescent="0.2">
      <c r="B24" s="138">
        <f t="shared" si="0"/>
        <v>2</v>
      </c>
      <c r="C24" s="116">
        <v>44971</v>
      </c>
      <c r="D24" s="93" t="str">
        <v>VEOLIA WATER Bill PayACH TRACE#711960040003123</v>
      </c>
      <c r="E24" s="93">
        <v>0</v>
      </c>
      <c r="F24" s="93">
        <v>0</v>
      </c>
      <c r="G24" s="93">
        <v>0</v>
      </c>
      <c r="H24" s="93">
        <v>0</v>
      </c>
      <c r="I24" s="121">
        <v>254.22</v>
      </c>
      <c r="J24" s="127" t="str">
        <v/>
      </c>
      <c r="K24" s="112" t="str">
        <v>Misc</v>
      </c>
      <c r="L24" s="112" t="str">
        <v>February-23</v>
      </c>
      <c r="M24" s="127" t="str">
        <v>ALL</v>
      </c>
      <c r="N24" s="112">
        <v>2</v>
      </c>
      <c r="O24" s="112"/>
    </row>
    <row r="25" spans="2:19" ht="15.6" customHeight="1" x14ac:dyDescent="0.2">
      <c r="B25" s="138">
        <f t="shared" si="0"/>
        <v>2</v>
      </c>
      <c r="C25" s="117">
        <v>44971</v>
      </c>
      <c r="D25" s="189" t="str">
        <v>ACTION CARTING EBill PayACH TRACE#711960040003026</v>
      </c>
      <c r="E25" s="189">
        <v>0</v>
      </c>
      <c r="F25" s="189">
        <v>0</v>
      </c>
      <c r="G25" s="189">
        <v>0</v>
      </c>
      <c r="H25" s="189">
        <v>0</v>
      </c>
      <c r="I25" s="122">
        <v>599.99</v>
      </c>
      <c r="J25" s="126" t="str">
        <v/>
      </c>
      <c r="K25" s="114" t="str">
        <v>Misc</v>
      </c>
      <c r="L25" s="114" t="str">
        <v>February-23</v>
      </c>
      <c r="M25" s="126" t="str">
        <v>ALL</v>
      </c>
      <c r="N25" s="114">
        <v>2</v>
      </c>
      <c r="O25" s="114"/>
    </row>
    <row r="26" spans="2:19" ht="15.6" customHeight="1" x14ac:dyDescent="0.2">
      <c r="B26" s="138">
        <f t="shared" si="0"/>
        <v>2</v>
      </c>
      <c r="C26" s="116">
        <v>44971</v>
      </c>
      <c r="D26" s="93" t="str">
        <v>ACTION CARTING EBill Pay</v>
      </c>
      <c r="E26" s="93">
        <v>0</v>
      </c>
      <c r="F26" s="93">
        <v>0</v>
      </c>
      <c r="G26" s="93">
        <v>0</v>
      </c>
      <c r="H26" s="93">
        <v>0</v>
      </c>
      <c r="I26" s="121">
        <v>696.1</v>
      </c>
      <c r="J26" s="127" t="str">
        <v/>
      </c>
      <c r="K26" s="112" t="str">
        <v>Misc</v>
      </c>
      <c r="L26" s="112" t="str">
        <v>February-23</v>
      </c>
      <c r="M26" s="127" t="str">
        <v>ALL</v>
      </c>
      <c r="N26" s="112">
        <v>2</v>
      </c>
      <c r="O26" s="112"/>
    </row>
    <row r="27" spans="2:19" ht="15.6" customHeight="1" x14ac:dyDescent="0.2">
      <c r="B27" s="138">
        <f t="shared" si="0"/>
        <v>2</v>
      </c>
      <c r="C27" s="117">
        <v>44972</v>
      </c>
      <c r="D27" s="189" t="str">
        <v>PUBLIC SERVICE PSEGACH TRACE#091000010934332</v>
      </c>
      <c r="E27" s="189">
        <v>0</v>
      </c>
      <c r="F27" s="189">
        <v>0</v>
      </c>
      <c r="G27" s="189">
        <v>0</v>
      </c>
      <c r="H27" s="189">
        <v>0</v>
      </c>
      <c r="I27" s="122">
        <v>12.83</v>
      </c>
      <c r="J27" s="126" t="str">
        <v/>
      </c>
      <c r="K27" s="114" t="str">
        <v>Misc</v>
      </c>
      <c r="L27" s="114" t="str">
        <v>February-23</v>
      </c>
      <c r="M27" s="126" t="str">
        <v>ALL</v>
      </c>
      <c r="N27" s="114">
        <v>2</v>
      </c>
      <c r="O27" s="114"/>
    </row>
    <row r="28" spans="2:19" ht="15.6" customHeight="1" x14ac:dyDescent="0.2">
      <c r="B28" s="138">
        <f t="shared" si="0"/>
        <v>2</v>
      </c>
      <c r="C28" s="116">
        <v>44972</v>
      </c>
      <c r="D28" s="93" t="str">
        <v>PUBLIC SERVICE PSEGACH TRACE#091000010949778</v>
      </c>
      <c r="E28" s="93">
        <v>0</v>
      </c>
      <c r="F28" s="93">
        <v>0</v>
      </c>
      <c r="G28" s="93">
        <v>0</v>
      </c>
      <c r="H28" s="93">
        <v>0</v>
      </c>
      <c r="I28" s="121">
        <v>49.98</v>
      </c>
      <c r="J28" s="127" t="str">
        <v/>
      </c>
      <c r="K28" s="112" t="str">
        <v>Misc</v>
      </c>
      <c r="L28" s="112" t="str">
        <v>February-23</v>
      </c>
      <c r="M28" s="127" t="str">
        <v>ALL</v>
      </c>
      <c r="N28" s="112">
        <v>2</v>
      </c>
      <c r="O28" s="112"/>
    </row>
    <row r="29" spans="2:19" ht="15.6" customHeight="1" x14ac:dyDescent="0.2">
      <c r="B29" s="138">
        <f t="shared" si="0"/>
        <v>2</v>
      </c>
      <c r="C29" s="117">
        <v>44972</v>
      </c>
      <c r="D29" s="189" t="str">
        <v>PUBLIC SERVICE PSEGACH TRACE#091000010950730</v>
      </c>
      <c r="E29" s="189">
        <v>0</v>
      </c>
      <c r="F29" s="189">
        <v>0</v>
      </c>
      <c r="G29" s="189">
        <v>0</v>
      </c>
      <c r="H29" s="189">
        <v>0</v>
      </c>
      <c r="I29" s="122">
        <v>2685.73</v>
      </c>
      <c r="J29" s="126" t="str">
        <v/>
      </c>
      <c r="K29" s="114" t="str">
        <v>Misc</v>
      </c>
      <c r="L29" s="114" t="str">
        <v>February-23</v>
      </c>
      <c r="M29" s="126" t="str">
        <v>ALL</v>
      </c>
      <c r="N29" s="114">
        <v>2</v>
      </c>
      <c r="O29" s="114"/>
    </row>
    <row r="30" spans="2:19" ht="15.6" customHeight="1" x14ac:dyDescent="0.2">
      <c r="B30" s="138">
        <f t="shared" si="0"/>
        <v>2</v>
      </c>
      <c r="C30" s="117">
        <v>44985</v>
      </c>
      <c r="D30" s="189" t="str">
        <v>TIME WARNER CABLBill PayACH TRACE#711960040004218</v>
      </c>
      <c r="E30" s="189">
        <v>0</v>
      </c>
      <c r="F30" s="189">
        <v>0</v>
      </c>
      <c r="G30" s="189">
        <v>0</v>
      </c>
      <c r="H30" s="189">
        <v>0</v>
      </c>
      <c r="I30" s="122">
        <v>420.92</v>
      </c>
      <c r="J30" s="126" t="str">
        <v/>
      </c>
      <c r="K30" s="114" t="str">
        <v>Misc</v>
      </c>
      <c r="L30" s="114" t="str">
        <v>February-23</v>
      </c>
      <c r="M30" s="126" t="str">
        <v>ALL</v>
      </c>
      <c r="N30" s="114">
        <v>2</v>
      </c>
      <c r="O30" s="114"/>
    </row>
    <row r="31" spans="2:19" ht="15.6" customHeight="1" x14ac:dyDescent="0.2">
      <c r="B31" s="138">
        <f t="shared" si="0"/>
        <v>3</v>
      </c>
      <c r="C31" s="116">
        <v>44986</v>
      </c>
      <c r="D31" s="93" t="str">
        <v>ACH Pmt JPW DENTAL LLC11010185428 Diwali I</v>
      </c>
      <c r="E31" s="93">
        <v>0</v>
      </c>
      <c r="F31" s="93">
        <v>0</v>
      </c>
      <c r="G31" s="93">
        <v>0</v>
      </c>
      <c r="H31" s="93">
        <v>0</v>
      </c>
      <c r="I31" s="121" t="str">
        <v/>
      </c>
      <c r="J31" s="127">
        <v>7454.7</v>
      </c>
      <c r="K31" s="112" t="str">
        <v>Misc</v>
      </c>
      <c r="L31" s="112" t="str">
        <v>March-23</v>
      </c>
      <c r="M31" s="127" t="str">
        <v>ALL</v>
      </c>
      <c r="N31" s="112">
        <v>3</v>
      </c>
      <c r="O31" s="112"/>
    </row>
    <row r="32" spans="2:19" ht="15.6" customHeight="1" x14ac:dyDescent="0.2">
      <c r="B32" s="138">
        <f t="shared" si="0"/>
        <v>3</v>
      </c>
      <c r="C32" s="117">
        <v>44987</v>
      </c>
      <c r="D32" s="189" t="str">
        <v>Web Pay Utica Mutual Ins000001513961198 DIWALI I</v>
      </c>
      <c r="E32" s="189">
        <v>0</v>
      </c>
      <c r="F32" s="189">
        <v>0</v>
      </c>
      <c r="G32" s="189">
        <v>0</v>
      </c>
      <c r="H32" s="189">
        <v>0</v>
      </c>
      <c r="I32" s="122">
        <v>646</v>
      </c>
      <c r="J32" s="126" t="str">
        <v/>
      </c>
      <c r="K32" s="114" t="str">
        <v>Misc</v>
      </c>
      <c r="L32" s="114" t="str">
        <v>March-23</v>
      </c>
      <c r="M32" s="126" t="str">
        <v>ALL</v>
      </c>
      <c r="N32" s="114">
        <v>3</v>
      </c>
      <c r="O32" s="114"/>
    </row>
    <row r="33" spans="2:15" ht="15.6" customHeight="1" x14ac:dyDescent="0.2">
      <c r="B33" s="138">
        <f t="shared" si="0"/>
        <v>3</v>
      </c>
      <c r="C33" s="116">
        <v>44998</v>
      </c>
      <c r="D33" s="93" t="str">
        <v>WATER BILL VEOLIA WATER NEW10006752433605 Diwali I</v>
      </c>
      <c r="E33" s="93">
        <v>0</v>
      </c>
      <c r="F33" s="93">
        <v>0</v>
      </c>
      <c r="G33" s="93">
        <v>0</v>
      </c>
      <c r="H33" s="93">
        <v>0</v>
      </c>
      <c r="I33" s="121">
        <v>279.25</v>
      </c>
      <c r="J33" s="127" t="str">
        <v/>
      </c>
      <c r="K33" s="112" t="str">
        <v>Misc</v>
      </c>
      <c r="L33" s="112" t="str">
        <v>March-23</v>
      </c>
      <c r="M33" s="127" t="str">
        <v>ALL</v>
      </c>
      <c r="N33" s="112">
        <v>3</v>
      </c>
      <c r="O33" s="112"/>
    </row>
    <row r="34" spans="2:15" ht="15.6" customHeight="1" x14ac:dyDescent="0.2">
      <c r="B34" s="138">
        <f t="shared" si="0"/>
        <v>3</v>
      </c>
      <c r="C34" s="117">
        <v>45002</v>
      </c>
      <c r="D34" s="189" t="str">
        <v>PUBLIC SERVICE PSEGACH TRACE#091000018949353</v>
      </c>
      <c r="E34" s="189">
        <v>0</v>
      </c>
      <c r="F34" s="189">
        <v>0</v>
      </c>
      <c r="G34" s="189">
        <v>0</v>
      </c>
      <c r="H34" s="189">
        <v>0</v>
      </c>
      <c r="I34" s="122">
        <v>49.32</v>
      </c>
      <c r="J34" s="126" t="str">
        <v/>
      </c>
      <c r="K34" s="114" t="str">
        <v>Misc</v>
      </c>
      <c r="L34" s="114" t="str">
        <v>March-23</v>
      </c>
      <c r="M34" s="126" t="str">
        <v>ALL</v>
      </c>
      <c r="N34" s="114">
        <v>3</v>
      </c>
      <c r="O34" s="114"/>
    </row>
    <row r="35" spans="2:15" ht="15.6" customHeight="1" x14ac:dyDescent="0.2">
      <c r="B35" s="138">
        <f t="shared" si="0"/>
        <v>3</v>
      </c>
      <c r="C35" s="116">
        <v>45002</v>
      </c>
      <c r="D35" s="93" t="str">
        <v>PUBLIC SERVICE PSEGACH TRACE#091000018937452</v>
      </c>
      <c r="E35" s="93">
        <v>0</v>
      </c>
      <c r="F35" s="93">
        <v>0</v>
      </c>
      <c r="G35" s="93">
        <v>0</v>
      </c>
      <c r="H35" s="93">
        <v>0</v>
      </c>
      <c r="I35" s="121">
        <v>2806.34</v>
      </c>
      <c r="J35" s="127" t="str">
        <v/>
      </c>
      <c r="K35" s="112" t="str">
        <v>Misc</v>
      </c>
      <c r="L35" s="112" t="str">
        <v>March-23</v>
      </c>
      <c r="M35" s="127" t="str">
        <v>ALL</v>
      </c>
      <c r="N35" s="112">
        <v>3</v>
      </c>
      <c r="O35" s="112"/>
    </row>
    <row r="36" spans="2:15" ht="15.6" customHeight="1" x14ac:dyDescent="0.2">
      <c r="B36" s="138">
        <f t="shared" si="0"/>
        <v>3</v>
      </c>
      <c r="C36" s="117">
        <v>45005</v>
      </c>
      <c r="D36" s="189" t="str">
        <v>PUBLIC SERVICE PSEGACH TRACE#091000013563789</v>
      </c>
      <c r="E36" s="189">
        <v>0</v>
      </c>
      <c r="F36" s="189">
        <v>0</v>
      </c>
      <c r="G36" s="189">
        <v>0</v>
      </c>
      <c r="H36" s="189">
        <v>0</v>
      </c>
      <c r="I36" s="122">
        <v>14.28</v>
      </c>
      <c r="J36" s="126" t="str">
        <v/>
      </c>
      <c r="K36" s="114" t="str">
        <v>Misc</v>
      </c>
      <c r="L36" s="114" t="str">
        <v>March-23</v>
      </c>
      <c r="M36" s="126" t="str">
        <v>ALL</v>
      </c>
      <c r="N36" s="114">
        <v>3</v>
      </c>
      <c r="O36" s="114"/>
    </row>
    <row r="37" spans="2:15" ht="15.6" customHeight="1" x14ac:dyDescent="0.2">
      <c r="B37" s="138">
        <f t="shared" si="0"/>
        <v>3</v>
      </c>
      <c r="C37" s="116">
        <v>45005</v>
      </c>
      <c r="D37" s="93" t="str">
        <v>ACTION ELEVATOR Bill PayACH TRACE#711960040004005</v>
      </c>
      <c r="E37" s="93">
        <v>0</v>
      </c>
      <c r="F37" s="93">
        <v>0</v>
      </c>
      <c r="G37" s="93">
        <v>0</v>
      </c>
      <c r="H37" s="93">
        <v>0</v>
      </c>
      <c r="I37" s="121">
        <v>175.93</v>
      </c>
      <c r="J37" s="127" t="str">
        <v/>
      </c>
      <c r="K37" s="112" t="str">
        <v>Misc</v>
      </c>
      <c r="L37" s="112" t="str">
        <v>March-23</v>
      </c>
      <c r="M37" s="127" t="str">
        <v>ALL</v>
      </c>
      <c r="N37" s="112">
        <v>3</v>
      </c>
      <c r="O37" s="112"/>
    </row>
    <row r="38" spans="2:15" ht="15.6" customHeight="1" x14ac:dyDescent="0.2">
      <c r="B38" s="138">
        <f t="shared" si="0"/>
        <v>3</v>
      </c>
      <c r="C38" s="117">
        <v>45005</v>
      </c>
      <c r="D38" s="189" t="str">
        <v>ACTION CARTING EBill PayACH TRACE#711960040003984</v>
      </c>
      <c r="E38" s="189">
        <v>0</v>
      </c>
      <c r="F38" s="189">
        <v>0</v>
      </c>
      <c r="G38" s="189">
        <v>0</v>
      </c>
      <c r="H38" s="189">
        <v>0</v>
      </c>
      <c r="I38" s="122">
        <v>485.7</v>
      </c>
      <c r="J38" s="126" t="str">
        <v/>
      </c>
      <c r="K38" s="114" t="str">
        <v>Misc</v>
      </c>
      <c r="L38" s="114" t="str">
        <v>March-23</v>
      </c>
      <c r="M38" s="126" t="str">
        <v>ALL</v>
      </c>
      <c r="N38" s="114">
        <v>3</v>
      </c>
      <c r="O38" s="114"/>
    </row>
    <row r="39" spans="2:15" ht="15.6" customHeight="1" x14ac:dyDescent="0.2">
      <c r="B39" s="138">
        <f t="shared" si="0"/>
        <v>3</v>
      </c>
      <c r="C39" s="116">
        <v>45005</v>
      </c>
      <c r="D39" s="93" t="str">
        <v>FIRE PREVENTION Bill PayACH TRACE#711960040004006</v>
      </c>
      <c r="E39" s="93">
        <v>0</v>
      </c>
      <c r="F39" s="93">
        <v>0</v>
      </c>
      <c r="G39" s="93">
        <v>0</v>
      </c>
      <c r="H39" s="93">
        <v>0</v>
      </c>
      <c r="I39" s="121">
        <v>670.63</v>
      </c>
      <c r="J39" s="127" t="str">
        <v/>
      </c>
      <c r="K39" s="112" t="str">
        <v>Misc</v>
      </c>
      <c r="L39" s="112" t="str">
        <v>March-23</v>
      </c>
      <c r="M39" s="127" t="str">
        <v>ALL</v>
      </c>
      <c r="N39" s="112">
        <v>3</v>
      </c>
      <c r="O39" s="112"/>
    </row>
    <row r="40" spans="2:15" ht="15.6" customHeight="1" x14ac:dyDescent="0.2">
      <c r="B40" s="138">
        <f t="shared" si="0"/>
        <v>3</v>
      </c>
      <c r="C40" s="117">
        <v>45013</v>
      </c>
      <c r="D40" s="189" t="str">
        <v>TIME WARNER CABLBill PayACH TRACE#711960040002001</v>
      </c>
      <c r="E40" s="189">
        <v>0</v>
      </c>
      <c r="F40" s="189">
        <v>0</v>
      </c>
      <c r="G40" s="189">
        <v>0</v>
      </c>
      <c r="H40" s="189">
        <v>0</v>
      </c>
      <c r="I40" s="122">
        <v>420.92</v>
      </c>
      <c r="J40" s="126" t="str">
        <v/>
      </c>
      <c r="K40" s="114" t="str">
        <v>Misc</v>
      </c>
      <c r="L40" s="114" t="str">
        <v>March-23</v>
      </c>
      <c r="M40" s="126" t="str">
        <v>ALL</v>
      </c>
      <c r="N40" s="114">
        <v>3</v>
      </c>
      <c r="O40" s="114"/>
    </row>
    <row r="41" spans="2:15" ht="15.6" customHeight="1" x14ac:dyDescent="0.2">
      <c r="B41" s="138">
        <f t="shared" si="0"/>
        <v>3</v>
      </c>
      <c r="C41" s="116">
        <v>45013</v>
      </c>
      <c r="D41" s="93" t="str">
        <v>ACTION ELEVATOR Bill PayACH TRACE#711960040002005</v>
      </c>
      <c r="E41" s="93">
        <v>0</v>
      </c>
      <c r="F41" s="93">
        <v>0</v>
      </c>
      <c r="G41" s="93">
        <v>0</v>
      </c>
      <c r="H41" s="93">
        <v>0</v>
      </c>
      <c r="I41" s="121">
        <v>599.99</v>
      </c>
      <c r="J41" s="127" t="str">
        <v/>
      </c>
      <c r="K41" s="112" t="str">
        <v>Misc</v>
      </c>
      <c r="L41" s="112" t="str">
        <v>March-23</v>
      </c>
      <c r="M41" s="127" t="str">
        <v>ALL</v>
      </c>
      <c r="N41" s="112">
        <v>3</v>
      </c>
      <c r="O41" s="112"/>
    </row>
    <row r="42" spans="2:15" ht="15.6" customHeight="1" x14ac:dyDescent="0.2">
      <c r="B42" s="138">
        <f t="shared" si="0"/>
        <v>3</v>
      </c>
      <c r="C42" s="117">
        <v>45014</v>
      </c>
      <c r="D42" s="189" t="str">
        <v>Web Pay Utica Mutual Ins000001521202486 DIWALI I</v>
      </c>
      <c r="E42" s="189">
        <v>0</v>
      </c>
      <c r="F42" s="189">
        <v>0</v>
      </c>
      <c r="G42" s="189">
        <v>0</v>
      </c>
      <c r="H42" s="189">
        <v>0</v>
      </c>
      <c r="I42" s="122">
        <v>646</v>
      </c>
      <c r="J42" s="126" t="str">
        <v/>
      </c>
      <c r="K42" s="114" t="str">
        <v>Misc</v>
      </c>
      <c r="L42" s="114" t="str">
        <v>March-23</v>
      </c>
      <c r="M42" s="126" t="str">
        <v>ALL</v>
      </c>
      <c r="N42" s="114">
        <v>3</v>
      </c>
      <c r="O42" s="114"/>
    </row>
    <row r="43" spans="2:15" ht="15.6" customHeight="1" x14ac:dyDescent="0.2">
      <c r="B43" s="138">
        <f t="shared" si="0"/>
        <v>4</v>
      </c>
      <c r="C43" s="116">
        <v>45019</v>
      </c>
      <c r="D43" s="93" t="str">
        <v>ACH Pmt JPW DENTAL LLC11015076512 Diwali I</v>
      </c>
      <c r="E43" s="93">
        <v>0</v>
      </c>
      <c r="F43" s="93">
        <v>0</v>
      </c>
      <c r="G43" s="93">
        <v>0</v>
      </c>
      <c r="H43" s="93">
        <v>0</v>
      </c>
      <c r="I43" s="121" t="str">
        <v/>
      </c>
      <c r="J43" s="127">
        <v>4500</v>
      </c>
      <c r="K43" s="112" t="str">
        <v>Misc</v>
      </c>
      <c r="L43" s="112" t="str">
        <v>April-23</v>
      </c>
      <c r="M43" s="127">
        <v>0</v>
      </c>
      <c r="N43" s="112">
        <v>4</v>
      </c>
      <c r="O43" s="112"/>
    </row>
    <row r="44" spans="2:15" ht="15.6" customHeight="1" x14ac:dyDescent="0.2">
      <c r="B44" s="138">
        <f t="shared" si="0"/>
        <v>4</v>
      </c>
      <c r="C44" s="117">
        <v>45019</v>
      </c>
      <c r="D44" s="189" t="str">
        <v>ACH Pmt JPW DENTAL LLC11015077389 Diwali I</v>
      </c>
      <c r="E44" s="189">
        <v>0</v>
      </c>
      <c r="F44" s="189">
        <v>0</v>
      </c>
      <c r="G44" s="189">
        <v>0</v>
      </c>
      <c r="H44" s="189">
        <v>0</v>
      </c>
      <c r="I44" s="122" t="str">
        <v/>
      </c>
      <c r="J44" s="126">
        <v>7454.7</v>
      </c>
      <c r="K44" s="114" t="str">
        <v>Misc</v>
      </c>
      <c r="L44" s="114" t="str">
        <v>April-23</v>
      </c>
      <c r="M44" s="126">
        <v>0</v>
      </c>
      <c r="N44" s="114">
        <v>4</v>
      </c>
      <c r="O44" s="114"/>
    </row>
    <row r="45" spans="2:15" ht="15.6" customHeight="1" x14ac:dyDescent="0.2">
      <c r="B45" s="138">
        <f t="shared" si="0"/>
        <v>4</v>
      </c>
      <c r="C45" s="116">
        <v>45022</v>
      </c>
      <c r="D45" s="93" t="str">
        <v>VEOLIA WATER Bill PayACH TRACE#711960040003240</v>
      </c>
      <c r="E45" s="93">
        <v>0</v>
      </c>
      <c r="F45" s="93">
        <v>0</v>
      </c>
      <c r="G45" s="93">
        <v>0</v>
      </c>
      <c r="H45" s="93">
        <v>0</v>
      </c>
      <c r="I45" s="121">
        <v>283.55</v>
      </c>
      <c r="J45" s="127" t="str">
        <v/>
      </c>
      <c r="K45" s="112" t="str">
        <v>Misc</v>
      </c>
      <c r="L45" s="112" t="str">
        <v>April-23</v>
      </c>
      <c r="M45" s="127">
        <v>0</v>
      </c>
      <c r="N45" s="112">
        <v>4</v>
      </c>
      <c r="O45" s="112"/>
    </row>
    <row r="46" spans="2:15" ht="15.6" customHeight="1" x14ac:dyDescent="0.2">
      <c r="B46" s="138">
        <f t="shared" si="0"/>
        <v>4</v>
      </c>
      <c r="C46" s="117">
        <v>45029</v>
      </c>
      <c r="D46" s="189" t="str">
        <v>VEOLIA WATER Bill PayACH TRACE#711960040003840</v>
      </c>
      <c r="E46" s="189">
        <v>0</v>
      </c>
      <c r="F46" s="189">
        <v>0</v>
      </c>
      <c r="G46" s="189">
        <v>0</v>
      </c>
      <c r="H46" s="189">
        <v>0</v>
      </c>
      <c r="I46" s="122">
        <v>272.89999999999998</v>
      </c>
      <c r="J46" s="126" t="str">
        <v/>
      </c>
      <c r="K46" s="114" t="str">
        <v>Misc</v>
      </c>
      <c r="L46" s="114" t="str">
        <v>April-23</v>
      </c>
      <c r="M46" s="126">
        <v>0</v>
      </c>
      <c r="N46" s="114">
        <v>4</v>
      </c>
      <c r="O46" s="114"/>
    </row>
    <row r="47" spans="2:15" ht="15.6" customHeight="1" x14ac:dyDescent="0.2">
      <c r="B47" s="138">
        <f t="shared" si="0"/>
        <v>4</v>
      </c>
      <c r="C47" s="116">
        <v>45029</v>
      </c>
      <c r="D47" s="93" t="str">
        <v>VEOLIA WATER Bill PayACH TRACE#711960040003839</v>
      </c>
      <c r="E47" s="93">
        <v>0</v>
      </c>
      <c r="F47" s="93">
        <v>0</v>
      </c>
      <c r="G47" s="93">
        <v>0</v>
      </c>
      <c r="H47" s="93">
        <v>0</v>
      </c>
      <c r="I47" s="121">
        <v>303.10000000000002</v>
      </c>
      <c r="J47" s="127" t="str">
        <v/>
      </c>
      <c r="K47" s="112" t="str">
        <v>Misc</v>
      </c>
      <c r="L47" s="112" t="str">
        <v>April-23</v>
      </c>
      <c r="M47" s="127">
        <v>0</v>
      </c>
      <c r="N47" s="112">
        <v>4</v>
      </c>
      <c r="O47" s="112"/>
    </row>
    <row r="48" spans="2:15" ht="15.6" customHeight="1" x14ac:dyDescent="0.2">
      <c r="B48" s="138">
        <f t="shared" si="0"/>
        <v>4</v>
      </c>
      <c r="C48" s="117">
        <v>45030</v>
      </c>
      <c r="D48" s="189" t="str">
        <v>WATER BILL VEOLIA WATER NEW10006752433605 Diwali I</v>
      </c>
      <c r="E48" s="189">
        <v>0</v>
      </c>
      <c r="F48" s="189">
        <v>0</v>
      </c>
      <c r="G48" s="189">
        <v>0</v>
      </c>
      <c r="H48" s="189">
        <v>0</v>
      </c>
      <c r="I48" s="122">
        <v>272.89999999999998</v>
      </c>
      <c r="J48" s="126" t="str">
        <v/>
      </c>
      <c r="K48" s="114" t="str">
        <v>Misc</v>
      </c>
      <c r="L48" s="114" t="str">
        <v>April-23</v>
      </c>
      <c r="M48" s="126">
        <v>0</v>
      </c>
      <c r="N48" s="114">
        <v>4</v>
      </c>
      <c r="O48" s="114"/>
    </row>
    <row r="49" spans="2:15" ht="15.6" customHeight="1" x14ac:dyDescent="0.2">
      <c r="B49" s="138">
        <f t="shared" si="0"/>
        <v>4</v>
      </c>
      <c r="C49" s="116">
        <v>45033</v>
      </c>
      <c r="D49" s="93" t="str">
        <v>PUBLIC SERVICE PSEGACH TRACE#091000014415810</v>
      </c>
      <c r="E49" s="93">
        <v>0</v>
      </c>
      <c r="F49" s="93">
        <v>0</v>
      </c>
      <c r="G49" s="93">
        <v>0</v>
      </c>
      <c r="H49" s="93">
        <v>0</v>
      </c>
      <c r="I49" s="121">
        <v>15.75</v>
      </c>
      <c r="J49" s="127" t="str">
        <v/>
      </c>
      <c r="K49" s="112" t="str">
        <v>Misc</v>
      </c>
      <c r="L49" s="112" t="str">
        <v>April-23</v>
      </c>
      <c r="M49" s="127">
        <v>0</v>
      </c>
      <c r="N49" s="112">
        <v>4</v>
      </c>
      <c r="O49" s="112"/>
    </row>
    <row r="50" spans="2:15" ht="15.6" customHeight="1" x14ac:dyDescent="0.2">
      <c r="B50" s="138">
        <f t="shared" si="0"/>
        <v>4</v>
      </c>
      <c r="C50" s="117">
        <v>45033</v>
      </c>
      <c r="D50" s="189" t="str">
        <v>PUBLIC SERVICE PSEGACH TRACE#091000014436812</v>
      </c>
      <c r="E50" s="189">
        <v>0</v>
      </c>
      <c r="F50" s="189">
        <v>0</v>
      </c>
      <c r="G50" s="189">
        <v>0</v>
      </c>
      <c r="H50" s="189">
        <v>0</v>
      </c>
      <c r="I50" s="122">
        <v>51.63</v>
      </c>
      <c r="J50" s="126" t="str">
        <v/>
      </c>
      <c r="K50" s="114" t="str">
        <v>Misc</v>
      </c>
      <c r="L50" s="114" t="str">
        <v>April-23</v>
      </c>
      <c r="M50" s="126">
        <v>0</v>
      </c>
      <c r="N50" s="114">
        <v>4</v>
      </c>
      <c r="O50" s="114"/>
    </row>
    <row r="51" spans="2:15" ht="15.6" customHeight="1" x14ac:dyDescent="0.2">
      <c r="B51" s="138">
        <f t="shared" si="0"/>
        <v>4</v>
      </c>
      <c r="C51" s="116">
        <v>45033</v>
      </c>
      <c r="D51" s="93" t="str">
        <v>PUBLIC SERVICE PSEGACH TRACE#091000014435638</v>
      </c>
      <c r="E51" s="93">
        <v>0</v>
      </c>
      <c r="F51" s="93">
        <v>0</v>
      </c>
      <c r="G51" s="93">
        <v>0</v>
      </c>
      <c r="H51" s="93">
        <v>0</v>
      </c>
      <c r="I51" s="121">
        <v>2480.02</v>
      </c>
      <c r="J51" s="127" t="str">
        <v/>
      </c>
      <c r="K51" s="112" t="str">
        <v>Misc</v>
      </c>
      <c r="L51" s="112" t="str">
        <v>April-23</v>
      </c>
      <c r="M51" s="127">
        <v>0</v>
      </c>
      <c r="N51" s="112">
        <v>4</v>
      </c>
      <c r="O51" s="112"/>
    </row>
    <row r="52" spans="2:15" ht="15.6" customHeight="1" x14ac:dyDescent="0.2">
      <c r="B52" s="138">
        <f t="shared" si="0"/>
        <v>4</v>
      </c>
      <c r="C52" s="117">
        <v>45034</v>
      </c>
      <c r="D52" s="189" t="str">
        <v>NJWEB04823 NJ WEB PMT 04823091000013790666 DIWALI I TXP*B474360127000*04823*221231 *T*45000*****DIWA\</v>
      </c>
      <c r="E52" s="189">
        <v>0</v>
      </c>
      <c r="F52" s="189">
        <v>0</v>
      </c>
      <c r="G52" s="189">
        <v>0</v>
      </c>
      <c r="H52" s="189">
        <v>0</v>
      </c>
      <c r="I52" s="122">
        <v>450</v>
      </c>
      <c r="J52" s="126" t="str">
        <v/>
      </c>
      <c r="K52" s="114" t="str">
        <v>Misc</v>
      </c>
      <c r="L52" s="114" t="str">
        <v>April-23</v>
      </c>
      <c r="M52" s="126">
        <v>0</v>
      </c>
      <c r="N52" s="114">
        <v>4</v>
      </c>
      <c r="O52" s="114"/>
    </row>
    <row r="53" spans="2:15" ht="15.6" customHeight="1" x14ac:dyDescent="0.2">
      <c r="B53" s="138">
        <f t="shared" si="0"/>
        <v>4</v>
      </c>
      <c r="C53" s="116">
        <v>45040</v>
      </c>
      <c r="D53" s="93" t="str">
        <v>PUBLIC SERVICE PSEGACH TRACE#091000011923898</v>
      </c>
      <c r="E53" s="93">
        <v>0</v>
      </c>
      <c r="F53" s="93">
        <v>0</v>
      </c>
      <c r="G53" s="93">
        <v>0</v>
      </c>
      <c r="H53" s="93">
        <v>0</v>
      </c>
      <c r="I53" s="121">
        <v>2.81</v>
      </c>
      <c r="J53" s="127" t="str">
        <v/>
      </c>
      <c r="K53" s="112" t="str">
        <v>Misc</v>
      </c>
      <c r="L53" s="112" t="str">
        <v>April-23</v>
      </c>
      <c r="M53" s="127">
        <v>0</v>
      </c>
      <c r="N53" s="112">
        <v>4</v>
      </c>
      <c r="O53" s="112"/>
    </row>
    <row r="54" spans="2:15" ht="15.6" customHeight="1" x14ac:dyDescent="0.2">
      <c r="B54" s="138">
        <f t="shared" si="0"/>
        <v>4</v>
      </c>
      <c r="C54" s="117">
        <v>45040</v>
      </c>
      <c r="D54" s="189" t="str">
        <v>TIME WARNER CABLBill PayACH TRACE#711960040003799</v>
      </c>
      <c r="E54" s="189">
        <v>0</v>
      </c>
      <c r="F54" s="189">
        <v>0</v>
      </c>
      <c r="G54" s="189">
        <v>0</v>
      </c>
      <c r="H54" s="189">
        <v>0</v>
      </c>
      <c r="I54" s="122">
        <v>420.92</v>
      </c>
      <c r="J54" s="126" t="str">
        <v/>
      </c>
      <c r="K54" s="114" t="str">
        <v>Misc</v>
      </c>
      <c r="L54" s="114" t="str">
        <v>April-23</v>
      </c>
      <c r="M54" s="126">
        <v>0</v>
      </c>
      <c r="N54" s="114">
        <v>4</v>
      </c>
      <c r="O54" s="114"/>
    </row>
    <row r="55" spans="2:15" ht="15.6" customHeight="1" x14ac:dyDescent="0.2">
      <c r="B55" s="138">
        <f t="shared" si="0"/>
        <v>5</v>
      </c>
      <c r="C55" s="116">
        <v>45047</v>
      </c>
      <c r="D55" s="93" t="str">
        <v>ACTION ELEVATOR Bill PayACH TRACE#711960040005328</v>
      </c>
      <c r="E55" s="93">
        <v>0</v>
      </c>
      <c r="F55" s="93">
        <v>0</v>
      </c>
      <c r="G55" s="93">
        <v>0</v>
      </c>
      <c r="H55" s="93">
        <v>0</v>
      </c>
      <c r="I55" s="121">
        <v>175.93</v>
      </c>
      <c r="J55" s="127" t="str">
        <v/>
      </c>
      <c r="K55" s="112" t="str">
        <v>Misc</v>
      </c>
      <c r="L55" s="112" t="str">
        <v>May-23</v>
      </c>
      <c r="M55" s="127" t="str">
        <v>ALL</v>
      </c>
      <c r="N55" s="112">
        <v>5</v>
      </c>
      <c r="O55" s="112"/>
    </row>
    <row r="56" spans="2:15" ht="15.6" customHeight="1" x14ac:dyDescent="0.2">
      <c r="B56" s="138">
        <f t="shared" si="0"/>
        <v>5</v>
      </c>
      <c r="C56" s="117">
        <v>45047</v>
      </c>
      <c r="D56" s="189" t="str">
        <v>Web Pay Utica Mutual Ins000001529630032 DIWALI I</v>
      </c>
      <c r="E56" s="189">
        <v>0</v>
      </c>
      <c r="F56" s="189">
        <v>0</v>
      </c>
      <c r="G56" s="189">
        <v>0</v>
      </c>
      <c r="H56" s="189">
        <v>0</v>
      </c>
      <c r="I56" s="122">
        <v>646</v>
      </c>
      <c r="J56" s="126" t="str">
        <v/>
      </c>
      <c r="K56" s="114" t="str">
        <v>Misc</v>
      </c>
      <c r="L56" s="114" t="str">
        <v>May-23</v>
      </c>
      <c r="M56" s="126" t="str">
        <v>ALL</v>
      </c>
      <c r="N56" s="114">
        <v>5</v>
      </c>
      <c r="O56" s="114"/>
    </row>
    <row r="57" spans="2:15" ht="15.6" customHeight="1" x14ac:dyDescent="0.2">
      <c r="B57" s="138">
        <f t="shared" si="0"/>
        <v>5</v>
      </c>
      <c r="C57" s="116">
        <v>45047</v>
      </c>
      <c r="D57" s="93" t="str">
        <v>ACTION CARTING EBill PayACH TRACE#711960040005301</v>
      </c>
      <c r="E57" s="93">
        <v>0</v>
      </c>
      <c r="F57" s="93">
        <v>0</v>
      </c>
      <c r="G57" s="93">
        <v>0</v>
      </c>
      <c r="H57" s="93">
        <v>0</v>
      </c>
      <c r="I57" s="121">
        <v>1199.98</v>
      </c>
      <c r="J57" s="127" t="str">
        <v/>
      </c>
      <c r="K57" s="112" t="str">
        <v>Misc</v>
      </c>
      <c r="L57" s="112" t="str">
        <v>May-23</v>
      </c>
      <c r="M57" s="127" t="str">
        <v>ALL</v>
      </c>
      <c r="N57" s="112">
        <v>5</v>
      </c>
      <c r="O57" s="112"/>
    </row>
    <row r="58" spans="2:15" ht="15.6" customHeight="1" x14ac:dyDescent="0.2">
      <c r="B58" s="138">
        <f t="shared" si="0"/>
        <v>5</v>
      </c>
      <c r="C58" s="117">
        <v>45048</v>
      </c>
      <c r="D58" s="189" t="str">
        <v>ACH Pmt JPW DENTAL LLC11017673427 Diwali I</v>
      </c>
      <c r="E58" s="189">
        <v>0</v>
      </c>
      <c r="F58" s="189">
        <v>0</v>
      </c>
      <c r="G58" s="189">
        <v>0</v>
      </c>
      <c r="H58" s="189">
        <v>0</v>
      </c>
      <c r="I58" s="122" t="str">
        <v/>
      </c>
      <c r="J58" s="126">
        <v>7454.7</v>
      </c>
      <c r="K58" s="114" t="str">
        <v>Misc</v>
      </c>
      <c r="L58" s="114" t="str">
        <v>May-23</v>
      </c>
      <c r="M58" s="126" t="str">
        <v>ALL</v>
      </c>
      <c r="N58" s="114">
        <v>5</v>
      </c>
      <c r="O58" s="114"/>
    </row>
    <row r="59" spans="2:15" ht="15.6" customHeight="1" x14ac:dyDescent="0.2">
      <c r="B59" s="138">
        <f t="shared" si="0"/>
        <v>5</v>
      </c>
      <c r="C59" s="116">
        <v>45048</v>
      </c>
      <c r="D59" s="93" t="str">
        <v>ACH Pmt JPW DENTAL LLC11017673441 Diwali I</v>
      </c>
      <c r="E59" s="93">
        <v>0</v>
      </c>
      <c r="F59" s="93">
        <v>0</v>
      </c>
      <c r="G59" s="93">
        <v>0</v>
      </c>
      <c r="H59" s="93">
        <v>0</v>
      </c>
      <c r="I59" s="121" t="str">
        <v/>
      </c>
      <c r="J59" s="127">
        <v>7454.7</v>
      </c>
      <c r="K59" s="112" t="str">
        <v>Misc</v>
      </c>
      <c r="L59" s="112" t="str">
        <v>May-23</v>
      </c>
      <c r="M59" s="127" t="str">
        <v>ALL</v>
      </c>
      <c r="N59" s="112">
        <v>5</v>
      </c>
      <c r="O59" s="112"/>
    </row>
    <row r="60" spans="2:15" ht="15.6" customHeight="1" x14ac:dyDescent="0.2">
      <c r="B60" s="138">
        <f t="shared" si="0"/>
        <v>5</v>
      </c>
      <c r="C60" s="117">
        <v>45056</v>
      </c>
      <c r="D60" s="189" t="str">
        <v>VEOLIA WATER Bill PayACH TRACE#711960040002635</v>
      </c>
      <c r="E60" s="189">
        <v>0</v>
      </c>
      <c r="F60" s="189">
        <v>0</v>
      </c>
      <c r="G60" s="189">
        <v>0</v>
      </c>
      <c r="H60" s="189">
        <v>0</v>
      </c>
      <c r="I60" s="122">
        <v>273.77</v>
      </c>
      <c r="J60" s="126" t="str">
        <v/>
      </c>
      <c r="K60" s="114" t="str">
        <v>Misc</v>
      </c>
      <c r="L60" s="114" t="str">
        <v>May-23</v>
      </c>
      <c r="M60" s="126" t="str">
        <v>ALL</v>
      </c>
      <c r="N60" s="114">
        <v>5</v>
      </c>
      <c r="O60" s="114"/>
    </row>
    <row r="61" spans="2:15" ht="15.6" customHeight="1" x14ac:dyDescent="0.2">
      <c r="B61" s="138">
        <f t="shared" si="0"/>
        <v>5</v>
      </c>
      <c r="C61" s="116">
        <v>45063</v>
      </c>
      <c r="D61" s="93" t="str">
        <v>PUBLIC SERVICE PSEGACH TRACE#091000013968232</v>
      </c>
      <c r="E61" s="93">
        <v>0</v>
      </c>
      <c r="F61" s="93">
        <v>0</v>
      </c>
      <c r="G61" s="93">
        <v>0</v>
      </c>
      <c r="H61" s="93">
        <v>0</v>
      </c>
      <c r="I61" s="121">
        <v>41.83</v>
      </c>
      <c r="J61" s="127" t="str">
        <v/>
      </c>
      <c r="K61" s="112" t="str">
        <v>Misc</v>
      </c>
      <c r="L61" s="112" t="str">
        <v>May-23</v>
      </c>
      <c r="M61" s="127" t="str">
        <v>ALL</v>
      </c>
      <c r="N61" s="112">
        <v>5</v>
      </c>
      <c r="O61" s="112"/>
    </row>
    <row r="62" spans="2:15" ht="15.6" customHeight="1" x14ac:dyDescent="0.2">
      <c r="B62" s="138">
        <f t="shared" si="0"/>
        <v>5</v>
      </c>
      <c r="C62" s="117">
        <v>45063</v>
      </c>
      <c r="D62" s="189" t="str">
        <v>PUBLIC SERVICE PSEGACH TRACE#091000013983809</v>
      </c>
      <c r="E62" s="189">
        <v>0</v>
      </c>
      <c r="F62" s="189">
        <v>0</v>
      </c>
      <c r="G62" s="189">
        <v>0</v>
      </c>
      <c r="H62" s="189">
        <v>0</v>
      </c>
      <c r="I62" s="122">
        <v>1984.23</v>
      </c>
      <c r="J62" s="126" t="str">
        <v/>
      </c>
      <c r="K62" s="114" t="str">
        <v>Misc</v>
      </c>
      <c r="L62" s="114" t="str">
        <v>May-23</v>
      </c>
      <c r="M62" s="126" t="str">
        <v>ALL</v>
      </c>
      <c r="N62" s="114">
        <v>5</v>
      </c>
      <c r="O62" s="114"/>
    </row>
    <row r="63" spans="2:15" ht="15.6" customHeight="1" x14ac:dyDescent="0.2">
      <c r="B63" s="138">
        <f t="shared" si="0"/>
        <v>5</v>
      </c>
      <c r="C63" s="116">
        <v>45072</v>
      </c>
      <c r="D63" s="93" t="str">
        <v>TIME WARNER CABLBill PayACH TRACE#711960040002831</v>
      </c>
      <c r="E63" s="93">
        <v>0</v>
      </c>
      <c r="F63" s="93">
        <v>0</v>
      </c>
      <c r="G63" s="93">
        <v>0</v>
      </c>
      <c r="H63" s="93">
        <v>0</v>
      </c>
      <c r="I63" s="121">
        <v>420.92</v>
      </c>
      <c r="J63" s="127" t="str">
        <v/>
      </c>
      <c r="K63" s="112" t="str">
        <v>Misc</v>
      </c>
      <c r="L63" s="112" t="str">
        <v>May-23</v>
      </c>
      <c r="M63" s="127" t="str">
        <v>ALL</v>
      </c>
      <c r="N63" s="112">
        <v>5</v>
      </c>
      <c r="O63" s="112"/>
    </row>
    <row r="64" spans="2:15" ht="15.6" customHeight="1" x14ac:dyDescent="0.2">
      <c r="B64" s="138">
        <f t="shared" si="0"/>
        <v>5</v>
      </c>
      <c r="C64" s="117">
        <v>45077</v>
      </c>
      <c r="D64" s="189" t="str">
        <v>Web Pay Utica Mutual Ins000001537895284 DIWALI I</v>
      </c>
      <c r="E64" s="189">
        <v>0</v>
      </c>
      <c r="F64" s="189">
        <v>0</v>
      </c>
      <c r="G64" s="189">
        <v>0</v>
      </c>
      <c r="H64" s="189">
        <v>0</v>
      </c>
      <c r="I64" s="122">
        <v>646</v>
      </c>
      <c r="J64" s="126" t="str">
        <v/>
      </c>
      <c r="K64" s="114" t="str">
        <v>Misc</v>
      </c>
      <c r="L64" s="114" t="str">
        <v>May-23</v>
      </c>
      <c r="M64" s="126" t="str">
        <v>ALL</v>
      </c>
      <c r="N64" s="114">
        <v>5</v>
      </c>
      <c r="O64" s="114"/>
    </row>
    <row r="65" spans="2:15" ht="15.6" customHeight="1" x14ac:dyDescent="0.2">
      <c r="B65" s="138">
        <f t="shared" si="0"/>
        <v>6</v>
      </c>
      <c r="C65" s="116">
        <v>45078</v>
      </c>
      <c r="D65" s="93" t="str">
        <v>ACH Pmt JPW DENTAL LLC11017673460 Diwali I</v>
      </c>
      <c r="E65" s="93">
        <v>0</v>
      </c>
      <c r="F65" s="93">
        <v>0</v>
      </c>
      <c r="G65" s="93">
        <v>0</v>
      </c>
      <c r="H65" s="93">
        <v>0</v>
      </c>
      <c r="I65" s="121" t="str">
        <v/>
      </c>
      <c r="J65" s="127">
        <v>7454.7</v>
      </c>
      <c r="K65" s="112" t="str">
        <v>Misc</v>
      </c>
      <c r="L65" s="112" t="str">
        <v>June-23</v>
      </c>
      <c r="M65" s="127" t="str">
        <v>ALL</v>
      </c>
      <c r="N65" s="112">
        <v>6</v>
      </c>
      <c r="O65" s="112"/>
    </row>
    <row r="66" spans="2:15" ht="15.6" customHeight="1" x14ac:dyDescent="0.2">
      <c r="B66" s="138">
        <f t="shared" si="0"/>
        <v>6</v>
      </c>
      <c r="C66" s="117">
        <v>45079</v>
      </c>
      <c r="D66" s="189" t="str">
        <v>ACTION CARTING EBill PayACH TRACE#711960040003529</v>
      </c>
      <c r="E66" s="189">
        <v>0</v>
      </c>
      <c r="F66" s="189">
        <v>0</v>
      </c>
      <c r="G66" s="189">
        <v>0</v>
      </c>
      <c r="H66" s="189">
        <v>0</v>
      </c>
      <c r="I66" s="122">
        <v>599.99</v>
      </c>
      <c r="J66" s="126" t="str">
        <v/>
      </c>
      <c r="K66" s="114" t="str">
        <v>Misc</v>
      </c>
      <c r="L66" s="114" t="str">
        <v>June-23</v>
      </c>
      <c r="M66" s="126" t="str">
        <v>ALL</v>
      </c>
      <c r="N66" s="114">
        <v>6</v>
      </c>
      <c r="O66" s="114"/>
    </row>
    <row r="67" spans="2:15" ht="15.6" customHeight="1" x14ac:dyDescent="0.2">
      <c r="B67" s="138">
        <f t="shared" si="0"/>
        <v>6</v>
      </c>
      <c r="C67" s="116">
        <v>45083</v>
      </c>
      <c r="D67" s="93" t="str">
        <v>Encoding error</v>
      </c>
      <c r="E67" s="93">
        <v>0</v>
      </c>
      <c r="F67" s="93">
        <v>0</v>
      </c>
      <c r="G67" s="93">
        <v>0</v>
      </c>
      <c r="H67" s="93">
        <v>0</v>
      </c>
      <c r="I67" s="121" t="str">
        <v/>
      </c>
      <c r="J67" s="127">
        <v>0.4</v>
      </c>
      <c r="K67" s="112" t="str">
        <v>Misc</v>
      </c>
      <c r="L67" s="112" t="str">
        <v>June-23</v>
      </c>
      <c r="M67" s="127" t="str">
        <v>ALL</v>
      </c>
      <c r="N67" s="112">
        <v>6</v>
      </c>
      <c r="O67" s="112"/>
    </row>
    <row r="68" spans="2:15" ht="15.6" customHeight="1" x14ac:dyDescent="0.2">
      <c r="B68" s="138">
        <f t="shared" si="0"/>
        <v>6</v>
      </c>
      <c r="C68" s="117">
        <v>45083</v>
      </c>
      <c r="D68" s="189" t="str">
        <v>FIRE PREVENTION Bill PayACH TRACE#711960040002356</v>
      </c>
      <c r="E68" s="189">
        <v>0</v>
      </c>
      <c r="F68" s="189">
        <v>0</v>
      </c>
      <c r="G68" s="189">
        <v>0</v>
      </c>
      <c r="H68" s="189">
        <v>0</v>
      </c>
      <c r="I68" s="122">
        <v>780</v>
      </c>
      <c r="J68" s="126" t="str">
        <v/>
      </c>
      <c r="K68" s="114" t="str">
        <v>Misc</v>
      </c>
      <c r="L68" s="114" t="str">
        <v>June-23</v>
      </c>
      <c r="M68" s="126" t="str">
        <v>ALL</v>
      </c>
      <c r="N68" s="114">
        <v>6</v>
      </c>
      <c r="O68" s="114"/>
    </row>
    <row r="69" spans="2:15" ht="15.6" customHeight="1" x14ac:dyDescent="0.2">
      <c r="B69" s="138">
        <f t="shared" si="0"/>
        <v>6</v>
      </c>
      <c r="C69" s="116">
        <v>45093</v>
      </c>
      <c r="D69" s="93" t="str">
        <v>PUBLIC SERVICE PSEGACH TRACE#091000011511386</v>
      </c>
      <c r="E69" s="93">
        <v>0</v>
      </c>
      <c r="F69" s="93">
        <v>0</v>
      </c>
      <c r="G69" s="93">
        <v>0</v>
      </c>
      <c r="H69" s="93">
        <v>0</v>
      </c>
      <c r="I69" s="121">
        <v>32.85</v>
      </c>
      <c r="J69" s="127" t="str">
        <v/>
      </c>
      <c r="K69" s="112" t="str">
        <v>Misc</v>
      </c>
      <c r="L69" s="112" t="str">
        <v>June-23</v>
      </c>
      <c r="M69" s="127" t="str">
        <v>ALL</v>
      </c>
      <c r="N69" s="112">
        <v>6</v>
      </c>
      <c r="O69" s="112"/>
    </row>
    <row r="70" spans="2:15" ht="15.6" customHeight="1" x14ac:dyDescent="0.2">
      <c r="B70" s="138">
        <f t="shared" si="0"/>
        <v>6</v>
      </c>
      <c r="C70" s="117">
        <v>45093</v>
      </c>
      <c r="D70" s="189" t="str">
        <v>WATER BILL VEOLIA WATER NEW10006752433605 Diwali I</v>
      </c>
      <c r="E70" s="189">
        <v>0</v>
      </c>
      <c r="F70" s="189">
        <v>0</v>
      </c>
      <c r="G70" s="189">
        <v>0</v>
      </c>
      <c r="H70" s="189">
        <v>0</v>
      </c>
      <c r="I70" s="122">
        <v>264.68</v>
      </c>
      <c r="J70" s="126" t="str">
        <v/>
      </c>
      <c r="K70" s="114" t="str">
        <v>Misc</v>
      </c>
      <c r="L70" s="114" t="str">
        <v>June-23</v>
      </c>
      <c r="M70" s="126" t="str">
        <v>ALL</v>
      </c>
      <c r="N70" s="114">
        <v>6</v>
      </c>
      <c r="O70" s="114"/>
    </row>
    <row r="71" spans="2:15" ht="15.6" customHeight="1" x14ac:dyDescent="0.2">
      <c r="B71" s="138">
        <f t="shared" ref="B71:B134" si="2">MONTH(C71)</f>
        <v>6</v>
      </c>
      <c r="C71" s="116">
        <v>45093</v>
      </c>
      <c r="D71" s="93" t="str">
        <v>PUBLIC SERVICE PSEGACH TRACE#091000011496776</v>
      </c>
      <c r="E71" s="93">
        <v>0</v>
      </c>
      <c r="F71" s="93">
        <v>0</v>
      </c>
      <c r="G71" s="93">
        <v>0</v>
      </c>
      <c r="H71" s="93">
        <v>0</v>
      </c>
      <c r="I71" s="121">
        <v>1793.7</v>
      </c>
      <c r="J71" s="127" t="str">
        <v/>
      </c>
      <c r="K71" s="112" t="str">
        <v>Misc</v>
      </c>
      <c r="L71" s="112" t="str">
        <v>June-23</v>
      </c>
      <c r="M71" s="127" t="str">
        <v>ALL</v>
      </c>
      <c r="N71" s="112">
        <v>6</v>
      </c>
      <c r="O71" s="112"/>
    </row>
    <row r="72" spans="2:15" ht="15.6" customHeight="1" x14ac:dyDescent="0.2">
      <c r="B72" s="138">
        <f t="shared" si="2"/>
        <v>6</v>
      </c>
      <c r="C72" s="117">
        <v>45103</v>
      </c>
      <c r="D72" s="189" t="str">
        <v>ACTION ELEVATOR Bill PayACH TRACE#711960040003869</v>
      </c>
      <c r="E72" s="189">
        <v>0</v>
      </c>
      <c r="F72" s="189">
        <v>0</v>
      </c>
      <c r="G72" s="189">
        <v>0</v>
      </c>
      <c r="H72" s="189">
        <v>0</v>
      </c>
      <c r="I72" s="122">
        <v>175.93</v>
      </c>
      <c r="J72" s="126" t="str">
        <v/>
      </c>
      <c r="K72" s="114" t="str">
        <v>Misc</v>
      </c>
      <c r="L72" s="114" t="str">
        <v>June-23</v>
      </c>
      <c r="M72" s="126" t="str">
        <v>ALL</v>
      </c>
      <c r="N72" s="114">
        <v>6</v>
      </c>
      <c r="O72" s="114"/>
    </row>
    <row r="73" spans="2:15" ht="15.6" customHeight="1" x14ac:dyDescent="0.2">
      <c r="B73" s="138">
        <f t="shared" si="2"/>
        <v>6</v>
      </c>
      <c r="C73" s="116">
        <v>45106</v>
      </c>
      <c r="D73" s="93" t="str">
        <v>Web Pay Utica Mutual Ins000001545709746 DIWALI I</v>
      </c>
      <c r="E73" s="93">
        <v>0</v>
      </c>
      <c r="F73" s="93">
        <v>0</v>
      </c>
      <c r="G73" s="93">
        <v>0</v>
      </c>
      <c r="H73" s="93">
        <v>0</v>
      </c>
      <c r="I73" s="121">
        <v>646</v>
      </c>
      <c r="J73" s="127" t="str">
        <v/>
      </c>
      <c r="K73" s="112" t="str">
        <v>Misc</v>
      </c>
      <c r="L73" s="112" t="str">
        <v>June-23</v>
      </c>
      <c r="M73" s="127" t="str">
        <v>ALL</v>
      </c>
      <c r="N73" s="112">
        <v>6</v>
      </c>
      <c r="O73" s="112"/>
    </row>
    <row r="74" spans="2:15" ht="15.6" customHeight="1" x14ac:dyDescent="0.2">
      <c r="B74" s="138">
        <f t="shared" si="2"/>
        <v>6</v>
      </c>
      <c r="C74" s="117">
        <v>45107</v>
      </c>
      <c r="D74" s="189" t="str">
        <v>ACH Pmt JPW DENTAL LLC11020412695 Diwali I</v>
      </c>
      <c r="E74" s="189">
        <v>0</v>
      </c>
      <c r="F74" s="189">
        <v>0</v>
      </c>
      <c r="G74" s="189">
        <v>0</v>
      </c>
      <c r="H74" s="189">
        <v>0</v>
      </c>
      <c r="I74" s="122" t="str">
        <v/>
      </c>
      <c r="J74" s="126">
        <v>7454.7</v>
      </c>
      <c r="K74" s="114" t="str">
        <v>Misc</v>
      </c>
      <c r="L74" s="114" t="str">
        <v>June-23</v>
      </c>
      <c r="M74" s="126" t="str">
        <v>ALL</v>
      </c>
      <c r="N74" s="114">
        <v>6</v>
      </c>
      <c r="O74" s="114"/>
    </row>
    <row r="75" spans="2:15" ht="15.6" customHeight="1" x14ac:dyDescent="0.2">
      <c r="B75" s="138">
        <f t="shared" si="2"/>
        <v>7</v>
      </c>
      <c r="C75" s="116">
        <v>45120</v>
      </c>
      <c r="D75" s="93" t="str">
        <v>WATER BILL VEOLIA WATER NEW10006752433605 Diwali I</v>
      </c>
      <c r="E75" s="93">
        <v>0</v>
      </c>
      <c r="F75" s="93">
        <v>0</v>
      </c>
      <c r="G75" s="93">
        <v>0</v>
      </c>
      <c r="H75" s="93">
        <v>0</v>
      </c>
      <c r="I75" s="121">
        <v>250.75</v>
      </c>
      <c r="J75" s="127" t="str">
        <v/>
      </c>
      <c r="K75" s="112" t="str">
        <v>Misc</v>
      </c>
      <c r="L75" s="112" t="str">
        <v>July-23</v>
      </c>
      <c r="M75" s="127">
        <v>0</v>
      </c>
      <c r="N75" s="112">
        <v>7</v>
      </c>
      <c r="O75" s="112"/>
    </row>
    <row r="76" spans="2:15" ht="15.6" customHeight="1" x14ac:dyDescent="0.2">
      <c r="B76" s="138">
        <f t="shared" si="2"/>
        <v>7</v>
      </c>
      <c r="C76" s="117">
        <v>45124</v>
      </c>
      <c r="D76" s="189" t="str">
        <v>PUBLIC SERVICE PSEGACH TRACE#091000014012653</v>
      </c>
      <c r="E76" s="189">
        <v>0</v>
      </c>
      <c r="F76" s="189">
        <v>0</v>
      </c>
      <c r="G76" s="189">
        <v>0</v>
      </c>
      <c r="H76" s="189">
        <v>0</v>
      </c>
      <c r="I76" s="122">
        <v>46.21</v>
      </c>
      <c r="J76" s="126" t="str">
        <v/>
      </c>
      <c r="K76" s="114" t="str">
        <v>Misc</v>
      </c>
      <c r="L76" s="114" t="str">
        <v>July-23</v>
      </c>
      <c r="M76" s="126">
        <v>0</v>
      </c>
      <c r="N76" s="114">
        <v>7</v>
      </c>
      <c r="O76" s="114"/>
    </row>
    <row r="77" spans="2:15" ht="15.6" customHeight="1" x14ac:dyDescent="0.2">
      <c r="B77" s="138">
        <f t="shared" si="2"/>
        <v>7</v>
      </c>
      <c r="C77" s="116">
        <v>45131</v>
      </c>
      <c r="D77" s="93" t="str">
        <v>VERIZON COMMUNICBill PayACH TRACE#711960040003668</v>
      </c>
      <c r="E77" s="93">
        <v>0</v>
      </c>
      <c r="F77" s="93">
        <v>0</v>
      </c>
      <c r="G77" s="93">
        <v>0</v>
      </c>
      <c r="H77" s="93">
        <v>0</v>
      </c>
      <c r="I77" s="121">
        <v>71.989999999999995</v>
      </c>
      <c r="J77" s="127" t="str">
        <v/>
      </c>
      <c r="K77" s="112" t="str">
        <v>Misc</v>
      </c>
      <c r="L77" s="112" t="str">
        <v>July-23</v>
      </c>
      <c r="M77" s="127">
        <v>0</v>
      </c>
      <c r="N77" s="112">
        <v>7</v>
      </c>
      <c r="O77" s="112"/>
    </row>
    <row r="78" spans="2:15" ht="15.6" customHeight="1" x14ac:dyDescent="0.2">
      <c r="B78" s="138">
        <f t="shared" si="2"/>
        <v>7</v>
      </c>
      <c r="C78" s="117">
        <v>45131</v>
      </c>
      <c r="D78" s="189" t="str">
        <v>ACTION ELEVATOR Bill PayACH TRACE#711960040003659</v>
      </c>
      <c r="E78" s="189">
        <v>0</v>
      </c>
      <c r="F78" s="189">
        <v>0</v>
      </c>
      <c r="G78" s="189">
        <v>0</v>
      </c>
      <c r="H78" s="189">
        <v>0</v>
      </c>
      <c r="I78" s="122">
        <v>351.86</v>
      </c>
      <c r="J78" s="126" t="str">
        <v/>
      </c>
      <c r="K78" s="114" t="str">
        <v>Misc</v>
      </c>
      <c r="L78" s="114" t="str">
        <v>July-23</v>
      </c>
      <c r="M78" s="126">
        <v>0</v>
      </c>
      <c r="N78" s="114">
        <v>7</v>
      </c>
      <c r="O78" s="114"/>
    </row>
    <row r="79" spans="2:15" ht="15.6" customHeight="1" x14ac:dyDescent="0.2">
      <c r="B79" s="138">
        <f t="shared" si="2"/>
        <v>7</v>
      </c>
      <c r="C79" s="116">
        <v>45131</v>
      </c>
      <c r="D79" s="93" t="str">
        <v>VERIZON COMMUNICBill PayACH TRACE#711960040003667</v>
      </c>
      <c r="E79" s="93">
        <v>0</v>
      </c>
      <c r="F79" s="93">
        <v>0</v>
      </c>
      <c r="G79" s="93">
        <v>0</v>
      </c>
      <c r="H79" s="93">
        <v>0</v>
      </c>
      <c r="I79" s="121">
        <v>635.32000000000005</v>
      </c>
      <c r="J79" s="127" t="str">
        <v/>
      </c>
      <c r="K79" s="112" t="str">
        <v>Misc</v>
      </c>
      <c r="L79" s="112" t="str">
        <v>July-23</v>
      </c>
      <c r="M79" s="127">
        <v>0</v>
      </c>
      <c r="N79" s="112">
        <v>7</v>
      </c>
      <c r="O79" s="112"/>
    </row>
    <row r="80" spans="2:15" ht="15.6" customHeight="1" x14ac:dyDescent="0.2">
      <c r="B80" s="138">
        <f t="shared" si="2"/>
        <v>7</v>
      </c>
      <c r="C80" s="117">
        <v>45131</v>
      </c>
      <c r="D80" s="189" t="str">
        <v>ACTION CARTING EBill PayACH TRACE#711960040003642</v>
      </c>
      <c r="E80" s="189">
        <v>0</v>
      </c>
      <c r="F80" s="189">
        <v>0</v>
      </c>
      <c r="G80" s="189">
        <v>0</v>
      </c>
      <c r="H80" s="189">
        <v>0</v>
      </c>
      <c r="I80" s="122">
        <v>1199.98</v>
      </c>
      <c r="J80" s="126" t="str">
        <v/>
      </c>
      <c r="K80" s="114" t="str">
        <v>Misc</v>
      </c>
      <c r="L80" s="114" t="str">
        <v>July-23</v>
      </c>
      <c r="M80" s="126">
        <v>0</v>
      </c>
      <c r="N80" s="114">
        <v>7</v>
      </c>
      <c r="O80" s="114"/>
    </row>
    <row r="81" spans="2:15" ht="15.6" customHeight="1" x14ac:dyDescent="0.2">
      <c r="B81" s="138">
        <f t="shared" si="2"/>
        <v>7</v>
      </c>
      <c r="C81" s="116">
        <v>45133</v>
      </c>
      <c r="D81" s="93" t="str">
        <v>PUBLIC SERVICE PSEGACH TRACE#091000012431325</v>
      </c>
      <c r="E81" s="93">
        <v>0</v>
      </c>
      <c r="F81" s="93">
        <v>0</v>
      </c>
      <c r="G81" s="93">
        <v>0</v>
      </c>
      <c r="H81" s="93">
        <v>0</v>
      </c>
      <c r="I81" s="121">
        <v>2096.87</v>
      </c>
      <c r="J81" s="127" t="str">
        <v/>
      </c>
      <c r="K81" s="112" t="str">
        <v>Misc</v>
      </c>
      <c r="L81" s="112" t="str">
        <v>July-23</v>
      </c>
      <c r="M81" s="127">
        <v>0</v>
      </c>
      <c r="N81" s="112">
        <v>7</v>
      </c>
      <c r="O81" s="112"/>
    </row>
    <row r="82" spans="2:15" ht="15.6" customHeight="1" x14ac:dyDescent="0.2">
      <c r="B82" s="138">
        <f t="shared" si="2"/>
        <v>7</v>
      </c>
      <c r="C82" s="117">
        <v>45134</v>
      </c>
      <c r="D82" s="189" t="str">
        <v>VEOLIA WATER Bill PayACH TRACE#711960040002765</v>
      </c>
      <c r="E82" s="189">
        <v>0</v>
      </c>
      <c r="F82" s="189">
        <v>0</v>
      </c>
      <c r="G82" s="189">
        <v>0</v>
      </c>
      <c r="H82" s="189">
        <v>0</v>
      </c>
      <c r="I82" s="122">
        <v>610</v>
      </c>
      <c r="J82" s="126" t="str">
        <v/>
      </c>
      <c r="K82" s="114" t="str">
        <v>Misc</v>
      </c>
      <c r="L82" s="114" t="str">
        <v>July-23</v>
      </c>
      <c r="M82" s="126">
        <v>0</v>
      </c>
      <c r="N82" s="114">
        <v>7</v>
      </c>
      <c r="O82" s="114"/>
    </row>
    <row r="83" spans="2:15" ht="15.6" customHeight="1" x14ac:dyDescent="0.2">
      <c r="B83" s="138">
        <f t="shared" si="2"/>
        <v>7</v>
      </c>
      <c r="C83" s="116">
        <v>45138</v>
      </c>
      <c r="D83" s="93" t="str">
        <v>Web Pay Utica Mutual Ins000001553857927 DIWALI I</v>
      </c>
      <c r="E83" s="93">
        <v>0</v>
      </c>
      <c r="F83" s="93">
        <v>0</v>
      </c>
      <c r="G83" s="93">
        <v>0</v>
      </c>
      <c r="H83" s="93">
        <v>0</v>
      </c>
      <c r="I83" s="121">
        <v>635</v>
      </c>
      <c r="J83" s="127">
        <v>0</v>
      </c>
      <c r="K83" s="112" t="str">
        <v>Misc</v>
      </c>
      <c r="L83" s="112" t="str">
        <v>July-23</v>
      </c>
      <c r="M83" s="127">
        <v>0</v>
      </c>
      <c r="N83" s="112">
        <v>7</v>
      </c>
      <c r="O83" s="112"/>
    </row>
    <row r="84" spans="2:15" ht="15.6" customHeight="1" x14ac:dyDescent="0.2">
      <c r="B84" s="138">
        <f t="shared" si="2"/>
        <v>8</v>
      </c>
      <c r="C84" s="117">
        <v>45139</v>
      </c>
      <c r="D84" s="189" t="str">
        <v>ACH Pmt JPW DENTAL LLC11023224753 Diwali I</v>
      </c>
      <c r="E84" s="189">
        <v>0</v>
      </c>
      <c r="F84" s="189">
        <v>0</v>
      </c>
      <c r="G84" s="189">
        <v>0</v>
      </c>
      <c r="H84" s="189">
        <v>0</v>
      </c>
      <c r="I84" s="122">
        <v>0</v>
      </c>
      <c r="J84" s="126">
        <v>7454.7</v>
      </c>
      <c r="K84" s="114" t="str">
        <v>Misc</v>
      </c>
      <c r="L84" s="114" t="str">
        <v>August-23</v>
      </c>
      <c r="M84" s="126" t="str">
        <v>ALL</v>
      </c>
      <c r="N84" s="114">
        <v>8</v>
      </c>
      <c r="O84" s="114"/>
    </row>
    <row r="85" spans="2:15" ht="15.6" customHeight="1" x14ac:dyDescent="0.2">
      <c r="B85" s="138">
        <f t="shared" si="2"/>
        <v>8</v>
      </c>
      <c r="C85" s="116">
        <v>45140</v>
      </c>
      <c r="D85" s="93" t="str">
        <v>ACTION ELEVATOR Bill PayACH TRACE#711960040002791</v>
      </c>
      <c r="E85" s="93">
        <v>0</v>
      </c>
      <c r="F85" s="93">
        <v>0</v>
      </c>
      <c r="G85" s="93">
        <v>0</v>
      </c>
      <c r="H85" s="93">
        <v>0</v>
      </c>
      <c r="I85" s="121">
        <v>175.93</v>
      </c>
      <c r="J85" s="127" t="str">
        <v/>
      </c>
      <c r="K85" s="112" t="str">
        <v>Misc</v>
      </c>
      <c r="L85" s="112" t="str">
        <v>August-23</v>
      </c>
      <c r="M85" s="127" t="str">
        <v>ALL</v>
      </c>
      <c r="N85" s="112">
        <v>8</v>
      </c>
      <c r="O85" s="112"/>
    </row>
    <row r="86" spans="2:15" ht="15.6" customHeight="1" x14ac:dyDescent="0.2">
      <c r="B86" s="138">
        <f t="shared" si="2"/>
        <v>8</v>
      </c>
      <c r="C86" s="117">
        <v>45140</v>
      </c>
      <c r="D86" s="189" t="str">
        <v>ACTION CARTING EBill PayACH TRACE#711960040002756</v>
      </c>
      <c r="E86" s="189">
        <v>0</v>
      </c>
      <c r="F86" s="189">
        <v>0</v>
      </c>
      <c r="G86" s="189">
        <v>0</v>
      </c>
      <c r="H86" s="189">
        <v>0</v>
      </c>
      <c r="I86" s="122">
        <v>599.99</v>
      </c>
      <c r="J86" s="126" t="str">
        <v/>
      </c>
      <c r="K86" s="114" t="str">
        <v>Misc</v>
      </c>
      <c r="L86" s="114" t="str">
        <v>August-23</v>
      </c>
      <c r="M86" s="126" t="str">
        <v>ALL</v>
      </c>
      <c r="N86" s="114">
        <v>8</v>
      </c>
      <c r="O86" s="114"/>
    </row>
    <row r="87" spans="2:15" ht="15.6" customHeight="1" x14ac:dyDescent="0.2">
      <c r="B87" s="138">
        <f t="shared" si="2"/>
        <v>8</v>
      </c>
      <c r="C87" s="116">
        <v>45145</v>
      </c>
      <c r="D87" s="93" t="str">
        <v>P S E AND G NJ Bill PayACH TRACE#711960040004055</v>
      </c>
      <c r="E87" s="93">
        <v>0</v>
      </c>
      <c r="F87" s="93">
        <v>0</v>
      </c>
      <c r="G87" s="93">
        <v>0</v>
      </c>
      <c r="H87" s="93">
        <v>0</v>
      </c>
      <c r="I87" s="121">
        <v>104.36</v>
      </c>
      <c r="J87" s="127" t="str">
        <v/>
      </c>
      <c r="K87" s="112" t="str">
        <v>Misc</v>
      </c>
      <c r="L87" s="112" t="str">
        <v>August-23</v>
      </c>
      <c r="M87" s="127" t="str">
        <v>ALL</v>
      </c>
      <c r="N87" s="112">
        <v>8</v>
      </c>
      <c r="O87" s="112"/>
    </row>
    <row r="88" spans="2:15" ht="15.6" customHeight="1" x14ac:dyDescent="0.2">
      <c r="B88" s="138">
        <f t="shared" si="2"/>
        <v>8</v>
      </c>
      <c r="C88" s="117">
        <v>45152</v>
      </c>
      <c r="D88" s="189" t="str">
        <v>WATER BILL VEOLIA WATER NEW10006752433605 Diwali I</v>
      </c>
      <c r="E88" s="189">
        <v>0</v>
      </c>
      <c r="F88" s="189">
        <v>0</v>
      </c>
      <c r="G88" s="189">
        <v>0</v>
      </c>
      <c r="H88" s="189">
        <v>0</v>
      </c>
      <c r="I88" s="122">
        <v>362.14</v>
      </c>
      <c r="J88" s="126" t="str">
        <v/>
      </c>
      <c r="K88" s="114" t="str">
        <v>Misc</v>
      </c>
      <c r="L88" s="114" t="str">
        <v>August-23</v>
      </c>
      <c r="M88" s="126" t="str">
        <v>ALL</v>
      </c>
      <c r="N88" s="114">
        <v>8</v>
      </c>
      <c r="O88" s="114"/>
    </row>
    <row r="89" spans="2:15" ht="15.6" customHeight="1" x14ac:dyDescent="0.2">
      <c r="B89" s="138">
        <f t="shared" si="2"/>
        <v>8</v>
      </c>
      <c r="C89" s="116">
        <v>45154</v>
      </c>
      <c r="D89" s="93" t="str">
        <v>PUBLIC SERVICE PSEGACH TRACE#091000014194269</v>
      </c>
      <c r="E89" s="93">
        <v>0</v>
      </c>
      <c r="F89" s="93">
        <v>0</v>
      </c>
      <c r="G89" s="93">
        <v>0</v>
      </c>
      <c r="H89" s="93">
        <v>0</v>
      </c>
      <c r="I89" s="121">
        <v>63.16</v>
      </c>
      <c r="J89" s="127" t="str">
        <v/>
      </c>
      <c r="K89" s="112" t="str">
        <v>Misc</v>
      </c>
      <c r="L89" s="112" t="str">
        <v>August-23</v>
      </c>
      <c r="M89" s="127" t="str">
        <v>ALL</v>
      </c>
      <c r="N89" s="112">
        <v>8</v>
      </c>
      <c r="O89" s="112"/>
    </row>
    <row r="90" spans="2:15" ht="15.6" customHeight="1" x14ac:dyDescent="0.2">
      <c r="B90" s="138">
        <f t="shared" si="2"/>
        <v>8</v>
      </c>
      <c r="C90" s="117">
        <v>45154</v>
      </c>
      <c r="D90" s="189" t="str">
        <v>PUBLIC SERVICE PSEGACH TRACE#091000014162452</v>
      </c>
      <c r="E90" s="189">
        <v>0</v>
      </c>
      <c r="F90" s="189">
        <v>0</v>
      </c>
      <c r="G90" s="189">
        <v>0</v>
      </c>
      <c r="H90" s="189">
        <v>0</v>
      </c>
      <c r="I90" s="122">
        <v>2769.13</v>
      </c>
      <c r="J90" s="126" t="str">
        <v/>
      </c>
      <c r="K90" s="114" t="str">
        <v>Misc</v>
      </c>
      <c r="L90" s="114" t="str">
        <v>August-23</v>
      </c>
      <c r="M90" s="126" t="str">
        <v>ALL</v>
      </c>
      <c r="N90" s="114">
        <v>8</v>
      </c>
      <c r="O90" s="114"/>
    </row>
    <row r="91" spans="2:15" ht="15.6" customHeight="1" x14ac:dyDescent="0.2">
      <c r="B91" s="138">
        <f t="shared" si="2"/>
        <v>8</v>
      </c>
      <c r="C91" s="116">
        <v>45162</v>
      </c>
      <c r="D91" s="93" t="str">
        <v>P S E AND G NJ Bill PayACH TRACE#711960040002760</v>
      </c>
      <c r="E91" s="93">
        <v>0</v>
      </c>
      <c r="F91" s="93">
        <v>0</v>
      </c>
      <c r="G91" s="93">
        <v>0</v>
      </c>
      <c r="H91" s="93">
        <v>0</v>
      </c>
      <c r="I91" s="121">
        <v>29.91</v>
      </c>
      <c r="J91" s="127" t="str">
        <v/>
      </c>
      <c r="K91" s="112" t="str">
        <v>Misc</v>
      </c>
      <c r="L91" s="112" t="str">
        <v>August-23</v>
      </c>
      <c r="M91" s="127" t="str">
        <v>ALL</v>
      </c>
      <c r="N91" s="112">
        <v>8</v>
      </c>
      <c r="O91" s="112"/>
    </row>
    <row r="92" spans="2:15" ht="15.6" customHeight="1" x14ac:dyDescent="0.2">
      <c r="B92" s="138">
        <f t="shared" si="2"/>
        <v>8</v>
      </c>
      <c r="C92" s="117">
        <v>45162</v>
      </c>
      <c r="D92" s="189" t="str">
        <v>VERIZON COMMUNICBill PayACH TRACE#711960040002785</v>
      </c>
      <c r="E92" s="189">
        <v>0</v>
      </c>
      <c r="F92" s="189">
        <v>0</v>
      </c>
      <c r="G92" s="189">
        <v>0</v>
      </c>
      <c r="H92" s="189">
        <v>0</v>
      </c>
      <c r="I92" s="122">
        <v>35.78</v>
      </c>
      <c r="J92" s="126" t="str">
        <v/>
      </c>
      <c r="K92" s="114" t="str">
        <v>Misc</v>
      </c>
      <c r="L92" s="114" t="str">
        <v>August-23</v>
      </c>
      <c r="M92" s="126" t="str">
        <v>ALL</v>
      </c>
      <c r="N92" s="114">
        <v>8</v>
      </c>
      <c r="O92" s="114"/>
    </row>
    <row r="93" spans="2:15" ht="15.6" customHeight="1" x14ac:dyDescent="0.2">
      <c r="B93" s="138">
        <f t="shared" si="2"/>
        <v>8</v>
      </c>
      <c r="C93" s="116">
        <v>45162</v>
      </c>
      <c r="D93" s="93" t="str">
        <v>P S E AND G NJ Bill PayACH TRACE#711960040002761</v>
      </c>
      <c r="E93" s="93">
        <v>0</v>
      </c>
      <c r="F93" s="93">
        <v>0</v>
      </c>
      <c r="G93" s="93">
        <v>0</v>
      </c>
      <c r="H93" s="93">
        <v>0</v>
      </c>
      <c r="I93" s="121">
        <v>92.34</v>
      </c>
      <c r="J93" s="127" t="str">
        <v/>
      </c>
      <c r="K93" s="112" t="str">
        <v>Misc</v>
      </c>
      <c r="L93" s="112" t="str">
        <v>August-23</v>
      </c>
      <c r="M93" s="127" t="str">
        <v>ALL</v>
      </c>
      <c r="N93" s="112">
        <v>8</v>
      </c>
      <c r="O93" s="112"/>
    </row>
    <row r="94" spans="2:15" ht="15.6" customHeight="1" x14ac:dyDescent="0.2">
      <c r="B94" s="138">
        <f t="shared" si="2"/>
        <v>8</v>
      </c>
      <c r="C94" s="117">
        <v>45167</v>
      </c>
      <c r="D94" s="189" t="str">
        <v>Web Pay Utica Mutual Ins000001562038124 DIWALI I</v>
      </c>
      <c r="E94" s="189">
        <v>0</v>
      </c>
      <c r="F94" s="189">
        <v>0</v>
      </c>
      <c r="G94" s="189">
        <v>0</v>
      </c>
      <c r="H94" s="189">
        <v>0</v>
      </c>
      <c r="I94" s="122">
        <v>729</v>
      </c>
      <c r="J94" s="126" t="str">
        <v/>
      </c>
      <c r="K94" s="114" t="str">
        <v>Misc</v>
      </c>
      <c r="L94" s="114" t="str">
        <v>August-23</v>
      </c>
      <c r="M94" s="126" t="str">
        <v>ALL</v>
      </c>
      <c r="N94" s="114">
        <v>8</v>
      </c>
      <c r="O94" s="114"/>
    </row>
    <row r="95" spans="2:15" ht="15.6" customHeight="1" x14ac:dyDescent="0.2">
      <c r="B95" s="138">
        <f t="shared" si="2"/>
        <v>9</v>
      </c>
      <c r="C95" s="116">
        <v>45170</v>
      </c>
      <c r="D95" s="93" t="str">
        <v>ACH Pmt JPW DENTAL LLC 711026021698 Diwali I</v>
      </c>
      <c r="E95" s="93">
        <v>0</v>
      </c>
      <c r="F95" s="93">
        <v>0</v>
      </c>
      <c r="G95" s="93">
        <v>0</v>
      </c>
      <c r="H95" s="93">
        <v>0</v>
      </c>
      <c r="I95" s="121" t="str">
        <v/>
      </c>
      <c r="J95" s="127">
        <v>7454.7</v>
      </c>
      <c r="K95" s="112" t="str">
        <v>Misc</v>
      </c>
      <c r="L95" s="112" t="str">
        <v>September-23</v>
      </c>
      <c r="M95" s="127" t="str">
        <v>ALL</v>
      </c>
      <c r="N95" s="112">
        <v>9</v>
      </c>
      <c r="O95" s="112"/>
    </row>
    <row r="96" spans="2:15" ht="15.6" customHeight="1" x14ac:dyDescent="0.2">
      <c r="B96" s="138">
        <f t="shared" si="2"/>
        <v>9</v>
      </c>
      <c r="C96" s="117">
        <v>45183</v>
      </c>
      <c r="D96" s="189" t="str">
        <v>PUBLIC SERVICE PSEG TRACE#091000014084283</v>
      </c>
      <c r="E96" s="189">
        <v>0</v>
      </c>
      <c r="F96" s="189">
        <v>0</v>
      </c>
      <c r="G96" s="189">
        <v>0</v>
      </c>
      <c r="H96" s="189">
        <v>0</v>
      </c>
      <c r="I96" s="122">
        <v>95.45</v>
      </c>
      <c r="J96" s="126">
        <v>0</v>
      </c>
      <c r="K96" s="114" t="str">
        <v>Misc</v>
      </c>
      <c r="L96" s="114" t="str">
        <v>September-23</v>
      </c>
      <c r="M96" s="126" t="str">
        <v>ALL</v>
      </c>
      <c r="N96" s="114">
        <v>9</v>
      </c>
      <c r="O96" s="114"/>
    </row>
    <row r="97" spans="2:15" ht="15.6" customHeight="1" x14ac:dyDescent="0.2">
      <c r="B97" s="138">
        <f t="shared" si="2"/>
        <v>9</v>
      </c>
      <c r="C97" s="116">
        <v>45183</v>
      </c>
      <c r="D97" s="93" t="str">
        <v>Veolia Veolia INTERNET-INITIATED ENTRIES 10006752433605</v>
      </c>
      <c r="E97" s="93">
        <v>0</v>
      </c>
      <c r="F97" s="93">
        <v>0</v>
      </c>
      <c r="G97" s="93">
        <v>0</v>
      </c>
      <c r="H97" s="93">
        <v>0</v>
      </c>
      <c r="I97" s="121">
        <v>415.64</v>
      </c>
      <c r="J97" s="127">
        <v>0</v>
      </c>
      <c r="K97" s="112" t="str">
        <v>Misc</v>
      </c>
      <c r="L97" s="112" t="str">
        <v>September-23</v>
      </c>
      <c r="M97" s="127" t="str">
        <v>ALL</v>
      </c>
      <c r="N97" s="112">
        <v>9</v>
      </c>
      <c r="O97" s="112"/>
    </row>
    <row r="98" spans="2:15" ht="15.6" customHeight="1" x14ac:dyDescent="0.2">
      <c r="B98" s="138">
        <f t="shared" si="2"/>
        <v>9</v>
      </c>
      <c r="C98" s="117">
        <v>45183</v>
      </c>
      <c r="D98" s="189" t="str">
        <v>Veolia Veolia INTERNET-INITIATED ENTRIES 10009806967654</v>
      </c>
      <c r="E98" s="189">
        <v>0</v>
      </c>
      <c r="F98" s="189">
        <v>0</v>
      </c>
      <c r="G98" s="189">
        <v>0</v>
      </c>
      <c r="H98" s="189">
        <v>0</v>
      </c>
      <c r="I98" s="122">
        <v>631.75</v>
      </c>
      <c r="J98" s="126">
        <v>0</v>
      </c>
      <c r="K98" s="114" t="str">
        <v>Misc</v>
      </c>
      <c r="L98" s="114" t="str">
        <v>September-23</v>
      </c>
      <c r="M98" s="126" t="str">
        <v>ALL</v>
      </c>
      <c r="N98" s="114">
        <v>9</v>
      </c>
      <c r="O98" s="114"/>
    </row>
    <row r="99" spans="2:15" ht="15.6" customHeight="1" x14ac:dyDescent="0.2">
      <c r="B99" s="138">
        <f t="shared" si="2"/>
        <v>9</v>
      </c>
      <c r="C99" s="116">
        <v>45183</v>
      </c>
      <c r="D99" s="93" t="str">
        <v>PUBLIC SERVICE PSEG ACH TRACE#091000014088267</v>
      </c>
      <c r="E99" s="93">
        <v>0</v>
      </c>
      <c r="F99" s="93">
        <v>0</v>
      </c>
      <c r="G99" s="93">
        <v>0</v>
      </c>
      <c r="H99" s="93">
        <v>0</v>
      </c>
      <c r="I99" s="121">
        <v>2614.9499999999998</v>
      </c>
      <c r="J99" s="127" t="str">
        <v/>
      </c>
      <c r="K99" s="112" t="str">
        <v>Misc</v>
      </c>
      <c r="L99" s="112" t="str">
        <v>September-23</v>
      </c>
      <c r="M99" s="127" t="str">
        <v>ALL</v>
      </c>
      <c r="N99" s="112">
        <v>9</v>
      </c>
      <c r="O99" s="112"/>
    </row>
    <row r="100" spans="2:15" ht="15.6" customHeight="1" x14ac:dyDescent="0.2">
      <c r="B100" s="138">
        <f t="shared" si="2"/>
        <v>9</v>
      </c>
      <c r="C100" s="117">
        <v>45187</v>
      </c>
      <c r="D100" s="189" t="str">
        <v>WATER BILL VEOLIA WATER NEW Diwali I</v>
      </c>
      <c r="E100" s="189">
        <v>0</v>
      </c>
      <c r="F100" s="189">
        <v>0</v>
      </c>
      <c r="G100" s="189">
        <v>0</v>
      </c>
      <c r="H100" s="189">
        <v>0</v>
      </c>
      <c r="I100" s="122">
        <v>415.64</v>
      </c>
      <c r="J100" s="126">
        <v>0</v>
      </c>
      <c r="K100" s="114" t="str">
        <v>Misc</v>
      </c>
      <c r="L100" s="114" t="str">
        <v>September-23</v>
      </c>
      <c r="M100" s="126" t="str">
        <v>ALL</v>
      </c>
      <c r="N100" s="114">
        <v>9</v>
      </c>
      <c r="O100" s="114"/>
    </row>
    <row r="101" spans="2:15" ht="15.6" customHeight="1" x14ac:dyDescent="0.2">
      <c r="B101" s="138">
        <f t="shared" si="2"/>
        <v>9</v>
      </c>
      <c r="C101" s="116">
        <v>45189</v>
      </c>
      <c r="D101" s="93" t="str">
        <v>ACTION ELEVATOR Bill Pay TRACE#711960040002621</v>
      </c>
      <c r="E101" s="93">
        <v>0</v>
      </c>
      <c r="F101" s="93">
        <v>0</v>
      </c>
      <c r="G101" s="93">
        <v>0</v>
      </c>
      <c r="H101" s="93">
        <v>0</v>
      </c>
      <c r="I101" s="121">
        <v>175.93</v>
      </c>
      <c r="J101" s="127">
        <v>0</v>
      </c>
      <c r="K101" s="112" t="str">
        <v>Misc</v>
      </c>
      <c r="L101" s="112" t="str">
        <v>September-23</v>
      </c>
      <c r="M101" s="127" t="str">
        <v>ALL</v>
      </c>
      <c r="N101" s="112">
        <v>9</v>
      </c>
      <c r="O101" s="112"/>
    </row>
    <row r="102" spans="2:15" ht="15.6" customHeight="1" x14ac:dyDescent="0.2">
      <c r="B102" s="138">
        <f t="shared" si="2"/>
        <v>9</v>
      </c>
      <c r="C102" s="117">
        <v>45190</v>
      </c>
      <c r="D102" s="189" t="str">
        <v>NJWEB30301 DEP PAYMENT DIWALI I TXP*B8ec0e6beb51e*30301*151231 *T*25500*P*0000032401***JERE\</v>
      </c>
      <c r="E102" s="189">
        <v>0</v>
      </c>
      <c r="F102" s="189">
        <v>0</v>
      </c>
      <c r="G102" s="189">
        <v>0</v>
      </c>
      <c r="H102" s="189">
        <v>0</v>
      </c>
      <c r="I102" s="122">
        <v>255</v>
      </c>
      <c r="J102" s="126">
        <v>0</v>
      </c>
      <c r="K102" s="114" t="str">
        <v>Misc</v>
      </c>
      <c r="L102" s="114" t="str">
        <v>September-23</v>
      </c>
      <c r="M102" s="126" t="str">
        <v>ALL</v>
      </c>
      <c r="N102" s="114">
        <v>9</v>
      </c>
      <c r="O102" s="114"/>
    </row>
    <row r="103" spans="2:15" ht="15.6" customHeight="1" x14ac:dyDescent="0.2">
      <c r="B103" s="138">
        <f t="shared" si="2"/>
        <v>9</v>
      </c>
      <c r="C103" s="116">
        <v>45191</v>
      </c>
      <c r="D103" s="93" t="str">
        <v>VERIZON PAYMENTREC INTERNET-INITIATED ENTRIES DIWALI LLC</v>
      </c>
      <c r="E103" s="93">
        <v>0</v>
      </c>
      <c r="F103" s="93">
        <v>0</v>
      </c>
      <c r="G103" s="93">
        <v>0</v>
      </c>
      <c r="H103" s="93">
        <v>0</v>
      </c>
      <c r="I103" s="121">
        <v>192.86</v>
      </c>
      <c r="J103" s="127">
        <v>0</v>
      </c>
      <c r="K103" s="112" t="str">
        <v>Misc</v>
      </c>
      <c r="L103" s="112" t="str">
        <v>September-23</v>
      </c>
      <c r="M103" s="127" t="str">
        <v>ALL</v>
      </c>
      <c r="N103" s="112">
        <v>9</v>
      </c>
      <c r="O103" s="112"/>
    </row>
    <row r="104" spans="2:15" ht="15.6" customHeight="1" x14ac:dyDescent="0.2">
      <c r="B104" s="138">
        <f t="shared" si="2"/>
        <v>9</v>
      </c>
      <c r="C104" s="117">
        <v>45198</v>
      </c>
      <c r="D104" s="189" t="str">
        <v>ACH Pmt JPW DENTAL LLC 11028986769 Diwali I</v>
      </c>
      <c r="E104" s="189">
        <v>0</v>
      </c>
      <c r="F104" s="189">
        <v>0</v>
      </c>
      <c r="G104" s="189">
        <v>0</v>
      </c>
      <c r="H104" s="189">
        <v>0</v>
      </c>
      <c r="I104" s="122" t="str">
        <v/>
      </c>
      <c r="J104" s="126">
        <v>7454.7</v>
      </c>
      <c r="K104" s="114" t="str">
        <v>Misc</v>
      </c>
      <c r="L104" s="114" t="str">
        <v>September-23</v>
      </c>
      <c r="M104" s="126" t="str">
        <v>ALL</v>
      </c>
      <c r="N104" s="114">
        <v>9</v>
      </c>
      <c r="O104" s="114"/>
    </row>
    <row r="105" spans="2:15" ht="15.6" customHeight="1" x14ac:dyDescent="0.2">
      <c r="B105" s="138">
        <f t="shared" si="2"/>
        <v>9</v>
      </c>
      <c r="C105" s="116">
        <v>45198</v>
      </c>
      <c r="D105" s="93" t="str">
        <v>Web Pay Utica Mutual Ins DIWALI I</v>
      </c>
      <c r="E105" s="93">
        <v>0</v>
      </c>
      <c r="F105" s="93">
        <v>0</v>
      </c>
      <c r="G105" s="93">
        <v>0</v>
      </c>
      <c r="H105" s="93">
        <v>0</v>
      </c>
      <c r="I105" s="121">
        <v>729</v>
      </c>
      <c r="J105" s="127">
        <v>0</v>
      </c>
      <c r="K105" s="112" t="str">
        <v>Misc</v>
      </c>
      <c r="L105" s="112" t="str">
        <v>September-23</v>
      </c>
      <c r="M105" s="127" t="str">
        <v>ALL</v>
      </c>
      <c r="N105" s="112">
        <v>9</v>
      </c>
      <c r="O105" s="112"/>
    </row>
    <row r="106" spans="2:15" ht="15.6" customHeight="1" x14ac:dyDescent="0.2">
      <c r="B106" s="138">
        <f t="shared" si="2"/>
        <v>10</v>
      </c>
      <c r="C106" s="117">
        <v>45212</v>
      </c>
      <c r="D106" s="189" t="str">
        <v>WATER BILL VEOLIA WATER NEW Diwali I</v>
      </c>
      <c r="E106" s="189">
        <v>0</v>
      </c>
      <c r="F106" s="189">
        <v>0</v>
      </c>
      <c r="G106" s="189">
        <v>0</v>
      </c>
      <c r="H106" s="189">
        <v>0</v>
      </c>
      <c r="I106" s="122">
        <v>263.99</v>
      </c>
      <c r="J106" s="126">
        <v>0</v>
      </c>
      <c r="K106" s="114" t="str">
        <v>Misc</v>
      </c>
      <c r="L106" s="114" t="str">
        <v>October-23</v>
      </c>
      <c r="M106" s="126" t="str">
        <v>ALL</v>
      </c>
      <c r="N106" s="114">
        <v>10</v>
      </c>
      <c r="O106" s="114"/>
    </row>
    <row r="107" spans="2:15" ht="15.6" customHeight="1" x14ac:dyDescent="0.2">
      <c r="B107" s="138">
        <f t="shared" si="2"/>
        <v>10</v>
      </c>
      <c r="C107" s="116">
        <v>45215</v>
      </c>
      <c r="D107" s="93" t="str">
        <v>PUBLIC SERVICE PSEG TRACE#091000014250655</v>
      </c>
      <c r="E107" s="93">
        <v>0</v>
      </c>
      <c r="F107" s="93">
        <v>0</v>
      </c>
      <c r="G107" s="93">
        <v>0</v>
      </c>
      <c r="H107" s="93">
        <v>0</v>
      </c>
      <c r="I107" s="121">
        <v>63.89</v>
      </c>
      <c r="J107" s="127">
        <v>0</v>
      </c>
      <c r="K107" s="112" t="str">
        <v>Misc</v>
      </c>
      <c r="L107" s="112" t="str">
        <v>October-23</v>
      </c>
      <c r="M107" s="127" t="str">
        <v>ALL</v>
      </c>
      <c r="N107" s="112">
        <v>10</v>
      </c>
      <c r="O107" s="112"/>
    </row>
    <row r="108" spans="2:15" ht="15.6" customHeight="1" x14ac:dyDescent="0.2">
      <c r="B108" s="138">
        <f t="shared" si="2"/>
        <v>10</v>
      </c>
      <c r="C108" s="117">
        <v>45215</v>
      </c>
      <c r="D108" s="189" t="str">
        <v>VERIZON COMMUNICBill Pay TRACE#711960040004109</v>
      </c>
      <c r="E108" s="189">
        <v>0</v>
      </c>
      <c r="F108" s="189">
        <v>0</v>
      </c>
      <c r="G108" s="189">
        <v>0</v>
      </c>
      <c r="H108" s="189">
        <v>0</v>
      </c>
      <c r="I108" s="122">
        <v>72.73</v>
      </c>
      <c r="J108" s="126">
        <v>0</v>
      </c>
      <c r="K108" s="114" t="str">
        <v>Misc</v>
      </c>
      <c r="L108" s="114" t="str">
        <v>October-23</v>
      </c>
      <c r="M108" s="126" t="str">
        <v>ALL</v>
      </c>
      <c r="N108" s="114">
        <v>10</v>
      </c>
      <c r="O108" s="114"/>
    </row>
    <row r="109" spans="2:15" ht="15.6" customHeight="1" x14ac:dyDescent="0.2">
      <c r="B109" s="138">
        <f t="shared" si="2"/>
        <v>10</v>
      </c>
      <c r="C109" s="116">
        <v>45215</v>
      </c>
      <c r="D109" s="93" t="str">
        <v>P S E AND G NJ Bill PayTRACE#711960040004096</v>
      </c>
      <c r="E109" s="93">
        <v>0</v>
      </c>
      <c r="F109" s="93">
        <v>0</v>
      </c>
      <c r="G109" s="93">
        <v>0</v>
      </c>
      <c r="H109" s="93">
        <v>0</v>
      </c>
      <c r="I109" s="121">
        <v>243.95</v>
      </c>
      <c r="J109" s="127">
        <v>0</v>
      </c>
      <c r="K109" s="112" t="str">
        <v>Misc</v>
      </c>
      <c r="L109" s="112" t="str">
        <v>October-23</v>
      </c>
      <c r="M109" s="127" t="str">
        <v>ALL</v>
      </c>
      <c r="N109" s="112">
        <v>10</v>
      </c>
      <c r="O109" s="112"/>
    </row>
    <row r="110" spans="2:15" ht="15.6" customHeight="1" x14ac:dyDescent="0.2">
      <c r="B110" s="138">
        <f t="shared" si="2"/>
        <v>10</v>
      </c>
      <c r="C110" s="117">
        <v>45215</v>
      </c>
      <c r="D110" s="189" t="str">
        <v>P S E AND G NJ Bill Pay TRACE#711960040004095</v>
      </c>
      <c r="E110" s="189">
        <v>0</v>
      </c>
      <c r="F110" s="189">
        <v>0</v>
      </c>
      <c r="G110" s="189">
        <v>0</v>
      </c>
      <c r="H110" s="189">
        <v>0</v>
      </c>
      <c r="I110" s="122">
        <v>269.89</v>
      </c>
      <c r="J110" s="126">
        <v>0</v>
      </c>
      <c r="K110" s="114" t="str">
        <v>Misc</v>
      </c>
      <c r="L110" s="114" t="str">
        <v>October-23</v>
      </c>
      <c r="M110" s="126" t="str">
        <v>ALL</v>
      </c>
      <c r="N110" s="114">
        <v>10</v>
      </c>
      <c r="O110" s="114"/>
    </row>
    <row r="111" spans="2:15" ht="15.6" customHeight="1" x14ac:dyDescent="0.2">
      <c r="B111" s="138">
        <f t="shared" si="2"/>
        <v>10</v>
      </c>
      <c r="C111" s="116">
        <v>45215</v>
      </c>
      <c r="D111" s="93" t="str">
        <v>PUBLIC SERVICE PSEG ACH TRACE#091000014265327</v>
      </c>
      <c r="E111" s="93">
        <v>0</v>
      </c>
      <c r="F111" s="93">
        <v>0</v>
      </c>
      <c r="G111" s="93">
        <v>0</v>
      </c>
      <c r="H111" s="93">
        <v>0</v>
      </c>
      <c r="I111" s="121">
        <v>2616.13</v>
      </c>
      <c r="J111" s="127" t="str">
        <v/>
      </c>
      <c r="K111" s="112" t="str">
        <v>Misc</v>
      </c>
      <c r="L111" s="112" t="str">
        <v>October-23</v>
      </c>
      <c r="M111" s="127" t="str">
        <v>ALL</v>
      </c>
      <c r="N111" s="112">
        <v>10</v>
      </c>
      <c r="O111" s="112"/>
    </row>
    <row r="112" spans="2:15" ht="15.6" customHeight="1" thickBot="1" x14ac:dyDescent="0.25">
      <c r="B112" s="138">
        <f t="shared" si="2"/>
        <v>10</v>
      </c>
      <c r="C112" s="117">
        <v>45223</v>
      </c>
      <c r="D112" s="189" t="str">
        <v>VERIZON PAYMENTREC INTERNET-INITIATED ENTRIES DIWALI LLC</v>
      </c>
      <c r="E112" s="189">
        <v>0</v>
      </c>
      <c r="F112" s="189">
        <v>0</v>
      </c>
      <c r="G112" s="189">
        <v>0</v>
      </c>
      <c r="H112" s="189">
        <v>0</v>
      </c>
      <c r="I112" s="122">
        <v>278.91000000000003</v>
      </c>
      <c r="J112" s="126">
        <v>0</v>
      </c>
      <c r="K112" s="119" t="str">
        <v>Misc</v>
      </c>
      <c r="L112" s="119" t="str">
        <v>October-23</v>
      </c>
      <c r="M112" s="128" t="str">
        <v>ALL</v>
      </c>
      <c r="N112" s="119">
        <v>10</v>
      </c>
      <c r="O112" s="119"/>
    </row>
    <row r="113" spans="2:14" ht="15.6" customHeight="1" x14ac:dyDescent="0.2">
      <c r="B113" s="138">
        <f t="shared" si="2"/>
        <v>10</v>
      </c>
      <c r="C113" s="116">
        <v>45230</v>
      </c>
      <c r="D113" s="93" t="str">
        <v>Web Pay Utica Mutual Ins DIWALI I</v>
      </c>
      <c r="E113" s="93">
        <v>0</v>
      </c>
      <c r="F113" s="93">
        <v>0</v>
      </c>
      <c r="G113" s="93">
        <v>0</v>
      </c>
      <c r="H113" s="93">
        <v>0</v>
      </c>
      <c r="I113" s="121">
        <v>729</v>
      </c>
      <c r="J113" s="127">
        <v>0</v>
      </c>
      <c r="K113" s="110" t="str">
        <v>Misc</v>
      </c>
      <c r="L113" s="110" t="str">
        <v>October-23</v>
      </c>
      <c r="M113" s="110" t="str">
        <v>ALL</v>
      </c>
      <c r="N113" s="110">
        <v>10</v>
      </c>
    </row>
    <row r="114" spans="2:14" ht="15.6" customHeight="1" x14ac:dyDescent="0.2">
      <c r="B114" s="138">
        <f t="shared" si="2"/>
        <v>11</v>
      </c>
      <c r="C114" s="117">
        <v>45231</v>
      </c>
      <c r="D114" s="189" t="str">
        <v>ACH Pmt JPW DENTAL LLC 11109762206 Diwali I</v>
      </c>
      <c r="E114" s="189">
        <v>0</v>
      </c>
      <c r="F114" s="189">
        <v>0</v>
      </c>
      <c r="G114" s="189">
        <v>0</v>
      </c>
      <c r="H114" s="189">
        <v>0</v>
      </c>
      <c r="I114" s="122" t="str">
        <v/>
      </c>
      <c r="J114" s="126">
        <v>7454.7</v>
      </c>
      <c r="K114" s="110" t="str">
        <v>Misc</v>
      </c>
      <c r="L114" s="110" t="str">
        <v>November-23</v>
      </c>
      <c r="M114" s="110" t="str">
        <v>ALL</v>
      </c>
      <c r="N114" s="110">
        <v>11</v>
      </c>
    </row>
    <row r="115" spans="2:14" ht="15.6" customHeight="1" x14ac:dyDescent="0.2">
      <c r="B115" s="138">
        <f t="shared" si="2"/>
        <v>11</v>
      </c>
      <c r="C115" s="116">
        <v>45243</v>
      </c>
      <c r="D115" s="93" t="str">
        <v>WATER BILL VEOLIA WATER NEW Diwali I</v>
      </c>
      <c r="E115" s="93">
        <v>0</v>
      </c>
      <c r="F115" s="93">
        <v>0</v>
      </c>
      <c r="G115" s="93">
        <v>0</v>
      </c>
      <c r="H115" s="93">
        <v>0</v>
      </c>
      <c r="I115" s="121">
        <v>284.20999999999998</v>
      </c>
      <c r="J115" s="127">
        <v>0</v>
      </c>
      <c r="K115" s="110" t="str">
        <v>Misc</v>
      </c>
      <c r="L115" s="110" t="str">
        <v>November-23</v>
      </c>
      <c r="M115" s="110" t="str">
        <v>ALL</v>
      </c>
      <c r="N115" s="110">
        <v>11</v>
      </c>
    </row>
    <row r="116" spans="2:14" ht="15.6" customHeight="1" x14ac:dyDescent="0.2">
      <c r="B116" s="138">
        <f t="shared" si="2"/>
        <v>11</v>
      </c>
      <c r="C116" s="117">
        <v>45243</v>
      </c>
      <c r="D116" s="189" t="str">
        <v>WATER BILL VEOLIA WATER NEW Diwali I</v>
      </c>
      <c r="E116" s="189">
        <v>0</v>
      </c>
      <c r="F116" s="189">
        <v>0</v>
      </c>
      <c r="G116" s="189">
        <v>0</v>
      </c>
      <c r="H116" s="189">
        <v>0</v>
      </c>
      <c r="I116" s="122">
        <v>312.88</v>
      </c>
      <c r="J116" s="126">
        <v>0</v>
      </c>
      <c r="K116" s="110" t="str">
        <v>Misc</v>
      </c>
      <c r="L116" s="110" t="str">
        <v>November-23</v>
      </c>
      <c r="M116" s="110" t="str">
        <v>ALL</v>
      </c>
      <c r="N116" s="110">
        <v>11</v>
      </c>
    </row>
    <row r="117" spans="2:14" ht="15.6" customHeight="1" x14ac:dyDescent="0.2">
      <c r="B117" s="138">
        <f t="shared" si="2"/>
        <v>11</v>
      </c>
      <c r="C117" s="116">
        <v>45244</v>
      </c>
      <c r="D117" s="93" t="str">
        <v>PUBLIC SERVICE PSEG TRACE#091000014321623</v>
      </c>
      <c r="E117" s="93">
        <v>0</v>
      </c>
      <c r="F117" s="93">
        <v>0</v>
      </c>
      <c r="G117" s="93">
        <v>0</v>
      </c>
      <c r="H117" s="93">
        <v>0</v>
      </c>
      <c r="I117" s="121">
        <v>25.39</v>
      </c>
      <c r="J117" s="127">
        <v>0</v>
      </c>
      <c r="K117" s="110" t="str">
        <v>Misc</v>
      </c>
      <c r="L117" s="110" t="str">
        <v>November-23</v>
      </c>
      <c r="M117" s="110" t="str">
        <v>ALL</v>
      </c>
      <c r="N117" s="110">
        <v>11</v>
      </c>
    </row>
    <row r="118" spans="2:14" ht="15.6" customHeight="1" x14ac:dyDescent="0.2">
      <c r="B118" s="138">
        <f t="shared" si="2"/>
        <v>11</v>
      </c>
      <c r="C118" s="117">
        <v>45244</v>
      </c>
      <c r="D118" s="189" t="str">
        <v>PUBLIC SERVICE PSEG ACH TRACE#091000014318181</v>
      </c>
      <c r="E118" s="189">
        <v>0</v>
      </c>
      <c r="F118" s="189">
        <v>0</v>
      </c>
      <c r="G118" s="189">
        <v>0</v>
      </c>
      <c r="H118" s="189">
        <v>0</v>
      </c>
      <c r="I118" s="122">
        <v>1720</v>
      </c>
      <c r="J118" s="126" t="str">
        <v/>
      </c>
      <c r="K118" s="110" t="str">
        <v>Misc</v>
      </c>
      <c r="L118" s="110" t="str">
        <v>November-23</v>
      </c>
      <c r="M118" s="110" t="str">
        <v>ALL</v>
      </c>
      <c r="N118" s="110">
        <v>11</v>
      </c>
    </row>
    <row r="119" spans="2:14" ht="15.6" customHeight="1" x14ac:dyDescent="0.2">
      <c r="B119" s="138">
        <f t="shared" si="2"/>
        <v>11</v>
      </c>
      <c r="C119" s="116">
        <v>45247</v>
      </c>
      <c r="D119" s="93" t="str">
        <v xml:space="preserve">Chargeback 8448 </v>
      </c>
      <c r="E119" s="93">
        <v>0</v>
      </c>
      <c r="F119" s="93">
        <v>0</v>
      </c>
      <c r="G119" s="93">
        <v>0</v>
      </c>
      <c r="H119" s="93">
        <v>0</v>
      </c>
      <c r="I119" s="121">
        <v>2944.63</v>
      </c>
      <c r="J119" s="127" t="str">
        <v/>
      </c>
      <c r="K119" s="110" t="str">
        <v>Misc</v>
      </c>
      <c r="L119" s="110" t="str">
        <v>November-23</v>
      </c>
      <c r="M119" s="110" t="str">
        <v>ALL</v>
      </c>
      <c r="N119" s="110">
        <v>11</v>
      </c>
    </row>
    <row r="120" spans="2:14" ht="15.6" customHeight="1" x14ac:dyDescent="0.2">
      <c r="B120" s="138">
        <f t="shared" si="2"/>
        <v>11</v>
      </c>
      <c r="C120" s="117">
        <v>45247</v>
      </c>
      <c r="D120" s="189" t="str">
        <v xml:space="preserve">Chargeback Fee </v>
      </c>
      <c r="E120" s="189">
        <v>0</v>
      </c>
      <c r="F120" s="189">
        <v>0</v>
      </c>
      <c r="G120" s="189">
        <v>0</v>
      </c>
      <c r="H120" s="189">
        <v>0</v>
      </c>
      <c r="I120" s="122">
        <v>20</v>
      </c>
      <c r="J120" s="126">
        <v>0</v>
      </c>
      <c r="K120" s="110" t="str">
        <v>Misc</v>
      </c>
      <c r="L120" s="110" t="str">
        <v>November-23</v>
      </c>
      <c r="M120" s="110" t="str">
        <v>ALL</v>
      </c>
      <c r="N120" s="110">
        <v>11</v>
      </c>
    </row>
    <row r="121" spans="2:14" ht="15.6" customHeight="1" x14ac:dyDescent="0.2">
      <c r="B121" s="138">
        <f t="shared" si="2"/>
        <v>11</v>
      </c>
      <c r="C121" s="116">
        <v>45252</v>
      </c>
      <c r="D121" s="93" t="str">
        <v>VERIZON PAYMENTREC INTERNET-INITIATED ENTRIES DIWALI LLC</v>
      </c>
      <c r="E121" s="93">
        <v>0</v>
      </c>
      <c r="F121" s="93">
        <v>0</v>
      </c>
      <c r="G121" s="93">
        <v>0</v>
      </c>
      <c r="H121" s="93">
        <v>0</v>
      </c>
      <c r="I121" s="121">
        <v>277.45</v>
      </c>
      <c r="J121" s="127">
        <v>0</v>
      </c>
      <c r="K121" s="110" t="str">
        <v>Misc</v>
      </c>
      <c r="L121" s="110" t="str">
        <v>November-23</v>
      </c>
      <c r="M121" s="110" t="str">
        <v>ALL</v>
      </c>
      <c r="N121" s="110">
        <v>11</v>
      </c>
    </row>
    <row r="122" spans="2:14" ht="15.6" customHeight="1" x14ac:dyDescent="0.2">
      <c r="B122" s="138">
        <f t="shared" si="2"/>
        <v>11</v>
      </c>
      <c r="C122" s="117">
        <v>45252</v>
      </c>
      <c r="D122" s="189" t="str">
        <v>Action Elevator Bill Pay TRACE#711960040003050</v>
      </c>
      <c r="E122" s="189">
        <v>0</v>
      </c>
      <c r="F122" s="189">
        <v>0</v>
      </c>
      <c r="G122" s="189">
        <v>0</v>
      </c>
      <c r="H122" s="189">
        <v>0</v>
      </c>
      <c r="I122" s="122">
        <v>446.49</v>
      </c>
      <c r="J122" s="126">
        <v>0</v>
      </c>
      <c r="K122" s="110" t="str">
        <v>Misc</v>
      </c>
      <c r="L122" s="110" t="str">
        <v>November-23</v>
      </c>
      <c r="M122" s="110" t="str">
        <v>ALL</v>
      </c>
      <c r="N122" s="110">
        <v>11</v>
      </c>
    </row>
    <row r="123" spans="2:14" ht="15.6" customHeight="1" x14ac:dyDescent="0.2">
      <c r="B123" s="138">
        <f t="shared" si="2"/>
        <v>11</v>
      </c>
      <c r="C123" s="116">
        <v>45252</v>
      </c>
      <c r="D123" s="93" t="str">
        <v>ACTION CARTING EBill Pay ACH TRACE#711960040002976</v>
      </c>
      <c r="E123" s="93">
        <v>0</v>
      </c>
      <c r="F123" s="93">
        <v>0</v>
      </c>
      <c r="G123" s="93">
        <v>0</v>
      </c>
      <c r="H123" s="93">
        <v>0</v>
      </c>
      <c r="I123" s="121">
        <v>1199.98</v>
      </c>
      <c r="J123" s="127" t="str">
        <v/>
      </c>
      <c r="K123" s="110" t="str">
        <v>Misc</v>
      </c>
      <c r="L123" s="110" t="str">
        <v>November-23</v>
      </c>
      <c r="M123" s="110" t="str">
        <v>ALL</v>
      </c>
      <c r="N123" s="110">
        <v>11</v>
      </c>
    </row>
    <row r="124" spans="2:14" ht="15.6" customHeight="1" x14ac:dyDescent="0.2">
      <c r="B124" s="138">
        <f t="shared" si="2"/>
        <v>11</v>
      </c>
      <c r="C124" s="117">
        <v>45252</v>
      </c>
      <c r="D124" s="189" t="str">
        <v>FIRE PREVENTION Bill Pay ACH TRACE#711960040003028</v>
      </c>
      <c r="E124" s="189">
        <v>0</v>
      </c>
      <c r="F124" s="189">
        <v>0</v>
      </c>
      <c r="G124" s="189">
        <v>0</v>
      </c>
      <c r="H124" s="189">
        <v>0</v>
      </c>
      <c r="I124" s="122">
        <v>1422</v>
      </c>
      <c r="J124" s="126" t="str">
        <v/>
      </c>
      <c r="K124" s="110" t="str">
        <v>Misc</v>
      </c>
      <c r="L124" s="110" t="str">
        <v>November-23</v>
      </c>
      <c r="M124" s="110" t="str">
        <v>ALL</v>
      </c>
      <c r="N124" s="110">
        <v>11</v>
      </c>
    </row>
    <row r="125" spans="2:14" ht="15.6" customHeight="1" x14ac:dyDescent="0.2">
      <c r="B125" s="138">
        <f t="shared" si="2"/>
        <v>11</v>
      </c>
      <c r="C125" s="116">
        <v>45259</v>
      </c>
      <c r="D125" s="93" t="str">
        <v>Web Pay Utica Mutual Ins DIWALI I</v>
      </c>
      <c r="E125" s="93">
        <v>0</v>
      </c>
      <c r="F125" s="93">
        <v>0</v>
      </c>
      <c r="G125" s="93">
        <v>0</v>
      </c>
      <c r="H125" s="93">
        <v>0</v>
      </c>
      <c r="I125" s="121">
        <v>729</v>
      </c>
      <c r="J125" s="127">
        <v>0</v>
      </c>
      <c r="K125" s="110" t="str">
        <v>Misc</v>
      </c>
      <c r="L125" s="110" t="str">
        <v>November-23</v>
      </c>
      <c r="M125" s="110" t="str">
        <v>ALL</v>
      </c>
      <c r="N125" s="110">
        <v>11</v>
      </c>
    </row>
    <row r="126" spans="2:14" ht="15.6" customHeight="1" x14ac:dyDescent="0.2">
      <c r="B126" s="138">
        <f t="shared" si="2"/>
        <v>12</v>
      </c>
      <c r="C126" s="117">
        <v>45266</v>
      </c>
      <c r="D126" s="189" t="str">
        <v>Action Elevator Bill Pay TRACE#711960040002642</v>
      </c>
      <c r="E126" s="189">
        <v>0</v>
      </c>
      <c r="F126" s="189">
        <v>0</v>
      </c>
      <c r="G126" s="189">
        <v>0</v>
      </c>
      <c r="H126" s="189">
        <v>0</v>
      </c>
      <c r="I126" s="122">
        <v>175.93</v>
      </c>
      <c r="J126" s="126">
        <v>0</v>
      </c>
      <c r="K126" s="110" t="str">
        <v>Misc</v>
      </c>
      <c r="L126" s="110" t="str">
        <v>December-23</v>
      </c>
      <c r="M126" s="110" t="str">
        <v>ALL</v>
      </c>
      <c r="N126" s="110">
        <v>12</v>
      </c>
    </row>
    <row r="127" spans="2:14" ht="15.6" customHeight="1" x14ac:dyDescent="0.2">
      <c r="B127" s="138">
        <f t="shared" si="2"/>
        <v>12</v>
      </c>
      <c r="C127" s="116">
        <v>45266</v>
      </c>
      <c r="D127" s="93" t="str">
        <v>ACTION CARTING EBill Pay TRACE#711960040002611</v>
      </c>
      <c r="E127" s="93">
        <v>0</v>
      </c>
      <c r="F127" s="93">
        <v>0</v>
      </c>
      <c r="G127" s="93">
        <v>0</v>
      </c>
      <c r="H127" s="93">
        <v>0</v>
      </c>
      <c r="I127" s="121">
        <v>599.99</v>
      </c>
      <c r="J127" s="127">
        <v>0</v>
      </c>
      <c r="K127" s="110" t="str">
        <v>Misc</v>
      </c>
      <c r="L127" s="110" t="str">
        <v>December-23</v>
      </c>
      <c r="M127" s="110" t="str">
        <v>ALL</v>
      </c>
      <c r="N127" s="110">
        <v>12</v>
      </c>
    </row>
    <row r="128" spans="2:14" ht="15.6" customHeight="1" x14ac:dyDescent="0.2">
      <c r="B128" s="138">
        <f t="shared" si="2"/>
        <v>12</v>
      </c>
      <c r="C128" s="117">
        <v>45271</v>
      </c>
      <c r="D128" s="189" t="str">
        <v>P S E AND G NJ Bill Pay TRACE#711960040003811</v>
      </c>
      <c r="E128" s="189">
        <v>0</v>
      </c>
      <c r="F128" s="189">
        <v>0</v>
      </c>
      <c r="G128" s="189">
        <v>0</v>
      </c>
      <c r="H128" s="189">
        <v>0</v>
      </c>
      <c r="I128" s="122">
        <v>239.08</v>
      </c>
      <c r="J128" s="126">
        <v>0</v>
      </c>
      <c r="K128" s="110" t="str">
        <v>Misc</v>
      </c>
      <c r="L128" s="110" t="str">
        <v>December-23</v>
      </c>
      <c r="M128" s="110" t="str">
        <v>ALL</v>
      </c>
      <c r="N128" s="110">
        <v>12</v>
      </c>
    </row>
    <row r="129" spans="2:14" ht="15.6" customHeight="1" x14ac:dyDescent="0.2">
      <c r="B129" s="138">
        <f t="shared" si="2"/>
        <v>12</v>
      </c>
      <c r="C129" s="116">
        <v>45271</v>
      </c>
      <c r="D129" s="93" t="str">
        <v>P S E AND G NJ Bill Pay TRACE#711960040003810</v>
      </c>
      <c r="E129" s="93">
        <v>0</v>
      </c>
      <c r="F129" s="93">
        <v>0</v>
      </c>
      <c r="G129" s="93">
        <v>0</v>
      </c>
      <c r="H129" s="93">
        <v>0</v>
      </c>
      <c r="I129" s="121">
        <v>244.86</v>
      </c>
      <c r="J129" s="127">
        <v>0</v>
      </c>
      <c r="K129" s="110" t="str">
        <v>Misc</v>
      </c>
      <c r="L129" s="110" t="str">
        <v>December-23</v>
      </c>
      <c r="M129" s="110" t="str">
        <v>ALL</v>
      </c>
      <c r="N129" s="110">
        <v>12</v>
      </c>
    </row>
    <row r="130" spans="2:14" ht="15.6" customHeight="1" x14ac:dyDescent="0.2">
      <c r="B130" s="138">
        <f t="shared" si="2"/>
        <v>12</v>
      </c>
      <c r="C130" s="117">
        <v>45274</v>
      </c>
      <c r="D130" s="189" t="str">
        <v>VERIZON COMMUNICBill Pay TRACE#711960040003801</v>
      </c>
      <c r="E130" s="189">
        <v>0</v>
      </c>
      <c r="F130" s="189">
        <v>0</v>
      </c>
      <c r="G130" s="189">
        <v>0</v>
      </c>
      <c r="H130" s="189">
        <v>0</v>
      </c>
      <c r="I130" s="122">
        <v>36.79</v>
      </c>
      <c r="J130" s="126">
        <v>0</v>
      </c>
      <c r="K130" s="110" t="str">
        <v>Misc</v>
      </c>
      <c r="L130" s="110" t="str">
        <v>December-23</v>
      </c>
      <c r="M130" s="110" t="str">
        <v>ALL</v>
      </c>
      <c r="N130" s="110">
        <v>12</v>
      </c>
    </row>
    <row r="131" spans="2:14" ht="15.6" customHeight="1" x14ac:dyDescent="0.2">
      <c r="B131" s="138">
        <f t="shared" si="2"/>
        <v>12</v>
      </c>
      <c r="C131" s="116">
        <v>45274</v>
      </c>
      <c r="D131" s="93" t="str">
        <v>WATER BILL VEOLIA WATER NEW Diwali I</v>
      </c>
      <c r="E131" s="93">
        <v>0</v>
      </c>
      <c r="F131" s="93">
        <v>0</v>
      </c>
      <c r="G131" s="93">
        <v>0</v>
      </c>
      <c r="H131" s="93">
        <v>0</v>
      </c>
      <c r="I131" s="121">
        <v>293.33</v>
      </c>
      <c r="J131" s="127">
        <v>0</v>
      </c>
      <c r="K131" s="110" t="str">
        <v>Misc</v>
      </c>
      <c r="L131" s="110" t="str">
        <v>December-23</v>
      </c>
      <c r="M131" s="110">
        <v>0</v>
      </c>
      <c r="N131" s="110">
        <v>12</v>
      </c>
    </row>
    <row r="132" spans="2:14" ht="15.6" customHeight="1" x14ac:dyDescent="0.2">
      <c r="B132" s="138">
        <f t="shared" si="2"/>
        <v>12</v>
      </c>
      <c r="C132" s="117">
        <v>45274</v>
      </c>
      <c r="D132" s="189" t="str">
        <v>WATER BILL VEOLIA WATER NEWDiwali I</v>
      </c>
      <c r="E132" s="189">
        <v>0</v>
      </c>
      <c r="F132" s="189">
        <v>0</v>
      </c>
      <c r="G132" s="189">
        <v>0</v>
      </c>
      <c r="H132" s="189">
        <v>0</v>
      </c>
      <c r="I132" s="122">
        <v>456.17</v>
      </c>
      <c r="J132" s="126">
        <v>0</v>
      </c>
      <c r="K132" s="110" t="str">
        <v>Misc</v>
      </c>
      <c r="L132" s="110" t="str">
        <v>December-23</v>
      </c>
      <c r="M132" s="110">
        <v>0</v>
      </c>
      <c r="N132" s="110">
        <v>12</v>
      </c>
    </row>
    <row r="133" spans="2:14" ht="15.6" customHeight="1" x14ac:dyDescent="0.2">
      <c r="B133" s="138">
        <f t="shared" si="2"/>
        <v>12</v>
      </c>
      <c r="C133" s="116">
        <v>45275</v>
      </c>
      <c r="D133" s="93" t="str">
        <v>ACH Pmt JPW DENTAL LLC 11117169357 Diwali I</v>
      </c>
      <c r="E133" s="93">
        <v>0</v>
      </c>
      <c r="F133" s="93">
        <v>0</v>
      </c>
      <c r="G133" s="93">
        <v>0</v>
      </c>
      <c r="H133" s="93">
        <v>0</v>
      </c>
      <c r="I133" s="121" t="str">
        <v/>
      </c>
      <c r="J133" s="127">
        <v>7454.7</v>
      </c>
      <c r="K133" s="110" t="str">
        <v>Misc</v>
      </c>
      <c r="L133" s="110" t="str">
        <v>December-23</v>
      </c>
      <c r="M133" s="110">
        <v>0</v>
      </c>
      <c r="N133" s="110">
        <v>12</v>
      </c>
    </row>
    <row r="134" spans="2:14" ht="15.6" customHeight="1" x14ac:dyDescent="0.2">
      <c r="B134" s="138">
        <f t="shared" si="2"/>
        <v>12</v>
      </c>
      <c r="C134" s="117">
        <v>45275</v>
      </c>
      <c r="D134" s="189" t="str">
        <v>PUBLIC SERVICE PSEG TRACE#091000012870943</v>
      </c>
      <c r="E134" s="189">
        <v>0</v>
      </c>
      <c r="F134" s="189">
        <v>0</v>
      </c>
      <c r="G134" s="189">
        <v>0</v>
      </c>
      <c r="H134" s="189">
        <v>0</v>
      </c>
      <c r="I134" s="122">
        <v>62.66</v>
      </c>
      <c r="J134" s="126">
        <v>0</v>
      </c>
      <c r="K134" s="110" t="str">
        <v>Misc</v>
      </c>
      <c r="L134" s="110" t="str">
        <v>December-23</v>
      </c>
      <c r="M134" s="110">
        <v>0</v>
      </c>
      <c r="N134" s="110">
        <v>12</v>
      </c>
    </row>
    <row r="135" spans="2:14" ht="15.6" customHeight="1" x14ac:dyDescent="0.2">
      <c r="B135" s="138">
        <f t="shared" ref="B135:B138" si="3">MONTH(C135)</f>
        <v>12</v>
      </c>
      <c r="C135" s="116">
        <v>45275</v>
      </c>
      <c r="D135" s="93" t="str">
        <v>PUBLIC SERVICE PSEG ACH TRACE#091000012863422</v>
      </c>
      <c r="E135" s="93">
        <v>0</v>
      </c>
      <c r="F135" s="93">
        <v>0</v>
      </c>
      <c r="G135" s="93">
        <v>0</v>
      </c>
      <c r="H135" s="93">
        <v>0</v>
      </c>
      <c r="I135" s="121">
        <v>2200.65</v>
      </c>
      <c r="J135" s="127" t="str">
        <v/>
      </c>
      <c r="K135" s="110" t="str">
        <v>Misc</v>
      </c>
      <c r="L135" s="110" t="str">
        <v>December-23</v>
      </c>
      <c r="M135" s="110">
        <v>0</v>
      </c>
      <c r="N135" s="110">
        <v>12</v>
      </c>
    </row>
    <row r="136" spans="2:14" ht="15.6" customHeight="1" x14ac:dyDescent="0.2">
      <c r="B136" s="138">
        <f t="shared" si="3"/>
        <v>12</v>
      </c>
      <c r="C136" s="117">
        <v>45281</v>
      </c>
      <c r="D136" s="189" t="str">
        <v>VERIZON COMMUNICBill Pay TRACE#711960040003086</v>
      </c>
      <c r="E136" s="189">
        <v>0</v>
      </c>
      <c r="F136" s="189">
        <v>0</v>
      </c>
      <c r="G136" s="189">
        <v>0</v>
      </c>
      <c r="H136" s="189">
        <v>0</v>
      </c>
      <c r="I136" s="122">
        <v>73.88</v>
      </c>
      <c r="J136" s="126">
        <v>0</v>
      </c>
      <c r="K136" s="110" t="str">
        <v>Misc</v>
      </c>
      <c r="L136" s="110" t="str">
        <v>December-23</v>
      </c>
      <c r="M136" s="110">
        <v>0</v>
      </c>
      <c r="N136" s="110">
        <v>12</v>
      </c>
    </row>
    <row r="137" spans="2:14" ht="15.6" customHeight="1" x14ac:dyDescent="0.2">
      <c r="B137" s="138">
        <f t="shared" si="3"/>
        <v>12</v>
      </c>
      <c r="C137" s="116">
        <v>45282</v>
      </c>
      <c r="D137" s="93" t="str">
        <v>VERIZON PAYMENTREC INTERNET-INITIATED ENTRIES DIWALI LLC</v>
      </c>
      <c r="E137" s="93">
        <v>0</v>
      </c>
      <c r="F137" s="93">
        <v>0</v>
      </c>
      <c r="G137" s="93">
        <v>0</v>
      </c>
      <c r="H137" s="93">
        <v>0</v>
      </c>
      <c r="I137" s="121">
        <v>275.77</v>
      </c>
      <c r="J137" s="127">
        <v>0</v>
      </c>
      <c r="K137" s="110" t="str">
        <v>Misc</v>
      </c>
      <c r="L137" s="110" t="str">
        <v>December-23</v>
      </c>
      <c r="M137" s="110">
        <v>0</v>
      </c>
      <c r="N137" s="110">
        <v>12</v>
      </c>
    </row>
    <row r="138" spans="2:14" ht="15.6" customHeight="1" thickBot="1" x14ac:dyDescent="0.25">
      <c r="B138" s="138">
        <f t="shared" si="3"/>
        <v>12</v>
      </c>
      <c r="C138" s="118">
        <v>45289</v>
      </c>
      <c r="D138" s="94" t="str">
        <v>Web Pay Utica Mutual Ins DIWALI I</v>
      </c>
      <c r="E138" s="94">
        <v>0</v>
      </c>
      <c r="F138" s="94">
        <v>0</v>
      </c>
      <c r="G138" s="94">
        <v>0</v>
      </c>
      <c r="H138" s="94">
        <v>0</v>
      </c>
      <c r="I138" s="123">
        <v>729</v>
      </c>
      <c r="J138" s="128">
        <v>0</v>
      </c>
      <c r="K138" s="110" t="str">
        <v>Misc</v>
      </c>
      <c r="L138" s="110" t="str">
        <v>December-23</v>
      </c>
      <c r="M138" s="110">
        <v>0</v>
      </c>
      <c r="N138" s="110">
        <v>12</v>
      </c>
    </row>
  </sheetData>
  <mergeCells count="1">
    <mergeCell ref="C2:I3"/>
  </mergeCells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6383E7-2789-4B23-8BD9-07DCC3B68E0E}">
  <sheetPr>
    <tabColor rgb="FF8AFF4F"/>
  </sheetPr>
  <dimension ref="B1:S40"/>
  <sheetViews>
    <sheetView showGridLines="0" zoomScale="145" zoomScaleNormal="145" workbookViewId="0">
      <selection activeCell="C2" sqref="C2:J3"/>
    </sheetView>
  </sheetViews>
  <sheetFormatPr defaultRowHeight="10.199999999999999" x14ac:dyDescent="0.2"/>
  <cols>
    <col min="1" max="2" width="2.7109375" customWidth="1"/>
    <col min="3" max="3" width="9.140625" style="110"/>
    <col min="4" max="4" width="13.7109375" style="110" customWidth="1"/>
    <col min="5" max="8" width="9.140625" style="110" hidden="1" customWidth="1"/>
    <col min="9" max="9" width="9.28515625" style="110" hidden="1" customWidth="1"/>
    <col min="10" max="10" width="14" style="110" bestFit="1" customWidth="1"/>
    <col min="11" max="12" width="9.140625" style="110" hidden="1" customWidth="1"/>
    <col min="13" max="13" width="0.28515625" style="110" hidden="1" customWidth="1"/>
    <col min="14" max="14" width="1" style="110" hidden="1" customWidth="1"/>
    <col min="15" max="15" width="9.140625" hidden="1" customWidth="1"/>
    <col min="17" max="17" width="10.28515625" bestFit="1" customWidth="1"/>
    <col min="18" max="18" width="16.5703125" customWidth="1"/>
  </cols>
  <sheetData>
    <row r="1" spans="2:18" ht="10.8" thickBot="1" x14ac:dyDescent="0.25"/>
    <row r="2" spans="2:18" ht="10.199999999999999" customHeight="1" x14ac:dyDescent="0.2">
      <c r="C2" s="260" t="s">
        <v>192</v>
      </c>
      <c r="D2" s="261"/>
      <c r="E2" s="261"/>
      <c r="F2" s="261"/>
      <c r="G2" s="261"/>
      <c r="H2" s="261"/>
      <c r="I2" s="261"/>
      <c r="J2" s="262"/>
      <c r="K2" s="219"/>
      <c r="L2" s="219"/>
      <c r="M2" s="219"/>
      <c r="N2" s="221"/>
    </row>
    <row r="3" spans="2:18" ht="10.8" customHeight="1" thickBot="1" x14ac:dyDescent="0.25">
      <c r="C3" s="263"/>
      <c r="D3" s="264"/>
      <c r="E3" s="264"/>
      <c r="F3" s="264"/>
      <c r="G3" s="264"/>
      <c r="H3" s="264"/>
      <c r="I3" s="264"/>
      <c r="J3" s="265"/>
      <c r="K3" s="220"/>
      <c r="L3" s="220"/>
      <c r="M3" s="220"/>
      <c r="N3" s="222"/>
    </row>
    <row r="4" spans="2:18" ht="10.8" thickBot="1" x14ac:dyDescent="0.25"/>
    <row r="5" spans="2:18" ht="15" customHeight="1" x14ac:dyDescent="0.2">
      <c r="C5" s="136" t="s">
        <v>14</v>
      </c>
      <c r="D5" s="190" t="s">
        <v>15</v>
      </c>
      <c r="E5" s="191"/>
      <c r="F5" s="191"/>
      <c r="G5" s="191"/>
      <c r="H5" s="191"/>
      <c r="I5" s="192" t="s">
        <v>16</v>
      </c>
      <c r="J5" s="196"/>
      <c r="K5" s="191"/>
      <c r="L5" s="191"/>
      <c r="M5" s="191"/>
      <c r="N5" s="191"/>
      <c r="Q5" s="136" t="s">
        <v>172</v>
      </c>
      <c r="R5" s="137" t="s">
        <v>529</v>
      </c>
    </row>
    <row r="6" spans="2:18" ht="15.6" customHeight="1" x14ac:dyDescent="0.2">
      <c r="B6" s="138">
        <f>MONTH(C6)</f>
        <v>1</v>
      </c>
      <c r="C6" s="116" cm="1">
        <f t="array" ref="C6:N38">_xlfn._xlws.FILTER(TransactionsTable[],TransactionsTable[Transaction type]="RDC")</f>
        <v>44932</v>
      </c>
      <c r="D6" s="93" t="str">
        <v>RDC Deposit</v>
      </c>
      <c r="E6" s="93">
        <v>0</v>
      </c>
      <c r="F6" s="93">
        <v>0</v>
      </c>
      <c r="G6" s="93">
        <v>0</v>
      </c>
      <c r="H6" s="93">
        <v>0</v>
      </c>
      <c r="I6" s="111" t="str">
        <v/>
      </c>
      <c r="J6" s="197">
        <v>49000</v>
      </c>
      <c r="K6" s="112" t="str">
        <v>RDC</v>
      </c>
      <c r="L6" s="112" t="str">
        <v>January-23</v>
      </c>
      <c r="M6" s="112" t="str">
        <v>ALL</v>
      </c>
      <c r="N6" s="112">
        <v>1</v>
      </c>
      <c r="P6" s="138">
        <v>1</v>
      </c>
      <c r="Q6" s="238" t="s">
        <v>181</v>
      </c>
      <c r="R6" s="127">
        <f>SUMIFS($J$6:$J$38,$B$6:$B$38,P6)</f>
        <v>58924.310000000005</v>
      </c>
    </row>
    <row r="7" spans="2:18" ht="15.6" customHeight="1" x14ac:dyDescent="0.2">
      <c r="B7" s="138">
        <f t="shared" ref="B7:B38" si="0">MONTH(C7)</f>
        <v>1</v>
      </c>
      <c r="C7" s="117">
        <v>44937</v>
      </c>
      <c r="D7" s="189" t="str">
        <v>RDC Deposit</v>
      </c>
      <c r="E7" s="189">
        <v>0</v>
      </c>
      <c r="F7" s="189">
        <v>0</v>
      </c>
      <c r="G7" s="189">
        <v>0</v>
      </c>
      <c r="H7" s="189">
        <v>0</v>
      </c>
      <c r="I7" s="113" t="str">
        <v/>
      </c>
      <c r="J7" s="198">
        <v>6229.91</v>
      </c>
      <c r="K7" s="114" t="str">
        <v>RDC</v>
      </c>
      <c r="L7" s="114" t="str">
        <v>January-23</v>
      </c>
      <c r="M7" s="114" t="str">
        <v>ALL</v>
      </c>
      <c r="N7" s="114">
        <v>1</v>
      </c>
      <c r="P7" s="138">
        <v>2</v>
      </c>
      <c r="Q7" s="239" t="s">
        <v>182</v>
      </c>
      <c r="R7" s="126">
        <f t="shared" ref="R7:R17" si="1">SUMIFS($J$6:$J$38,$B$6:$B$38,P7)</f>
        <v>46806.75</v>
      </c>
    </row>
    <row r="8" spans="2:18" ht="15.6" customHeight="1" x14ac:dyDescent="0.2">
      <c r="B8" s="138">
        <f t="shared" si="0"/>
        <v>1</v>
      </c>
      <c r="C8" s="116">
        <v>44946</v>
      </c>
      <c r="D8" s="93" t="str">
        <v>RDC Deposit</v>
      </c>
      <c r="E8" s="93">
        <v>0</v>
      </c>
      <c r="F8" s="93">
        <v>0</v>
      </c>
      <c r="G8" s="93">
        <v>0</v>
      </c>
      <c r="H8" s="93">
        <v>0</v>
      </c>
      <c r="I8" s="111" t="str">
        <v/>
      </c>
      <c r="J8" s="197">
        <v>3694.4</v>
      </c>
      <c r="K8" s="112" t="str">
        <v>RDC</v>
      </c>
      <c r="L8" s="112" t="str">
        <v>January-23</v>
      </c>
      <c r="M8" s="112" t="str">
        <v>ALL</v>
      </c>
      <c r="N8" s="112">
        <v>1</v>
      </c>
      <c r="P8" s="138">
        <v>3</v>
      </c>
      <c r="Q8" s="238" t="s">
        <v>183</v>
      </c>
      <c r="R8" s="127">
        <f t="shared" si="1"/>
        <v>28816.979999999996</v>
      </c>
    </row>
    <row r="9" spans="2:18" ht="15.6" customHeight="1" x14ac:dyDescent="0.2">
      <c r="B9" s="138">
        <f t="shared" si="0"/>
        <v>2</v>
      </c>
      <c r="C9" s="117">
        <v>44963</v>
      </c>
      <c r="D9" s="189" t="str">
        <v>RDC Deposit</v>
      </c>
      <c r="E9" s="189">
        <v>0</v>
      </c>
      <c r="F9" s="189">
        <v>0</v>
      </c>
      <c r="G9" s="189">
        <v>0</v>
      </c>
      <c r="H9" s="189">
        <v>0</v>
      </c>
      <c r="I9" s="113" t="str">
        <v/>
      </c>
      <c r="J9" s="198">
        <v>18888.12</v>
      </c>
      <c r="K9" s="114" t="str">
        <v>RDC</v>
      </c>
      <c r="L9" s="114" t="str">
        <v>February-23</v>
      </c>
      <c r="M9" s="114" t="str">
        <v>ALL</v>
      </c>
      <c r="N9" s="114">
        <v>2</v>
      </c>
      <c r="P9" s="138">
        <v>4</v>
      </c>
      <c r="Q9" s="239" t="s">
        <v>184</v>
      </c>
      <c r="R9" s="126">
        <f t="shared" si="1"/>
        <v>12891.970000000001</v>
      </c>
    </row>
    <row r="10" spans="2:18" ht="15.6" customHeight="1" x14ac:dyDescent="0.2">
      <c r="B10" s="138">
        <f t="shared" si="0"/>
        <v>2</v>
      </c>
      <c r="C10" s="116">
        <v>44973</v>
      </c>
      <c r="D10" s="93" t="str">
        <v>RDC Deposit</v>
      </c>
      <c r="E10" s="93">
        <v>0</v>
      </c>
      <c r="F10" s="93">
        <v>0</v>
      </c>
      <c r="G10" s="93">
        <v>0</v>
      </c>
      <c r="H10" s="93">
        <v>0</v>
      </c>
      <c r="I10" s="111" t="str">
        <v/>
      </c>
      <c r="J10" s="197">
        <v>17918.63</v>
      </c>
      <c r="K10" s="112" t="str">
        <v>RDC</v>
      </c>
      <c r="L10" s="112" t="str">
        <v>February-23</v>
      </c>
      <c r="M10" s="112" t="str">
        <v>ALL</v>
      </c>
      <c r="N10" s="112">
        <v>2</v>
      </c>
      <c r="P10" s="138">
        <v>5</v>
      </c>
      <c r="Q10" s="238" t="s">
        <v>175</v>
      </c>
      <c r="R10" s="127">
        <f t="shared" si="1"/>
        <v>14835.64</v>
      </c>
    </row>
    <row r="11" spans="2:18" ht="15.6" customHeight="1" x14ac:dyDescent="0.2">
      <c r="B11" s="138">
        <f t="shared" si="0"/>
        <v>2</v>
      </c>
      <c r="C11" s="117">
        <v>44985</v>
      </c>
      <c r="D11" s="189" t="str">
        <v>RDC Deposit</v>
      </c>
      <c r="E11" s="189">
        <v>0</v>
      </c>
      <c r="F11" s="189">
        <v>0</v>
      </c>
      <c r="G11" s="189">
        <v>0</v>
      </c>
      <c r="H11" s="189">
        <v>0</v>
      </c>
      <c r="I11" s="113" t="str">
        <v/>
      </c>
      <c r="J11" s="198">
        <v>10000</v>
      </c>
      <c r="K11" s="114" t="str">
        <v>RDC</v>
      </c>
      <c r="L11" s="114" t="str">
        <v>February-23</v>
      </c>
      <c r="M11" s="114" t="str">
        <v>ALL</v>
      </c>
      <c r="N11" s="114">
        <v>2</v>
      </c>
      <c r="P11" s="138">
        <v>6</v>
      </c>
      <c r="Q11" s="239" t="s">
        <v>185</v>
      </c>
      <c r="R11" s="126">
        <f t="shared" si="1"/>
        <v>66742.5</v>
      </c>
    </row>
    <row r="12" spans="2:18" ht="15.6" customHeight="1" x14ac:dyDescent="0.2">
      <c r="B12" s="138">
        <f t="shared" si="0"/>
        <v>3</v>
      </c>
      <c r="C12" s="116">
        <v>45005</v>
      </c>
      <c r="D12" s="93" t="str">
        <v>RDC Deposit</v>
      </c>
      <c r="E12" s="93">
        <v>0</v>
      </c>
      <c r="F12" s="93">
        <v>0</v>
      </c>
      <c r="G12" s="93">
        <v>0</v>
      </c>
      <c r="H12" s="93">
        <v>0</v>
      </c>
      <c r="I12" s="111" t="str">
        <v/>
      </c>
      <c r="J12" s="197">
        <v>9924.31</v>
      </c>
      <c r="K12" s="112" t="str">
        <v>RDC</v>
      </c>
      <c r="L12" s="112" t="str">
        <v>March-23</v>
      </c>
      <c r="M12" s="112" t="str">
        <v>ALL</v>
      </c>
      <c r="N12" s="112">
        <v>3</v>
      </c>
      <c r="P12" s="138">
        <v>7</v>
      </c>
      <c r="Q12" s="238" t="s">
        <v>186</v>
      </c>
      <c r="R12" s="127">
        <f t="shared" si="1"/>
        <v>19946.830000000002</v>
      </c>
    </row>
    <row r="13" spans="2:18" ht="15.6" customHeight="1" x14ac:dyDescent="0.2">
      <c r="B13" s="138">
        <f t="shared" si="0"/>
        <v>3</v>
      </c>
      <c r="C13" s="117">
        <v>45015</v>
      </c>
      <c r="D13" s="189" t="str">
        <v>RDC Deposit</v>
      </c>
      <c r="E13" s="189">
        <v>0</v>
      </c>
      <c r="F13" s="189">
        <v>0</v>
      </c>
      <c r="G13" s="189">
        <v>0</v>
      </c>
      <c r="H13" s="189">
        <v>0</v>
      </c>
      <c r="I13" s="113" t="str">
        <v/>
      </c>
      <c r="J13" s="198">
        <v>18892.669999999998</v>
      </c>
      <c r="K13" s="114" t="str">
        <v>RDC</v>
      </c>
      <c r="L13" s="114" t="str">
        <v>March-23</v>
      </c>
      <c r="M13" s="114" t="str">
        <v>ALL</v>
      </c>
      <c r="N13" s="114">
        <v>3</v>
      </c>
      <c r="P13" s="138">
        <v>8</v>
      </c>
      <c r="Q13" s="239" t="s">
        <v>187</v>
      </c>
      <c r="R13" s="126">
        <f t="shared" si="1"/>
        <v>9197.57</v>
      </c>
    </row>
    <row r="14" spans="2:18" ht="15.6" customHeight="1" x14ac:dyDescent="0.2">
      <c r="B14" s="138">
        <f t="shared" si="0"/>
        <v>4</v>
      </c>
      <c r="C14" s="116">
        <v>45019</v>
      </c>
      <c r="D14" s="93" t="str">
        <v>RDC Deposit</v>
      </c>
      <c r="E14" s="93">
        <v>0</v>
      </c>
      <c r="F14" s="93">
        <v>0</v>
      </c>
      <c r="G14" s="93">
        <v>0</v>
      </c>
      <c r="H14" s="93">
        <v>0</v>
      </c>
      <c r="I14" s="111" t="str">
        <v/>
      </c>
      <c r="J14" s="197">
        <v>2967.66</v>
      </c>
      <c r="K14" s="112" t="str">
        <v>RDC</v>
      </c>
      <c r="L14" s="112" t="str">
        <v>April-23</v>
      </c>
      <c r="M14" s="112">
        <v>0</v>
      </c>
      <c r="N14" s="112">
        <v>4</v>
      </c>
      <c r="P14" s="138">
        <v>9</v>
      </c>
      <c r="Q14" s="238" t="s">
        <v>188</v>
      </c>
      <c r="R14" s="127">
        <f t="shared" si="1"/>
        <v>14572.2</v>
      </c>
    </row>
    <row r="15" spans="2:18" ht="15.6" customHeight="1" x14ac:dyDescent="0.2">
      <c r="B15" s="138">
        <f t="shared" si="0"/>
        <v>4</v>
      </c>
      <c r="C15" s="117">
        <v>45021</v>
      </c>
      <c r="D15" s="189" t="str">
        <v>RDC Deposit</v>
      </c>
      <c r="E15" s="189">
        <v>0</v>
      </c>
      <c r="F15" s="189">
        <v>0</v>
      </c>
      <c r="G15" s="189">
        <v>0</v>
      </c>
      <c r="H15" s="189">
        <v>0</v>
      </c>
      <c r="I15" s="113" t="str">
        <v/>
      </c>
      <c r="J15" s="198">
        <v>3694.4</v>
      </c>
      <c r="K15" s="114" t="str">
        <v>RDC</v>
      </c>
      <c r="L15" s="114" t="str">
        <v>April-23</v>
      </c>
      <c r="M15" s="114">
        <v>0</v>
      </c>
      <c r="N15" s="114">
        <v>4</v>
      </c>
      <c r="P15" s="138">
        <v>10</v>
      </c>
      <c r="Q15" s="239" t="s">
        <v>189</v>
      </c>
      <c r="R15" s="126">
        <f t="shared" si="1"/>
        <v>61484.95</v>
      </c>
    </row>
    <row r="16" spans="2:18" ht="15.6" customHeight="1" x14ac:dyDescent="0.2">
      <c r="B16" s="138">
        <f t="shared" si="0"/>
        <v>4</v>
      </c>
      <c r="C16" s="116">
        <v>45023</v>
      </c>
      <c r="D16" s="93" t="str">
        <v>RDC Deposit</v>
      </c>
      <c r="E16" s="93">
        <v>0</v>
      </c>
      <c r="F16" s="93">
        <v>0</v>
      </c>
      <c r="G16" s="93">
        <v>0</v>
      </c>
      <c r="H16" s="93">
        <v>0</v>
      </c>
      <c r="I16" s="111" t="str">
        <v/>
      </c>
      <c r="J16" s="197">
        <v>3285.28</v>
      </c>
      <c r="K16" s="112" t="str">
        <v>RDC</v>
      </c>
      <c r="L16" s="112" t="str">
        <v>April-23</v>
      </c>
      <c r="M16" s="112">
        <v>0</v>
      </c>
      <c r="N16" s="112">
        <v>4</v>
      </c>
      <c r="P16" s="138">
        <v>11</v>
      </c>
      <c r="Q16" s="238" t="s">
        <v>190</v>
      </c>
      <c r="R16" s="127">
        <f t="shared" si="1"/>
        <v>23900.670000000002</v>
      </c>
    </row>
    <row r="17" spans="2:19" ht="15.6" customHeight="1" thickBot="1" x14ac:dyDescent="0.25">
      <c r="B17" s="138">
        <f t="shared" si="0"/>
        <v>4</v>
      </c>
      <c r="C17" s="117">
        <v>45028</v>
      </c>
      <c r="D17" s="189" t="str">
        <v>RDC Deposit</v>
      </c>
      <c r="E17" s="189">
        <v>0</v>
      </c>
      <c r="F17" s="189">
        <v>0</v>
      </c>
      <c r="G17" s="189">
        <v>0</v>
      </c>
      <c r="H17" s="189">
        <v>0</v>
      </c>
      <c r="I17" s="113" t="str">
        <v/>
      </c>
      <c r="J17" s="198">
        <v>2944.63</v>
      </c>
      <c r="K17" s="114" t="str">
        <v>RDC</v>
      </c>
      <c r="L17" s="114" t="str">
        <v>April-23</v>
      </c>
      <c r="M17" s="114">
        <v>0</v>
      </c>
      <c r="N17" s="114">
        <v>4</v>
      </c>
      <c r="P17" s="138">
        <v>12</v>
      </c>
      <c r="Q17" s="240" t="s">
        <v>191</v>
      </c>
      <c r="R17" s="128">
        <f t="shared" si="1"/>
        <v>66077.710000000006</v>
      </c>
    </row>
    <row r="18" spans="2:19" ht="15.6" customHeight="1" thickBot="1" x14ac:dyDescent="0.25">
      <c r="B18" s="138">
        <f t="shared" si="0"/>
        <v>5</v>
      </c>
      <c r="C18" s="116">
        <v>45049</v>
      </c>
      <c r="D18" s="93" t="str">
        <v>RDC Deposit</v>
      </c>
      <c r="E18" s="93">
        <v>0</v>
      </c>
      <c r="F18" s="93">
        <v>0</v>
      </c>
      <c r="G18" s="93">
        <v>0</v>
      </c>
      <c r="H18" s="93">
        <v>0</v>
      </c>
      <c r="I18" s="111" t="str">
        <v/>
      </c>
      <c r="J18" s="197">
        <v>2967.66</v>
      </c>
      <c r="K18" s="112" t="str">
        <v>RDC</v>
      </c>
      <c r="L18" s="112" t="str">
        <v>May-23</v>
      </c>
      <c r="M18" s="112" t="str">
        <v>ALL</v>
      </c>
      <c r="N18" s="112">
        <v>5</v>
      </c>
      <c r="R18" s="241">
        <f>SUM(R6:R17)</f>
        <v>424198.08</v>
      </c>
      <c r="S18" s="6"/>
    </row>
    <row r="19" spans="2:19" ht="15.6" customHeight="1" thickTop="1" x14ac:dyDescent="0.2">
      <c r="B19" s="138">
        <f t="shared" si="0"/>
        <v>5</v>
      </c>
      <c r="C19" s="117">
        <v>45058</v>
      </c>
      <c r="D19" s="189" t="str">
        <v>RDC Deposit</v>
      </c>
      <c r="E19" s="189">
        <v>0</v>
      </c>
      <c r="F19" s="189">
        <v>0</v>
      </c>
      <c r="G19" s="189">
        <v>0</v>
      </c>
      <c r="H19" s="189">
        <v>0</v>
      </c>
      <c r="I19" s="113" t="str">
        <v/>
      </c>
      <c r="J19" s="198">
        <v>2944.63</v>
      </c>
      <c r="K19" s="114" t="str">
        <v>RDC</v>
      </c>
      <c r="L19" s="114" t="str">
        <v>May-23</v>
      </c>
      <c r="M19" s="114" t="str">
        <v>ALL</v>
      </c>
      <c r="N19" s="114">
        <v>5</v>
      </c>
    </row>
    <row r="20" spans="2:19" ht="15.6" customHeight="1" x14ac:dyDescent="0.2">
      <c r="B20" s="138">
        <f t="shared" si="0"/>
        <v>5</v>
      </c>
      <c r="C20" s="116">
        <v>45063</v>
      </c>
      <c r="D20" s="93" t="str">
        <v>RDC Deposit</v>
      </c>
      <c r="E20" s="93">
        <v>0</v>
      </c>
      <c r="F20" s="93">
        <v>0</v>
      </c>
      <c r="G20" s="93">
        <v>0</v>
      </c>
      <c r="H20" s="93">
        <v>0</v>
      </c>
      <c r="I20" s="111" t="str">
        <v/>
      </c>
      <c r="J20" s="197">
        <v>8923.35</v>
      </c>
      <c r="K20" s="112" t="str">
        <v>RDC</v>
      </c>
      <c r="L20" s="112" t="str">
        <v>May-23</v>
      </c>
      <c r="M20" s="112" t="str">
        <v>ALL</v>
      </c>
      <c r="N20" s="112">
        <v>5</v>
      </c>
    </row>
    <row r="21" spans="2:19" ht="15.6" customHeight="1" x14ac:dyDescent="0.2">
      <c r="B21" s="138">
        <f t="shared" si="0"/>
        <v>6</v>
      </c>
      <c r="C21" s="117">
        <v>45082</v>
      </c>
      <c r="D21" s="189" t="str">
        <v>RDC Deposit</v>
      </c>
      <c r="E21" s="189">
        <v>0</v>
      </c>
      <c r="F21" s="189">
        <v>0</v>
      </c>
      <c r="G21" s="189">
        <v>0</v>
      </c>
      <c r="H21" s="189">
        <v>0</v>
      </c>
      <c r="I21" s="113" t="str">
        <v/>
      </c>
      <c r="J21" s="198">
        <v>20836.59</v>
      </c>
      <c r="K21" s="114" t="str">
        <v>RDC</v>
      </c>
      <c r="L21" s="114" t="str">
        <v>June-23</v>
      </c>
      <c r="M21" s="114" t="str">
        <v>ALL</v>
      </c>
      <c r="N21" s="114">
        <v>6</v>
      </c>
    </row>
    <row r="22" spans="2:19" ht="15.6" customHeight="1" x14ac:dyDescent="0.2">
      <c r="B22" s="138">
        <f t="shared" si="0"/>
        <v>6</v>
      </c>
      <c r="C22" s="116">
        <v>45085</v>
      </c>
      <c r="D22" s="93" t="str">
        <v>RDC Deposit</v>
      </c>
      <c r="E22" s="93">
        <v>0</v>
      </c>
      <c r="F22" s="93">
        <v>0</v>
      </c>
      <c r="G22" s="93">
        <v>0</v>
      </c>
      <c r="H22" s="93">
        <v>0</v>
      </c>
      <c r="I22" s="111" t="str">
        <v/>
      </c>
      <c r="J22" s="197">
        <v>42961.279999999999</v>
      </c>
      <c r="K22" s="112" t="str">
        <v>RDC</v>
      </c>
      <c r="L22" s="112" t="str">
        <v>June-23</v>
      </c>
      <c r="M22" s="112" t="str">
        <v>ALL</v>
      </c>
      <c r="N22" s="112">
        <v>6</v>
      </c>
    </row>
    <row r="23" spans="2:19" ht="15.6" customHeight="1" x14ac:dyDescent="0.2">
      <c r="B23" s="138">
        <f t="shared" si="0"/>
        <v>6</v>
      </c>
      <c r="C23" s="117">
        <v>45091</v>
      </c>
      <c r="D23" s="189" t="str">
        <v>RDC Deposit</v>
      </c>
      <c r="E23" s="189">
        <v>0</v>
      </c>
      <c r="F23" s="189">
        <v>0</v>
      </c>
      <c r="G23" s="189">
        <v>0</v>
      </c>
      <c r="H23" s="189">
        <v>0</v>
      </c>
      <c r="I23" s="113" t="str">
        <v/>
      </c>
      <c r="J23" s="198">
        <v>2944.63</v>
      </c>
      <c r="K23" s="114" t="str">
        <v>RDC</v>
      </c>
      <c r="L23" s="114" t="str">
        <v>June-23</v>
      </c>
      <c r="M23" s="114" t="str">
        <v>ALL</v>
      </c>
      <c r="N23" s="114">
        <v>6</v>
      </c>
    </row>
    <row r="24" spans="2:19" ht="15.6" customHeight="1" x14ac:dyDescent="0.2">
      <c r="B24" s="138">
        <f t="shared" si="0"/>
        <v>7</v>
      </c>
      <c r="C24" s="116">
        <v>45124</v>
      </c>
      <c r="D24" s="93" t="str">
        <v>RDC Deposit</v>
      </c>
      <c r="E24" s="93">
        <v>0</v>
      </c>
      <c r="F24" s="93">
        <v>0</v>
      </c>
      <c r="G24" s="93">
        <v>0</v>
      </c>
      <c r="H24" s="93">
        <v>0</v>
      </c>
      <c r="I24" s="111" t="str">
        <v/>
      </c>
      <c r="J24" s="197">
        <v>14572.2</v>
      </c>
      <c r="K24" s="112" t="str">
        <v>RDC</v>
      </c>
      <c r="L24" s="112" t="str">
        <v>July-23</v>
      </c>
      <c r="M24" s="112">
        <v>0</v>
      </c>
      <c r="N24" s="112">
        <v>7</v>
      </c>
    </row>
    <row r="25" spans="2:19" ht="15.6" customHeight="1" x14ac:dyDescent="0.2">
      <c r="B25" s="138">
        <f t="shared" si="0"/>
        <v>7</v>
      </c>
      <c r="C25" s="117">
        <v>45138</v>
      </c>
      <c r="D25" s="189" t="str">
        <v>RDC Deposit</v>
      </c>
      <c r="E25" s="189">
        <v>0</v>
      </c>
      <c r="F25" s="189">
        <v>0</v>
      </c>
      <c r="G25" s="189">
        <v>0</v>
      </c>
      <c r="H25" s="189">
        <v>0</v>
      </c>
      <c r="I25" s="113" t="str">
        <v/>
      </c>
      <c r="J25" s="198">
        <v>5374.63</v>
      </c>
      <c r="K25" s="114" t="str">
        <v>RDC</v>
      </c>
      <c r="L25" s="114" t="str">
        <v>July-23</v>
      </c>
      <c r="M25" s="114">
        <v>0</v>
      </c>
      <c r="N25" s="114">
        <v>7</v>
      </c>
    </row>
    <row r="26" spans="2:19" ht="15.6" customHeight="1" x14ac:dyDescent="0.2">
      <c r="B26" s="138">
        <f t="shared" si="0"/>
        <v>8</v>
      </c>
      <c r="C26" s="116">
        <v>45140</v>
      </c>
      <c r="D26" s="93" t="str">
        <v>RDC Deposit</v>
      </c>
      <c r="E26" s="93">
        <v>0</v>
      </c>
      <c r="F26" s="93">
        <v>0</v>
      </c>
      <c r="G26" s="93">
        <v>0</v>
      </c>
      <c r="H26" s="93">
        <v>0</v>
      </c>
      <c r="I26" s="111" t="str">
        <v/>
      </c>
      <c r="J26" s="197">
        <v>6252.94</v>
      </c>
      <c r="K26" s="112" t="str">
        <v>RDC</v>
      </c>
      <c r="L26" s="112" t="str">
        <v>August-23</v>
      </c>
      <c r="M26" s="112" t="str">
        <v>ALL</v>
      </c>
      <c r="N26" s="112">
        <v>8</v>
      </c>
    </row>
    <row r="27" spans="2:19" ht="15.6" customHeight="1" x14ac:dyDescent="0.2">
      <c r="B27" s="138">
        <f t="shared" si="0"/>
        <v>8</v>
      </c>
      <c r="C27" s="117">
        <v>45166</v>
      </c>
      <c r="D27" s="189" t="str">
        <v>RDC Deposit</v>
      </c>
      <c r="E27" s="189">
        <v>0</v>
      </c>
      <c r="F27" s="189">
        <v>0</v>
      </c>
      <c r="G27" s="189">
        <v>0</v>
      </c>
      <c r="H27" s="189">
        <v>0</v>
      </c>
      <c r="I27" s="113" t="str">
        <v/>
      </c>
      <c r="J27" s="198">
        <v>2944.63</v>
      </c>
      <c r="K27" s="114" t="str">
        <v>RDC</v>
      </c>
      <c r="L27" s="114" t="str">
        <v>August-23</v>
      </c>
      <c r="M27" s="114" t="str">
        <v>ALL</v>
      </c>
      <c r="N27" s="114">
        <v>8</v>
      </c>
    </row>
    <row r="28" spans="2:19" ht="15.6" customHeight="1" x14ac:dyDescent="0.2">
      <c r="B28" s="138">
        <f t="shared" si="0"/>
        <v>9</v>
      </c>
      <c r="C28" s="116">
        <v>45189</v>
      </c>
      <c r="D28" s="93" t="str">
        <v xml:space="preserve">RDC Deposit </v>
      </c>
      <c r="E28" s="93">
        <v>0</v>
      </c>
      <c r="F28" s="93">
        <v>0</v>
      </c>
      <c r="G28" s="93">
        <v>0</v>
      </c>
      <c r="H28" s="93">
        <v>0</v>
      </c>
      <c r="I28" s="111" t="str">
        <v/>
      </c>
      <c r="J28" s="197">
        <v>14572.2</v>
      </c>
      <c r="K28" s="112" t="str">
        <v>RDC</v>
      </c>
      <c r="L28" s="112" t="str">
        <v>September-23</v>
      </c>
      <c r="M28" s="112" t="str">
        <v>ALL</v>
      </c>
      <c r="N28" s="112">
        <v>9</v>
      </c>
    </row>
    <row r="29" spans="2:19" ht="15.6" customHeight="1" x14ac:dyDescent="0.2">
      <c r="B29" s="138">
        <f t="shared" si="0"/>
        <v>10</v>
      </c>
      <c r="C29" s="117">
        <v>45209</v>
      </c>
      <c r="D29" s="189" t="str">
        <v xml:space="preserve">RDC Deposit </v>
      </c>
      <c r="E29" s="189">
        <v>0</v>
      </c>
      <c r="F29" s="189">
        <v>0</v>
      </c>
      <c r="G29" s="189">
        <v>0</v>
      </c>
      <c r="H29" s="189">
        <v>0</v>
      </c>
      <c r="I29" s="113" t="str">
        <v/>
      </c>
      <c r="J29" s="198">
        <v>8492.2900000000009</v>
      </c>
      <c r="K29" s="114" t="str">
        <v>RDC</v>
      </c>
      <c r="L29" s="114" t="str">
        <v>October-23</v>
      </c>
      <c r="M29" s="114" t="str">
        <v>ALL</v>
      </c>
      <c r="N29" s="114">
        <v>10</v>
      </c>
    </row>
    <row r="30" spans="2:19" ht="15" customHeight="1" x14ac:dyDescent="0.2">
      <c r="B30" s="138">
        <f t="shared" si="0"/>
        <v>10</v>
      </c>
      <c r="C30" s="116">
        <v>45215</v>
      </c>
      <c r="D30" s="93" t="str">
        <v xml:space="preserve">RDC Deposit </v>
      </c>
      <c r="E30" s="93">
        <v>0</v>
      </c>
      <c r="F30" s="93">
        <v>0</v>
      </c>
      <c r="G30" s="93">
        <v>0</v>
      </c>
      <c r="H30" s="93">
        <v>0</v>
      </c>
      <c r="I30" s="111" t="str">
        <v/>
      </c>
      <c r="J30" s="197">
        <v>6229.91</v>
      </c>
      <c r="K30" s="112" t="str">
        <v>RDC</v>
      </c>
      <c r="L30" s="112" t="str">
        <v>October-23</v>
      </c>
      <c r="M30" s="112" t="str">
        <v>ALL</v>
      </c>
      <c r="N30" s="112">
        <v>10</v>
      </c>
    </row>
    <row r="31" spans="2:19" ht="15" customHeight="1" x14ac:dyDescent="0.2">
      <c r="B31" s="138">
        <f t="shared" si="0"/>
        <v>10</v>
      </c>
      <c r="C31" s="117">
        <v>45222</v>
      </c>
      <c r="D31" s="189" t="str">
        <v xml:space="preserve">RDC Deposit </v>
      </c>
      <c r="E31" s="189">
        <v>0</v>
      </c>
      <c r="F31" s="189">
        <v>0</v>
      </c>
      <c r="G31" s="189">
        <v>0</v>
      </c>
      <c r="H31" s="189">
        <v>0</v>
      </c>
      <c r="I31" s="113" t="str">
        <v/>
      </c>
      <c r="J31" s="198">
        <v>46762.75</v>
      </c>
      <c r="K31" s="114" t="str">
        <v>RDC</v>
      </c>
      <c r="L31" s="114" t="str">
        <v>October-23</v>
      </c>
      <c r="M31" s="114" t="str">
        <v>ALL</v>
      </c>
      <c r="N31" s="114">
        <v>10</v>
      </c>
    </row>
    <row r="32" spans="2:19" ht="15" customHeight="1" x14ac:dyDescent="0.2">
      <c r="B32" s="138">
        <f t="shared" si="0"/>
        <v>11</v>
      </c>
      <c r="C32" s="116">
        <v>45236</v>
      </c>
      <c r="D32" s="93" t="str">
        <v xml:space="preserve">RDC Deposit </v>
      </c>
      <c r="E32" s="93">
        <v>0</v>
      </c>
      <c r="F32" s="93">
        <v>0</v>
      </c>
      <c r="G32" s="93">
        <v>0</v>
      </c>
      <c r="H32" s="93">
        <v>0</v>
      </c>
      <c r="I32" s="111" t="str">
        <v/>
      </c>
      <c r="J32" s="197">
        <v>12057.42</v>
      </c>
      <c r="K32" s="112" t="str">
        <v>RDC</v>
      </c>
      <c r="L32" s="112" t="str">
        <v>November-23</v>
      </c>
      <c r="M32" s="112" t="str">
        <v>ALL</v>
      </c>
      <c r="N32" s="112">
        <v>11</v>
      </c>
    </row>
    <row r="33" spans="2:14" ht="15" customHeight="1" x14ac:dyDescent="0.2">
      <c r="B33" s="138">
        <f t="shared" si="0"/>
        <v>11</v>
      </c>
      <c r="C33" s="117">
        <v>45237</v>
      </c>
      <c r="D33" s="189" t="str">
        <v xml:space="preserve">RDC Deposit </v>
      </c>
      <c r="E33" s="189">
        <v>0</v>
      </c>
      <c r="F33" s="189">
        <v>0</v>
      </c>
      <c r="G33" s="189">
        <v>0</v>
      </c>
      <c r="H33" s="189">
        <v>0</v>
      </c>
      <c r="I33" s="113" t="str">
        <v/>
      </c>
      <c r="J33" s="198">
        <v>8898.6200000000008</v>
      </c>
      <c r="K33" s="114" t="str">
        <v>RDC</v>
      </c>
      <c r="L33" s="114" t="str">
        <v>November-23</v>
      </c>
      <c r="M33" s="114" t="str">
        <v>ALL</v>
      </c>
      <c r="N33" s="114">
        <v>11</v>
      </c>
    </row>
    <row r="34" spans="2:14" ht="15" customHeight="1" x14ac:dyDescent="0.2">
      <c r="B34" s="138">
        <f t="shared" si="0"/>
        <v>11</v>
      </c>
      <c r="C34" s="116">
        <v>45244</v>
      </c>
      <c r="D34" s="93" t="str">
        <v xml:space="preserve">RDC Deposit </v>
      </c>
      <c r="E34" s="93">
        <v>0</v>
      </c>
      <c r="F34" s="93">
        <v>0</v>
      </c>
      <c r="G34" s="93">
        <v>0</v>
      </c>
      <c r="H34" s="93">
        <v>0</v>
      </c>
      <c r="I34" s="111" t="str">
        <v/>
      </c>
      <c r="J34" s="197">
        <v>2944.63</v>
      </c>
      <c r="K34" s="112" t="str">
        <v>RDC</v>
      </c>
      <c r="L34" s="112" t="str">
        <v>November-23</v>
      </c>
      <c r="M34" s="112" t="str">
        <v>ALL</v>
      </c>
      <c r="N34" s="112">
        <v>11</v>
      </c>
    </row>
    <row r="35" spans="2:14" ht="15" customHeight="1" x14ac:dyDescent="0.2">
      <c r="B35" s="138">
        <f t="shared" si="0"/>
        <v>12</v>
      </c>
      <c r="C35" s="117">
        <v>45264</v>
      </c>
      <c r="D35" s="189" t="str">
        <v xml:space="preserve">RDC Deposit </v>
      </c>
      <c r="E35" s="189">
        <v>0</v>
      </c>
      <c r="F35" s="189">
        <v>0</v>
      </c>
      <c r="G35" s="189">
        <v>0</v>
      </c>
      <c r="H35" s="189">
        <v>0</v>
      </c>
      <c r="I35" s="113" t="str">
        <v/>
      </c>
      <c r="J35" s="198">
        <v>11837.38</v>
      </c>
      <c r="K35" s="114" t="str">
        <v>RDC</v>
      </c>
      <c r="L35" s="114" t="str">
        <v>December-23</v>
      </c>
      <c r="M35" s="114" t="str">
        <v>ALL</v>
      </c>
      <c r="N35" s="114">
        <v>12</v>
      </c>
    </row>
    <row r="36" spans="2:14" ht="15" customHeight="1" x14ac:dyDescent="0.2">
      <c r="B36" s="138">
        <f t="shared" si="0"/>
        <v>12</v>
      </c>
      <c r="C36" s="116">
        <v>45266</v>
      </c>
      <c r="D36" s="93" t="str">
        <v xml:space="preserve">RDC Deposit </v>
      </c>
      <c r="E36" s="93">
        <v>0</v>
      </c>
      <c r="F36" s="93">
        <v>0</v>
      </c>
      <c r="G36" s="93">
        <v>0</v>
      </c>
      <c r="H36" s="93">
        <v>0</v>
      </c>
      <c r="I36" s="111" t="str">
        <v/>
      </c>
      <c r="J36" s="197">
        <v>6295.63</v>
      </c>
      <c r="K36" s="112" t="str">
        <v>RDC</v>
      </c>
      <c r="L36" s="112" t="str">
        <v>December-23</v>
      </c>
      <c r="M36" s="112" t="str">
        <v>ALL</v>
      </c>
      <c r="N36" s="112">
        <v>12</v>
      </c>
    </row>
    <row r="37" spans="2:14" ht="15" customHeight="1" x14ac:dyDescent="0.2">
      <c r="B37" s="138">
        <f t="shared" si="0"/>
        <v>12</v>
      </c>
      <c r="C37" s="117">
        <v>45271</v>
      </c>
      <c r="D37" s="189" t="str">
        <v xml:space="preserve">RDC Deposit </v>
      </c>
      <c r="E37" s="189">
        <v>0</v>
      </c>
      <c r="F37" s="189">
        <v>0</v>
      </c>
      <c r="G37" s="189">
        <v>0</v>
      </c>
      <c r="H37" s="189">
        <v>0</v>
      </c>
      <c r="I37" s="113" t="str">
        <v/>
      </c>
      <c r="J37" s="198">
        <v>5912.29</v>
      </c>
      <c r="K37" s="114" t="str">
        <v>RDC</v>
      </c>
      <c r="L37" s="114" t="str">
        <v>December-23</v>
      </c>
      <c r="M37" s="114" t="str">
        <v>ALL</v>
      </c>
      <c r="N37" s="114">
        <v>12</v>
      </c>
    </row>
    <row r="38" spans="2:14" ht="15" customHeight="1" thickBot="1" x14ac:dyDescent="0.25">
      <c r="B38" s="138">
        <f t="shared" si="0"/>
        <v>12</v>
      </c>
      <c r="C38" s="193">
        <v>45282</v>
      </c>
      <c r="D38" s="133" t="str">
        <v xml:space="preserve">RDC Deposit </v>
      </c>
      <c r="E38" s="133">
        <v>0</v>
      </c>
      <c r="F38" s="133">
        <v>0</v>
      </c>
      <c r="G38" s="133">
        <v>0</v>
      </c>
      <c r="H38" s="133">
        <v>0</v>
      </c>
      <c r="I38" s="194" t="str">
        <v/>
      </c>
      <c r="J38" s="199">
        <v>42032.41</v>
      </c>
      <c r="K38" s="195" t="str">
        <v>RDC</v>
      </c>
      <c r="L38" s="195" t="str">
        <v>December-23</v>
      </c>
      <c r="M38" s="195">
        <v>0</v>
      </c>
      <c r="N38" s="195">
        <v>12</v>
      </c>
    </row>
    <row r="39" spans="2:14" ht="12" thickBot="1" x14ac:dyDescent="0.25">
      <c r="I39" s="115" t="s">
        <v>1</v>
      </c>
      <c r="J39" s="241">
        <f>SUM(J6:J38)</f>
        <v>424198.07999999996</v>
      </c>
    </row>
    <row r="40" spans="2:14" ht="10.8" thickTop="1" x14ac:dyDescent="0.2"/>
  </sheetData>
  <mergeCells count="1">
    <mergeCell ref="C2:J3"/>
  </mergeCells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318447-31E4-45A2-A077-122214ADDD2F}">
  <sheetPr>
    <tabColor rgb="FF8AFF4F"/>
  </sheetPr>
  <dimension ref="C1:I128"/>
  <sheetViews>
    <sheetView showGridLines="0" zoomScale="130" zoomScaleNormal="130" workbookViewId="0">
      <selection activeCell="C2" sqref="C2:F3"/>
    </sheetView>
  </sheetViews>
  <sheetFormatPr defaultRowHeight="10.199999999999999" x14ac:dyDescent="0.2"/>
  <cols>
    <col min="1" max="2" width="2.7109375" customWidth="1"/>
    <col min="3" max="3" width="9.7109375" style="110" bestFit="1" customWidth="1"/>
    <col min="4" max="4" width="11.140625" style="110" customWidth="1"/>
    <col min="5" max="5" width="29.5703125" style="110" customWidth="1"/>
    <col min="6" max="6" width="11.7109375" style="110" bestFit="1" customWidth="1"/>
    <col min="7" max="7" width="11.42578125" style="110" customWidth="1"/>
    <col min="8" max="8" width="28.42578125" bestFit="1" customWidth="1"/>
    <col min="9" max="9" width="17.42578125" bestFit="1" customWidth="1"/>
  </cols>
  <sheetData>
    <row r="1" spans="3:9" ht="10.8" thickBot="1" x14ac:dyDescent="0.25"/>
    <row r="2" spans="3:9" x14ac:dyDescent="0.2">
      <c r="C2" s="254" t="s">
        <v>194</v>
      </c>
      <c r="D2" s="255"/>
      <c r="E2" s="255"/>
      <c r="F2" s="256"/>
    </row>
    <row r="3" spans="3:9" ht="21" customHeight="1" thickBot="1" x14ac:dyDescent="0.25">
      <c r="C3" s="257"/>
      <c r="D3" s="258"/>
      <c r="E3" s="258"/>
      <c r="F3" s="259"/>
    </row>
    <row r="4" spans="3:9" ht="10.8" thickBot="1" x14ac:dyDescent="0.25"/>
    <row r="5" spans="3:9" ht="15.6" customHeight="1" x14ac:dyDescent="0.2">
      <c r="C5" s="187" t="s">
        <v>14</v>
      </c>
      <c r="D5" s="187" t="s">
        <v>195</v>
      </c>
      <c r="E5" s="188" t="s">
        <v>15</v>
      </c>
      <c r="F5" s="187" t="s">
        <v>202</v>
      </c>
      <c r="G5"/>
      <c r="H5" s="209" t="s">
        <v>547</v>
      </c>
      <c r="I5" s="208" t="s">
        <v>529</v>
      </c>
    </row>
    <row r="6" spans="3:9" ht="15.6" customHeight="1" x14ac:dyDescent="0.2">
      <c r="C6" s="204">
        <v>44925</v>
      </c>
      <c r="D6" s="92">
        <v>1178</v>
      </c>
      <c r="E6" s="92" t="s">
        <v>20</v>
      </c>
      <c r="F6" s="205">
        <v>5500</v>
      </c>
      <c r="G6"/>
      <c r="H6" s="244" t="str" cm="1">
        <f t="array" ref="H6:H28">_xlfn._xlws.SORT(_xlfn.UNIQUE(Table10[Description]))</f>
        <v>A.P Certified Testing LLC</v>
      </c>
      <c r="I6" s="212">
        <f>SUMIFS(Table10[Amount],Table10[Description],H6)</f>
        <v>215.26</v>
      </c>
    </row>
    <row r="7" spans="3:9" ht="15.6" customHeight="1" x14ac:dyDescent="0.2">
      <c r="C7" s="204">
        <v>44925</v>
      </c>
      <c r="D7" s="92">
        <v>1177</v>
      </c>
      <c r="E7" s="92" t="s">
        <v>20</v>
      </c>
      <c r="F7" s="205">
        <v>3255.21</v>
      </c>
      <c r="G7"/>
      <c r="H7" s="245" t="str">
        <v>Abraham Properties</v>
      </c>
      <c r="I7" s="213">
        <f>SUMIFS(Table10[Amount],Table10[Description],H7)</f>
        <v>64105.779999999992</v>
      </c>
    </row>
    <row r="8" spans="3:9" ht="15.6" customHeight="1" x14ac:dyDescent="0.2">
      <c r="C8" s="204">
        <v>44910</v>
      </c>
      <c r="D8" s="92">
        <v>1170</v>
      </c>
      <c r="E8" s="92" t="s">
        <v>531</v>
      </c>
      <c r="F8" s="205">
        <v>10257.32</v>
      </c>
      <c r="G8"/>
      <c r="H8" s="244" t="str">
        <v>Abraham Properties NY Inc</v>
      </c>
      <c r="I8" s="212">
        <f>SUMIFS(Table10[Amount],Table10[Description],H8)</f>
        <v>2500</v>
      </c>
    </row>
    <row r="9" spans="3:9" ht="15.6" customHeight="1" x14ac:dyDescent="0.2">
      <c r="C9" s="204">
        <v>44953</v>
      </c>
      <c r="D9" s="92">
        <v>1180</v>
      </c>
      <c r="E9" s="92" t="s">
        <v>21</v>
      </c>
      <c r="F9" s="205">
        <v>1100</v>
      </c>
      <c r="G9"/>
      <c r="H9" s="245" t="str">
        <v>Borough of Fort Lee</v>
      </c>
      <c r="I9" s="213">
        <f>SUMIFS(Table10[Amount],Table10[Description],H9)</f>
        <v>368</v>
      </c>
    </row>
    <row r="10" spans="3:9" ht="15.6" customHeight="1" x14ac:dyDescent="0.2">
      <c r="C10" s="204">
        <v>44953</v>
      </c>
      <c r="D10" s="92">
        <v>1179</v>
      </c>
      <c r="E10" s="92" t="s">
        <v>19</v>
      </c>
      <c r="F10" s="205">
        <v>250</v>
      </c>
      <c r="G10"/>
      <c r="H10" s="244" t="str">
        <v>Cotize Security Systems</v>
      </c>
      <c r="I10" s="212">
        <f>SUMIFS(Table10[Amount],Table10[Description],H10)</f>
        <v>945.6</v>
      </c>
    </row>
    <row r="11" spans="3:9" ht="15.6" customHeight="1" x14ac:dyDescent="0.2">
      <c r="C11" s="204">
        <v>44957</v>
      </c>
      <c r="D11" s="92">
        <v>1182</v>
      </c>
      <c r="E11" s="92" t="s">
        <v>19</v>
      </c>
      <c r="F11" s="205">
        <v>100</v>
      </c>
      <c r="G11"/>
      <c r="H11" s="245" t="str">
        <v>Craig Hughes</v>
      </c>
      <c r="I11" s="213">
        <f>SUMIFS(Table10[Amount],Table10[Description],H11)</f>
        <v>1000</v>
      </c>
    </row>
    <row r="12" spans="3:9" ht="15.6" customHeight="1" x14ac:dyDescent="0.2">
      <c r="C12" s="204">
        <v>44964</v>
      </c>
      <c r="D12" s="92">
        <v>1184</v>
      </c>
      <c r="E12" s="92" t="s">
        <v>197</v>
      </c>
      <c r="F12" s="205">
        <v>1225</v>
      </c>
      <c r="G12"/>
      <c r="H12" s="244" t="str">
        <v>Craig S Hughes</v>
      </c>
      <c r="I12" s="212">
        <f>SUMIFS(Table10[Amount],Table10[Description],H12)</f>
        <v>9052</v>
      </c>
    </row>
    <row r="13" spans="3:9" ht="15.6" customHeight="1" x14ac:dyDescent="0.2">
      <c r="C13" s="204">
        <v>44965</v>
      </c>
      <c r="D13" s="92">
        <v>1186</v>
      </c>
      <c r="E13" s="92" t="s">
        <v>20</v>
      </c>
      <c r="F13" s="205">
        <v>2500</v>
      </c>
      <c r="G13"/>
      <c r="H13" s="245" t="str">
        <v>Dayali Landscaping</v>
      </c>
      <c r="I13" s="213">
        <f>SUMIFS(Table10[Amount],Table10[Description],H13)</f>
        <v>13200.44</v>
      </c>
    </row>
    <row r="14" spans="3:9" ht="15.6" customHeight="1" x14ac:dyDescent="0.2">
      <c r="C14" s="204">
        <v>44981</v>
      </c>
      <c r="D14" s="92">
        <v>1188</v>
      </c>
      <c r="E14" s="92" t="s">
        <v>18</v>
      </c>
      <c r="F14" s="205">
        <v>2200</v>
      </c>
      <c r="G14"/>
      <c r="H14" s="244" t="str">
        <v>DB Plumbing &amp; Heating LLC</v>
      </c>
      <c r="I14" s="212">
        <f>SUMIFS(Table10[Amount],Table10[Description],H14)</f>
        <v>535</v>
      </c>
    </row>
    <row r="15" spans="3:9" ht="15.6" customHeight="1" x14ac:dyDescent="0.2">
      <c r="C15" s="204">
        <v>44956</v>
      </c>
      <c r="D15" s="92">
        <v>1181</v>
      </c>
      <c r="E15" s="92" t="s">
        <v>18</v>
      </c>
      <c r="F15" s="205">
        <v>1200</v>
      </c>
      <c r="G15"/>
      <c r="H15" s="245" t="str">
        <v>Fort Lee Podiatry Group LLC</v>
      </c>
      <c r="I15" s="213">
        <f>SUMIFS(Table10[Amount],Table10[Description],H15)</f>
        <v>2898.64</v>
      </c>
    </row>
    <row r="16" spans="3:9" ht="15.6" customHeight="1" x14ac:dyDescent="0.2">
      <c r="C16" s="204">
        <v>44959</v>
      </c>
      <c r="D16" s="92">
        <v>1183</v>
      </c>
      <c r="E16" s="92" t="s">
        <v>20</v>
      </c>
      <c r="F16" s="205">
        <v>2500</v>
      </c>
      <c r="G16"/>
      <c r="H16" s="244" t="str">
        <v>Full Circle Glass</v>
      </c>
      <c r="I16" s="212">
        <f>SUMIFS(Table10[Amount],Table10[Description],H16)</f>
        <v>1800</v>
      </c>
    </row>
    <row r="17" spans="3:9" ht="15.6" customHeight="1" x14ac:dyDescent="0.2">
      <c r="C17" s="204">
        <v>44965</v>
      </c>
      <c r="D17" s="92">
        <v>1185</v>
      </c>
      <c r="E17" s="92" t="s">
        <v>532</v>
      </c>
      <c r="F17" s="205">
        <v>47.51</v>
      </c>
      <c r="G17"/>
      <c r="H17" s="245" t="str">
        <v>Hudson Valley Sign</v>
      </c>
      <c r="I17" s="213">
        <f>SUMIFS(Table10[Amount],Table10[Description],H17)</f>
        <v>2000</v>
      </c>
    </row>
    <row r="18" spans="3:9" ht="15.6" customHeight="1" x14ac:dyDescent="0.2">
      <c r="C18" s="204">
        <v>44971</v>
      </c>
      <c r="D18" s="92">
        <v>1187</v>
      </c>
      <c r="E18" s="92" t="s">
        <v>20</v>
      </c>
      <c r="F18" s="205">
        <v>1008.04</v>
      </c>
      <c r="G18"/>
      <c r="H18" s="244" t="str">
        <v>MACH</v>
      </c>
      <c r="I18" s="212">
        <f>SUMIFS(Table10[Amount],Table10[Description],H18)</f>
        <v>1279.49</v>
      </c>
    </row>
    <row r="19" spans="3:9" ht="15.6" customHeight="1" x14ac:dyDescent="0.2">
      <c r="C19" s="204">
        <v>44981</v>
      </c>
      <c r="D19" s="92">
        <v>1189</v>
      </c>
      <c r="E19" s="92" t="s">
        <v>21</v>
      </c>
      <c r="F19" s="205">
        <v>1100</v>
      </c>
      <c r="G19"/>
      <c r="H19" s="245" t="str">
        <v>Prada &amp; Sons</v>
      </c>
      <c r="I19" s="213">
        <f>SUMIFS(Table10[Amount],Table10[Description],H19)</f>
        <v>37185.759999999995</v>
      </c>
    </row>
    <row r="20" spans="3:9" ht="15.6" customHeight="1" x14ac:dyDescent="0.2">
      <c r="C20" s="204">
        <v>45001</v>
      </c>
      <c r="D20" s="92">
        <v>1190</v>
      </c>
      <c r="E20" s="92" t="s">
        <v>197</v>
      </c>
      <c r="F20" s="205">
        <v>2500</v>
      </c>
      <c r="G20"/>
      <c r="H20" s="244" t="str">
        <v>Pravin Bhanderi</v>
      </c>
      <c r="I20" s="212">
        <f>SUMIFS(Table10[Amount],Table10[Description],H20)</f>
        <v>4000</v>
      </c>
    </row>
    <row r="21" spans="3:9" ht="15.6" customHeight="1" x14ac:dyDescent="0.2">
      <c r="C21" s="204">
        <v>45015</v>
      </c>
      <c r="D21" s="92">
        <v>1193</v>
      </c>
      <c r="E21" s="92" t="s">
        <v>20</v>
      </c>
      <c r="F21" s="205">
        <v>9329.6</v>
      </c>
      <c r="G21"/>
      <c r="H21" s="245" t="str">
        <v>Rand Commercial</v>
      </c>
      <c r="I21" s="213">
        <f>SUMIFS(Table10[Amount],Table10[Description],H21)</f>
        <v>25572.68</v>
      </c>
    </row>
    <row r="22" spans="3:9" ht="15.6" customHeight="1" x14ac:dyDescent="0.2">
      <c r="C22" s="204">
        <v>45013</v>
      </c>
      <c r="D22" s="92">
        <v>1191</v>
      </c>
      <c r="E22" s="92" t="s">
        <v>20</v>
      </c>
      <c r="F22" s="205">
        <v>1511.96</v>
      </c>
      <c r="G22"/>
      <c r="H22" s="244" t="str">
        <v>Signarama</v>
      </c>
      <c r="I22" s="212">
        <f>SUMIFS(Table10[Amount],Table10[Description],H22)</f>
        <v>95.02</v>
      </c>
    </row>
    <row r="23" spans="3:9" ht="15.6" customHeight="1" x14ac:dyDescent="0.2">
      <c r="C23" s="204">
        <v>45015</v>
      </c>
      <c r="D23" s="92">
        <v>1194</v>
      </c>
      <c r="E23" s="92" t="s">
        <v>20</v>
      </c>
      <c r="F23" s="205">
        <v>2500</v>
      </c>
      <c r="G23"/>
      <c r="H23" s="245" t="str">
        <v>Tacks Inc</v>
      </c>
      <c r="I23" s="213">
        <f>SUMIFS(Table10[Amount],Table10[Description],H23)</f>
        <v>195.08</v>
      </c>
    </row>
    <row r="24" spans="3:9" ht="15.6" customHeight="1" x14ac:dyDescent="0.2">
      <c r="C24" s="204">
        <v>45013</v>
      </c>
      <c r="D24" s="92">
        <v>1192</v>
      </c>
      <c r="E24" s="92" t="s">
        <v>197</v>
      </c>
      <c r="F24" s="205">
        <v>1500</v>
      </c>
      <c r="G24"/>
      <c r="H24" s="244" t="str">
        <v>The Borough of Fort Lee</v>
      </c>
      <c r="I24" s="212">
        <f>SUMIFS(Table10[Amount],Table10[Description],H24)</f>
        <v>600</v>
      </c>
    </row>
    <row r="25" spans="3:9" ht="15.6" customHeight="1" x14ac:dyDescent="0.2">
      <c r="C25" s="204">
        <v>45017</v>
      </c>
      <c r="D25" s="92">
        <v>1196</v>
      </c>
      <c r="E25" s="92" t="s">
        <v>18</v>
      </c>
      <c r="F25" s="205">
        <v>550</v>
      </c>
      <c r="G25"/>
      <c r="H25" s="245" t="str">
        <v>Tomas Chitic</v>
      </c>
      <c r="I25" s="213">
        <f>SUMIFS(Table10[Amount],Table10[Description],H25)</f>
        <v>400</v>
      </c>
    </row>
    <row r="26" spans="3:9" ht="15.6" customHeight="1" x14ac:dyDescent="0.2">
      <c r="C26" s="204">
        <v>45021</v>
      </c>
      <c r="D26" s="92">
        <v>1198</v>
      </c>
      <c r="E26" s="92" t="s">
        <v>18</v>
      </c>
      <c r="F26" s="205">
        <v>750</v>
      </c>
      <c r="G26"/>
      <c r="H26" s="244" t="str">
        <v>Volpe and Volpe Real Estate Inc</v>
      </c>
      <c r="I26" s="212">
        <f>SUMIFS(Table10[Amount],Table10[Description],H26)</f>
        <v>10257.32</v>
      </c>
    </row>
    <row r="27" spans="3:9" ht="15.6" customHeight="1" x14ac:dyDescent="0.2">
      <c r="C27" s="204">
        <v>45027</v>
      </c>
      <c r="D27" s="92">
        <v>1200</v>
      </c>
      <c r="E27" s="92" t="s">
        <v>196</v>
      </c>
      <c r="F27" s="205">
        <v>5128.66</v>
      </c>
      <c r="G27"/>
      <c r="H27" s="245" t="str">
        <v>Volpe Real Estate</v>
      </c>
      <c r="I27" s="213">
        <f>SUMIFS(Table10[Amount],Table10[Description],H27)</f>
        <v>10257.32</v>
      </c>
    </row>
    <row r="28" spans="3:9" ht="15.6" customHeight="1" thickBot="1" x14ac:dyDescent="0.25">
      <c r="C28" s="204">
        <v>45031</v>
      </c>
      <c r="D28" s="92">
        <v>1202</v>
      </c>
      <c r="E28" s="92" t="s">
        <v>18</v>
      </c>
      <c r="F28" s="205">
        <v>3000</v>
      </c>
      <c r="G28"/>
      <c r="H28" s="246" t="str">
        <v>Yukos Mechanical</v>
      </c>
      <c r="I28" s="215">
        <f>SUMIFS(Table10[Amount],Table10[Description],H28)</f>
        <v>680.41</v>
      </c>
    </row>
    <row r="29" spans="3:9" ht="15.6" customHeight="1" thickBot="1" x14ac:dyDescent="0.3">
      <c r="C29" s="204">
        <v>45035</v>
      </c>
      <c r="D29" s="92">
        <v>1205</v>
      </c>
      <c r="E29" s="92" t="s">
        <v>20</v>
      </c>
      <c r="F29" s="205">
        <v>1800</v>
      </c>
      <c r="G29"/>
      <c r="I29" s="214">
        <f>SUM(I6:I28)</f>
        <v>189143.8</v>
      </c>
    </row>
    <row r="30" spans="3:9" ht="15.6" customHeight="1" thickTop="1" x14ac:dyDescent="0.2">
      <c r="C30" s="204">
        <v>45016</v>
      </c>
      <c r="D30" s="92">
        <v>1195</v>
      </c>
      <c r="E30" s="92" t="s">
        <v>21</v>
      </c>
      <c r="F30" s="205">
        <v>1100</v>
      </c>
      <c r="G30"/>
    </row>
    <row r="31" spans="3:9" ht="15.6" customHeight="1" x14ac:dyDescent="0.2">
      <c r="C31" s="204">
        <v>45017</v>
      </c>
      <c r="D31" s="92">
        <v>1197</v>
      </c>
      <c r="E31" s="92" t="s">
        <v>18</v>
      </c>
      <c r="F31" s="205">
        <v>1200</v>
      </c>
      <c r="G31"/>
    </row>
    <row r="32" spans="3:9" ht="15.6" customHeight="1" x14ac:dyDescent="0.2">
      <c r="C32" s="204">
        <v>45022</v>
      </c>
      <c r="D32" s="92">
        <v>1199</v>
      </c>
      <c r="E32" s="92" t="s">
        <v>18</v>
      </c>
      <c r="F32" s="205">
        <v>3500</v>
      </c>
      <c r="G32"/>
    </row>
    <row r="33" spans="3:7" ht="15.6" customHeight="1" x14ac:dyDescent="0.2">
      <c r="C33" s="204">
        <v>45027</v>
      </c>
      <c r="D33" s="92">
        <v>1201</v>
      </c>
      <c r="E33" s="92" t="s">
        <v>533</v>
      </c>
      <c r="F33" s="205">
        <v>10257.32</v>
      </c>
      <c r="G33"/>
    </row>
    <row r="34" spans="3:7" ht="15.6" customHeight="1" x14ac:dyDescent="0.2">
      <c r="C34" s="204">
        <v>45040</v>
      </c>
      <c r="D34" s="92">
        <v>1203</v>
      </c>
      <c r="E34" s="92" t="s">
        <v>20</v>
      </c>
      <c r="F34" s="205">
        <v>2516.64</v>
      </c>
      <c r="G34"/>
    </row>
    <row r="35" spans="3:7" ht="15.6" customHeight="1" x14ac:dyDescent="0.2">
      <c r="C35" s="204">
        <v>45049</v>
      </c>
      <c r="D35" s="92">
        <v>1204</v>
      </c>
      <c r="E35" s="92" t="s">
        <v>18</v>
      </c>
      <c r="F35" s="205">
        <v>1200</v>
      </c>
      <c r="G35"/>
    </row>
    <row r="36" spans="3:7" ht="15.6" customHeight="1" x14ac:dyDescent="0.2">
      <c r="C36" s="204">
        <v>45050</v>
      </c>
      <c r="D36" s="92">
        <v>1207</v>
      </c>
      <c r="E36" s="92" t="s">
        <v>18</v>
      </c>
      <c r="F36" s="205">
        <v>880</v>
      </c>
      <c r="G36"/>
    </row>
    <row r="37" spans="3:7" ht="15.6" customHeight="1" x14ac:dyDescent="0.2">
      <c r="C37" s="204">
        <v>45061</v>
      </c>
      <c r="D37" s="92">
        <v>1209</v>
      </c>
      <c r="E37" s="92" t="s">
        <v>534</v>
      </c>
      <c r="F37" s="205">
        <v>535</v>
      </c>
      <c r="G37"/>
    </row>
    <row r="38" spans="3:7" ht="15.6" customHeight="1" x14ac:dyDescent="0.2">
      <c r="C38" s="204">
        <v>45049</v>
      </c>
      <c r="D38" s="92">
        <v>1206</v>
      </c>
      <c r="E38" s="92" t="s">
        <v>21</v>
      </c>
      <c r="F38" s="205">
        <v>1100</v>
      </c>
      <c r="G38"/>
    </row>
    <row r="39" spans="3:7" ht="15.6" customHeight="1" x14ac:dyDescent="0.2">
      <c r="C39" s="204">
        <v>45050</v>
      </c>
      <c r="D39" s="92">
        <v>1208</v>
      </c>
      <c r="E39" s="92" t="s">
        <v>20</v>
      </c>
      <c r="F39" s="205">
        <v>2500</v>
      </c>
      <c r="G39"/>
    </row>
    <row r="40" spans="3:7" ht="15.6" customHeight="1" x14ac:dyDescent="0.2">
      <c r="C40" s="204">
        <v>45078</v>
      </c>
      <c r="D40" s="92">
        <v>1210</v>
      </c>
      <c r="E40" s="92" t="s">
        <v>535</v>
      </c>
      <c r="F40" s="205">
        <v>2898.64</v>
      </c>
      <c r="G40"/>
    </row>
    <row r="41" spans="3:7" ht="15.6" customHeight="1" x14ac:dyDescent="0.2">
      <c r="C41" s="204">
        <v>45078</v>
      </c>
      <c r="D41" s="92">
        <v>1212</v>
      </c>
      <c r="E41" s="92" t="s">
        <v>18</v>
      </c>
      <c r="F41" s="205">
        <v>1200</v>
      </c>
      <c r="G41"/>
    </row>
    <row r="42" spans="3:7" ht="15.6" customHeight="1" x14ac:dyDescent="0.2">
      <c r="C42" s="204">
        <v>45083</v>
      </c>
      <c r="D42" s="92">
        <v>1214</v>
      </c>
      <c r="E42" s="92" t="s">
        <v>197</v>
      </c>
      <c r="F42" s="205">
        <v>1727</v>
      </c>
      <c r="G42"/>
    </row>
    <row r="43" spans="3:7" ht="15.6" customHeight="1" x14ac:dyDescent="0.2">
      <c r="C43" s="204">
        <v>45086</v>
      </c>
      <c r="D43" s="92">
        <v>1216</v>
      </c>
      <c r="E43" s="92" t="s">
        <v>19</v>
      </c>
      <c r="F43" s="205">
        <v>250</v>
      </c>
      <c r="G43"/>
    </row>
    <row r="44" spans="3:7" ht="15.6" customHeight="1" x14ac:dyDescent="0.2">
      <c r="C44" s="204">
        <v>45097</v>
      </c>
      <c r="D44" s="92">
        <v>1218</v>
      </c>
      <c r="E44" s="92" t="s">
        <v>20</v>
      </c>
      <c r="F44" s="205">
        <v>2468.77</v>
      </c>
      <c r="G44"/>
    </row>
    <row r="45" spans="3:7" ht="15.6" customHeight="1" x14ac:dyDescent="0.2">
      <c r="C45" s="204">
        <v>45078</v>
      </c>
      <c r="D45" s="92">
        <v>1211</v>
      </c>
      <c r="E45" s="92" t="s">
        <v>21</v>
      </c>
      <c r="F45" s="205">
        <v>1100.44</v>
      </c>
      <c r="G45"/>
    </row>
    <row r="46" spans="3:7" ht="15.6" customHeight="1" x14ac:dyDescent="0.2">
      <c r="C46" s="204">
        <v>45078</v>
      </c>
      <c r="D46" s="92">
        <v>1213</v>
      </c>
      <c r="E46" s="92" t="s">
        <v>20</v>
      </c>
      <c r="F46" s="205">
        <v>2500</v>
      </c>
      <c r="G46"/>
    </row>
    <row r="47" spans="3:7" ht="15.6" customHeight="1" x14ac:dyDescent="0.2">
      <c r="C47" s="204">
        <v>45085</v>
      </c>
      <c r="D47" s="92">
        <v>1215</v>
      </c>
      <c r="E47" s="92" t="s">
        <v>20</v>
      </c>
      <c r="F47" s="205">
        <v>810.64</v>
      </c>
      <c r="G47"/>
    </row>
    <row r="48" spans="3:7" ht="15.6" customHeight="1" x14ac:dyDescent="0.2">
      <c r="C48" s="204">
        <v>45097</v>
      </c>
      <c r="D48" s="92">
        <v>1217</v>
      </c>
      <c r="E48" s="92" t="s">
        <v>197</v>
      </c>
      <c r="F48" s="205">
        <v>2100</v>
      </c>
      <c r="G48"/>
    </row>
    <row r="49" spans="3:7" ht="15.6" customHeight="1" x14ac:dyDescent="0.2">
      <c r="C49" s="204">
        <v>45100</v>
      </c>
      <c r="D49" s="92">
        <v>1219</v>
      </c>
      <c r="E49" s="92" t="s">
        <v>18</v>
      </c>
      <c r="F49" s="205">
        <v>3500</v>
      </c>
      <c r="G49"/>
    </row>
    <row r="50" spans="3:7" ht="15.6" customHeight="1" x14ac:dyDescent="0.2">
      <c r="C50" s="204">
        <v>45132</v>
      </c>
      <c r="D50" s="92">
        <v>1220</v>
      </c>
      <c r="E50" s="92" t="s">
        <v>21</v>
      </c>
      <c r="F50" s="205">
        <v>2200</v>
      </c>
      <c r="G50"/>
    </row>
    <row r="51" spans="3:7" ht="15.6" customHeight="1" x14ac:dyDescent="0.2">
      <c r="C51" s="204">
        <v>45134</v>
      </c>
      <c r="D51" s="92">
        <v>1225</v>
      </c>
      <c r="E51" s="92" t="s">
        <v>20</v>
      </c>
      <c r="F51" s="205">
        <v>2648.64</v>
      </c>
      <c r="G51"/>
    </row>
    <row r="52" spans="3:7" ht="15.6" customHeight="1" x14ac:dyDescent="0.2">
      <c r="C52" s="204">
        <v>45134</v>
      </c>
      <c r="D52" s="92">
        <v>1224</v>
      </c>
      <c r="E52" s="92" t="s">
        <v>20</v>
      </c>
      <c r="F52" s="205">
        <v>5000</v>
      </c>
      <c r="G52"/>
    </row>
    <row r="53" spans="3:7" ht="15.6" customHeight="1" x14ac:dyDescent="0.2">
      <c r="C53" s="204">
        <v>45134</v>
      </c>
      <c r="D53" s="92">
        <v>1221</v>
      </c>
      <c r="E53" s="92" t="s">
        <v>536</v>
      </c>
      <c r="F53" s="205">
        <v>195.08</v>
      </c>
      <c r="G53"/>
    </row>
    <row r="54" spans="3:7" ht="15.6" customHeight="1" x14ac:dyDescent="0.2">
      <c r="C54" s="204">
        <v>45134</v>
      </c>
      <c r="D54" s="92">
        <v>1223</v>
      </c>
      <c r="E54" s="92" t="s">
        <v>537</v>
      </c>
      <c r="F54" s="205">
        <v>680.41</v>
      </c>
      <c r="G54"/>
    </row>
    <row r="55" spans="3:7" ht="15.6" customHeight="1" x14ac:dyDescent="0.2">
      <c r="C55" s="204">
        <v>45140</v>
      </c>
      <c r="D55" s="92">
        <v>1227</v>
      </c>
      <c r="E55" s="92" t="s">
        <v>198</v>
      </c>
      <c r="F55" s="205">
        <v>215.26</v>
      </c>
      <c r="G55"/>
    </row>
    <row r="56" spans="3:7" ht="15.6" customHeight="1" x14ac:dyDescent="0.2">
      <c r="C56" s="204">
        <v>45159</v>
      </c>
      <c r="D56" s="92">
        <v>1229</v>
      </c>
      <c r="E56" s="92" t="s">
        <v>538</v>
      </c>
      <c r="F56" s="205">
        <v>900</v>
      </c>
      <c r="G56"/>
    </row>
    <row r="57" spans="3:7" ht="15.6" customHeight="1" x14ac:dyDescent="0.2">
      <c r="C57" s="204">
        <v>45134</v>
      </c>
      <c r="D57" s="92">
        <v>1222</v>
      </c>
      <c r="E57" s="92" t="s">
        <v>539</v>
      </c>
      <c r="F57" s="205">
        <v>710.12</v>
      </c>
      <c r="G57"/>
    </row>
    <row r="58" spans="3:7" ht="15.6" customHeight="1" x14ac:dyDescent="0.2">
      <c r="C58" s="204">
        <v>45135</v>
      </c>
      <c r="D58" s="92">
        <v>1226</v>
      </c>
      <c r="E58" s="92" t="s">
        <v>18</v>
      </c>
      <c r="F58" s="205">
        <v>4500</v>
      </c>
      <c r="G58"/>
    </row>
    <row r="59" spans="3:7" ht="15.6" customHeight="1" x14ac:dyDescent="0.2">
      <c r="C59" s="204">
        <v>45143</v>
      </c>
      <c r="D59" s="92">
        <v>1228</v>
      </c>
      <c r="E59" s="92" t="s">
        <v>18</v>
      </c>
      <c r="F59" s="205">
        <v>5400</v>
      </c>
      <c r="G59"/>
    </row>
    <row r="60" spans="3:7" ht="15.6" customHeight="1" x14ac:dyDescent="0.2">
      <c r="C60" s="204">
        <v>45168</v>
      </c>
      <c r="D60" s="92">
        <v>1230</v>
      </c>
      <c r="E60" s="92" t="s">
        <v>540</v>
      </c>
      <c r="F60" s="205">
        <v>400</v>
      </c>
      <c r="G60"/>
    </row>
    <row r="61" spans="3:7" ht="15.6" customHeight="1" x14ac:dyDescent="0.2">
      <c r="C61" s="204">
        <v>45147</v>
      </c>
      <c r="D61" s="92">
        <v>1232</v>
      </c>
      <c r="E61" s="92" t="s">
        <v>18</v>
      </c>
      <c r="F61" s="205">
        <v>1200</v>
      </c>
      <c r="G61"/>
    </row>
    <row r="62" spans="3:7" ht="15.6" customHeight="1" x14ac:dyDescent="0.2">
      <c r="C62" s="204">
        <v>45147</v>
      </c>
      <c r="D62" s="92">
        <v>1231</v>
      </c>
      <c r="E62" s="92" t="s">
        <v>21</v>
      </c>
      <c r="F62" s="205">
        <v>1100</v>
      </c>
      <c r="G62"/>
    </row>
    <row r="63" spans="3:7" ht="15.6" customHeight="1" x14ac:dyDescent="0.2">
      <c r="C63" s="204">
        <v>45182</v>
      </c>
      <c r="D63" s="92">
        <v>1233</v>
      </c>
      <c r="E63" s="92" t="s">
        <v>541</v>
      </c>
      <c r="F63" s="205">
        <v>2500</v>
      </c>
      <c r="G63"/>
    </row>
    <row r="64" spans="3:7" ht="15.6" customHeight="1" x14ac:dyDescent="0.2">
      <c r="C64" s="204">
        <v>45203</v>
      </c>
      <c r="D64" s="92">
        <v>1234</v>
      </c>
      <c r="E64" s="92" t="s">
        <v>18</v>
      </c>
      <c r="F64" s="205">
        <v>1555.76</v>
      </c>
      <c r="G64"/>
    </row>
    <row r="65" spans="3:7" ht="15.6" customHeight="1" x14ac:dyDescent="0.2">
      <c r="C65" s="204">
        <v>45204</v>
      </c>
      <c r="D65" s="92">
        <v>1236</v>
      </c>
      <c r="E65" s="92" t="s">
        <v>20</v>
      </c>
      <c r="F65" s="205">
        <v>2500</v>
      </c>
      <c r="G65"/>
    </row>
    <row r="66" spans="3:7" ht="15.6" customHeight="1" x14ac:dyDescent="0.2">
      <c r="C66" s="204">
        <v>45223</v>
      </c>
      <c r="D66" s="92">
        <v>1238</v>
      </c>
      <c r="E66" s="92" t="s">
        <v>21</v>
      </c>
      <c r="F66" s="205">
        <v>1100</v>
      </c>
      <c r="G66"/>
    </row>
    <row r="67" spans="3:7" ht="15.6" customHeight="1" x14ac:dyDescent="0.2">
      <c r="C67" s="204">
        <v>45204</v>
      </c>
      <c r="D67" s="92">
        <v>1235</v>
      </c>
      <c r="E67" s="92" t="s">
        <v>538</v>
      </c>
      <c r="F67" s="205">
        <v>900</v>
      </c>
      <c r="G67"/>
    </row>
    <row r="68" spans="3:7" ht="15.6" customHeight="1" x14ac:dyDescent="0.2">
      <c r="C68" s="204">
        <v>45209</v>
      </c>
      <c r="D68" s="92">
        <v>1237</v>
      </c>
      <c r="E68" s="92" t="s">
        <v>542</v>
      </c>
      <c r="F68" s="205">
        <v>4000</v>
      </c>
      <c r="G68"/>
    </row>
    <row r="69" spans="3:7" ht="15.6" customHeight="1" x14ac:dyDescent="0.2">
      <c r="C69" s="204">
        <v>45229</v>
      </c>
      <c r="D69" s="92">
        <v>1239</v>
      </c>
      <c r="E69" s="92" t="s">
        <v>196</v>
      </c>
      <c r="F69" s="205">
        <v>20444.02</v>
      </c>
      <c r="G69"/>
    </row>
    <row r="70" spans="3:7" ht="15.6" customHeight="1" x14ac:dyDescent="0.2">
      <c r="C70" s="204">
        <v>45236</v>
      </c>
      <c r="D70" s="92">
        <v>1241</v>
      </c>
      <c r="E70" s="92" t="s">
        <v>20</v>
      </c>
      <c r="F70" s="205">
        <v>2500</v>
      </c>
      <c r="G70"/>
    </row>
    <row r="71" spans="3:7" ht="15.6" customHeight="1" x14ac:dyDescent="0.2">
      <c r="C71" s="204">
        <v>45237</v>
      </c>
      <c r="D71" s="92">
        <v>1243</v>
      </c>
      <c r="E71" s="92" t="s">
        <v>21</v>
      </c>
      <c r="F71" s="205">
        <v>1100</v>
      </c>
      <c r="G71"/>
    </row>
    <row r="72" spans="3:7" ht="15.6" customHeight="1" x14ac:dyDescent="0.2">
      <c r="C72" s="204">
        <v>45244</v>
      </c>
      <c r="D72" s="92">
        <v>1246</v>
      </c>
      <c r="E72" s="92" t="s">
        <v>18</v>
      </c>
      <c r="F72" s="205">
        <v>1500</v>
      </c>
      <c r="G72"/>
    </row>
    <row r="73" spans="3:7" ht="15.6" customHeight="1" x14ac:dyDescent="0.2">
      <c r="C73" s="204">
        <v>45229</v>
      </c>
      <c r="D73" s="92">
        <v>1240</v>
      </c>
      <c r="E73" s="92" t="s">
        <v>20</v>
      </c>
      <c r="F73" s="205">
        <v>2920.57</v>
      </c>
      <c r="G73"/>
    </row>
    <row r="74" spans="3:7" ht="15.6" customHeight="1" x14ac:dyDescent="0.2">
      <c r="C74" s="204">
        <v>45237</v>
      </c>
      <c r="D74" s="92">
        <v>1242</v>
      </c>
      <c r="E74" s="92" t="s">
        <v>20</v>
      </c>
      <c r="F74" s="205">
        <v>1857.68</v>
      </c>
      <c r="G74"/>
    </row>
    <row r="75" spans="3:7" ht="15.6" customHeight="1" x14ac:dyDescent="0.2">
      <c r="C75" s="204">
        <v>45239</v>
      </c>
      <c r="D75" s="92">
        <v>1244</v>
      </c>
      <c r="E75" s="92" t="s">
        <v>543</v>
      </c>
      <c r="F75" s="205">
        <v>945.6</v>
      </c>
      <c r="G75"/>
    </row>
    <row r="76" spans="3:7" ht="15.6" customHeight="1" x14ac:dyDescent="0.2">
      <c r="C76" s="204">
        <v>45250</v>
      </c>
      <c r="D76" s="92">
        <v>1247</v>
      </c>
      <c r="E76" s="92" t="s">
        <v>18</v>
      </c>
      <c r="F76" s="205">
        <v>1000</v>
      </c>
      <c r="G76"/>
    </row>
    <row r="77" spans="3:7" ht="15.6" customHeight="1" x14ac:dyDescent="0.2">
      <c r="C77" s="204">
        <v>45244</v>
      </c>
      <c r="D77" s="92">
        <v>1245</v>
      </c>
      <c r="E77" s="92" t="s">
        <v>544</v>
      </c>
      <c r="F77" s="205">
        <v>368</v>
      </c>
      <c r="G77"/>
    </row>
    <row r="78" spans="3:7" ht="15.6" customHeight="1" x14ac:dyDescent="0.2">
      <c r="C78" s="204">
        <v>45261</v>
      </c>
      <c r="D78" s="92">
        <v>1249</v>
      </c>
      <c r="E78" s="92" t="s">
        <v>532</v>
      </c>
      <c r="F78" s="205">
        <v>47.51</v>
      </c>
      <c r="G78"/>
    </row>
    <row r="79" spans="3:7" ht="15.6" customHeight="1" x14ac:dyDescent="0.2">
      <c r="C79" s="204">
        <v>45265</v>
      </c>
      <c r="D79" s="92">
        <v>1251</v>
      </c>
      <c r="E79" s="92" t="s">
        <v>18</v>
      </c>
      <c r="F79" s="205">
        <v>1200</v>
      </c>
      <c r="G79"/>
    </row>
    <row r="80" spans="3:7" ht="15.6" customHeight="1" x14ac:dyDescent="0.2">
      <c r="C80" s="204">
        <v>45266</v>
      </c>
      <c r="D80" s="92">
        <v>1253</v>
      </c>
      <c r="E80" s="92" t="s">
        <v>20</v>
      </c>
      <c r="F80" s="205">
        <v>546.05999999999995</v>
      </c>
      <c r="G80"/>
    </row>
    <row r="81" spans="3:7" ht="15.6" customHeight="1" x14ac:dyDescent="0.2">
      <c r="C81" s="204">
        <v>45281</v>
      </c>
      <c r="D81" s="92">
        <v>1255</v>
      </c>
      <c r="E81" s="92" t="s">
        <v>545</v>
      </c>
      <c r="F81" s="205">
        <v>2000</v>
      </c>
      <c r="G81"/>
    </row>
    <row r="82" spans="3:7" ht="15.6" customHeight="1" x14ac:dyDescent="0.2">
      <c r="C82" s="204">
        <v>45255</v>
      </c>
      <c r="D82" s="92">
        <v>1248</v>
      </c>
      <c r="E82" s="92" t="s">
        <v>546</v>
      </c>
      <c r="F82" s="205">
        <v>1000</v>
      </c>
      <c r="G82"/>
    </row>
    <row r="83" spans="3:7" ht="15.6" customHeight="1" x14ac:dyDescent="0.2">
      <c r="C83" s="204">
        <v>45262</v>
      </c>
      <c r="D83" s="92">
        <v>1250</v>
      </c>
      <c r="E83" s="92" t="s">
        <v>21</v>
      </c>
      <c r="F83" s="205">
        <v>1100</v>
      </c>
      <c r="G83"/>
    </row>
    <row r="84" spans="3:7" ht="15.6" customHeight="1" x14ac:dyDescent="0.2">
      <c r="C84" s="204">
        <v>45265</v>
      </c>
      <c r="D84" s="92">
        <v>1252</v>
      </c>
      <c r="E84" s="92" t="s">
        <v>20</v>
      </c>
      <c r="F84" s="205">
        <v>2500</v>
      </c>
      <c r="G84"/>
    </row>
    <row r="85" spans="3:7" ht="15.6" customHeight="1" x14ac:dyDescent="0.2">
      <c r="C85" s="204">
        <v>45266</v>
      </c>
      <c r="D85" s="92">
        <v>1254</v>
      </c>
      <c r="E85" s="92" t="s">
        <v>539</v>
      </c>
      <c r="F85" s="205">
        <v>569.37</v>
      </c>
      <c r="G85"/>
    </row>
    <row r="86" spans="3:7" ht="15.6" customHeight="1" x14ac:dyDescent="0.2">
      <c r="C86" s="204">
        <v>45282</v>
      </c>
      <c r="D86" s="92">
        <v>1256</v>
      </c>
      <c r="E86" s="92" t="s">
        <v>18</v>
      </c>
      <c r="F86" s="205">
        <v>1650</v>
      </c>
      <c r="G86"/>
    </row>
    <row r="87" spans="3:7" ht="15.6" customHeight="1" x14ac:dyDescent="0.2">
      <c r="C87" s="204">
        <v>45282</v>
      </c>
      <c r="D87" s="92">
        <v>1257</v>
      </c>
      <c r="E87" s="92" t="s">
        <v>20</v>
      </c>
      <c r="F87" s="205">
        <v>2500</v>
      </c>
      <c r="G87"/>
    </row>
    <row r="88" spans="3:7" ht="15.6" customHeight="1" x14ac:dyDescent="0.2">
      <c r="C88" s="204">
        <v>45286</v>
      </c>
      <c r="D88" s="92">
        <v>1259</v>
      </c>
      <c r="E88" s="92" t="s">
        <v>20</v>
      </c>
      <c r="F88" s="205">
        <v>431.97</v>
      </c>
      <c r="G88"/>
    </row>
    <row r="89" spans="3:7" ht="15.6" customHeight="1" x14ac:dyDescent="0.2">
      <c r="C89" s="204">
        <v>45282</v>
      </c>
      <c r="D89" s="92">
        <v>1258</v>
      </c>
      <c r="E89" s="92" t="s">
        <v>21</v>
      </c>
      <c r="F89" s="205">
        <v>1100</v>
      </c>
      <c r="G89"/>
    </row>
    <row r="90" spans="3:7" ht="15.6" customHeight="1" x14ac:dyDescent="0.2">
      <c r="C90" s="206" t="s">
        <v>1</v>
      </c>
      <c r="D90" s="92"/>
      <c r="E90" s="92"/>
      <c r="F90" s="207">
        <f>SUBTOTAL(109,Table10[Amount])</f>
        <v>189143.80000000002</v>
      </c>
      <c r="G90" s="129"/>
    </row>
    <row r="91" spans="3:7" ht="15.6" customHeight="1" x14ac:dyDescent="0.2">
      <c r="C91" s="130"/>
      <c r="D91" s="93"/>
      <c r="E91" s="93"/>
      <c r="F91" s="131"/>
      <c r="G91" s="129"/>
    </row>
    <row r="92" spans="3:7" ht="15.6" customHeight="1" x14ac:dyDescent="0.2">
      <c r="C92" s="130"/>
      <c r="D92" s="93"/>
      <c r="E92" s="93"/>
      <c r="F92" s="131"/>
      <c r="G92" s="129"/>
    </row>
    <row r="93" spans="3:7" ht="15.6" customHeight="1" x14ac:dyDescent="0.2">
      <c r="C93" s="130"/>
      <c r="D93" s="93"/>
      <c r="E93" s="93"/>
      <c r="F93" s="131"/>
      <c r="G93" s="129"/>
    </row>
    <row r="94" spans="3:7" ht="15.6" customHeight="1" x14ac:dyDescent="0.2">
      <c r="C94" s="130"/>
      <c r="D94" s="93"/>
      <c r="E94" s="93"/>
      <c r="F94" s="131"/>
      <c r="G94" s="129"/>
    </row>
    <row r="95" spans="3:7" ht="15.6" customHeight="1" x14ac:dyDescent="0.2">
      <c r="C95" s="130"/>
      <c r="D95" s="93"/>
      <c r="E95" s="93"/>
      <c r="F95" s="131"/>
      <c r="G95" s="129"/>
    </row>
    <row r="96" spans="3:7" ht="15.6" customHeight="1" x14ac:dyDescent="0.2">
      <c r="C96" s="130"/>
      <c r="D96" s="93"/>
      <c r="E96" s="93"/>
      <c r="F96" s="131"/>
      <c r="G96" s="129"/>
    </row>
    <row r="97" spans="3:7" ht="15.6" customHeight="1" x14ac:dyDescent="0.2">
      <c r="C97" s="130"/>
      <c r="D97" s="93"/>
      <c r="E97" s="93"/>
      <c r="F97" s="131"/>
      <c r="G97" s="129"/>
    </row>
    <row r="98" spans="3:7" ht="15.6" customHeight="1" x14ac:dyDescent="0.2">
      <c r="C98" s="130"/>
      <c r="D98" s="93"/>
      <c r="E98" s="93"/>
      <c r="F98" s="131"/>
      <c r="G98" s="129"/>
    </row>
    <row r="99" spans="3:7" ht="15.6" customHeight="1" x14ac:dyDescent="0.2">
      <c r="C99" s="130"/>
      <c r="D99" s="93"/>
      <c r="E99" s="93"/>
      <c r="F99" s="131"/>
      <c r="G99" s="129"/>
    </row>
    <row r="100" spans="3:7" ht="15.6" customHeight="1" x14ac:dyDescent="0.2">
      <c r="C100" s="130"/>
      <c r="D100" s="93"/>
      <c r="E100" s="93"/>
      <c r="F100" s="131"/>
      <c r="G100" s="129"/>
    </row>
    <row r="101" spans="3:7" ht="15.6" customHeight="1" x14ac:dyDescent="0.2">
      <c r="C101" s="130"/>
      <c r="D101" s="93"/>
      <c r="E101" s="93"/>
      <c r="F101" s="131"/>
      <c r="G101" s="129"/>
    </row>
    <row r="102" spans="3:7" ht="15.6" customHeight="1" x14ac:dyDescent="0.2">
      <c r="C102" s="130"/>
      <c r="D102" s="93"/>
      <c r="E102" s="93"/>
      <c r="F102" s="131"/>
      <c r="G102" s="129"/>
    </row>
    <row r="103" spans="3:7" ht="15.6" customHeight="1" x14ac:dyDescent="0.2">
      <c r="C103" s="130"/>
      <c r="D103" s="93"/>
      <c r="E103" s="93"/>
      <c r="F103" s="131"/>
      <c r="G103" s="129"/>
    </row>
    <row r="104" spans="3:7" ht="15.6" customHeight="1" x14ac:dyDescent="0.2">
      <c r="C104" s="130"/>
      <c r="D104" s="93"/>
      <c r="E104" s="93"/>
      <c r="F104" s="131"/>
      <c r="G104" s="129"/>
    </row>
    <row r="105" spans="3:7" ht="15.6" customHeight="1" x14ac:dyDescent="0.2">
      <c r="C105" s="130"/>
      <c r="D105" s="93"/>
      <c r="E105" s="93"/>
      <c r="F105" s="131"/>
      <c r="G105" s="129"/>
    </row>
    <row r="106" spans="3:7" ht="15.6" customHeight="1" x14ac:dyDescent="0.2">
      <c r="C106" s="130"/>
      <c r="D106" s="93"/>
      <c r="E106" s="93"/>
      <c r="F106" s="131"/>
      <c r="G106" s="129"/>
    </row>
    <row r="107" spans="3:7" ht="15.6" customHeight="1" x14ac:dyDescent="0.2">
      <c r="C107" s="130"/>
      <c r="D107" s="93"/>
      <c r="E107" s="93"/>
      <c r="F107" s="131"/>
      <c r="G107" s="129"/>
    </row>
    <row r="108" spans="3:7" ht="15.6" customHeight="1" x14ac:dyDescent="0.2">
      <c r="C108" s="130"/>
      <c r="D108" s="93"/>
      <c r="E108" s="93"/>
      <c r="F108" s="131"/>
      <c r="G108" s="129"/>
    </row>
    <row r="109" spans="3:7" ht="15.6" customHeight="1" x14ac:dyDescent="0.2">
      <c r="C109" s="130"/>
      <c r="D109" s="93"/>
      <c r="E109" s="93"/>
      <c r="F109" s="131"/>
      <c r="G109" s="129"/>
    </row>
    <row r="110" spans="3:7" ht="15.6" customHeight="1" x14ac:dyDescent="0.2">
      <c r="C110" s="130"/>
      <c r="D110" s="93"/>
      <c r="E110" s="93"/>
      <c r="F110" s="131"/>
      <c r="G110" s="129"/>
    </row>
    <row r="111" spans="3:7" ht="15.6" customHeight="1" x14ac:dyDescent="0.2">
      <c r="C111" s="130"/>
      <c r="D111" s="93"/>
      <c r="E111" s="93"/>
      <c r="F111" s="131"/>
      <c r="G111" s="129"/>
    </row>
    <row r="112" spans="3:7" ht="15.6" customHeight="1" x14ac:dyDescent="0.2">
      <c r="C112" s="130"/>
      <c r="D112" s="93"/>
      <c r="E112" s="93"/>
      <c r="F112" s="131"/>
      <c r="G112" s="129"/>
    </row>
    <row r="113" spans="3:7" ht="15.6" customHeight="1" x14ac:dyDescent="0.2">
      <c r="C113" s="130"/>
      <c r="D113" s="93"/>
      <c r="E113" s="93"/>
      <c r="F113" s="131"/>
      <c r="G113" s="129"/>
    </row>
    <row r="114" spans="3:7" ht="15.6" customHeight="1" x14ac:dyDescent="0.2">
      <c r="C114" s="130"/>
      <c r="D114" s="93"/>
      <c r="E114" s="93"/>
      <c r="F114" s="131"/>
      <c r="G114" s="129"/>
    </row>
    <row r="115" spans="3:7" ht="15.6" customHeight="1" x14ac:dyDescent="0.2">
      <c r="C115" s="130"/>
      <c r="D115" s="93"/>
      <c r="E115" s="93"/>
      <c r="F115" s="131"/>
      <c r="G115" s="129"/>
    </row>
    <row r="116" spans="3:7" ht="15.6" customHeight="1" x14ac:dyDescent="0.2">
      <c r="C116" s="130"/>
      <c r="D116" s="93"/>
      <c r="E116" s="93"/>
      <c r="F116" s="131"/>
      <c r="G116" s="129"/>
    </row>
    <row r="117" spans="3:7" ht="15.6" customHeight="1" x14ac:dyDescent="0.2">
      <c r="C117" s="130"/>
      <c r="D117" s="93"/>
      <c r="E117" s="93"/>
      <c r="F117" s="131"/>
      <c r="G117" s="129"/>
    </row>
    <row r="118" spans="3:7" ht="15.6" customHeight="1" x14ac:dyDescent="0.2">
      <c r="C118" s="130"/>
      <c r="D118" s="93"/>
      <c r="E118" s="93"/>
      <c r="F118" s="131"/>
      <c r="G118" s="129"/>
    </row>
    <row r="119" spans="3:7" ht="15.6" customHeight="1" x14ac:dyDescent="0.2">
      <c r="C119" s="130"/>
      <c r="D119" s="93"/>
      <c r="E119" s="93"/>
      <c r="F119" s="131"/>
      <c r="G119" s="129"/>
    </row>
    <row r="120" spans="3:7" ht="15.6" customHeight="1" x14ac:dyDescent="0.2">
      <c r="C120" s="130"/>
      <c r="D120" s="93"/>
      <c r="E120" s="93"/>
      <c r="F120" s="131"/>
      <c r="G120" s="129"/>
    </row>
    <row r="121" spans="3:7" ht="15.6" customHeight="1" x14ac:dyDescent="0.2">
      <c r="C121" s="130"/>
      <c r="D121" s="93"/>
      <c r="E121" s="93"/>
      <c r="F121" s="131"/>
      <c r="G121" s="129"/>
    </row>
    <row r="122" spans="3:7" ht="15.6" customHeight="1" x14ac:dyDescent="0.2">
      <c r="C122" s="130"/>
      <c r="D122" s="93"/>
      <c r="E122" s="93"/>
      <c r="F122" s="131"/>
      <c r="G122" s="129"/>
    </row>
    <row r="123" spans="3:7" ht="15.6" customHeight="1" x14ac:dyDescent="0.2">
      <c r="C123" s="130"/>
      <c r="D123" s="93"/>
      <c r="E123" s="93"/>
      <c r="F123" s="131"/>
      <c r="G123" s="129"/>
    </row>
    <row r="124" spans="3:7" ht="15.6" customHeight="1" x14ac:dyDescent="0.2">
      <c r="C124" s="130"/>
      <c r="D124" s="93"/>
      <c r="E124" s="93"/>
      <c r="F124" s="131"/>
      <c r="G124" s="129"/>
    </row>
    <row r="125" spans="3:7" ht="15.6" customHeight="1" x14ac:dyDescent="0.2">
      <c r="C125" s="130"/>
      <c r="D125" s="93"/>
      <c r="E125" s="93"/>
      <c r="F125" s="131"/>
      <c r="G125" s="129"/>
    </row>
    <row r="126" spans="3:7" ht="15.6" customHeight="1" x14ac:dyDescent="0.2">
      <c r="C126" s="130"/>
      <c r="D126" s="93"/>
      <c r="E126" s="93"/>
      <c r="F126" s="131"/>
      <c r="G126"/>
    </row>
    <row r="127" spans="3:7" ht="15.6" customHeight="1" x14ac:dyDescent="0.2">
      <c r="C127" s="93"/>
      <c r="D127" s="132"/>
      <c r="E127" s="93"/>
      <c r="F127" s="131"/>
      <c r="G127"/>
    </row>
    <row r="128" spans="3:7" x14ac:dyDescent="0.2">
      <c r="G128"/>
    </row>
  </sheetData>
  <mergeCells count="1">
    <mergeCell ref="C2:F3"/>
  </mergeCells>
  <pageMargins left="0.7" right="0.7" top="0.75" bottom="0.75" header="0.3" footer="0.3"/>
  <pageSetup orientation="portrait" r:id="rId1"/>
  <legacyDrawing r:id="rId2"/>
  <tableParts count="1">
    <tablePart r:id="rId3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EEEB60-ECF1-4132-9826-25D97D3AC496}">
  <sheetPr>
    <tabColor rgb="FF8AFF4F"/>
  </sheetPr>
  <dimension ref="B1:R19"/>
  <sheetViews>
    <sheetView showGridLines="0" zoomScale="145" zoomScaleNormal="145" workbookViewId="0">
      <selection activeCell="C2" sqref="C2:I3"/>
    </sheetView>
  </sheetViews>
  <sheetFormatPr defaultRowHeight="10.199999999999999" x14ac:dyDescent="0.2"/>
  <cols>
    <col min="1" max="2" width="2.7109375" customWidth="1"/>
    <col min="3" max="3" width="9.140625" style="110"/>
    <col min="4" max="4" width="37" style="110" customWidth="1"/>
    <col min="5" max="8" width="9.140625" style="110" hidden="1" customWidth="1"/>
    <col min="9" max="9" width="17.7109375" style="110" bestFit="1" customWidth="1"/>
    <col min="10" max="10" width="10.7109375" style="110" hidden="1" customWidth="1"/>
    <col min="11" max="12" width="9.140625" style="110" hidden="1" customWidth="1"/>
    <col min="13" max="13" width="6" style="110" hidden="1" customWidth="1"/>
    <col min="14" max="14" width="8" style="110" hidden="1" customWidth="1"/>
    <col min="15" max="15" width="9.140625" hidden="1" customWidth="1"/>
    <col min="17" max="17" width="11.42578125" customWidth="1"/>
    <col min="18" max="18" width="17.7109375" bestFit="1" customWidth="1"/>
  </cols>
  <sheetData>
    <row r="1" spans="2:18" ht="10.8" thickBot="1" x14ac:dyDescent="0.25"/>
    <row r="2" spans="2:18" ht="10.199999999999999" customHeight="1" x14ac:dyDescent="0.2">
      <c r="C2" s="260" t="s">
        <v>548</v>
      </c>
      <c r="D2" s="261"/>
      <c r="E2" s="261"/>
      <c r="F2" s="261"/>
      <c r="G2" s="261"/>
      <c r="H2" s="261"/>
      <c r="I2" s="262"/>
      <c r="J2" s="232"/>
      <c r="K2" s="219"/>
      <c r="L2" s="219"/>
      <c r="M2" s="219"/>
      <c r="N2" s="221"/>
    </row>
    <row r="3" spans="2:18" ht="10.8" customHeight="1" thickBot="1" x14ac:dyDescent="0.25">
      <c r="C3" s="263"/>
      <c r="D3" s="264"/>
      <c r="E3" s="264"/>
      <c r="F3" s="264"/>
      <c r="G3" s="264"/>
      <c r="H3" s="264"/>
      <c r="I3" s="265"/>
      <c r="J3" s="233"/>
      <c r="K3" s="220"/>
      <c r="L3" s="220"/>
      <c r="M3" s="220"/>
      <c r="N3" s="222"/>
    </row>
    <row r="4" spans="2:18" ht="10.8" thickBot="1" x14ac:dyDescent="0.25"/>
    <row r="5" spans="2:18" ht="15" customHeight="1" x14ac:dyDescent="0.2">
      <c r="C5" s="136" t="s">
        <v>14</v>
      </c>
      <c r="D5" s="227" t="s">
        <v>15</v>
      </c>
      <c r="E5" s="191"/>
      <c r="F5" s="191"/>
      <c r="G5" s="191"/>
      <c r="H5" s="191"/>
      <c r="I5" s="196" t="s">
        <v>16</v>
      </c>
      <c r="J5" s="196"/>
      <c r="K5" s="191"/>
      <c r="L5" s="191"/>
      <c r="M5" s="191"/>
      <c r="N5" s="191"/>
      <c r="Q5" s="136" t="s">
        <v>172</v>
      </c>
      <c r="R5" s="137" t="s">
        <v>529</v>
      </c>
    </row>
    <row r="6" spans="2:18" ht="15.6" customHeight="1" x14ac:dyDescent="0.2">
      <c r="B6" s="138">
        <f>MONTH(C6)</f>
        <v>1</v>
      </c>
      <c r="C6" s="229" cm="1">
        <f t="array" ref="C6:N17">_xlfn._xlws.FILTER(TransactionsTable[],TransactionsTable[Transaction type]="Transfer")</f>
        <v>44929</v>
      </c>
      <c r="D6" s="211" t="str">
        <v>Transfer to LoanAcct No. 1718003533</v>
      </c>
      <c r="E6" s="93">
        <v>0</v>
      </c>
      <c r="F6" s="93">
        <v>0</v>
      </c>
      <c r="G6" s="93">
        <v>0</v>
      </c>
      <c r="H6" s="93">
        <v>0</v>
      </c>
      <c r="I6" s="224">
        <v>18708.78</v>
      </c>
      <c r="J6" s="197" t="str">
        <v/>
      </c>
      <c r="K6" s="112" t="str">
        <v>Transfer</v>
      </c>
      <c r="L6" s="112" t="str">
        <v>January-23</v>
      </c>
      <c r="M6" s="112" t="str">
        <v>ALL</v>
      </c>
      <c r="N6" s="112">
        <v>1</v>
      </c>
      <c r="P6" s="138">
        <v>1</v>
      </c>
      <c r="Q6" s="238" t="s">
        <v>181</v>
      </c>
      <c r="R6" s="200">
        <f>SUMIFS($I$6:$I$17,$B$6:$B$17,P6)</f>
        <v>18708.78</v>
      </c>
    </row>
    <row r="7" spans="2:18" ht="15.6" customHeight="1" x14ac:dyDescent="0.2">
      <c r="B7" s="138">
        <f t="shared" ref="B7:B17" si="0">MONTH(C7)</f>
        <v>2</v>
      </c>
      <c r="C7" s="230">
        <v>44958</v>
      </c>
      <c r="D7" s="210" t="str">
        <v>Transfer to LoanAcct No. 1718003533</v>
      </c>
      <c r="E7" s="189">
        <v>0</v>
      </c>
      <c r="F7" s="189">
        <v>0</v>
      </c>
      <c r="G7" s="189">
        <v>0</v>
      </c>
      <c r="H7" s="189">
        <v>0</v>
      </c>
      <c r="I7" s="225">
        <v>18708.78</v>
      </c>
      <c r="J7" s="198" t="str">
        <v/>
      </c>
      <c r="K7" s="114" t="str">
        <v>Transfer</v>
      </c>
      <c r="L7" s="114" t="str">
        <v>February-23</v>
      </c>
      <c r="M7" s="114" t="str">
        <v>ALL</v>
      </c>
      <c r="N7" s="114">
        <v>2</v>
      </c>
      <c r="P7" s="138">
        <v>2</v>
      </c>
      <c r="Q7" s="239" t="s">
        <v>182</v>
      </c>
      <c r="R7" s="201">
        <f t="shared" ref="R7:R17" si="1">SUMIFS($I$6:$I$17,$B$6:$B$17,P7)</f>
        <v>18708.78</v>
      </c>
    </row>
    <row r="8" spans="2:18" ht="15.6" customHeight="1" x14ac:dyDescent="0.2">
      <c r="B8" s="138">
        <f t="shared" si="0"/>
        <v>3</v>
      </c>
      <c r="C8" s="229">
        <v>44986</v>
      </c>
      <c r="D8" s="211" t="str">
        <v>Transfer to LoanAcct No. 1718003533</v>
      </c>
      <c r="E8" s="93">
        <v>0</v>
      </c>
      <c r="F8" s="93">
        <v>0</v>
      </c>
      <c r="G8" s="93">
        <v>0</v>
      </c>
      <c r="H8" s="93">
        <v>0</v>
      </c>
      <c r="I8" s="224">
        <v>18708.78</v>
      </c>
      <c r="J8" s="197" t="str">
        <v/>
      </c>
      <c r="K8" s="112" t="str">
        <v>Transfer</v>
      </c>
      <c r="L8" s="112" t="str">
        <v>March-23</v>
      </c>
      <c r="M8" s="112" t="str">
        <v>ALL</v>
      </c>
      <c r="N8" s="112">
        <v>3</v>
      </c>
      <c r="P8" s="138">
        <v>3</v>
      </c>
      <c r="Q8" s="238" t="s">
        <v>183</v>
      </c>
      <c r="R8" s="200">
        <f t="shared" si="1"/>
        <v>18708.78</v>
      </c>
    </row>
    <row r="9" spans="2:18" ht="15.6" customHeight="1" x14ac:dyDescent="0.2">
      <c r="B9" s="138">
        <f t="shared" si="0"/>
        <v>4</v>
      </c>
      <c r="C9" s="230">
        <v>45019</v>
      </c>
      <c r="D9" s="210" t="str">
        <v>Transfer to LoanAcct No. 1718003533</v>
      </c>
      <c r="E9" s="189">
        <v>0</v>
      </c>
      <c r="F9" s="189">
        <v>0</v>
      </c>
      <c r="G9" s="189">
        <v>0</v>
      </c>
      <c r="H9" s="189">
        <v>0</v>
      </c>
      <c r="I9" s="225">
        <v>18708.78</v>
      </c>
      <c r="J9" s="198" t="str">
        <v/>
      </c>
      <c r="K9" s="114" t="str">
        <v>Transfer</v>
      </c>
      <c r="L9" s="114" t="str">
        <v>April-23</v>
      </c>
      <c r="M9" s="114">
        <v>0</v>
      </c>
      <c r="N9" s="114">
        <v>4</v>
      </c>
      <c r="P9" s="138">
        <v>4</v>
      </c>
      <c r="Q9" s="239" t="s">
        <v>184</v>
      </c>
      <c r="R9" s="201">
        <f t="shared" si="1"/>
        <v>18708.78</v>
      </c>
    </row>
    <row r="10" spans="2:18" ht="15.6" customHeight="1" x14ac:dyDescent="0.2">
      <c r="B10" s="138">
        <f t="shared" si="0"/>
        <v>5</v>
      </c>
      <c r="C10" s="229">
        <v>45047</v>
      </c>
      <c r="D10" s="211" t="str">
        <v>Transfer to LoanAcct No. 1718003533</v>
      </c>
      <c r="E10" s="93">
        <v>0</v>
      </c>
      <c r="F10" s="93">
        <v>0</v>
      </c>
      <c r="G10" s="93">
        <v>0</v>
      </c>
      <c r="H10" s="93">
        <v>0</v>
      </c>
      <c r="I10" s="224">
        <v>18708.78</v>
      </c>
      <c r="J10" s="197" t="str">
        <v/>
      </c>
      <c r="K10" s="112" t="str">
        <v>Transfer</v>
      </c>
      <c r="L10" s="112" t="str">
        <v>May-23</v>
      </c>
      <c r="M10" s="112" t="str">
        <v>ALL</v>
      </c>
      <c r="N10" s="112">
        <v>5</v>
      </c>
      <c r="P10" s="138">
        <v>5</v>
      </c>
      <c r="Q10" s="238" t="s">
        <v>175</v>
      </c>
      <c r="R10" s="200">
        <f t="shared" si="1"/>
        <v>18708.78</v>
      </c>
    </row>
    <row r="11" spans="2:18" ht="15.6" customHeight="1" x14ac:dyDescent="0.2">
      <c r="B11" s="138">
        <f t="shared" si="0"/>
        <v>6</v>
      </c>
      <c r="C11" s="230">
        <v>45078</v>
      </c>
      <c r="D11" s="210" t="str">
        <v>Transfer to LoanAcct No. XXXXXX3533</v>
      </c>
      <c r="E11" s="189">
        <v>0</v>
      </c>
      <c r="F11" s="189">
        <v>0</v>
      </c>
      <c r="G11" s="189">
        <v>0</v>
      </c>
      <c r="H11" s="189">
        <v>0</v>
      </c>
      <c r="I11" s="225">
        <v>18708.78</v>
      </c>
      <c r="J11" s="198" t="str">
        <v/>
      </c>
      <c r="K11" s="114" t="str">
        <v>Transfer</v>
      </c>
      <c r="L11" s="114" t="str">
        <v>June-23</v>
      </c>
      <c r="M11" s="114" t="str">
        <v>ALL</v>
      </c>
      <c r="N11" s="114">
        <v>6</v>
      </c>
      <c r="P11" s="138">
        <v>6</v>
      </c>
      <c r="Q11" s="239" t="s">
        <v>185</v>
      </c>
      <c r="R11" s="201">
        <f t="shared" si="1"/>
        <v>18708.78</v>
      </c>
    </row>
    <row r="12" spans="2:18" ht="15.6" customHeight="1" x14ac:dyDescent="0.2">
      <c r="B12" s="138">
        <f t="shared" si="0"/>
        <v>7</v>
      </c>
      <c r="C12" s="229">
        <v>45110</v>
      </c>
      <c r="D12" s="211" t="str">
        <v>Transfer to LoanAcct No. XXXXXX3533</v>
      </c>
      <c r="E12" s="93">
        <v>0</v>
      </c>
      <c r="F12" s="93">
        <v>0</v>
      </c>
      <c r="G12" s="93">
        <v>0</v>
      </c>
      <c r="H12" s="93">
        <v>0</v>
      </c>
      <c r="I12" s="224">
        <v>18708.78</v>
      </c>
      <c r="J12" s="197" t="str">
        <v/>
      </c>
      <c r="K12" s="112" t="str">
        <v>Transfer</v>
      </c>
      <c r="L12" s="112" t="str">
        <v>July-23</v>
      </c>
      <c r="M12" s="112">
        <v>0</v>
      </c>
      <c r="N12" s="112">
        <v>7</v>
      </c>
      <c r="P12" s="138">
        <v>7</v>
      </c>
      <c r="Q12" s="238" t="s">
        <v>186</v>
      </c>
      <c r="R12" s="200">
        <f t="shared" si="1"/>
        <v>18708.78</v>
      </c>
    </row>
    <row r="13" spans="2:18" ht="15.6" customHeight="1" x14ac:dyDescent="0.2">
      <c r="B13" s="138">
        <f t="shared" si="0"/>
        <v>8</v>
      </c>
      <c r="C13" s="230">
        <v>45139</v>
      </c>
      <c r="D13" s="210" t="str">
        <v>Transfer to LoanAcct No. XXXXXX3533</v>
      </c>
      <c r="E13" s="189">
        <v>0</v>
      </c>
      <c r="F13" s="189">
        <v>0</v>
      </c>
      <c r="G13" s="189">
        <v>0</v>
      </c>
      <c r="H13" s="189">
        <v>0</v>
      </c>
      <c r="I13" s="225">
        <v>18708.78</v>
      </c>
      <c r="J13" s="198" t="str">
        <v/>
      </c>
      <c r="K13" s="114" t="str">
        <v>Transfer</v>
      </c>
      <c r="L13" s="114" t="str">
        <v>August-23</v>
      </c>
      <c r="M13" s="114" t="str">
        <v>ALL</v>
      </c>
      <c r="N13" s="114">
        <v>8</v>
      </c>
      <c r="P13" s="138">
        <v>8</v>
      </c>
      <c r="Q13" s="239" t="s">
        <v>187</v>
      </c>
      <c r="R13" s="201">
        <f t="shared" si="1"/>
        <v>18708.78</v>
      </c>
    </row>
    <row r="14" spans="2:18" ht="15.6" customHeight="1" x14ac:dyDescent="0.2">
      <c r="B14" s="138">
        <f t="shared" si="0"/>
        <v>9</v>
      </c>
      <c r="C14" s="229">
        <v>45170</v>
      </c>
      <c r="D14" s="211" t="str">
        <v>Transfer to Loan Acct No. XXXXXX3533</v>
      </c>
      <c r="E14" s="93">
        <v>0</v>
      </c>
      <c r="F14" s="93">
        <v>0</v>
      </c>
      <c r="G14" s="93">
        <v>0</v>
      </c>
      <c r="H14" s="93">
        <v>0</v>
      </c>
      <c r="I14" s="224">
        <v>18708.78</v>
      </c>
      <c r="J14" s="197" t="str">
        <v/>
      </c>
      <c r="K14" s="112" t="str">
        <v>Transfer</v>
      </c>
      <c r="L14" s="112" t="str">
        <v>September-23</v>
      </c>
      <c r="M14" s="112" t="str">
        <v>ALL</v>
      </c>
      <c r="N14" s="112">
        <v>9</v>
      </c>
      <c r="P14" s="138">
        <v>9</v>
      </c>
      <c r="Q14" s="238" t="s">
        <v>188</v>
      </c>
      <c r="R14" s="200">
        <f t="shared" si="1"/>
        <v>18708.78</v>
      </c>
    </row>
    <row r="15" spans="2:18" ht="15.6" customHeight="1" x14ac:dyDescent="0.2">
      <c r="B15" s="138">
        <f t="shared" si="0"/>
        <v>10</v>
      </c>
      <c r="C15" s="230">
        <v>45201</v>
      </c>
      <c r="D15" s="210" t="str">
        <v>Transfer to Loan Acct No. XXXXXX3533</v>
      </c>
      <c r="E15" s="189">
        <v>0</v>
      </c>
      <c r="F15" s="189">
        <v>0</v>
      </c>
      <c r="G15" s="189">
        <v>0</v>
      </c>
      <c r="H15" s="189">
        <v>0</v>
      </c>
      <c r="I15" s="225">
        <v>18708.78</v>
      </c>
      <c r="J15" s="198" t="str">
        <v/>
      </c>
      <c r="K15" s="114" t="str">
        <v>Transfer</v>
      </c>
      <c r="L15" s="114" t="str">
        <v>October-23</v>
      </c>
      <c r="M15" s="114" t="str">
        <v>ALL</v>
      </c>
      <c r="N15" s="114">
        <v>10</v>
      </c>
      <c r="P15" s="138">
        <v>10</v>
      </c>
      <c r="Q15" s="239" t="s">
        <v>189</v>
      </c>
      <c r="R15" s="201">
        <f t="shared" si="1"/>
        <v>18708.78</v>
      </c>
    </row>
    <row r="16" spans="2:18" ht="15.6" customHeight="1" x14ac:dyDescent="0.2">
      <c r="B16" s="138">
        <f t="shared" si="0"/>
        <v>11</v>
      </c>
      <c r="C16" s="229">
        <v>45231</v>
      </c>
      <c r="D16" s="211" t="str">
        <v>Transfer to Loan Acct No. XXXXXX3533</v>
      </c>
      <c r="E16" s="93">
        <v>0</v>
      </c>
      <c r="F16" s="93">
        <v>0</v>
      </c>
      <c r="G16" s="93">
        <v>0</v>
      </c>
      <c r="H16" s="93">
        <v>0</v>
      </c>
      <c r="I16" s="224">
        <v>18537.59</v>
      </c>
      <c r="J16" s="197" t="str">
        <v/>
      </c>
      <c r="K16" s="112" t="str">
        <v>Transfer</v>
      </c>
      <c r="L16" s="112" t="str">
        <v>November-23</v>
      </c>
      <c r="M16" s="112" t="str">
        <v>ALL</v>
      </c>
      <c r="N16" s="112">
        <v>11</v>
      </c>
      <c r="P16" s="138">
        <v>11</v>
      </c>
      <c r="Q16" s="238" t="s">
        <v>190</v>
      </c>
      <c r="R16" s="200">
        <f t="shared" si="1"/>
        <v>18537.59</v>
      </c>
    </row>
    <row r="17" spans="2:18" ht="15.6" customHeight="1" thickBot="1" x14ac:dyDescent="0.25">
      <c r="B17" s="138">
        <f t="shared" si="0"/>
        <v>12</v>
      </c>
      <c r="C17" s="231">
        <v>45261</v>
      </c>
      <c r="D17" s="228" t="str">
        <v>Transfer to Loan Acct No. XXXXXX3533</v>
      </c>
      <c r="E17" s="94">
        <v>0</v>
      </c>
      <c r="F17" s="94">
        <v>0</v>
      </c>
      <c r="G17" s="94">
        <v>0</v>
      </c>
      <c r="H17" s="94">
        <v>0</v>
      </c>
      <c r="I17" s="226">
        <v>18537.59</v>
      </c>
      <c r="J17" s="198" t="str">
        <v/>
      </c>
      <c r="K17" s="114" t="str">
        <v>Transfer</v>
      </c>
      <c r="L17" s="114" t="str">
        <v>December-23</v>
      </c>
      <c r="M17" s="114" t="str">
        <v>ALL</v>
      </c>
      <c r="N17" s="114">
        <v>12</v>
      </c>
      <c r="P17" s="138">
        <v>12</v>
      </c>
      <c r="Q17" s="240" t="s">
        <v>191</v>
      </c>
      <c r="R17" s="202">
        <f t="shared" si="1"/>
        <v>18537.59</v>
      </c>
    </row>
    <row r="18" spans="2:18" ht="12" thickBot="1" x14ac:dyDescent="0.25">
      <c r="I18" s="241">
        <f>SUM(I6:I17)</f>
        <v>224162.97999999998</v>
      </c>
      <c r="J18" s="242"/>
      <c r="K18" s="242"/>
      <c r="L18" s="242"/>
      <c r="M18" s="242"/>
      <c r="N18" s="242"/>
      <c r="O18" s="243"/>
      <c r="P18" s="243"/>
      <c r="Q18" s="243"/>
      <c r="R18" s="241">
        <f>SUM(R6:R17)</f>
        <v>224162.97999999998</v>
      </c>
    </row>
    <row r="19" spans="2:18" ht="10.8" thickTop="1" x14ac:dyDescent="0.2"/>
  </sheetData>
  <mergeCells count="1">
    <mergeCell ref="C2:I3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2510B3-DA0D-4616-A3DA-90A88002CB29}">
  <dimension ref="A5:L261"/>
  <sheetViews>
    <sheetView zoomScale="115" zoomScaleNormal="115" workbookViewId="0">
      <selection activeCell="L6" sqref="L6"/>
    </sheetView>
  </sheetViews>
  <sheetFormatPr defaultRowHeight="10.199999999999999" x14ac:dyDescent="0.2"/>
  <cols>
    <col min="1" max="1" width="11.85546875" style="42" bestFit="1" customWidth="1"/>
    <col min="2" max="2" width="32.28515625" style="42" bestFit="1" customWidth="1"/>
    <col min="3" max="3" width="15" style="42" bestFit="1" customWidth="1"/>
    <col min="4" max="4" width="16.7109375" style="42" bestFit="1" customWidth="1"/>
    <col min="5" max="5" width="28.140625" style="42" bestFit="1" customWidth="1"/>
    <col min="6" max="6" width="16.7109375" style="42" bestFit="1" customWidth="1"/>
    <col min="7" max="7" width="8.140625" style="42" bestFit="1" customWidth="1"/>
    <col min="8" max="8" width="13.28515625" style="42" customWidth="1"/>
    <col min="9" max="9" width="54" style="42" bestFit="1" customWidth="1"/>
    <col min="10" max="10" width="13.42578125" style="42" bestFit="1" customWidth="1"/>
    <col min="11" max="11" width="9.140625" style="42"/>
    <col min="12" max="12" width="12.5703125" style="42" bestFit="1" customWidth="1"/>
    <col min="13" max="16384" width="9.140625" style="42"/>
  </cols>
  <sheetData>
    <row r="5" spans="1:12" x14ac:dyDescent="0.2">
      <c r="A5" s="140" t="s">
        <v>48</v>
      </c>
      <c r="B5" s="141" t="s">
        <v>200</v>
      </c>
      <c r="C5" s="141" t="s">
        <v>211</v>
      </c>
      <c r="D5" s="141" t="s">
        <v>212</v>
      </c>
      <c r="E5" s="142" t="s">
        <v>213</v>
      </c>
      <c r="G5" s="41" t="s">
        <v>14</v>
      </c>
      <c r="H5" s="41" t="s">
        <v>248</v>
      </c>
      <c r="I5" s="41" t="s">
        <v>15</v>
      </c>
      <c r="J5" s="41" t="s">
        <v>202</v>
      </c>
      <c r="K5" s="41" t="s">
        <v>46</v>
      </c>
      <c r="L5" s="41" t="s">
        <v>47</v>
      </c>
    </row>
    <row r="6" spans="1:12" x14ac:dyDescent="0.2">
      <c r="A6" s="143">
        <v>45294</v>
      </c>
      <c r="B6" s="144" t="s">
        <v>214</v>
      </c>
      <c r="C6" s="144">
        <v>8755.2099999999991</v>
      </c>
      <c r="D6" s="144">
        <v>31666.59</v>
      </c>
      <c r="E6" s="145"/>
      <c r="G6" s="43">
        <f>DATE(YEAR('Data Extraction &amp; Cleaning'!$A6)-1,MONTH('Data Extraction &amp; Cleaning'!$A6),DAY('Data Extraction &amp; Cleaning'!$A6))</f>
        <v>44929</v>
      </c>
      <c r="H6" s="42">
        <f>IF('Data Extraction &amp; Cleaning'!$J6&gt;0,2,1)</f>
        <v>2</v>
      </c>
      <c r="I6" s="42" t="str">
        <f>TRIM(CLEAN('Data Extraction &amp; Cleaning'!$B6&amp;'Data Extraction &amp; Cleaning'!$E6))</f>
        <v>Total of 2 Checks Presented</v>
      </c>
      <c r="J6" s="42">
        <f>'Data Extraction &amp; Cleaning'!$C6</f>
        <v>8755.2099999999991</v>
      </c>
      <c r="K6" s="42" t="str">
        <f>IF('Data Extraction &amp; Cleaning'!$H6=1,'Data Extraction &amp; Cleaning'!$J6,"")</f>
        <v/>
      </c>
      <c r="L6" s="42">
        <f>IF('Data Extraction &amp; Cleaning'!$H6=2,'Data Extraction &amp; Cleaning'!$J6,IF(ISBLANK('Data Extraction &amp; Cleaning'!$H6),'Data Extraction &amp; Cleaning'!$J6,""))</f>
        <v>8755.2099999999991</v>
      </c>
    </row>
    <row r="7" spans="1:12" x14ac:dyDescent="0.2">
      <c r="A7" s="146">
        <v>45294</v>
      </c>
      <c r="B7" s="147" t="s">
        <v>203</v>
      </c>
      <c r="C7" s="147">
        <v>18708.78</v>
      </c>
      <c r="D7" s="147">
        <v>12957.81</v>
      </c>
      <c r="E7" s="148" t="s">
        <v>215</v>
      </c>
      <c r="G7" s="43">
        <f>DATE(YEAR('Data Extraction &amp; Cleaning'!$A7)-1,MONTH('Data Extraction &amp; Cleaning'!$A7),DAY('Data Extraction &amp; Cleaning'!$A7))</f>
        <v>44929</v>
      </c>
      <c r="H7" s="42">
        <f>IF('Data Extraction &amp; Cleaning'!$J7&gt;0,2,1)</f>
        <v>2</v>
      </c>
      <c r="I7" s="42" t="str">
        <f>TRIM(CLEAN('Data Extraction &amp; Cleaning'!$B7&amp;'Data Extraction &amp; Cleaning'!$E7))</f>
        <v>Transfer to LoanAcct No. 1718003533</v>
      </c>
      <c r="J7" s="42">
        <f>'Data Extraction &amp; Cleaning'!$C7</f>
        <v>18708.78</v>
      </c>
      <c r="K7" s="42" t="str">
        <f>IF('Data Extraction &amp; Cleaning'!$H7=1,'Data Extraction &amp; Cleaning'!$J7,"")</f>
        <v/>
      </c>
      <c r="L7" s="42">
        <f>IF('Data Extraction &amp; Cleaning'!$H7=2,'Data Extraction &amp; Cleaning'!$J7,IF(ISBLANK('Data Extraction &amp; Cleaning'!$H7),'Data Extraction &amp; Cleaning'!$J7,""))</f>
        <v>18708.78</v>
      </c>
    </row>
    <row r="8" spans="1:12" x14ac:dyDescent="0.2">
      <c r="A8" s="143">
        <v>45297</v>
      </c>
      <c r="B8" s="144" t="s">
        <v>216</v>
      </c>
      <c r="C8" s="144">
        <v>49000</v>
      </c>
      <c r="D8" s="144">
        <v>61957.81</v>
      </c>
      <c r="E8" s="145"/>
      <c r="G8" s="43">
        <f>DATE(YEAR('Data Extraction &amp; Cleaning'!$A8)-1,MONTH('Data Extraction &amp; Cleaning'!$A8),DAY('Data Extraction &amp; Cleaning'!$A8))</f>
        <v>44932</v>
      </c>
      <c r="H8" s="42">
        <f>IF('Data Extraction &amp; Cleaning'!$J8&gt;0,2,1)</f>
        <v>2</v>
      </c>
      <c r="I8" s="42" t="str">
        <f>TRIM(CLEAN('Data Extraction &amp; Cleaning'!$B8&amp;'Data Extraction &amp; Cleaning'!$E8))</f>
        <v>RDC Deposit</v>
      </c>
      <c r="J8" s="42">
        <f>'Data Extraction &amp; Cleaning'!$C8</f>
        <v>49000</v>
      </c>
      <c r="K8" s="42" t="str">
        <f>IF('Data Extraction &amp; Cleaning'!$H8=1,'Data Extraction &amp; Cleaning'!$J8,"")</f>
        <v/>
      </c>
      <c r="L8" s="42">
        <f>IF('Data Extraction &amp; Cleaning'!$H8=2,'Data Extraction &amp; Cleaning'!$J8,IF(ISBLANK('Data Extraction &amp; Cleaning'!$H8),'Data Extraction &amp; Cleaning'!$J8,""))</f>
        <v>49000</v>
      </c>
    </row>
    <row r="9" spans="1:12" x14ac:dyDescent="0.2">
      <c r="A9" s="146">
        <v>45297</v>
      </c>
      <c r="B9" s="147" t="s">
        <v>217</v>
      </c>
      <c r="C9" s="147">
        <v>10257.32</v>
      </c>
      <c r="D9" s="147">
        <v>51700.49</v>
      </c>
      <c r="E9" s="148"/>
      <c r="G9" s="43">
        <f>DATE(YEAR('Data Extraction &amp; Cleaning'!$A9)-1,MONTH('Data Extraction &amp; Cleaning'!$A9),DAY('Data Extraction &amp; Cleaning'!$A9))</f>
        <v>44932</v>
      </c>
      <c r="H9" s="42">
        <f>IF('Data Extraction &amp; Cleaning'!$J9&gt;0,2,1)</f>
        <v>2</v>
      </c>
      <c r="I9" s="42" t="str">
        <f>TRIM(CLEAN('Data Extraction &amp; Cleaning'!$B9&amp;'Data Extraction &amp; Cleaning'!$E9))</f>
        <v>Total of 1 Check Presented</v>
      </c>
      <c r="J9" s="42">
        <f>'Data Extraction &amp; Cleaning'!$C9</f>
        <v>10257.32</v>
      </c>
      <c r="K9" s="42" t="str">
        <f>IF('Data Extraction &amp; Cleaning'!$H9=1,'Data Extraction &amp; Cleaning'!$J9,"")</f>
        <v/>
      </c>
      <c r="L9" s="42">
        <f>IF('Data Extraction &amp; Cleaning'!$H9=2,'Data Extraction &amp; Cleaning'!$J9,IF(ISBLANK('Data Extraction &amp; Cleaning'!$H9),'Data Extraction &amp; Cleaning'!$J9,""))</f>
        <v>10257.32</v>
      </c>
    </row>
    <row r="10" spans="1:12" x14ac:dyDescent="0.2">
      <c r="A10" s="143">
        <v>45297</v>
      </c>
      <c r="B10" s="144" t="s">
        <v>204</v>
      </c>
      <c r="C10" s="144">
        <v>1763.18</v>
      </c>
      <c r="D10" s="144">
        <v>49937.31</v>
      </c>
      <c r="E10" s="145" t="s">
        <v>218</v>
      </c>
      <c r="G10" s="43">
        <f>DATE(YEAR('Data Extraction &amp; Cleaning'!$A10)-1,MONTH('Data Extraction &amp; Cleaning'!$A10),DAY('Data Extraction &amp; Cleaning'!$A10))</f>
        <v>44932</v>
      </c>
      <c r="H10" s="42">
        <f>IF('Data Extraction &amp; Cleaning'!$J10&gt;0,2,1)</f>
        <v>2</v>
      </c>
      <c r="I10" s="42" t="str">
        <f>TRIM(CLEAN('Data Extraction &amp; Cleaning'!$B10&amp;'Data Extraction &amp; Cleaning'!$E10))</f>
        <v>ACTION CARTING EBill PayACH TRACE#711960040003072</v>
      </c>
      <c r="J10" s="42">
        <f>'Data Extraction &amp; Cleaning'!$C10</f>
        <v>1763.18</v>
      </c>
      <c r="K10" s="42" t="str">
        <f>IF('Data Extraction &amp; Cleaning'!$H10=1,'Data Extraction &amp; Cleaning'!$J10,"")</f>
        <v/>
      </c>
      <c r="L10" s="42">
        <f>IF('Data Extraction &amp; Cleaning'!$H10=2,'Data Extraction &amp; Cleaning'!$J10,IF(ISBLANK('Data Extraction &amp; Cleaning'!$H10),'Data Extraction &amp; Cleaning'!$J10,""))</f>
        <v>1763.18</v>
      </c>
    </row>
    <row r="11" spans="1:12" x14ac:dyDescent="0.2">
      <c r="A11" s="146">
        <v>45302</v>
      </c>
      <c r="B11" s="147" t="s">
        <v>216</v>
      </c>
      <c r="C11" s="147">
        <v>6229.91</v>
      </c>
      <c r="D11" s="147">
        <v>56167.22</v>
      </c>
      <c r="E11" s="148"/>
      <c r="G11" s="43">
        <f>DATE(YEAR('Data Extraction &amp; Cleaning'!$A11)-1,MONTH('Data Extraction &amp; Cleaning'!$A11),DAY('Data Extraction &amp; Cleaning'!$A11))</f>
        <v>44937</v>
      </c>
      <c r="H11" s="42">
        <f>IF('Data Extraction &amp; Cleaning'!$J11&gt;0,2,1)</f>
        <v>2</v>
      </c>
      <c r="I11" s="42" t="str">
        <f>TRIM(CLEAN('Data Extraction &amp; Cleaning'!$B11&amp;'Data Extraction &amp; Cleaning'!$E11))</f>
        <v>RDC Deposit</v>
      </c>
      <c r="J11" s="42">
        <f>'Data Extraction &amp; Cleaning'!$C11</f>
        <v>6229.91</v>
      </c>
      <c r="K11" s="42" t="str">
        <f>IF('Data Extraction &amp; Cleaning'!$H11=1,'Data Extraction &amp; Cleaning'!$J11,"")</f>
        <v/>
      </c>
      <c r="L11" s="42">
        <f>IF('Data Extraction &amp; Cleaning'!$H11=2,'Data Extraction &amp; Cleaning'!$J11,IF(ISBLANK('Data Extraction &amp; Cleaning'!$H11),'Data Extraction &amp; Cleaning'!$J11,""))</f>
        <v>6229.91</v>
      </c>
    </row>
    <row r="12" spans="1:12" x14ac:dyDescent="0.2">
      <c r="A12" s="143">
        <v>45308</v>
      </c>
      <c r="B12" s="144" t="s">
        <v>205</v>
      </c>
      <c r="C12" s="144">
        <v>300</v>
      </c>
      <c r="D12" s="144">
        <v>55867.22</v>
      </c>
      <c r="E12" s="145" t="s">
        <v>219</v>
      </c>
      <c r="G12" s="43">
        <f>DATE(YEAR('Data Extraction &amp; Cleaning'!$A12)-1,MONTH('Data Extraction &amp; Cleaning'!$A12),DAY('Data Extraction &amp; Cleaning'!$A12))</f>
        <v>44943</v>
      </c>
      <c r="H12" s="42">
        <f>IF('Data Extraction &amp; Cleaning'!$J12&gt;0,2,1)</f>
        <v>2</v>
      </c>
      <c r="I12" s="42" t="str">
        <f>TRIM(CLEAN('Data Extraction &amp; Cleaning'!$B12&amp;'Data Extraction &amp; Cleaning'!$E12))</f>
        <v>FIRE PREVENTION Bill PayACH TRACE#711960040005423</v>
      </c>
      <c r="J12" s="42">
        <f>'Data Extraction &amp; Cleaning'!$C12</f>
        <v>300</v>
      </c>
      <c r="K12" s="42" t="str">
        <f>IF('Data Extraction &amp; Cleaning'!$H12=1,'Data Extraction &amp; Cleaning'!$J12,"")</f>
        <v/>
      </c>
      <c r="L12" s="42">
        <f>IF('Data Extraction &amp; Cleaning'!$H12=2,'Data Extraction &amp; Cleaning'!$J12,IF(ISBLANK('Data Extraction &amp; Cleaning'!$H12),'Data Extraction &amp; Cleaning'!$J12,""))</f>
        <v>300</v>
      </c>
    </row>
    <row r="13" spans="1:12" x14ac:dyDescent="0.2">
      <c r="A13" s="146">
        <v>45308</v>
      </c>
      <c r="B13" s="147" t="s">
        <v>206</v>
      </c>
      <c r="C13" s="147">
        <v>303.11</v>
      </c>
      <c r="D13" s="147">
        <v>55564.11</v>
      </c>
      <c r="E13" s="148" t="s">
        <v>220</v>
      </c>
      <c r="G13" s="43">
        <f>DATE(YEAR('Data Extraction &amp; Cleaning'!$A13)-1,MONTH('Data Extraction &amp; Cleaning'!$A13),DAY('Data Extraction &amp; Cleaning'!$A13))</f>
        <v>44943</v>
      </c>
      <c r="H13" s="42">
        <f>IF('Data Extraction &amp; Cleaning'!$J13&gt;0,2,1)</f>
        <v>2</v>
      </c>
      <c r="I13" s="42" t="str">
        <f>TRIM(CLEAN('Data Extraction &amp; Cleaning'!$B13&amp;'Data Extraction &amp; Cleaning'!$E13))</f>
        <v>VEOLIA WATER Bill PayACH TRACE#711960040005403</v>
      </c>
      <c r="J13" s="42">
        <f>'Data Extraction &amp; Cleaning'!$C13</f>
        <v>303.11</v>
      </c>
      <c r="K13" s="42" t="str">
        <f>IF('Data Extraction &amp; Cleaning'!$H13=1,'Data Extraction &amp; Cleaning'!$J13,"")</f>
        <v/>
      </c>
      <c r="L13" s="42">
        <f>IF('Data Extraction &amp; Cleaning'!$H13=2,'Data Extraction &amp; Cleaning'!$J13,IF(ISBLANK('Data Extraction &amp; Cleaning'!$H13),'Data Extraction &amp; Cleaning'!$J13,""))</f>
        <v>303.11</v>
      </c>
    </row>
    <row r="14" spans="1:12" x14ac:dyDescent="0.2">
      <c r="A14" s="143">
        <v>45308</v>
      </c>
      <c r="B14" s="144" t="s">
        <v>221</v>
      </c>
      <c r="C14" s="144">
        <v>423.63</v>
      </c>
      <c r="D14" s="144">
        <v>55140.480000000003</v>
      </c>
      <c r="E14" s="145" t="s">
        <v>222</v>
      </c>
      <c r="G14" s="43">
        <f>DATE(YEAR('Data Extraction &amp; Cleaning'!$A14)-1,MONTH('Data Extraction &amp; Cleaning'!$A14),DAY('Data Extraction &amp; Cleaning'!$A14))</f>
        <v>44943</v>
      </c>
      <c r="H14" s="42">
        <f>IF('Data Extraction &amp; Cleaning'!$J14&gt;0,2,1)</f>
        <v>2</v>
      </c>
      <c r="I14" s="42" t="str">
        <f>TRIM(CLEAN('Data Extraction &amp; Cleaning'!$B14&amp;'Data Extraction &amp; Cleaning'!$E14))</f>
        <v>WATER BILL VEOLIA WATER NEW10006752433605 Diwali I</v>
      </c>
      <c r="J14" s="42">
        <f>'Data Extraction &amp; Cleaning'!$C14</f>
        <v>423.63</v>
      </c>
      <c r="K14" s="42" t="str">
        <f>IF('Data Extraction &amp; Cleaning'!$H14=1,'Data Extraction &amp; Cleaning'!$J14,"")</f>
        <v/>
      </c>
      <c r="L14" s="42">
        <f>IF('Data Extraction &amp; Cleaning'!$H14=2,'Data Extraction &amp; Cleaning'!$J14,IF(ISBLANK('Data Extraction &amp; Cleaning'!$H14),'Data Extraction &amp; Cleaning'!$J14,""))</f>
        <v>423.63</v>
      </c>
    </row>
    <row r="15" spans="1:12" x14ac:dyDescent="0.2">
      <c r="A15" s="146">
        <v>45308</v>
      </c>
      <c r="B15" s="147" t="s">
        <v>207</v>
      </c>
      <c r="C15" s="147">
        <v>583.77</v>
      </c>
      <c r="D15" s="147">
        <v>54556.71</v>
      </c>
      <c r="E15" s="148" t="s">
        <v>223</v>
      </c>
      <c r="G15" s="43">
        <f>DATE(YEAR('Data Extraction &amp; Cleaning'!$A15)-1,MONTH('Data Extraction &amp; Cleaning'!$A15),DAY('Data Extraction &amp; Cleaning'!$A15))</f>
        <v>44943</v>
      </c>
      <c r="H15" s="42">
        <f>IF('Data Extraction &amp; Cleaning'!$J15&gt;0,2,1)</f>
        <v>2</v>
      </c>
      <c r="I15" s="42" t="str">
        <f>TRIM(CLEAN('Data Extraction &amp; Cleaning'!$B15&amp;'Data Extraction &amp; Cleaning'!$E15))</f>
        <v>ACTION ELEVATOR Bill PayACH TRACE#711960040005421</v>
      </c>
      <c r="J15" s="42">
        <f>'Data Extraction &amp; Cleaning'!$C15</f>
        <v>583.77</v>
      </c>
      <c r="K15" s="42" t="str">
        <f>IF('Data Extraction &amp; Cleaning'!$H15=1,'Data Extraction &amp; Cleaning'!$J15,"")</f>
        <v/>
      </c>
      <c r="L15" s="42">
        <f>IF('Data Extraction &amp; Cleaning'!$H15=2,'Data Extraction &amp; Cleaning'!$J15,IF(ISBLANK('Data Extraction &amp; Cleaning'!$H15),'Data Extraction &amp; Cleaning'!$J15,""))</f>
        <v>583.77</v>
      </c>
    </row>
    <row r="16" spans="1:12" x14ac:dyDescent="0.2">
      <c r="A16" s="143">
        <v>45308</v>
      </c>
      <c r="B16" s="144" t="s">
        <v>205</v>
      </c>
      <c r="C16" s="144">
        <v>600</v>
      </c>
      <c r="D16" s="144">
        <v>53956.71</v>
      </c>
      <c r="E16" s="145" t="s">
        <v>224</v>
      </c>
      <c r="G16" s="43">
        <f>DATE(YEAR('Data Extraction &amp; Cleaning'!$A16)-1,MONTH('Data Extraction &amp; Cleaning'!$A16),DAY('Data Extraction &amp; Cleaning'!$A16))</f>
        <v>44943</v>
      </c>
      <c r="H16" s="42">
        <f>IF('Data Extraction &amp; Cleaning'!$J16&gt;0,2,1)</f>
        <v>2</v>
      </c>
      <c r="I16" s="42" t="str">
        <f>TRIM(CLEAN('Data Extraction &amp; Cleaning'!$B16&amp;'Data Extraction &amp; Cleaning'!$E16))</f>
        <v>FIRE PREVENTION Bill PayACH TRACE#711960040005422</v>
      </c>
      <c r="J16" s="42">
        <f>'Data Extraction &amp; Cleaning'!$C16</f>
        <v>600</v>
      </c>
      <c r="K16" s="42" t="str">
        <f>IF('Data Extraction &amp; Cleaning'!$H16=1,'Data Extraction &amp; Cleaning'!$J16,"")</f>
        <v/>
      </c>
      <c r="L16" s="42">
        <f>IF('Data Extraction &amp; Cleaning'!$H16=2,'Data Extraction &amp; Cleaning'!$J16,IF(ISBLANK('Data Extraction &amp; Cleaning'!$H16),'Data Extraction &amp; Cleaning'!$J16,""))</f>
        <v>600</v>
      </c>
    </row>
    <row r="17" spans="1:12" x14ac:dyDescent="0.2">
      <c r="A17" s="146">
        <v>45309</v>
      </c>
      <c r="B17" s="147" t="s">
        <v>208</v>
      </c>
      <c r="C17" s="147">
        <v>18.329999999999998</v>
      </c>
      <c r="D17" s="147">
        <v>53938.38</v>
      </c>
      <c r="E17" s="148"/>
      <c r="G17" s="43">
        <f>DATE(YEAR('Data Extraction &amp; Cleaning'!$A17)-1,MONTH('Data Extraction &amp; Cleaning'!$A17),DAY('Data Extraction &amp; Cleaning'!$A17))</f>
        <v>44944</v>
      </c>
      <c r="H17" s="42">
        <f>IF('Data Extraction &amp; Cleaning'!$J17&gt;0,2,1)</f>
        <v>2</v>
      </c>
      <c r="I17" s="42" t="str">
        <f>TRIM(CLEAN('Data Extraction &amp; Cleaning'!$B17&amp;'Data Extraction &amp; Cleaning'!$E17))</f>
        <v>PUBLIC SERVICE PSEG</v>
      </c>
      <c r="J17" s="42">
        <f>'Data Extraction &amp; Cleaning'!$C17</f>
        <v>18.329999999999998</v>
      </c>
      <c r="K17" s="42" t="str">
        <f>IF('Data Extraction &amp; Cleaning'!$H17=1,'Data Extraction &amp; Cleaning'!$J17,"")</f>
        <v/>
      </c>
      <c r="L17" s="42">
        <f>IF('Data Extraction &amp; Cleaning'!$H17=2,'Data Extraction &amp; Cleaning'!$J17,IF(ISBLANK('Data Extraction &amp; Cleaning'!$H17),'Data Extraction &amp; Cleaning'!$J17,""))</f>
        <v>18.329999999999998</v>
      </c>
    </row>
    <row r="18" spans="1:12" x14ac:dyDescent="0.2">
      <c r="A18" s="143">
        <v>45309</v>
      </c>
      <c r="B18" s="144" t="s">
        <v>208</v>
      </c>
      <c r="C18" s="144">
        <v>66.05</v>
      </c>
      <c r="D18" s="144">
        <v>53872.33</v>
      </c>
      <c r="E18" s="145" t="s">
        <v>225</v>
      </c>
      <c r="G18" s="43">
        <f>DATE(YEAR('Data Extraction &amp; Cleaning'!$A18)-1,MONTH('Data Extraction &amp; Cleaning'!$A18),DAY('Data Extraction &amp; Cleaning'!$A18))</f>
        <v>44944</v>
      </c>
      <c r="H18" s="42">
        <f>IF('Data Extraction &amp; Cleaning'!$J18&gt;0,2,1)</f>
        <v>2</v>
      </c>
      <c r="I18" s="42" t="str">
        <f>TRIM(CLEAN('Data Extraction &amp; Cleaning'!$B18&amp;'Data Extraction &amp; Cleaning'!$E18))</f>
        <v>PUBLIC SERVICE PSEGACH TRACE#091000015296962</v>
      </c>
      <c r="J18" s="42">
        <f>'Data Extraction &amp; Cleaning'!$C18</f>
        <v>66.05</v>
      </c>
      <c r="K18" s="42" t="str">
        <f>IF('Data Extraction &amp; Cleaning'!$H18=1,'Data Extraction &amp; Cleaning'!$J18,"")</f>
        <v/>
      </c>
      <c r="L18" s="42">
        <f>IF('Data Extraction &amp; Cleaning'!$H18=2,'Data Extraction &amp; Cleaning'!$J18,IF(ISBLANK('Data Extraction &amp; Cleaning'!$H18),'Data Extraction &amp; Cleaning'!$J18,""))</f>
        <v>66.05</v>
      </c>
    </row>
    <row r="19" spans="1:12" x14ac:dyDescent="0.2">
      <c r="A19" s="146">
        <v>45311</v>
      </c>
      <c r="B19" s="147" t="s">
        <v>216</v>
      </c>
      <c r="C19" s="147">
        <v>3694.4</v>
      </c>
      <c r="D19" s="147">
        <v>57566.73</v>
      </c>
      <c r="E19" s="148"/>
      <c r="G19" s="43">
        <f>DATE(YEAR('Data Extraction &amp; Cleaning'!$A19)-1,MONTH('Data Extraction &amp; Cleaning'!$A19),DAY('Data Extraction &amp; Cleaning'!$A19))</f>
        <v>44946</v>
      </c>
      <c r="H19" s="42">
        <f>IF('Data Extraction &amp; Cleaning'!$J19&gt;0,2,1)</f>
        <v>2</v>
      </c>
      <c r="I19" s="42" t="str">
        <f>TRIM(CLEAN('Data Extraction &amp; Cleaning'!$B19&amp;'Data Extraction &amp; Cleaning'!$E19))</f>
        <v>RDC Deposit</v>
      </c>
      <c r="J19" s="42">
        <f>'Data Extraction &amp; Cleaning'!$C19</f>
        <v>3694.4</v>
      </c>
      <c r="K19" s="42" t="str">
        <f>IF('Data Extraction &amp; Cleaning'!$H19=1,'Data Extraction &amp; Cleaning'!$J19,"")</f>
        <v/>
      </c>
      <c r="L19" s="42">
        <f>IF('Data Extraction &amp; Cleaning'!$H19=2,'Data Extraction &amp; Cleaning'!$J19,IF(ISBLANK('Data Extraction &amp; Cleaning'!$H19),'Data Extraction &amp; Cleaning'!$J19,""))</f>
        <v>3694.4</v>
      </c>
    </row>
    <row r="20" spans="1:12" x14ac:dyDescent="0.2">
      <c r="A20" s="143">
        <v>45314</v>
      </c>
      <c r="B20" s="144" t="s">
        <v>209</v>
      </c>
      <c r="C20" s="144">
        <v>420.92</v>
      </c>
      <c r="D20" s="144">
        <v>57145.81</v>
      </c>
      <c r="E20" s="145" t="s">
        <v>226</v>
      </c>
      <c r="G20" s="43">
        <f>DATE(YEAR('Data Extraction &amp; Cleaning'!$A20)-1,MONTH('Data Extraction &amp; Cleaning'!$A20),DAY('Data Extraction &amp; Cleaning'!$A20))</f>
        <v>44949</v>
      </c>
      <c r="H20" s="42">
        <f>IF('Data Extraction &amp; Cleaning'!$J20&gt;0,2,1)</f>
        <v>2</v>
      </c>
      <c r="I20" s="42" t="str">
        <f>TRIM(CLEAN('Data Extraction &amp; Cleaning'!$B20&amp;'Data Extraction &amp; Cleaning'!$E20))</f>
        <v>TIME WARNER CABLBill PayACH TRACE#711960040003761</v>
      </c>
      <c r="J20" s="42">
        <f>'Data Extraction &amp; Cleaning'!$C20</f>
        <v>420.92</v>
      </c>
      <c r="K20" s="42" t="str">
        <f>IF('Data Extraction &amp; Cleaning'!$H20=1,'Data Extraction &amp; Cleaning'!$J20,"")</f>
        <v/>
      </c>
      <c r="L20" s="42">
        <f>IF('Data Extraction &amp; Cleaning'!$H20=2,'Data Extraction &amp; Cleaning'!$J20,IF(ISBLANK('Data Extraction &amp; Cleaning'!$H20),'Data Extraction &amp; Cleaning'!$J20,""))</f>
        <v>420.92</v>
      </c>
    </row>
    <row r="21" spans="1:12" x14ac:dyDescent="0.2">
      <c r="A21" s="146">
        <v>45314</v>
      </c>
      <c r="B21" s="147" t="s">
        <v>208</v>
      </c>
      <c r="C21" s="147">
        <v>3584.72</v>
      </c>
      <c r="D21" s="147">
        <v>53561.09</v>
      </c>
      <c r="E21" s="148" t="s">
        <v>227</v>
      </c>
      <c r="G21" s="43">
        <f>DATE(YEAR('Data Extraction &amp; Cleaning'!$A21)-1,MONTH('Data Extraction &amp; Cleaning'!$A21),DAY('Data Extraction &amp; Cleaning'!$A21))</f>
        <v>44949</v>
      </c>
      <c r="H21" s="42">
        <f>IF('Data Extraction &amp; Cleaning'!$J21&gt;0,2,1)</f>
        <v>2</v>
      </c>
      <c r="I21" s="42" t="str">
        <f>TRIM(CLEAN('Data Extraction &amp; Cleaning'!$B21&amp;'Data Extraction &amp; Cleaning'!$E21))</f>
        <v>PUBLIC SERVICE PSEGACH TRACE#091000011652282</v>
      </c>
      <c r="J21" s="42">
        <f>'Data Extraction &amp; Cleaning'!$C21</f>
        <v>3584.72</v>
      </c>
      <c r="K21" s="42" t="str">
        <f>IF('Data Extraction &amp; Cleaning'!$H21=1,'Data Extraction &amp; Cleaning'!$J21,"")</f>
        <v/>
      </c>
      <c r="L21" s="42">
        <f>IF('Data Extraction &amp; Cleaning'!$H21=2,'Data Extraction &amp; Cleaning'!$J21,IF(ISBLANK('Data Extraction &amp; Cleaning'!$H21),'Data Extraction &amp; Cleaning'!$J21,""))</f>
        <v>3584.72</v>
      </c>
    </row>
    <row r="22" spans="1:12" x14ac:dyDescent="0.2">
      <c r="A22" s="143">
        <v>45315</v>
      </c>
      <c r="B22" s="144" t="s">
        <v>228</v>
      </c>
      <c r="C22" s="144">
        <v>7354.7</v>
      </c>
      <c r="D22" s="144">
        <v>60915.79</v>
      </c>
      <c r="E22" s="145" t="s">
        <v>229</v>
      </c>
      <c r="G22" s="43">
        <f>DATE(YEAR('Data Extraction &amp; Cleaning'!$A22)-1,MONTH('Data Extraction &amp; Cleaning'!$A22),DAY('Data Extraction &amp; Cleaning'!$A22))</f>
        <v>44950</v>
      </c>
      <c r="H22" s="42">
        <f>IF('Data Extraction &amp; Cleaning'!$J22&gt;0,2,1)</f>
        <v>2</v>
      </c>
      <c r="I22" s="42" t="str">
        <f>TRIM(CLEAN('Data Extraction &amp; Cleaning'!$B22&amp;'Data Extraction &amp; Cleaning'!$E22))</f>
        <v>ACH Pmt JPW DENTAL LLC11009057551 Diwali I</v>
      </c>
      <c r="J22" s="42">
        <f>'Data Extraction &amp; Cleaning'!$C22</f>
        <v>7354.7</v>
      </c>
      <c r="K22" s="42" t="str">
        <f>IF('Data Extraction &amp; Cleaning'!$H22=1,'Data Extraction &amp; Cleaning'!$J22,"")</f>
        <v/>
      </c>
      <c r="L22" s="42">
        <f>IF('Data Extraction &amp; Cleaning'!$H22=2,'Data Extraction &amp; Cleaning'!$J22,IF(ISBLANK('Data Extraction &amp; Cleaning'!$H22),'Data Extraction &amp; Cleaning'!$J22,""))</f>
        <v>7354.7</v>
      </c>
    </row>
    <row r="23" spans="1:12" x14ac:dyDescent="0.2">
      <c r="A23" s="146">
        <v>45318</v>
      </c>
      <c r="B23" s="147" t="s">
        <v>210</v>
      </c>
      <c r="C23" s="147">
        <v>46.43</v>
      </c>
      <c r="D23" s="147">
        <v>60869.36</v>
      </c>
      <c r="E23" s="148" t="s">
        <v>230</v>
      </c>
      <c r="G23" s="43">
        <f>DATE(YEAR('Data Extraction &amp; Cleaning'!$A23)-1,MONTH('Data Extraction &amp; Cleaning'!$A23),DAY('Data Extraction &amp; Cleaning'!$A23))</f>
        <v>44953</v>
      </c>
      <c r="H23" s="42">
        <f>IF('Data Extraction &amp; Cleaning'!$J23&gt;0,2,1)</f>
        <v>2</v>
      </c>
      <c r="I23" s="42" t="str">
        <f>TRIM(CLEAN('Data Extraction &amp; Cleaning'!$B23&amp;'Data Extraction &amp; Cleaning'!$E23))</f>
        <v>P S E AND G NJ Bill PayACH TRACE#711960040002852</v>
      </c>
      <c r="J23" s="42">
        <f>'Data Extraction &amp; Cleaning'!$C23</f>
        <v>46.43</v>
      </c>
      <c r="K23" s="42" t="str">
        <f>IF('Data Extraction &amp; Cleaning'!$H23=1,'Data Extraction &amp; Cleaning'!$J23,"")</f>
        <v/>
      </c>
      <c r="L23" s="42">
        <f>IF('Data Extraction &amp; Cleaning'!$H23=2,'Data Extraction &amp; Cleaning'!$J23,IF(ISBLANK('Data Extraction &amp; Cleaning'!$H23),'Data Extraction &amp; Cleaning'!$J23,""))</f>
        <v>46.43</v>
      </c>
    </row>
    <row r="24" spans="1:12" x14ac:dyDescent="0.2">
      <c r="A24" s="143">
        <v>45318</v>
      </c>
      <c r="B24" s="144" t="s">
        <v>210</v>
      </c>
      <c r="C24" s="144">
        <v>81.39</v>
      </c>
      <c r="D24" s="144">
        <v>60787.97</v>
      </c>
      <c r="E24" s="145" t="s">
        <v>231</v>
      </c>
      <c r="G24" s="43">
        <f>DATE(YEAR('Data Extraction &amp; Cleaning'!$A24)-1,MONTH('Data Extraction &amp; Cleaning'!$A24),DAY('Data Extraction &amp; Cleaning'!$A24))</f>
        <v>44953</v>
      </c>
      <c r="H24" s="42">
        <f>IF('Data Extraction &amp; Cleaning'!$J24&gt;0,2,1)</f>
        <v>2</v>
      </c>
      <c r="I24" s="42" t="str">
        <f>TRIM(CLEAN('Data Extraction &amp; Cleaning'!$B24&amp;'Data Extraction &amp; Cleaning'!$E24))</f>
        <v>P S E AND G NJ Bill PayACH TRACE#711960040002853</v>
      </c>
      <c r="J24" s="42">
        <f>'Data Extraction &amp; Cleaning'!$C24</f>
        <v>81.39</v>
      </c>
      <c r="K24" s="42" t="str">
        <f>IF('Data Extraction &amp; Cleaning'!$H24=1,'Data Extraction &amp; Cleaning'!$J24,"")</f>
        <v/>
      </c>
      <c r="L24" s="42">
        <f>IF('Data Extraction &amp; Cleaning'!$H24=2,'Data Extraction &amp; Cleaning'!$J24,IF(ISBLANK('Data Extraction &amp; Cleaning'!$H24),'Data Extraction &amp; Cleaning'!$J24,""))</f>
        <v>81.39</v>
      </c>
    </row>
    <row r="25" spans="1:12" x14ac:dyDescent="0.2">
      <c r="A25" s="146">
        <v>45321</v>
      </c>
      <c r="B25" s="147" t="s">
        <v>217</v>
      </c>
      <c r="C25" s="147">
        <v>1100</v>
      </c>
      <c r="D25" s="147">
        <v>59687.97</v>
      </c>
      <c r="E25" s="148"/>
      <c r="G25" s="43">
        <f>DATE(YEAR('Data Extraction &amp; Cleaning'!$A25)-1,MONTH('Data Extraction &amp; Cleaning'!$A25),DAY('Data Extraction &amp; Cleaning'!$A25))</f>
        <v>44956</v>
      </c>
      <c r="H25" s="42">
        <f>IF('Data Extraction &amp; Cleaning'!$J25&gt;0,2,1)</f>
        <v>2</v>
      </c>
      <c r="I25" s="42" t="str">
        <f>TRIM(CLEAN('Data Extraction &amp; Cleaning'!$B25&amp;'Data Extraction &amp; Cleaning'!$E25))</f>
        <v>Total of 1 Check Presented</v>
      </c>
      <c r="J25" s="42">
        <f>'Data Extraction &amp; Cleaning'!$C25</f>
        <v>1100</v>
      </c>
      <c r="K25" s="42" t="str">
        <f>IF('Data Extraction &amp; Cleaning'!$H25=1,'Data Extraction &amp; Cleaning'!$J25,"")</f>
        <v/>
      </c>
      <c r="L25" s="42">
        <f>IF('Data Extraction &amp; Cleaning'!$H25=2,'Data Extraction &amp; Cleaning'!$J25,IF(ISBLANK('Data Extraction &amp; Cleaning'!$H25),'Data Extraction &amp; Cleaning'!$J25,""))</f>
        <v>1100</v>
      </c>
    </row>
    <row r="26" spans="1:12" x14ac:dyDescent="0.2">
      <c r="A26" s="149">
        <v>45322</v>
      </c>
      <c r="B26" s="150" t="s">
        <v>232</v>
      </c>
      <c r="C26" s="150">
        <v>646</v>
      </c>
      <c r="D26" s="150">
        <v>59041.97</v>
      </c>
      <c r="E26" s="151" t="s">
        <v>233</v>
      </c>
      <c r="G26" s="43">
        <f>DATE(YEAR('Data Extraction &amp; Cleaning'!$A26)-1,MONTH('Data Extraction &amp; Cleaning'!$A26),DAY('Data Extraction &amp; Cleaning'!$A26))</f>
        <v>44957</v>
      </c>
      <c r="H26" s="42">
        <f>IF('Data Extraction &amp; Cleaning'!$J26&gt;0,2,1)</f>
        <v>2</v>
      </c>
      <c r="I26" s="42" t="str">
        <f>TRIM(CLEAN('Data Extraction &amp; Cleaning'!$B26&amp;'Data Extraction &amp; Cleaning'!$E26))</f>
        <v>Web Pay Utica Mutual Ins000001505141582 DIWALI I</v>
      </c>
      <c r="J26" s="42">
        <f>'Data Extraction &amp; Cleaning'!$C26</f>
        <v>646</v>
      </c>
      <c r="K26" s="42" t="str">
        <f>IF('Data Extraction &amp; Cleaning'!$H26=1,'Data Extraction &amp; Cleaning'!$J26,"")</f>
        <v/>
      </c>
      <c r="L26" s="42">
        <f>IF('Data Extraction &amp; Cleaning'!$H26=2,'Data Extraction &amp; Cleaning'!$J26,IF(ISBLANK('Data Extraction &amp; Cleaning'!$H26),'Data Extraction &amp; Cleaning'!$J26,""))</f>
        <v>646</v>
      </c>
    </row>
    <row r="29" spans="1:12" x14ac:dyDescent="0.2">
      <c r="A29" s="140" t="s">
        <v>48</v>
      </c>
      <c r="B29" s="141" t="s">
        <v>200</v>
      </c>
      <c r="C29" s="141" t="s">
        <v>211</v>
      </c>
      <c r="D29" s="141" t="s">
        <v>212</v>
      </c>
      <c r="E29" s="142" t="s">
        <v>213</v>
      </c>
      <c r="G29" s="41" t="s">
        <v>14</v>
      </c>
      <c r="H29" s="41" t="s">
        <v>248</v>
      </c>
      <c r="I29" s="41" t="s">
        <v>15</v>
      </c>
      <c r="J29" s="41" t="s">
        <v>202</v>
      </c>
      <c r="K29" s="41" t="s">
        <v>46</v>
      </c>
      <c r="L29" s="41" t="s">
        <v>47</v>
      </c>
    </row>
    <row r="30" spans="1:12" x14ac:dyDescent="0.2">
      <c r="A30" s="143">
        <v>45323</v>
      </c>
      <c r="B30" s="144" t="s">
        <v>203</v>
      </c>
      <c r="C30" s="152">
        <v>-18708.78</v>
      </c>
      <c r="D30" s="152">
        <v>40333.19</v>
      </c>
      <c r="E30" s="145" t="s">
        <v>215</v>
      </c>
      <c r="G30" s="43">
        <f>DATE(YEAR('Data Extraction &amp; Cleaning'!$A30)-1,MONTH('Data Extraction &amp; Cleaning'!$A30),DAY('Data Extraction &amp; Cleaning'!$A30))</f>
        <v>44958</v>
      </c>
      <c r="H30" s="42">
        <f>IF('Data Extraction &amp; Cleaning'!$J30&gt;0,2,1)</f>
        <v>1</v>
      </c>
      <c r="I30" s="42" t="str">
        <f>TRIM(CLEAN('Data Extraction &amp; Cleaning'!$B30&amp;'Data Extraction &amp; Cleaning'!$E30))</f>
        <v>Transfer to LoanAcct No. 1718003533</v>
      </c>
      <c r="J30" s="42">
        <f>'Data Extraction &amp; Cleaning'!$C30</f>
        <v>-18708.78</v>
      </c>
      <c r="K30" s="42">
        <f>IF('Data Extraction &amp; Cleaning'!$H30=1,-'Data Extraction &amp; Cleaning'!$J30,"")</f>
        <v>18708.78</v>
      </c>
      <c r="L30" s="42" t="str">
        <f>IF('Data Extraction &amp; Cleaning'!$H30=2,'Data Extraction &amp; Cleaning'!$J30,IF(ISBLANK('Data Extraction &amp; Cleaning'!$H30),'Data Extraction &amp; Cleaning'!$J30,""))</f>
        <v/>
      </c>
    </row>
    <row r="31" spans="1:12" x14ac:dyDescent="0.2">
      <c r="A31" s="146">
        <v>45325</v>
      </c>
      <c r="B31" s="147" t="s">
        <v>214</v>
      </c>
      <c r="C31" s="153">
        <v>-2750</v>
      </c>
      <c r="D31" s="153">
        <v>37583.19</v>
      </c>
      <c r="E31" s="148"/>
      <c r="G31" s="43">
        <f>DATE(YEAR('Data Extraction &amp; Cleaning'!$A31)-1,MONTH('Data Extraction &amp; Cleaning'!$A31),DAY('Data Extraction &amp; Cleaning'!$A31))</f>
        <v>44960</v>
      </c>
      <c r="H31" s="42">
        <f>IF('Data Extraction &amp; Cleaning'!$J31&gt;0,2,1)</f>
        <v>1</v>
      </c>
      <c r="I31" s="42" t="str">
        <f>TRIM(CLEAN('Data Extraction &amp; Cleaning'!$B31&amp;'Data Extraction &amp; Cleaning'!$E31))</f>
        <v>Total of 2 Checks Presented</v>
      </c>
      <c r="J31" s="42">
        <f>'Data Extraction &amp; Cleaning'!$C31</f>
        <v>-2750</v>
      </c>
      <c r="K31" s="42">
        <f>IF('Data Extraction &amp; Cleaning'!$H31=1,-'Data Extraction &amp; Cleaning'!$J31,"")</f>
        <v>2750</v>
      </c>
      <c r="L31" s="42" t="str">
        <f>IF('Data Extraction &amp; Cleaning'!$H31=2,'Data Extraction &amp; Cleaning'!$J31,IF(ISBLANK('Data Extraction &amp; Cleaning'!$H31),'Data Extraction &amp; Cleaning'!$J31,""))</f>
        <v/>
      </c>
    </row>
    <row r="32" spans="1:12" x14ac:dyDescent="0.2">
      <c r="A32" s="143">
        <v>45328</v>
      </c>
      <c r="B32" s="144" t="s">
        <v>216</v>
      </c>
      <c r="C32" s="152">
        <v>18888.12</v>
      </c>
      <c r="D32" s="152">
        <v>56471.31</v>
      </c>
      <c r="E32" s="145"/>
      <c r="G32" s="43">
        <f>DATE(YEAR('Data Extraction &amp; Cleaning'!$A32)-1,MONTH('Data Extraction &amp; Cleaning'!$A32),DAY('Data Extraction &amp; Cleaning'!$A32))</f>
        <v>44963</v>
      </c>
      <c r="H32" s="42">
        <f>IF('Data Extraction &amp; Cleaning'!$J32&gt;0,2,1)</f>
        <v>2</v>
      </c>
      <c r="I32" s="42" t="str">
        <f>TRIM(CLEAN('Data Extraction &amp; Cleaning'!$B32&amp;'Data Extraction &amp; Cleaning'!$E32))</f>
        <v>RDC Deposit</v>
      </c>
      <c r="J32" s="42">
        <f>'Data Extraction &amp; Cleaning'!$C32</f>
        <v>18888.12</v>
      </c>
      <c r="K32" s="42" t="str">
        <f>IF('Data Extraction &amp; Cleaning'!$H32=1,-'Data Extraction &amp; Cleaning'!$J32,"")</f>
        <v/>
      </c>
      <c r="L32" s="42">
        <f>IF('Data Extraction &amp; Cleaning'!$H32=2,'Data Extraction &amp; Cleaning'!$J32,IF(ISBLANK('Data Extraction &amp; Cleaning'!$H32),'Data Extraction &amp; Cleaning'!$J32,""))</f>
        <v>18888.12</v>
      </c>
    </row>
    <row r="33" spans="1:12" x14ac:dyDescent="0.2">
      <c r="A33" s="146">
        <v>45329</v>
      </c>
      <c r="B33" s="147" t="s">
        <v>210</v>
      </c>
      <c r="C33" s="153">
        <v>-73.36</v>
      </c>
      <c r="D33" s="153">
        <v>56397.95</v>
      </c>
      <c r="E33" s="148" t="s">
        <v>249</v>
      </c>
      <c r="G33" s="43">
        <f>DATE(YEAR('Data Extraction &amp; Cleaning'!$A33)-1,MONTH('Data Extraction &amp; Cleaning'!$A33),DAY('Data Extraction &amp; Cleaning'!$A33))</f>
        <v>44964</v>
      </c>
      <c r="H33" s="42">
        <f>IF('Data Extraction &amp; Cleaning'!$J33&gt;0,2,1)</f>
        <v>1</v>
      </c>
      <c r="I33" s="42" t="str">
        <f>TRIM(CLEAN('Data Extraction &amp; Cleaning'!$B33&amp;'Data Extraction &amp; Cleaning'!$E33))</f>
        <v>P S E AND G NJ Bill PayACH TRACE#711960040002568</v>
      </c>
      <c r="J33" s="42">
        <f>'Data Extraction &amp; Cleaning'!$C33</f>
        <v>-73.36</v>
      </c>
      <c r="K33" s="42">
        <f>IF('Data Extraction &amp; Cleaning'!$H33=1,-'Data Extraction &amp; Cleaning'!$J33,"")</f>
        <v>73.36</v>
      </c>
      <c r="L33" s="42" t="str">
        <f>IF('Data Extraction &amp; Cleaning'!$H33=2,'Data Extraction &amp; Cleaning'!$J33,IF(ISBLANK('Data Extraction &amp; Cleaning'!$H33),'Data Extraction &amp; Cleaning'!$J33,""))</f>
        <v/>
      </c>
    </row>
    <row r="34" spans="1:12" x14ac:dyDescent="0.2">
      <c r="A34" s="143">
        <v>45330</v>
      </c>
      <c r="B34" s="144" t="s">
        <v>217</v>
      </c>
      <c r="C34" s="152">
        <v>-1200</v>
      </c>
      <c r="D34" s="152">
        <v>55197.95</v>
      </c>
      <c r="E34" s="145"/>
      <c r="G34" s="43">
        <f>DATE(YEAR('Data Extraction &amp; Cleaning'!$A34)-1,MONTH('Data Extraction &amp; Cleaning'!$A34),DAY('Data Extraction &amp; Cleaning'!$A34))</f>
        <v>44965</v>
      </c>
      <c r="H34" s="42">
        <f>IF('Data Extraction &amp; Cleaning'!$J34&gt;0,2,1)</f>
        <v>1</v>
      </c>
      <c r="I34" s="42" t="str">
        <f>TRIM(CLEAN('Data Extraction &amp; Cleaning'!$B34&amp;'Data Extraction &amp; Cleaning'!$E34))</f>
        <v>Total of 1 Check Presented</v>
      </c>
      <c r="J34" s="42">
        <f>'Data Extraction &amp; Cleaning'!$C34</f>
        <v>-1200</v>
      </c>
      <c r="K34" s="42">
        <f>IF('Data Extraction &amp; Cleaning'!$H34=1,-'Data Extraction &amp; Cleaning'!$J34,"")</f>
        <v>1200</v>
      </c>
      <c r="L34" s="42" t="str">
        <f>IF('Data Extraction &amp; Cleaning'!$H34=2,'Data Extraction &amp; Cleaning'!$J34,IF(ISBLANK('Data Extraction &amp; Cleaning'!$H34),'Data Extraction &amp; Cleaning'!$J34,""))</f>
        <v/>
      </c>
    </row>
    <row r="35" spans="1:12" x14ac:dyDescent="0.2">
      <c r="A35" s="146">
        <v>45332</v>
      </c>
      <c r="B35" s="147" t="s">
        <v>214</v>
      </c>
      <c r="C35" s="153">
        <v>-3725</v>
      </c>
      <c r="D35" s="153">
        <v>51472.95</v>
      </c>
      <c r="E35" s="148"/>
      <c r="G35" s="43">
        <f>DATE(YEAR('Data Extraction &amp; Cleaning'!$A35)-1,MONTH('Data Extraction &amp; Cleaning'!$A35),DAY('Data Extraction &amp; Cleaning'!$A35))</f>
        <v>44967</v>
      </c>
      <c r="H35" s="42">
        <f>IF('Data Extraction &amp; Cleaning'!$J35&gt;0,2,1)</f>
        <v>1</v>
      </c>
      <c r="I35" s="42" t="str">
        <f>TRIM(CLEAN('Data Extraction &amp; Cleaning'!$B35&amp;'Data Extraction &amp; Cleaning'!$E35))</f>
        <v>Total of 2 Checks Presented</v>
      </c>
      <c r="J35" s="42">
        <f>'Data Extraction &amp; Cleaning'!$C35</f>
        <v>-3725</v>
      </c>
      <c r="K35" s="42">
        <f>IF('Data Extraction &amp; Cleaning'!$H35=1,-'Data Extraction &amp; Cleaning'!$J35,"")</f>
        <v>3725</v>
      </c>
      <c r="L35" s="42" t="str">
        <f>IF('Data Extraction &amp; Cleaning'!$H35=2,'Data Extraction &amp; Cleaning'!$J35,IF(ISBLANK('Data Extraction &amp; Cleaning'!$H35),'Data Extraction &amp; Cleaning'!$J35,""))</f>
        <v/>
      </c>
    </row>
    <row r="36" spans="1:12" x14ac:dyDescent="0.2">
      <c r="A36" s="143">
        <v>45335</v>
      </c>
      <c r="B36" s="144" t="s">
        <v>217</v>
      </c>
      <c r="C36" s="152">
        <v>-47.51</v>
      </c>
      <c r="D36" s="152">
        <v>51425.440000000002</v>
      </c>
      <c r="E36" s="145"/>
      <c r="G36" s="43">
        <f>DATE(YEAR('Data Extraction &amp; Cleaning'!$A36)-1,MONTH('Data Extraction &amp; Cleaning'!$A36),DAY('Data Extraction &amp; Cleaning'!$A36))</f>
        <v>44970</v>
      </c>
      <c r="H36" s="42">
        <f>IF('Data Extraction &amp; Cleaning'!$J36&gt;0,2,1)</f>
        <v>1</v>
      </c>
      <c r="I36" s="42" t="str">
        <f>TRIM(CLEAN('Data Extraction &amp; Cleaning'!$B36&amp;'Data Extraction &amp; Cleaning'!$E36))</f>
        <v>Total of 1 Check Presented</v>
      </c>
      <c r="J36" s="42">
        <f>'Data Extraction &amp; Cleaning'!$C36</f>
        <v>-47.51</v>
      </c>
      <c r="K36" s="42">
        <f>IF('Data Extraction &amp; Cleaning'!$H36=1,-'Data Extraction &amp; Cleaning'!$J36,"")</f>
        <v>47.51</v>
      </c>
      <c r="L36" s="42" t="str">
        <f>IF('Data Extraction &amp; Cleaning'!$H36=2,'Data Extraction &amp; Cleaning'!$J36,IF(ISBLANK('Data Extraction &amp; Cleaning'!$H36),'Data Extraction &amp; Cleaning'!$J36,""))</f>
        <v/>
      </c>
    </row>
    <row r="37" spans="1:12" x14ac:dyDescent="0.2">
      <c r="A37" s="146">
        <v>45335</v>
      </c>
      <c r="B37" s="147" t="s">
        <v>221</v>
      </c>
      <c r="C37" s="153">
        <v>-369.49</v>
      </c>
      <c r="D37" s="153">
        <v>51055.95</v>
      </c>
      <c r="E37" s="148" t="s">
        <v>222</v>
      </c>
      <c r="G37" s="43">
        <f>DATE(YEAR('Data Extraction &amp; Cleaning'!$A37)-1,MONTH('Data Extraction &amp; Cleaning'!$A37),DAY('Data Extraction &amp; Cleaning'!$A37))</f>
        <v>44970</v>
      </c>
      <c r="H37" s="42">
        <f>IF('Data Extraction &amp; Cleaning'!$J37&gt;0,2,1)</f>
        <v>1</v>
      </c>
      <c r="I37" s="42" t="str">
        <f>TRIM(CLEAN('Data Extraction &amp; Cleaning'!$B37&amp;'Data Extraction &amp; Cleaning'!$E37))</f>
        <v>WATER BILL VEOLIA WATER NEW10006752433605 Diwali I</v>
      </c>
      <c r="J37" s="42">
        <f>'Data Extraction &amp; Cleaning'!$C37</f>
        <v>-369.49</v>
      </c>
      <c r="K37" s="42">
        <f>IF('Data Extraction &amp; Cleaning'!$H37=1,-'Data Extraction &amp; Cleaning'!$J37,"")</f>
        <v>369.49</v>
      </c>
      <c r="L37" s="42" t="str">
        <f>IF('Data Extraction &amp; Cleaning'!$H37=2,'Data Extraction &amp; Cleaning'!$J37,IF(ISBLANK('Data Extraction &amp; Cleaning'!$H37),'Data Extraction &amp; Cleaning'!$J37,""))</f>
        <v/>
      </c>
    </row>
    <row r="38" spans="1:12" x14ac:dyDescent="0.2">
      <c r="A38" s="143">
        <v>45336</v>
      </c>
      <c r="B38" s="144" t="s">
        <v>210</v>
      </c>
      <c r="C38" s="152">
        <v>-113.88</v>
      </c>
      <c r="D38" s="152">
        <v>50942.07</v>
      </c>
      <c r="E38" s="145" t="s">
        <v>250</v>
      </c>
      <c r="G38" s="43">
        <f>DATE(YEAR('Data Extraction &amp; Cleaning'!$A38)-1,MONTH('Data Extraction &amp; Cleaning'!$A38),DAY('Data Extraction &amp; Cleaning'!$A38))</f>
        <v>44971</v>
      </c>
      <c r="H38" s="42">
        <f>IF('Data Extraction &amp; Cleaning'!$J38&gt;0,2,1)</f>
        <v>1</v>
      </c>
      <c r="I38" s="42" t="str">
        <f>TRIM(CLEAN('Data Extraction &amp; Cleaning'!$B38&amp;'Data Extraction &amp; Cleaning'!$E38))</f>
        <v>P S E AND G NJ Bill PayACH TRACE#711960040003025</v>
      </c>
      <c r="J38" s="42">
        <f>'Data Extraction &amp; Cleaning'!$C38</f>
        <v>-113.88</v>
      </c>
      <c r="K38" s="42">
        <f>IF('Data Extraction &amp; Cleaning'!$H38=1,-'Data Extraction &amp; Cleaning'!$J38,"")</f>
        <v>113.88</v>
      </c>
      <c r="L38" s="42" t="str">
        <f>IF('Data Extraction &amp; Cleaning'!$H38=2,'Data Extraction &amp; Cleaning'!$J38,IF(ISBLANK('Data Extraction &amp; Cleaning'!$H38),'Data Extraction &amp; Cleaning'!$J38,""))</f>
        <v/>
      </c>
    </row>
    <row r="39" spans="1:12" x14ac:dyDescent="0.2">
      <c r="A39" s="146">
        <v>45336</v>
      </c>
      <c r="B39" s="147" t="s">
        <v>207</v>
      </c>
      <c r="C39" s="153">
        <v>-175.93</v>
      </c>
      <c r="D39" s="153">
        <v>50766.14</v>
      </c>
      <c r="E39" s="148" t="s">
        <v>251</v>
      </c>
      <c r="G39" s="43">
        <f>DATE(YEAR('Data Extraction &amp; Cleaning'!$A39)-1,MONTH('Data Extraction &amp; Cleaning'!$A39),DAY('Data Extraction &amp; Cleaning'!$A39))</f>
        <v>44971</v>
      </c>
      <c r="H39" s="42">
        <f>IF('Data Extraction &amp; Cleaning'!$J39&gt;0,2,1)</f>
        <v>1</v>
      </c>
      <c r="I39" s="42" t="str">
        <f>TRIM(CLEAN('Data Extraction &amp; Cleaning'!$B39&amp;'Data Extraction &amp; Cleaning'!$E39))</f>
        <v>ACTION ELEVATOR Bill PayACH TRACE#711960040003130</v>
      </c>
      <c r="J39" s="42">
        <f>'Data Extraction &amp; Cleaning'!$C39</f>
        <v>-175.93</v>
      </c>
      <c r="K39" s="42">
        <f>IF('Data Extraction &amp; Cleaning'!$H39=1,-'Data Extraction &amp; Cleaning'!$J39,"")</f>
        <v>175.93</v>
      </c>
      <c r="L39" s="42" t="str">
        <f>IF('Data Extraction &amp; Cleaning'!$H39=2,'Data Extraction &amp; Cleaning'!$J39,IF(ISBLANK('Data Extraction &amp; Cleaning'!$H39),'Data Extraction &amp; Cleaning'!$J39,""))</f>
        <v/>
      </c>
    </row>
    <row r="40" spans="1:12" x14ac:dyDescent="0.2">
      <c r="A40" s="143">
        <v>45336</v>
      </c>
      <c r="B40" s="144" t="s">
        <v>206</v>
      </c>
      <c r="C40" s="152">
        <v>-254.22</v>
      </c>
      <c r="D40" s="152">
        <v>50511.92</v>
      </c>
      <c r="E40" s="145" t="s">
        <v>252</v>
      </c>
      <c r="G40" s="43">
        <f>DATE(YEAR('Data Extraction &amp; Cleaning'!$A40)-1,MONTH('Data Extraction &amp; Cleaning'!$A40),DAY('Data Extraction &amp; Cleaning'!$A40))</f>
        <v>44971</v>
      </c>
      <c r="H40" s="42">
        <f>IF('Data Extraction &amp; Cleaning'!$J40&gt;0,2,1)</f>
        <v>1</v>
      </c>
      <c r="I40" s="42" t="str">
        <f>TRIM(CLEAN('Data Extraction &amp; Cleaning'!$B40&amp;'Data Extraction &amp; Cleaning'!$E40))</f>
        <v>VEOLIA WATER Bill PayACH TRACE#711960040003123</v>
      </c>
      <c r="J40" s="42">
        <f>'Data Extraction &amp; Cleaning'!$C40</f>
        <v>-254.22</v>
      </c>
      <c r="K40" s="42">
        <f>IF('Data Extraction &amp; Cleaning'!$H40=1,-'Data Extraction &amp; Cleaning'!$J40,"")</f>
        <v>254.22</v>
      </c>
      <c r="L40" s="42" t="str">
        <f>IF('Data Extraction &amp; Cleaning'!$H40=2,'Data Extraction &amp; Cleaning'!$J40,IF(ISBLANK('Data Extraction &amp; Cleaning'!$H40),'Data Extraction &amp; Cleaning'!$J40,""))</f>
        <v/>
      </c>
    </row>
    <row r="41" spans="1:12" x14ac:dyDescent="0.2">
      <c r="A41" s="146">
        <v>45336</v>
      </c>
      <c r="B41" s="147" t="s">
        <v>204</v>
      </c>
      <c r="C41" s="153">
        <v>-599.99</v>
      </c>
      <c r="D41" s="153">
        <v>49911.93</v>
      </c>
      <c r="E41" s="148" t="s">
        <v>253</v>
      </c>
      <c r="G41" s="43">
        <f>DATE(YEAR('Data Extraction &amp; Cleaning'!$A41)-1,MONTH('Data Extraction &amp; Cleaning'!$A41),DAY('Data Extraction &amp; Cleaning'!$A41))</f>
        <v>44971</v>
      </c>
      <c r="H41" s="42">
        <f>IF('Data Extraction &amp; Cleaning'!$J41&gt;0,2,1)</f>
        <v>1</v>
      </c>
      <c r="I41" s="42" t="str">
        <f>TRIM(CLEAN('Data Extraction &amp; Cleaning'!$B41&amp;'Data Extraction &amp; Cleaning'!$E41))</f>
        <v>ACTION CARTING EBill PayACH TRACE#711960040003026</v>
      </c>
      <c r="J41" s="42">
        <f>'Data Extraction &amp; Cleaning'!$C41</f>
        <v>-599.99</v>
      </c>
      <c r="K41" s="42">
        <f>IF('Data Extraction &amp; Cleaning'!$H41=1,-'Data Extraction &amp; Cleaning'!$J41,"")</f>
        <v>599.99</v>
      </c>
      <c r="L41" s="42" t="str">
        <f>IF('Data Extraction &amp; Cleaning'!$H41=2,'Data Extraction &amp; Cleaning'!$J41,IF(ISBLANK('Data Extraction &amp; Cleaning'!$H41),'Data Extraction &amp; Cleaning'!$J41,""))</f>
        <v/>
      </c>
    </row>
    <row r="42" spans="1:12" x14ac:dyDescent="0.2">
      <c r="A42" s="143">
        <v>45336</v>
      </c>
      <c r="B42" s="144" t="s">
        <v>204</v>
      </c>
      <c r="C42" s="152">
        <v>-696.1</v>
      </c>
      <c r="D42" s="152">
        <v>49215.83</v>
      </c>
      <c r="E42" s="145"/>
      <c r="G42" s="43">
        <f>DATE(YEAR('Data Extraction &amp; Cleaning'!$A42)-1,MONTH('Data Extraction &amp; Cleaning'!$A42),DAY('Data Extraction &amp; Cleaning'!$A42))</f>
        <v>44971</v>
      </c>
      <c r="H42" s="42">
        <f>IF('Data Extraction &amp; Cleaning'!$J42&gt;0,2,1)</f>
        <v>1</v>
      </c>
      <c r="I42" s="42" t="str">
        <f>TRIM(CLEAN('Data Extraction &amp; Cleaning'!$B42&amp;'Data Extraction &amp; Cleaning'!$E42))</f>
        <v>ACTION CARTING EBill Pay</v>
      </c>
      <c r="J42" s="42">
        <f>'Data Extraction &amp; Cleaning'!$C42</f>
        <v>-696.1</v>
      </c>
      <c r="K42" s="42">
        <f>IF('Data Extraction &amp; Cleaning'!$H42=1,-'Data Extraction &amp; Cleaning'!$J42,"")</f>
        <v>696.1</v>
      </c>
      <c r="L42" s="42" t="str">
        <f>IF('Data Extraction &amp; Cleaning'!$H42=2,'Data Extraction &amp; Cleaning'!$J42,IF(ISBLANK('Data Extraction &amp; Cleaning'!$H42),'Data Extraction &amp; Cleaning'!$J42,""))</f>
        <v/>
      </c>
    </row>
    <row r="43" spans="1:12" x14ac:dyDescent="0.2">
      <c r="A43" s="146">
        <v>45337</v>
      </c>
      <c r="B43" s="147" t="s">
        <v>217</v>
      </c>
      <c r="C43" s="153">
        <v>-1008.04</v>
      </c>
      <c r="D43" s="153">
        <v>48207.79</v>
      </c>
      <c r="E43" s="148"/>
      <c r="G43" s="43">
        <f>DATE(YEAR('Data Extraction &amp; Cleaning'!$A43)-1,MONTH('Data Extraction &amp; Cleaning'!$A43),DAY('Data Extraction &amp; Cleaning'!$A43))</f>
        <v>44972</v>
      </c>
      <c r="H43" s="42">
        <f>IF('Data Extraction &amp; Cleaning'!$J43&gt;0,2,1)</f>
        <v>1</v>
      </c>
      <c r="I43" s="42" t="str">
        <f>TRIM(CLEAN('Data Extraction &amp; Cleaning'!$B43&amp;'Data Extraction &amp; Cleaning'!$E43))</f>
        <v>Total of 1 Check Presented</v>
      </c>
      <c r="J43" s="42">
        <f>'Data Extraction &amp; Cleaning'!$C43</f>
        <v>-1008.04</v>
      </c>
      <c r="K43" s="42">
        <f>IF('Data Extraction &amp; Cleaning'!$H43=1,-'Data Extraction &amp; Cleaning'!$J43,"")</f>
        <v>1008.04</v>
      </c>
      <c r="L43" s="42" t="str">
        <f>IF('Data Extraction &amp; Cleaning'!$H43=2,'Data Extraction &amp; Cleaning'!$J43,IF(ISBLANK('Data Extraction &amp; Cleaning'!$H43),'Data Extraction &amp; Cleaning'!$J43,""))</f>
        <v/>
      </c>
    </row>
    <row r="44" spans="1:12" x14ac:dyDescent="0.2">
      <c r="A44" s="143">
        <v>45337</v>
      </c>
      <c r="B44" s="144" t="s">
        <v>208</v>
      </c>
      <c r="C44" s="152">
        <v>-12.83</v>
      </c>
      <c r="D44" s="152">
        <v>48194.96</v>
      </c>
      <c r="E44" s="145" t="s">
        <v>254</v>
      </c>
      <c r="G44" s="43">
        <f>DATE(YEAR('Data Extraction &amp; Cleaning'!$A44)-1,MONTH('Data Extraction &amp; Cleaning'!$A44),DAY('Data Extraction &amp; Cleaning'!$A44))</f>
        <v>44972</v>
      </c>
      <c r="H44" s="42">
        <f>IF('Data Extraction &amp; Cleaning'!$J44&gt;0,2,1)</f>
        <v>1</v>
      </c>
      <c r="I44" s="42" t="str">
        <f>TRIM(CLEAN('Data Extraction &amp; Cleaning'!$B44&amp;'Data Extraction &amp; Cleaning'!$E44))</f>
        <v>PUBLIC SERVICE PSEGACH TRACE#091000010934332</v>
      </c>
      <c r="J44" s="42">
        <f>'Data Extraction &amp; Cleaning'!$C44</f>
        <v>-12.83</v>
      </c>
      <c r="K44" s="42">
        <f>IF('Data Extraction &amp; Cleaning'!$H44=1,-'Data Extraction &amp; Cleaning'!$J44,"")</f>
        <v>12.83</v>
      </c>
      <c r="L44" s="42" t="str">
        <f>IF('Data Extraction &amp; Cleaning'!$H44=2,'Data Extraction &amp; Cleaning'!$J44,IF(ISBLANK('Data Extraction &amp; Cleaning'!$H44),'Data Extraction &amp; Cleaning'!$J44,""))</f>
        <v/>
      </c>
    </row>
    <row r="45" spans="1:12" x14ac:dyDescent="0.2">
      <c r="A45" s="146">
        <v>45337</v>
      </c>
      <c r="B45" s="147" t="s">
        <v>208</v>
      </c>
      <c r="C45" s="153">
        <v>-49.98</v>
      </c>
      <c r="D45" s="153">
        <v>48144.98</v>
      </c>
      <c r="E45" s="148" t="s">
        <v>255</v>
      </c>
      <c r="G45" s="43">
        <f>DATE(YEAR('Data Extraction &amp; Cleaning'!$A45)-1,MONTH('Data Extraction &amp; Cleaning'!$A45),DAY('Data Extraction &amp; Cleaning'!$A45))</f>
        <v>44972</v>
      </c>
      <c r="H45" s="42">
        <f>IF('Data Extraction &amp; Cleaning'!$J45&gt;0,2,1)</f>
        <v>1</v>
      </c>
      <c r="I45" s="42" t="str">
        <f>TRIM(CLEAN('Data Extraction &amp; Cleaning'!$B45&amp;'Data Extraction &amp; Cleaning'!$E45))</f>
        <v>PUBLIC SERVICE PSEGACH TRACE#091000010949778</v>
      </c>
      <c r="J45" s="42">
        <f>'Data Extraction &amp; Cleaning'!$C45</f>
        <v>-49.98</v>
      </c>
      <c r="K45" s="42">
        <f>IF('Data Extraction &amp; Cleaning'!$H45=1,-'Data Extraction &amp; Cleaning'!$J45,"")</f>
        <v>49.98</v>
      </c>
      <c r="L45" s="42" t="str">
        <f>IF('Data Extraction &amp; Cleaning'!$H45=2,'Data Extraction &amp; Cleaning'!$J45,IF(ISBLANK('Data Extraction &amp; Cleaning'!$H45),'Data Extraction &amp; Cleaning'!$J45,""))</f>
        <v/>
      </c>
    </row>
    <row r="46" spans="1:12" x14ac:dyDescent="0.2">
      <c r="A46" s="143">
        <v>45337</v>
      </c>
      <c r="B46" s="144" t="s">
        <v>208</v>
      </c>
      <c r="C46" s="152">
        <v>-2685.73</v>
      </c>
      <c r="D46" s="152">
        <v>45459.25</v>
      </c>
      <c r="E46" s="145" t="s">
        <v>256</v>
      </c>
      <c r="G46" s="43">
        <f>DATE(YEAR('Data Extraction &amp; Cleaning'!$A46)-1,MONTH('Data Extraction &amp; Cleaning'!$A46),DAY('Data Extraction &amp; Cleaning'!$A46))</f>
        <v>44972</v>
      </c>
      <c r="H46" s="42">
        <f>IF('Data Extraction &amp; Cleaning'!$J46&gt;0,2,1)</f>
        <v>1</v>
      </c>
      <c r="I46" s="42" t="str">
        <f>TRIM(CLEAN('Data Extraction &amp; Cleaning'!$B46&amp;'Data Extraction &amp; Cleaning'!$E46))</f>
        <v>PUBLIC SERVICE PSEGACH TRACE#091000010950730</v>
      </c>
      <c r="J46" s="42">
        <f>'Data Extraction &amp; Cleaning'!$C46</f>
        <v>-2685.73</v>
      </c>
      <c r="K46" s="42">
        <f>IF('Data Extraction &amp; Cleaning'!$H46=1,-'Data Extraction &amp; Cleaning'!$J46,"")</f>
        <v>2685.73</v>
      </c>
      <c r="L46" s="42" t="str">
        <f>IF('Data Extraction &amp; Cleaning'!$H46=2,'Data Extraction &amp; Cleaning'!$J46,IF(ISBLANK('Data Extraction &amp; Cleaning'!$H46),'Data Extraction &amp; Cleaning'!$J46,""))</f>
        <v/>
      </c>
    </row>
    <row r="47" spans="1:12" x14ac:dyDescent="0.2">
      <c r="A47" s="146">
        <v>45338</v>
      </c>
      <c r="B47" s="147" t="s">
        <v>216</v>
      </c>
      <c r="C47" s="153">
        <v>17918.63</v>
      </c>
      <c r="D47" s="153">
        <v>63377.88</v>
      </c>
      <c r="E47" s="148"/>
      <c r="G47" s="43">
        <f>DATE(YEAR('Data Extraction &amp; Cleaning'!$A47)-1,MONTH('Data Extraction &amp; Cleaning'!$A47),DAY('Data Extraction &amp; Cleaning'!$A47))</f>
        <v>44973</v>
      </c>
      <c r="H47" s="42">
        <f>IF('Data Extraction &amp; Cleaning'!$J47&gt;0,2,1)</f>
        <v>2</v>
      </c>
      <c r="I47" s="42" t="str">
        <f>TRIM(CLEAN('Data Extraction &amp; Cleaning'!$B47&amp;'Data Extraction &amp; Cleaning'!$E47))</f>
        <v>RDC Deposit</v>
      </c>
      <c r="J47" s="42">
        <f>'Data Extraction &amp; Cleaning'!$C47</f>
        <v>17918.63</v>
      </c>
      <c r="K47" s="42" t="str">
        <f>IF('Data Extraction &amp; Cleaning'!$H47=1,-'Data Extraction &amp; Cleaning'!$J47,"")</f>
        <v/>
      </c>
      <c r="L47" s="42">
        <f>IF('Data Extraction &amp; Cleaning'!$H47=2,'Data Extraction &amp; Cleaning'!$J47,IF(ISBLANK('Data Extraction &amp; Cleaning'!$H47),'Data Extraction &amp; Cleaning'!$J47,""))</f>
        <v>17918.63</v>
      </c>
    </row>
    <row r="48" spans="1:12" x14ac:dyDescent="0.2">
      <c r="A48" s="143">
        <v>45339</v>
      </c>
      <c r="B48" s="144" t="s">
        <v>217</v>
      </c>
      <c r="C48" s="152">
        <v>-100</v>
      </c>
      <c r="D48" s="152">
        <v>63277.88</v>
      </c>
      <c r="E48" s="145"/>
      <c r="G48" s="43">
        <f>DATE(YEAR('Data Extraction &amp; Cleaning'!$A48)-1,MONTH('Data Extraction &amp; Cleaning'!$A48),DAY('Data Extraction &amp; Cleaning'!$A48))</f>
        <v>44974</v>
      </c>
      <c r="H48" s="42">
        <f>IF('Data Extraction &amp; Cleaning'!$J48&gt;0,2,1)</f>
        <v>1</v>
      </c>
      <c r="I48" s="42" t="str">
        <f>TRIM(CLEAN('Data Extraction &amp; Cleaning'!$B48&amp;'Data Extraction &amp; Cleaning'!$E48))</f>
        <v>Total of 1 Check Presented</v>
      </c>
      <c r="J48" s="42">
        <f>'Data Extraction &amp; Cleaning'!$C48</f>
        <v>-100</v>
      </c>
      <c r="K48" s="42">
        <f>IF('Data Extraction &amp; Cleaning'!$H48=1,-'Data Extraction &amp; Cleaning'!$J48,"")</f>
        <v>100</v>
      </c>
      <c r="L48" s="42" t="str">
        <f>IF('Data Extraction &amp; Cleaning'!$H48=2,'Data Extraction &amp; Cleaning'!$J48,IF(ISBLANK('Data Extraction &amp; Cleaning'!$H48),'Data Extraction &amp; Cleaning'!$J48,""))</f>
        <v/>
      </c>
    </row>
    <row r="49" spans="1:12" x14ac:dyDescent="0.2">
      <c r="A49" s="146">
        <v>45350</v>
      </c>
      <c r="B49" s="147" t="s">
        <v>216</v>
      </c>
      <c r="C49" s="153">
        <v>10000</v>
      </c>
      <c r="D49" s="153">
        <v>73277.88</v>
      </c>
      <c r="E49" s="148"/>
      <c r="G49" s="43">
        <f>DATE(YEAR('Data Extraction &amp; Cleaning'!$A49)-1,MONTH('Data Extraction &amp; Cleaning'!$A49),DAY('Data Extraction &amp; Cleaning'!$A49))</f>
        <v>44985</v>
      </c>
      <c r="H49" s="42">
        <f>IF('Data Extraction &amp; Cleaning'!$J49&gt;0,2,1)</f>
        <v>2</v>
      </c>
      <c r="I49" s="42" t="str">
        <f>TRIM(CLEAN('Data Extraction &amp; Cleaning'!$B49&amp;'Data Extraction &amp; Cleaning'!$E49))</f>
        <v>RDC Deposit</v>
      </c>
      <c r="J49" s="42">
        <f>'Data Extraction &amp; Cleaning'!$C49</f>
        <v>10000</v>
      </c>
      <c r="K49" s="42" t="str">
        <f>IF('Data Extraction &amp; Cleaning'!$H49=1,-'Data Extraction &amp; Cleaning'!$J49,"")</f>
        <v/>
      </c>
      <c r="L49" s="42">
        <f>IF('Data Extraction &amp; Cleaning'!$H49=2,'Data Extraction &amp; Cleaning'!$J49,IF(ISBLANK('Data Extraction &amp; Cleaning'!$H49),'Data Extraction &amp; Cleaning'!$J49,""))</f>
        <v>10000</v>
      </c>
    </row>
    <row r="50" spans="1:12" x14ac:dyDescent="0.2">
      <c r="A50" s="143">
        <v>45350</v>
      </c>
      <c r="B50" s="144" t="s">
        <v>214</v>
      </c>
      <c r="C50" s="152">
        <v>-3300</v>
      </c>
      <c r="D50" s="152">
        <v>69977.88</v>
      </c>
      <c r="E50" s="145"/>
      <c r="G50" s="43">
        <f>DATE(YEAR('Data Extraction &amp; Cleaning'!$A50)-1,MONTH('Data Extraction &amp; Cleaning'!$A50),DAY('Data Extraction &amp; Cleaning'!$A50))</f>
        <v>44985</v>
      </c>
      <c r="H50" s="42">
        <f>IF('Data Extraction &amp; Cleaning'!$J50&gt;0,2,1)</f>
        <v>1</v>
      </c>
      <c r="I50" s="42" t="str">
        <f>TRIM(CLEAN('Data Extraction &amp; Cleaning'!$B50&amp;'Data Extraction &amp; Cleaning'!$E50))</f>
        <v>Total of 2 Checks Presented</v>
      </c>
      <c r="J50" s="42">
        <f>'Data Extraction &amp; Cleaning'!$C50</f>
        <v>-3300</v>
      </c>
      <c r="K50" s="42">
        <f>IF('Data Extraction &amp; Cleaning'!$H50=1,-'Data Extraction &amp; Cleaning'!$J50,"")</f>
        <v>3300</v>
      </c>
      <c r="L50" s="42" t="str">
        <f>IF('Data Extraction &amp; Cleaning'!$H50=2,'Data Extraction &amp; Cleaning'!$J50,IF(ISBLANK('Data Extraction &amp; Cleaning'!$H50),'Data Extraction &amp; Cleaning'!$J50,""))</f>
        <v/>
      </c>
    </row>
    <row r="51" spans="1:12" x14ac:dyDescent="0.2">
      <c r="A51" s="154">
        <v>45350</v>
      </c>
      <c r="B51" s="155" t="s">
        <v>209</v>
      </c>
      <c r="C51" s="139">
        <v>-420.92</v>
      </c>
      <c r="D51" s="139">
        <v>69556.960000000006</v>
      </c>
      <c r="E51" s="156" t="s">
        <v>257</v>
      </c>
      <c r="G51" s="43">
        <f>DATE(YEAR('Data Extraction &amp; Cleaning'!$A51)-1,MONTH('Data Extraction &amp; Cleaning'!$A51),DAY('Data Extraction &amp; Cleaning'!$A51))</f>
        <v>44985</v>
      </c>
      <c r="H51" s="42">
        <f>IF('Data Extraction &amp; Cleaning'!$J51&gt;0,2,1)</f>
        <v>1</v>
      </c>
      <c r="I51" s="42" t="str">
        <f>TRIM(CLEAN('Data Extraction &amp; Cleaning'!$B51&amp;'Data Extraction &amp; Cleaning'!$E51))</f>
        <v>TIME WARNER CABLBill PayACH TRACE#711960040004218</v>
      </c>
      <c r="J51" s="42">
        <f>'Data Extraction &amp; Cleaning'!$C51</f>
        <v>-420.92</v>
      </c>
      <c r="K51" s="42">
        <f>IF('Data Extraction &amp; Cleaning'!$H51=1,-'Data Extraction &amp; Cleaning'!$J51,"")</f>
        <v>420.92</v>
      </c>
      <c r="L51" s="42" t="str">
        <f>IF('Data Extraction &amp; Cleaning'!$H51=2,'Data Extraction &amp; Cleaning'!$J51,IF(ISBLANK('Data Extraction &amp; Cleaning'!$H51),'Data Extraction &amp; Cleaning'!$J51,""))</f>
        <v/>
      </c>
    </row>
    <row r="54" spans="1:12" x14ac:dyDescent="0.2">
      <c r="A54" s="159" t="s">
        <v>48</v>
      </c>
      <c r="B54" s="160" t="s">
        <v>200</v>
      </c>
      <c r="C54" s="160" t="s">
        <v>211</v>
      </c>
      <c r="D54" s="160" t="s">
        <v>212</v>
      </c>
      <c r="E54" s="161" t="s">
        <v>213</v>
      </c>
      <c r="G54" s="41" t="s">
        <v>14</v>
      </c>
      <c r="H54" s="41" t="s">
        <v>248</v>
      </c>
      <c r="I54" s="41" t="s">
        <v>15</v>
      </c>
      <c r="J54" s="41" t="s">
        <v>202</v>
      </c>
      <c r="K54" s="41" t="s">
        <v>46</v>
      </c>
      <c r="L54" s="41" t="s">
        <v>47</v>
      </c>
    </row>
    <row r="55" spans="1:12" x14ac:dyDescent="0.2">
      <c r="A55" s="162">
        <v>45352</v>
      </c>
      <c r="B55" s="163" t="s">
        <v>228</v>
      </c>
      <c r="C55" s="164">
        <v>7454.7</v>
      </c>
      <c r="D55" s="164">
        <v>77011.66</v>
      </c>
      <c r="E55" s="165" t="s">
        <v>267</v>
      </c>
      <c r="G55" s="43">
        <f>DATE(YEAR('Data Extraction &amp; Cleaning'!$A55)-1,MONTH('Data Extraction &amp; Cleaning'!$A55),DAY('Data Extraction &amp; Cleaning'!$A55))</f>
        <v>44986</v>
      </c>
      <c r="H55" s="42">
        <f>IF('Data Extraction &amp; Cleaning'!$J55&gt;0,2,1)</f>
        <v>2</v>
      </c>
      <c r="I55" s="42" t="str">
        <f>TRIM(CLEAN('Data Extraction &amp; Cleaning'!$B55&amp;'Data Extraction &amp; Cleaning'!$E55))</f>
        <v>ACH Pmt JPW DENTAL LLC11010185428 Diwali I</v>
      </c>
      <c r="J55" s="42">
        <f>'Data Extraction &amp; Cleaning'!$C55</f>
        <v>7454.7</v>
      </c>
      <c r="K55" s="42" t="str">
        <f>IF('Data Extraction &amp; Cleaning'!$H55=1,-'Data Extraction &amp; Cleaning'!$J55,"")</f>
        <v/>
      </c>
      <c r="L55" s="42">
        <f>IF('Data Extraction &amp; Cleaning'!$H55=2,'Data Extraction &amp; Cleaning'!$J55,IF(ISBLANK('Data Extraction &amp; Cleaning'!$H55),'Data Extraction &amp; Cleaning'!$J55,""))</f>
        <v>7454.7</v>
      </c>
    </row>
    <row r="56" spans="1:12" x14ac:dyDescent="0.2">
      <c r="A56" s="166">
        <v>45352</v>
      </c>
      <c r="B56" s="167" t="s">
        <v>203</v>
      </c>
      <c r="C56" s="168">
        <v>-18708.78</v>
      </c>
      <c r="D56" s="168">
        <v>58302.879999999997</v>
      </c>
      <c r="E56" s="169" t="s">
        <v>215</v>
      </c>
      <c r="G56" s="43">
        <f>DATE(YEAR('Data Extraction &amp; Cleaning'!$A56)-1,MONTH('Data Extraction &amp; Cleaning'!$A56),DAY('Data Extraction &amp; Cleaning'!$A56))</f>
        <v>44986</v>
      </c>
      <c r="H56" s="42">
        <f>IF('Data Extraction &amp; Cleaning'!$J56&gt;0,2,1)</f>
        <v>1</v>
      </c>
      <c r="I56" s="42" t="str">
        <f>TRIM(CLEAN('Data Extraction &amp; Cleaning'!$B56&amp;'Data Extraction &amp; Cleaning'!$E56))</f>
        <v>Transfer to LoanAcct No. 1718003533</v>
      </c>
      <c r="J56" s="42">
        <f>'Data Extraction &amp; Cleaning'!$C56</f>
        <v>-18708.78</v>
      </c>
      <c r="K56" s="42">
        <f>IF('Data Extraction &amp; Cleaning'!$H56=1,-'Data Extraction &amp; Cleaning'!$J56,"")</f>
        <v>18708.78</v>
      </c>
      <c r="L56" s="42" t="str">
        <f>IF('Data Extraction &amp; Cleaning'!$H56=2,'Data Extraction &amp; Cleaning'!$J56,IF(ISBLANK('Data Extraction &amp; Cleaning'!$H56),'Data Extraction &amp; Cleaning'!$J56,""))</f>
        <v/>
      </c>
    </row>
    <row r="57" spans="1:12" x14ac:dyDescent="0.2">
      <c r="A57" s="162">
        <v>45353</v>
      </c>
      <c r="B57" s="163" t="s">
        <v>232</v>
      </c>
      <c r="C57" s="164">
        <v>-646</v>
      </c>
      <c r="D57" s="164">
        <v>57656.88</v>
      </c>
      <c r="E57" s="165" t="s">
        <v>268</v>
      </c>
      <c r="G57" s="43">
        <f>DATE(YEAR('Data Extraction &amp; Cleaning'!$A57)-1,MONTH('Data Extraction &amp; Cleaning'!$A57),DAY('Data Extraction &amp; Cleaning'!$A57))</f>
        <v>44987</v>
      </c>
      <c r="H57" s="42">
        <f>IF('Data Extraction &amp; Cleaning'!$J57&gt;0,2,1)</f>
        <v>1</v>
      </c>
      <c r="I57" s="42" t="str">
        <f>TRIM(CLEAN('Data Extraction &amp; Cleaning'!$B57&amp;'Data Extraction &amp; Cleaning'!$E57))</f>
        <v>Web Pay Utica Mutual Ins000001513961198 DIWALI I</v>
      </c>
      <c r="J57" s="42">
        <f>'Data Extraction &amp; Cleaning'!$C57</f>
        <v>-646</v>
      </c>
      <c r="K57" s="42">
        <f>IF('Data Extraction &amp; Cleaning'!$H57=1,-'Data Extraction &amp; Cleaning'!$J57,"")</f>
        <v>646</v>
      </c>
      <c r="L57" s="42" t="str">
        <f>IF('Data Extraction &amp; Cleaning'!$H57=2,'Data Extraction &amp; Cleaning'!$J57,IF(ISBLANK('Data Extraction &amp; Cleaning'!$H57),'Data Extraction &amp; Cleaning'!$J57,""))</f>
        <v/>
      </c>
    </row>
    <row r="58" spans="1:12" x14ac:dyDescent="0.2">
      <c r="A58" s="166">
        <v>45364</v>
      </c>
      <c r="B58" s="167" t="s">
        <v>221</v>
      </c>
      <c r="C58" s="168">
        <v>-279.25</v>
      </c>
      <c r="D58" s="168">
        <v>57377.63</v>
      </c>
      <c r="E58" s="169" t="s">
        <v>222</v>
      </c>
      <c r="G58" s="43">
        <f>DATE(YEAR('Data Extraction &amp; Cleaning'!$A58)-1,MONTH('Data Extraction &amp; Cleaning'!$A58),DAY('Data Extraction &amp; Cleaning'!$A58))</f>
        <v>44998</v>
      </c>
      <c r="H58" s="42">
        <f>IF('Data Extraction &amp; Cleaning'!$J58&gt;0,2,1)</f>
        <v>1</v>
      </c>
      <c r="I58" s="42" t="str">
        <f>TRIM(CLEAN('Data Extraction &amp; Cleaning'!$B58&amp;'Data Extraction &amp; Cleaning'!$E58))</f>
        <v>WATER BILL VEOLIA WATER NEW10006752433605 Diwali I</v>
      </c>
      <c r="J58" s="42">
        <f>'Data Extraction &amp; Cleaning'!$C58</f>
        <v>-279.25</v>
      </c>
      <c r="K58" s="42">
        <f>IF('Data Extraction &amp; Cleaning'!$H58=1,-'Data Extraction &amp; Cleaning'!$J58,"")</f>
        <v>279.25</v>
      </c>
      <c r="L58" s="42" t="str">
        <f>IF('Data Extraction &amp; Cleaning'!$H58=2,'Data Extraction &amp; Cleaning'!$J58,IF(ISBLANK('Data Extraction &amp; Cleaning'!$H58),'Data Extraction &amp; Cleaning'!$J58,""))</f>
        <v/>
      </c>
    </row>
    <row r="59" spans="1:12" x14ac:dyDescent="0.2">
      <c r="A59" s="162">
        <v>45368</v>
      </c>
      <c r="B59" s="163" t="s">
        <v>208</v>
      </c>
      <c r="C59" s="164">
        <v>-49.32</v>
      </c>
      <c r="D59" s="164">
        <v>57328.31</v>
      </c>
      <c r="E59" s="165" t="s">
        <v>269</v>
      </c>
      <c r="G59" s="43">
        <f>DATE(YEAR('Data Extraction &amp; Cleaning'!$A59)-1,MONTH('Data Extraction &amp; Cleaning'!$A59),DAY('Data Extraction &amp; Cleaning'!$A59))</f>
        <v>45002</v>
      </c>
      <c r="H59" s="42">
        <f>IF('Data Extraction &amp; Cleaning'!$J59&gt;0,2,1)</f>
        <v>1</v>
      </c>
      <c r="I59" s="42" t="str">
        <f>TRIM(CLEAN('Data Extraction &amp; Cleaning'!$B59&amp;'Data Extraction &amp; Cleaning'!$E59))</f>
        <v>PUBLIC SERVICE PSEGACH TRACE#091000018949353</v>
      </c>
      <c r="J59" s="42">
        <f>'Data Extraction &amp; Cleaning'!$C59</f>
        <v>-49.32</v>
      </c>
      <c r="K59" s="42">
        <f>IF('Data Extraction &amp; Cleaning'!$H59=1,-'Data Extraction &amp; Cleaning'!$J59,"")</f>
        <v>49.32</v>
      </c>
      <c r="L59" s="42" t="str">
        <f>IF('Data Extraction &amp; Cleaning'!$H59=2,'Data Extraction &amp; Cleaning'!$J59,IF(ISBLANK('Data Extraction &amp; Cleaning'!$H59),'Data Extraction &amp; Cleaning'!$J59,""))</f>
        <v/>
      </c>
    </row>
    <row r="60" spans="1:12" x14ac:dyDescent="0.2">
      <c r="A60" s="166">
        <v>45368</v>
      </c>
      <c r="B60" s="167" t="s">
        <v>208</v>
      </c>
      <c r="C60" s="168">
        <v>-2806.34</v>
      </c>
      <c r="D60" s="168">
        <v>54521.97</v>
      </c>
      <c r="E60" s="169" t="s">
        <v>270</v>
      </c>
      <c r="G60" s="43">
        <f>DATE(YEAR('Data Extraction &amp; Cleaning'!$A60)-1,MONTH('Data Extraction &amp; Cleaning'!$A60),DAY('Data Extraction &amp; Cleaning'!$A60))</f>
        <v>45002</v>
      </c>
      <c r="H60" s="42">
        <f>IF('Data Extraction &amp; Cleaning'!$J60&gt;0,2,1)</f>
        <v>1</v>
      </c>
      <c r="I60" s="42" t="str">
        <f>TRIM(CLEAN('Data Extraction &amp; Cleaning'!$B60&amp;'Data Extraction &amp; Cleaning'!$E60))</f>
        <v>PUBLIC SERVICE PSEGACH TRACE#091000018937452</v>
      </c>
      <c r="J60" s="42">
        <f>'Data Extraction &amp; Cleaning'!$C60</f>
        <v>-2806.34</v>
      </c>
      <c r="K60" s="42">
        <f>IF('Data Extraction &amp; Cleaning'!$H60=1,-'Data Extraction &amp; Cleaning'!$J60,"")</f>
        <v>2806.34</v>
      </c>
      <c r="L60" s="42" t="str">
        <f>IF('Data Extraction &amp; Cleaning'!$H60=2,'Data Extraction &amp; Cleaning'!$J60,IF(ISBLANK('Data Extraction &amp; Cleaning'!$H60),'Data Extraction &amp; Cleaning'!$J60,""))</f>
        <v/>
      </c>
    </row>
    <row r="61" spans="1:12" x14ac:dyDescent="0.2">
      <c r="A61" s="162">
        <v>45371</v>
      </c>
      <c r="B61" s="163" t="s">
        <v>216</v>
      </c>
      <c r="C61" s="164">
        <v>9924.31</v>
      </c>
      <c r="D61" s="164">
        <v>64446.28</v>
      </c>
      <c r="E61" s="165"/>
      <c r="G61" s="43">
        <f>DATE(YEAR('Data Extraction &amp; Cleaning'!$A61)-1,MONTH('Data Extraction &amp; Cleaning'!$A61),DAY('Data Extraction &amp; Cleaning'!$A61))</f>
        <v>45005</v>
      </c>
      <c r="H61" s="42">
        <f>IF('Data Extraction &amp; Cleaning'!$J61&gt;0,2,1)</f>
        <v>2</v>
      </c>
      <c r="I61" s="42" t="str">
        <f>TRIM(CLEAN('Data Extraction &amp; Cleaning'!$B61&amp;'Data Extraction &amp; Cleaning'!$E61))</f>
        <v>RDC Deposit</v>
      </c>
      <c r="J61" s="42">
        <f>'Data Extraction &amp; Cleaning'!$C61</f>
        <v>9924.31</v>
      </c>
      <c r="K61" s="42" t="str">
        <f>IF('Data Extraction &amp; Cleaning'!$H61=1,-'Data Extraction &amp; Cleaning'!$J61,"")</f>
        <v/>
      </c>
      <c r="L61" s="42">
        <f>IF('Data Extraction &amp; Cleaning'!$H61=2,'Data Extraction &amp; Cleaning'!$J61,IF(ISBLANK('Data Extraction &amp; Cleaning'!$H61),'Data Extraction &amp; Cleaning'!$J61,""))</f>
        <v>9924.31</v>
      </c>
    </row>
    <row r="62" spans="1:12" x14ac:dyDescent="0.2">
      <c r="A62" s="166">
        <v>45371</v>
      </c>
      <c r="B62" s="167" t="s">
        <v>208</v>
      </c>
      <c r="C62" s="168">
        <v>-14.28</v>
      </c>
      <c r="D62" s="168">
        <v>64432</v>
      </c>
      <c r="E62" s="169" t="s">
        <v>271</v>
      </c>
      <c r="G62" s="43">
        <f>DATE(YEAR('Data Extraction &amp; Cleaning'!$A62)-1,MONTH('Data Extraction &amp; Cleaning'!$A62),DAY('Data Extraction &amp; Cleaning'!$A62))</f>
        <v>45005</v>
      </c>
      <c r="H62" s="42">
        <f>IF('Data Extraction &amp; Cleaning'!$J62&gt;0,2,1)</f>
        <v>1</v>
      </c>
      <c r="I62" s="42" t="str">
        <f>TRIM(CLEAN('Data Extraction &amp; Cleaning'!$B62&amp;'Data Extraction &amp; Cleaning'!$E62))</f>
        <v>PUBLIC SERVICE PSEGACH TRACE#091000013563789</v>
      </c>
      <c r="J62" s="42">
        <f>'Data Extraction &amp; Cleaning'!$C62</f>
        <v>-14.28</v>
      </c>
      <c r="K62" s="42">
        <f>IF('Data Extraction &amp; Cleaning'!$H62=1,-'Data Extraction &amp; Cleaning'!$J62,"")</f>
        <v>14.28</v>
      </c>
      <c r="L62" s="42" t="str">
        <f>IF('Data Extraction &amp; Cleaning'!$H62=2,'Data Extraction &amp; Cleaning'!$J62,IF(ISBLANK('Data Extraction &amp; Cleaning'!$H62),'Data Extraction &amp; Cleaning'!$J62,""))</f>
        <v/>
      </c>
    </row>
    <row r="63" spans="1:12" x14ac:dyDescent="0.2">
      <c r="A63" s="162">
        <v>45371</v>
      </c>
      <c r="B63" s="163" t="s">
        <v>207</v>
      </c>
      <c r="C63" s="164">
        <v>-175.93</v>
      </c>
      <c r="D63" s="164">
        <v>64256.07</v>
      </c>
      <c r="E63" s="165" t="s">
        <v>272</v>
      </c>
      <c r="G63" s="43">
        <f>DATE(YEAR('Data Extraction &amp; Cleaning'!$A63)-1,MONTH('Data Extraction &amp; Cleaning'!$A63),DAY('Data Extraction &amp; Cleaning'!$A63))</f>
        <v>45005</v>
      </c>
      <c r="H63" s="42">
        <f>IF('Data Extraction &amp; Cleaning'!$J63&gt;0,2,1)</f>
        <v>1</v>
      </c>
      <c r="I63" s="42" t="str">
        <f>TRIM(CLEAN('Data Extraction &amp; Cleaning'!$B63&amp;'Data Extraction &amp; Cleaning'!$E63))</f>
        <v>ACTION ELEVATOR Bill PayACH TRACE#711960040004005</v>
      </c>
      <c r="J63" s="42">
        <f>'Data Extraction &amp; Cleaning'!$C63</f>
        <v>-175.93</v>
      </c>
      <c r="K63" s="42">
        <f>IF('Data Extraction &amp; Cleaning'!$H63=1,-'Data Extraction &amp; Cleaning'!$J63,"")</f>
        <v>175.93</v>
      </c>
      <c r="L63" s="42" t="str">
        <f>IF('Data Extraction &amp; Cleaning'!$H63=2,'Data Extraction &amp; Cleaning'!$J63,IF(ISBLANK('Data Extraction &amp; Cleaning'!$H63),'Data Extraction &amp; Cleaning'!$J63,""))</f>
        <v/>
      </c>
    </row>
    <row r="64" spans="1:12" x14ac:dyDescent="0.2">
      <c r="A64" s="166">
        <v>45371</v>
      </c>
      <c r="B64" s="167" t="s">
        <v>204</v>
      </c>
      <c r="C64" s="168">
        <v>-485.7</v>
      </c>
      <c r="D64" s="168">
        <v>63770.37</v>
      </c>
      <c r="E64" s="169" t="s">
        <v>273</v>
      </c>
      <c r="G64" s="43">
        <f>DATE(YEAR('Data Extraction &amp; Cleaning'!$A64)-1,MONTH('Data Extraction &amp; Cleaning'!$A64),DAY('Data Extraction &amp; Cleaning'!$A64))</f>
        <v>45005</v>
      </c>
      <c r="H64" s="42">
        <f>IF('Data Extraction &amp; Cleaning'!$J64&gt;0,2,1)</f>
        <v>1</v>
      </c>
      <c r="I64" s="42" t="str">
        <f>TRIM(CLEAN('Data Extraction &amp; Cleaning'!$B64&amp;'Data Extraction &amp; Cleaning'!$E64))</f>
        <v>ACTION CARTING EBill PayACH TRACE#711960040003984</v>
      </c>
      <c r="J64" s="42">
        <f>'Data Extraction &amp; Cleaning'!$C64</f>
        <v>-485.7</v>
      </c>
      <c r="K64" s="42">
        <f>IF('Data Extraction &amp; Cleaning'!$H64=1,-'Data Extraction &amp; Cleaning'!$J64,"")</f>
        <v>485.7</v>
      </c>
      <c r="L64" s="42" t="str">
        <f>IF('Data Extraction &amp; Cleaning'!$H64=2,'Data Extraction &amp; Cleaning'!$J64,IF(ISBLANK('Data Extraction &amp; Cleaning'!$H64),'Data Extraction &amp; Cleaning'!$J64,""))</f>
        <v/>
      </c>
    </row>
    <row r="65" spans="1:12" x14ac:dyDescent="0.2">
      <c r="A65" s="162">
        <v>45371</v>
      </c>
      <c r="B65" s="163" t="s">
        <v>205</v>
      </c>
      <c r="C65" s="164">
        <v>-670.63</v>
      </c>
      <c r="D65" s="164">
        <v>63099.74</v>
      </c>
      <c r="E65" s="165" t="s">
        <v>274</v>
      </c>
      <c r="G65" s="43">
        <f>DATE(YEAR('Data Extraction &amp; Cleaning'!$A65)-1,MONTH('Data Extraction &amp; Cleaning'!$A65),DAY('Data Extraction &amp; Cleaning'!$A65))</f>
        <v>45005</v>
      </c>
      <c r="H65" s="42">
        <f>IF('Data Extraction &amp; Cleaning'!$J65&gt;0,2,1)</f>
        <v>1</v>
      </c>
      <c r="I65" s="42" t="str">
        <f>TRIM(CLEAN('Data Extraction &amp; Cleaning'!$B65&amp;'Data Extraction &amp; Cleaning'!$E65))</f>
        <v>FIRE PREVENTION Bill PayACH TRACE#711960040004006</v>
      </c>
      <c r="J65" s="42">
        <f>'Data Extraction &amp; Cleaning'!$C65</f>
        <v>-670.63</v>
      </c>
      <c r="K65" s="42">
        <f>IF('Data Extraction &amp; Cleaning'!$H65=1,-'Data Extraction &amp; Cleaning'!$J65,"")</f>
        <v>670.63</v>
      </c>
      <c r="L65" s="42" t="str">
        <f>IF('Data Extraction &amp; Cleaning'!$H65=2,'Data Extraction &amp; Cleaning'!$J65,IF(ISBLANK('Data Extraction &amp; Cleaning'!$H65),'Data Extraction &amp; Cleaning'!$J65,""))</f>
        <v/>
      </c>
    </row>
    <row r="66" spans="1:12" x14ac:dyDescent="0.2">
      <c r="A66" s="166">
        <v>45372</v>
      </c>
      <c r="B66" s="167" t="s">
        <v>217</v>
      </c>
      <c r="C66" s="168">
        <v>-2500</v>
      </c>
      <c r="D66" s="168">
        <v>60599.74</v>
      </c>
      <c r="E66" s="169"/>
      <c r="G66" s="43">
        <f>DATE(YEAR('Data Extraction &amp; Cleaning'!$A66)-1,MONTH('Data Extraction &amp; Cleaning'!$A66),DAY('Data Extraction &amp; Cleaning'!$A66))</f>
        <v>45006</v>
      </c>
      <c r="H66" s="42">
        <f>IF('Data Extraction &amp; Cleaning'!$J66&gt;0,2,1)</f>
        <v>1</v>
      </c>
      <c r="I66" s="42" t="str">
        <f>TRIM(CLEAN('Data Extraction &amp; Cleaning'!$B66&amp;'Data Extraction &amp; Cleaning'!$E66))</f>
        <v>Total of 1 Check Presented</v>
      </c>
      <c r="J66" s="42">
        <f>'Data Extraction &amp; Cleaning'!$C66</f>
        <v>-2500</v>
      </c>
      <c r="K66" s="42">
        <f>IF('Data Extraction &amp; Cleaning'!$H66=1,-'Data Extraction &amp; Cleaning'!$J66,"")</f>
        <v>2500</v>
      </c>
      <c r="L66" s="42" t="str">
        <f>IF('Data Extraction &amp; Cleaning'!$H66=2,'Data Extraction &amp; Cleaning'!$J66,IF(ISBLANK('Data Extraction &amp; Cleaning'!$H66),'Data Extraction &amp; Cleaning'!$J66,""))</f>
        <v/>
      </c>
    </row>
    <row r="67" spans="1:12" x14ac:dyDescent="0.2">
      <c r="A67" s="162">
        <v>45379</v>
      </c>
      <c r="B67" s="163" t="s">
        <v>209</v>
      </c>
      <c r="C67" s="164">
        <v>-420.92</v>
      </c>
      <c r="D67" s="164">
        <v>60178.82</v>
      </c>
      <c r="E67" s="165" t="s">
        <v>275</v>
      </c>
      <c r="G67" s="43">
        <f>DATE(YEAR('Data Extraction &amp; Cleaning'!$A67)-1,MONTH('Data Extraction &amp; Cleaning'!$A67),DAY('Data Extraction &amp; Cleaning'!$A67))</f>
        <v>45013</v>
      </c>
      <c r="H67" s="42">
        <f>IF('Data Extraction &amp; Cleaning'!$J67&gt;0,2,1)</f>
        <v>1</v>
      </c>
      <c r="I67" s="42" t="str">
        <f>TRIM(CLEAN('Data Extraction &amp; Cleaning'!$B67&amp;'Data Extraction &amp; Cleaning'!$E67))</f>
        <v>TIME WARNER CABLBill PayACH TRACE#711960040002001</v>
      </c>
      <c r="J67" s="42">
        <f>'Data Extraction &amp; Cleaning'!$C67</f>
        <v>-420.92</v>
      </c>
      <c r="K67" s="42">
        <f>IF('Data Extraction &amp; Cleaning'!$H67=1,-'Data Extraction &amp; Cleaning'!$J67,"")</f>
        <v>420.92</v>
      </c>
      <c r="L67" s="42" t="str">
        <f>IF('Data Extraction &amp; Cleaning'!$H67=2,'Data Extraction &amp; Cleaning'!$J67,IF(ISBLANK('Data Extraction &amp; Cleaning'!$H67),'Data Extraction &amp; Cleaning'!$J67,""))</f>
        <v/>
      </c>
    </row>
    <row r="68" spans="1:12" x14ac:dyDescent="0.2">
      <c r="A68" s="166">
        <v>45379</v>
      </c>
      <c r="B68" s="167" t="s">
        <v>207</v>
      </c>
      <c r="C68" s="168">
        <v>-599.99</v>
      </c>
      <c r="D68" s="168">
        <v>59578.83</v>
      </c>
      <c r="E68" s="169" t="s">
        <v>276</v>
      </c>
      <c r="G68" s="43">
        <f>DATE(YEAR('Data Extraction &amp; Cleaning'!$A68)-1,MONTH('Data Extraction &amp; Cleaning'!$A68),DAY('Data Extraction &amp; Cleaning'!$A68))</f>
        <v>45013</v>
      </c>
      <c r="H68" s="42">
        <f>IF('Data Extraction &amp; Cleaning'!$J68&gt;0,2,1)</f>
        <v>1</v>
      </c>
      <c r="I68" s="42" t="str">
        <f>TRIM(CLEAN('Data Extraction &amp; Cleaning'!$B68&amp;'Data Extraction &amp; Cleaning'!$E68))</f>
        <v>ACTION ELEVATOR Bill PayACH TRACE#711960040002005</v>
      </c>
      <c r="J68" s="42">
        <f>'Data Extraction &amp; Cleaning'!$C68</f>
        <v>-599.99</v>
      </c>
      <c r="K68" s="42">
        <f>IF('Data Extraction &amp; Cleaning'!$H68=1,-'Data Extraction &amp; Cleaning'!$J68,"")</f>
        <v>599.99</v>
      </c>
      <c r="L68" s="42" t="str">
        <f>IF('Data Extraction &amp; Cleaning'!$H68=2,'Data Extraction &amp; Cleaning'!$J68,IF(ISBLANK('Data Extraction &amp; Cleaning'!$H68),'Data Extraction &amp; Cleaning'!$J68,""))</f>
        <v/>
      </c>
    </row>
    <row r="69" spans="1:12" x14ac:dyDescent="0.2">
      <c r="A69" s="162">
        <v>45380</v>
      </c>
      <c r="B69" s="163" t="s">
        <v>217</v>
      </c>
      <c r="C69" s="164">
        <v>-1511.96</v>
      </c>
      <c r="D69" s="164">
        <v>58066.87</v>
      </c>
      <c r="E69" s="165"/>
      <c r="G69" s="43">
        <f>DATE(YEAR('Data Extraction &amp; Cleaning'!$A69)-1,MONTH('Data Extraction &amp; Cleaning'!$A69),DAY('Data Extraction &amp; Cleaning'!$A69))</f>
        <v>45014</v>
      </c>
      <c r="H69" s="42">
        <f>IF('Data Extraction &amp; Cleaning'!$J69&gt;0,2,1)</f>
        <v>1</v>
      </c>
      <c r="I69" s="42" t="str">
        <f>TRIM(CLEAN('Data Extraction &amp; Cleaning'!$B69&amp;'Data Extraction &amp; Cleaning'!$E69))</f>
        <v>Total of 1 Check Presented</v>
      </c>
      <c r="J69" s="42">
        <f>'Data Extraction &amp; Cleaning'!$C69</f>
        <v>-1511.96</v>
      </c>
      <c r="K69" s="42">
        <f>IF('Data Extraction &amp; Cleaning'!$H69=1,-'Data Extraction &amp; Cleaning'!$J69,"")</f>
        <v>1511.96</v>
      </c>
      <c r="L69" s="42" t="str">
        <f>IF('Data Extraction &amp; Cleaning'!$H69=2,'Data Extraction &amp; Cleaning'!$J69,IF(ISBLANK('Data Extraction &amp; Cleaning'!$H69),'Data Extraction &amp; Cleaning'!$J69,""))</f>
        <v/>
      </c>
    </row>
    <row r="70" spans="1:12" x14ac:dyDescent="0.2">
      <c r="A70" s="166">
        <v>45380</v>
      </c>
      <c r="B70" s="167" t="s">
        <v>232</v>
      </c>
      <c r="C70" s="168">
        <v>-646</v>
      </c>
      <c r="D70" s="168">
        <v>57420.87</v>
      </c>
      <c r="E70" s="169" t="s">
        <v>277</v>
      </c>
      <c r="G70" s="43">
        <f>DATE(YEAR('Data Extraction &amp; Cleaning'!$A70)-1,MONTH('Data Extraction &amp; Cleaning'!$A70),DAY('Data Extraction &amp; Cleaning'!$A70))</f>
        <v>45014</v>
      </c>
      <c r="H70" s="42">
        <f>IF('Data Extraction &amp; Cleaning'!$J70&gt;0,2,1)</f>
        <v>1</v>
      </c>
      <c r="I70" s="42" t="str">
        <f>TRIM(CLEAN('Data Extraction &amp; Cleaning'!$B70&amp;'Data Extraction &amp; Cleaning'!$E70))</f>
        <v>Web Pay Utica Mutual Ins000001521202486 DIWALI I</v>
      </c>
      <c r="J70" s="42">
        <f>'Data Extraction &amp; Cleaning'!$C70</f>
        <v>-646</v>
      </c>
      <c r="K70" s="42">
        <f>IF('Data Extraction &amp; Cleaning'!$H70=1,-'Data Extraction &amp; Cleaning'!$J70,"")</f>
        <v>646</v>
      </c>
      <c r="L70" s="42" t="str">
        <f>IF('Data Extraction &amp; Cleaning'!$H70=2,'Data Extraction &amp; Cleaning'!$J70,IF(ISBLANK('Data Extraction &amp; Cleaning'!$H70),'Data Extraction &amp; Cleaning'!$J70,""))</f>
        <v/>
      </c>
    </row>
    <row r="71" spans="1:12" x14ac:dyDescent="0.2">
      <c r="A71" s="162">
        <v>45381</v>
      </c>
      <c r="B71" s="163" t="s">
        <v>216</v>
      </c>
      <c r="C71" s="164">
        <v>18892.669999999998</v>
      </c>
      <c r="D71" s="164">
        <v>76313.539999999994</v>
      </c>
      <c r="E71" s="165"/>
      <c r="G71" s="43">
        <f>DATE(YEAR('Data Extraction &amp; Cleaning'!$A71)-1,MONTH('Data Extraction &amp; Cleaning'!$A71),DAY('Data Extraction &amp; Cleaning'!$A71))</f>
        <v>45015</v>
      </c>
      <c r="H71" s="42">
        <f>IF('Data Extraction &amp; Cleaning'!$J71&gt;0,2,1)</f>
        <v>2</v>
      </c>
      <c r="I71" s="42" t="str">
        <f>TRIM(CLEAN('Data Extraction &amp; Cleaning'!$B71&amp;'Data Extraction &amp; Cleaning'!$E71))</f>
        <v>RDC Deposit</v>
      </c>
      <c r="J71" s="42">
        <f>'Data Extraction &amp; Cleaning'!$C71</f>
        <v>18892.669999999998</v>
      </c>
      <c r="K71" s="42" t="str">
        <f>IF('Data Extraction &amp; Cleaning'!$H71=1,-'Data Extraction &amp; Cleaning'!$J71,"")</f>
        <v/>
      </c>
      <c r="L71" s="42">
        <f>IF('Data Extraction &amp; Cleaning'!$H71=2,'Data Extraction &amp; Cleaning'!$J71,IF(ISBLANK('Data Extraction &amp; Cleaning'!$H71),'Data Extraction &amp; Cleaning'!$J71,""))</f>
        <v>18892.669999999998</v>
      </c>
    </row>
    <row r="72" spans="1:12" x14ac:dyDescent="0.2">
      <c r="A72" s="170">
        <v>45382</v>
      </c>
      <c r="B72" s="171" t="s">
        <v>214</v>
      </c>
      <c r="C72" s="158">
        <v>-11829.6</v>
      </c>
      <c r="D72" s="158">
        <v>64483.94</v>
      </c>
      <c r="E72" s="172"/>
      <c r="G72" s="43">
        <f>DATE(YEAR('Data Extraction &amp; Cleaning'!$A72)-1,MONTH('Data Extraction &amp; Cleaning'!$A72),DAY('Data Extraction &amp; Cleaning'!$A72))</f>
        <v>45016</v>
      </c>
      <c r="H72" s="42">
        <f>IF('Data Extraction &amp; Cleaning'!$J72&gt;0,2,1)</f>
        <v>1</v>
      </c>
      <c r="I72" s="42" t="str">
        <f>TRIM(CLEAN('Data Extraction &amp; Cleaning'!$B72&amp;'Data Extraction &amp; Cleaning'!$E72))</f>
        <v>Total of 2 Checks Presented</v>
      </c>
      <c r="J72" s="42">
        <f>'Data Extraction &amp; Cleaning'!$C72</f>
        <v>-11829.6</v>
      </c>
      <c r="K72" s="42">
        <f>IF('Data Extraction &amp; Cleaning'!$H72=1,-'Data Extraction &amp; Cleaning'!$J72,"")</f>
        <v>11829.6</v>
      </c>
      <c r="L72" s="42" t="str">
        <f>IF('Data Extraction &amp; Cleaning'!$H72=2,'Data Extraction &amp; Cleaning'!$J72,IF(ISBLANK('Data Extraction &amp; Cleaning'!$H72),'Data Extraction &amp; Cleaning'!$J72,""))</f>
        <v/>
      </c>
    </row>
    <row r="73" spans="1:12" x14ac:dyDescent="0.2">
      <c r="G73" s="43"/>
    </row>
    <row r="74" spans="1:12" x14ac:dyDescent="0.2">
      <c r="G74" s="43"/>
    </row>
    <row r="75" spans="1:12" x14ac:dyDescent="0.2">
      <c r="A75" s="159" t="s">
        <v>48</v>
      </c>
      <c r="B75" s="160" t="s">
        <v>200</v>
      </c>
      <c r="C75" s="160" t="s">
        <v>211</v>
      </c>
      <c r="D75" s="160" t="s">
        <v>212</v>
      </c>
      <c r="E75" s="161" t="s">
        <v>213</v>
      </c>
      <c r="G75" s="41" t="s">
        <v>14</v>
      </c>
      <c r="H75" s="41" t="s">
        <v>248</v>
      </c>
      <c r="I75" s="41" t="s">
        <v>15</v>
      </c>
      <c r="J75" s="41" t="s">
        <v>202</v>
      </c>
      <c r="K75" s="41" t="s">
        <v>46</v>
      </c>
      <c r="L75" s="41" t="s">
        <v>47</v>
      </c>
    </row>
    <row r="76" spans="1:12" x14ac:dyDescent="0.2">
      <c r="A76" s="162">
        <v>45385</v>
      </c>
      <c r="B76" s="163" t="s">
        <v>228</v>
      </c>
      <c r="C76" s="164">
        <v>4500</v>
      </c>
      <c r="D76" s="164">
        <v>68983.94</v>
      </c>
      <c r="E76" s="165" t="s">
        <v>289</v>
      </c>
      <c r="G76" s="43">
        <f>DATE(YEAR('Data Extraction &amp; Cleaning'!$A76)-1,MONTH('Data Extraction &amp; Cleaning'!$A76),DAY('Data Extraction &amp; Cleaning'!$A76))</f>
        <v>45019</v>
      </c>
      <c r="H76" s="42">
        <f>IF('Data Extraction &amp; Cleaning'!$J76&gt;0,2,1)</f>
        <v>2</v>
      </c>
      <c r="I76" s="42" t="str">
        <f>TRIM(CLEAN('Data Extraction &amp; Cleaning'!$B76&amp;'Data Extraction &amp; Cleaning'!$E76))</f>
        <v>ACH Pmt JPW DENTAL LLC11015076512 Diwali I</v>
      </c>
      <c r="J76" s="42">
        <f>'Data Extraction &amp; Cleaning'!$C76</f>
        <v>4500</v>
      </c>
      <c r="K76" s="42" t="str">
        <f>IF('Data Extraction &amp; Cleaning'!$H76=1,-'Data Extraction &amp; Cleaning'!$J76,"")</f>
        <v/>
      </c>
      <c r="L76" s="42">
        <f>IF('Data Extraction &amp; Cleaning'!$H76=2,'Data Extraction &amp; Cleaning'!$J76,IF(ISBLANK('Data Extraction &amp; Cleaning'!$H76),'Data Extraction &amp; Cleaning'!$J76,""))</f>
        <v>4500</v>
      </c>
    </row>
    <row r="77" spans="1:12" x14ac:dyDescent="0.2">
      <c r="A77" s="166">
        <v>45385</v>
      </c>
      <c r="B77" s="167" t="s">
        <v>228</v>
      </c>
      <c r="C77" s="168">
        <v>7454.7</v>
      </c>
      <c r="D77" s="168">
        <v>76438.64</v>
      </c>
      <c r="E77" s="169" t="s">
        <v>290</v>
      </c>
      <c r="G77" s="43">
        <f>DATE(YEAR('Data Extraction &amp; Cleaning'!$A77)-1,MONTH('Data Extraction &amp; Cleaning'!$A77),DAY('Data Extraction &amp; Cleaning'!$A77))</f>
        <v>45019</v>
      </c>
      <c r="H77" s="42">
        <f>IF('Data Extraction &amp; Cleaning'!$J77&gt;0,2,1)</f>
        <v>2</v>
      </c>
      <c r="I77" s="42" t="str">
        <f>TRIM(CLEAN('Data Extraction &amp; Cleaning'!$B77&amp;'Data Extraction &amp; Cleaning'!$E77))</f>
        <v>ACH Pmt JPW DENTAL LLC11015077389 Diwali I</v>
      </c>
      <c r="J77" s="42">
        <f>'Data Extraction &amp; Cleaning'!$C77</f>
        <v>7454.7</v>
      </c>
      <c r="K77" s="42" t="str">
        <f>IF('Data Extraction &amp; Cleaning'!$H77=1,-'Data Extraction &amp; Cleaning'!$J77,"")</f>
        <v/>
      </c>
      <c r="L77" s="42">
        <f>IF('Data Extraction &amp; Cleaning'!$H77=2,'Data Extraction &amp; Cleaning'!$J77,IF(ISBLANK('Data Extraction &amp; Cleaning'!$H77),'Data Extraction &amp; Cleaning'!$J77,""))</f>
        <v>7454.7</v>
      </c>
    </row>
    <row r="78" spans="1:12" x14ac:dyDescent="0.2">
      <c r="A78" s="162">
        <v>45385</v>
      </c>
      <c r="B78" s="163" t="s">
        <v>216</v>
      </c>
      <c r="C78" s="164">
        <v>2967.66</v>
      </c>
      <c r="D78" s="164">
        <v>79406.3</v>
      </c>
      <c r="E78" s="165"/>
      <c r="G78" s="43">
        <f>DATE(YEAR('Data Extraction &amp; Cleaning'!$A78)-1,MONTH('Data Extraction &amp; Cleaning'!$A78),DAY('Data Extraction &amp; Cleaning'!$A78))</f>
        <v>45019</v>
      </c>
      <c r="H78" s="42">
        <f>IF('Data Extraction &amp; Cleaning'!$J78&gt;0,2,1)</f>
        <v>2</v>
      </c>
      <c r="I78" s="42" t="str">
        <f>TRIM(CLEAN('Data Extraction &amp; Cleaning'!$B78&amp;'Data Extraction &amp; Cleaning'!$E78))</f>
        <v>RDC Deposit</v>
      </c>
      <c r="J78" s="42">
        <f>'Data Extraction &amp; Cleaning'!$C78</f>
        <v>2967.66</v>
      </c>
      <c r="K78" s="42" t="str">
        <f>IF('Data Extraction &amp; Cleaning'!$H78=1,-'Data Extraction &amp; Cleaning'!$J78,"")</f>
        <v/>
      </c>
      <c r="L78" s="42">
        <f>IF('Data Extraction &amp; Cleaning'!$H78=2,'Data Extraction &amp; Cleaning'!$J78,IF(ISBLANK('Data Extraction &amp; Cleaning'!$H78),'Data Extraction &amp; Cleaning'!$J78,""))</f>
        <v>2967.66</v>
      </c>
    </row>
    <row r="79" spans="1:12" x14ac:dyDescent="0.2">
      <c r="A79" s="166">
        <v>45385</v>
      </c>
      <c r="B79" s="167" t="s">
        <v>214</v>
      </c>
      <c r="C79" s="168">
        <v>-2600</v>
      </c>
      <c r="D79" s="168">
        <v>76806.3</v>
      </c>
      <c r="E79" s="169"/>
      <c r="G79" s="43">
        <f>DATE(YEAR('Data Extraction &amp; Cleaning'!$A79)-1,MONTH('Data Extraction &amp; Cleaning'!$A79),DAY('Data Extraction &amp; Cleaning'!$A79))</f>
        <v>45019</v>
      </c>
      <c r="H79" s="42">
        <f>IF('Data Extraction &amp; Cleaning'!$J79&gt;0,2,1)</f>
        <v>1</v>
      </c>
      <c r="I79" s="42" t="str">
        <f>TRIM(CLEAN('Data Extraction &amp; Cleaning'!$B79&amp;'Data Extraction &amp; Cleaning'!$E79))</f>
        <v>Total of 2 Checks Presented</v>
      </c>
      <c r="J79" s="42">
        <f>'Data Extraction &amp; Cleaning'!$C79</f>
        <v>-2600</v>
      </c>
      <c r="K79" s="42">
        <f>IF('Data Extraction &amp; Cleaning'!$H79=1,-'Data Extraction &amp; Cleaning'!$J79,"")</f>
        <v>2600</v>
      </c>
      <c r="L79" s="42" t="str">
        <f>IF('Data Extraction &amp; Cleaning'!$H79=2,'Data Extraction &amp; Cleaning'!$J79,IF(ISBLANK('Data Extraction &amp; Cleaning'!$H79),'Data Extraction &amp; Cleaning'!$J79,""))</f>
        <v/>
      </c>
    </row>
    <row r="80" spans="1:12" x14ac:dyDescent="0.2">
      <c r="A80" s="162">
        <v>45385</v>
      </c>
      <c r="B80" s="163" t="s">
        <v>203</v>
      </c>
      <c r="C80" s="164">
        <v>-18708.78</v>
      </c>
      <c r="D80" s="164">
        <v>58097.52</v>
      </c>
      <c r="E80" s="165" t="s">
        <v>215</v>
      </c>
      <c r="G80" s="43">
        <f>DATE(YEAR('Data Extraction &amp; Cleaning'!$A80)-1,MONTH('Data Extraction &amp; Cleaning'!$A80),DAY('Data Extraction &amp; Cleaning'!$A80))</f>
        <v>45019</v>
      </c>
      <c r="H80" s="42">
        <f>IF('Data Extraction &amp; Cleaning'!$J80&gt;0,2,1)</f>
        <v>1</v>
      </c>
      <c r="I80" s="42" t="str">
        <f>TRIM(CLEAN('Data Extraction &amp; Cleaning'!$B80&amp;'Data Extraction &amp; Cleaning'!$E80))</f>
        <v>Transfer to LoanAcct No. 1718003533</v>
      </c>
      <c r="J80" s="42">
        <f>'Data Extraction &amp; Cleaning'!$C80</f>
        <v>-18708.78</v>
      </c>
      <c r="K80" s="42">
        <f>IF('Data Extraction &amp; Cleaning'!$H80=1,-'Data Extraction &amp; Cleaning'!$J80,"")</f>
        <v>18708.78</v>
      </c>
      <c r="L80" s="42" t="str">
        <f>IF('Data Extraction &amp; Cleaning'!$H80=2,'Data Extraction &amp; Cleaning'!$J80,IF(ISBLANK('Data Extraction &amp; Cleaning'!$H80),'Data Extraction &amp; Cleaning'!$J80,""))</f>
        <v/>
      </c>
    </row>
    <row r="81" spans="1:12" x14ac:dyDescent="0.2">
      <c r="A81" s="166">
        <v>45386</v>
      </c>
      <c r="B81" s="167" t="s">
        <v>214</v>
      </c>
      <c r="C81" s="168">
        <v>-1750</v>
      </c>
      <c r="D81" s="168">
        <v>56347.519999999997</v>
      </c>
      <c r="E81" s="169"/>
      <c r="G81" s="43">
        <f>DATE(YEAR('Data Extraction &amp; Cleaning'!$A81)-1,MONTH('Data Extraction &amp; Cleaning'!$A81),DAY('Data Extraction &amp; Cleaning'!$A81))</f>
        <v>45020</v>
      </c>
      <c r="H81" s="42">
        <f>IF('Data Extraction &amp; Cleaning'!$J81&gt;0,2,1)</f>
        <v>1</v>
      </c>
      <c r="I81" s="42" t="str">
        <f>TRIM(CLEAN('Data Extraction &amp; Cleaning'!$B81&amp;'Data Extraction &amp; Cleaning'!$E81))</f>
        <v>Total of 2 Checks Presented</v>
      </c>
      <c r="J81" s="42">
        <f>'Data Extraction &amp; Cleaning'!$C81</f>
        <v>-1750</v>
      </c>
      <c r="K81" s="42">
        <f>IF('Data Extraction &amp; Cleaning'!$H81=1,-'Data Extraction &amp; Cleaning'!$J81,"")</f>
        <v>1750</v>
      </c>
      <c r="L81" s="42" t="str">
        <f>IF('Data Extraction &amp; Cleaning'!$H81=2,'Data Extraction &amp; Cleaning'!$J81,IF(ISBLANK('Data Extraction &amp; Cleaning'!$H81),'Data Extraction &amp; Cleaning'!$J81,""))</f>
        <v/>
      </c>
    </row>
    <row r="82" spans="1:12" x14ac:dyDescent="0.2">
      <c r="A82" s="162">
        <v>45387</v>
      </c>
      <c r="B82" s="163" t="s">
        <v>216</v>
      </c>
      <c r="C82" s="164">
        <v>3694.4</v>
      </c>
      <c r="D82" s="164">
        <v>60041.919999999998</v>
      </c>
      <c r="E82" s="165"/>
      <c r="G82" s="43">
        <f>DATE(YEAR('Data Extraction &amp; Cleaning'!$A82)-1,MONTH('Data Extraction &amp; Cleaning'!$A82),DAY('Data Extraction &amp; Cleaning'!$A82))</f>
        <v>45021</v>
      </c>
      <c r="H82" s="42">
        <f>IF('Data Extraction &amp; Cleaning'!$J82&gt;0,2,1)</f>
        <v>2</v>
      </c>
      <c r="I82" s="42" t="str">
        <f>TRIM(CLEAN('Data Extraction &amp; Cleaning'!$B82&amp;'Data Extraction &amp; Cleaning'!$E82))</f>
        <v>RDC Deposit</v>
      </c>
      <c r="J82" s="42">
        <f>'Data Extraction &amp; Cleaning'!$C82</f>
        <v>3694.4</v>
      </c>
      <c r="K82" s="42" t="str">
        <f>IF('Data Extraction &amp; Cleaning'!$H82=1,-'Data Extraction &amp; Cleaning'!$J82,"")</f>
        <v/>
      </c>
      <c r="L82" s="42">
        <f>IF('Data Extraction &amp; Cleaning'!$H82=2,'Data Extraction &amp; Cleaning'!$J82,IF(ISBLANK('Data Extraction &amp; Cleaning'!$H82),'Data Extraction &amp; Cleaning'!$J82,""))</f>
        <v>3694.4</v>
      </c>
    </row>
    <row r="83" spans="1:12" x14ac:dyDescent="0.2">
      <c r="A83" s="166">
        <v>45388</v>
      </c>
      <c r="B83" s="167" t="s">
        <v>206</v>
      </c>
      <c r="C83" s="168">
        <v>-283.55</v>
      </c>
      <c r="D83" s="168">
        <v>59758.37</v>
      </c>
      <c r="E83" s="169" t="s">
        <v>291</v>
      </c>
      <c r="G83" s="43">
        <f>DATE(YEAR('Data Extraction &amp; Cleaning'!$A83)-1,MONTH('Data Extraction &amp; Cleaning'!$A83),DAY('Data Extraction &amp; Cleaning'!$A83))</f>
        <v>45022</v>
      </c>
      <c r="H83" s="42">
        <f>IF('Data Extraction &amp; Cleaning'!$J83&gt;0,2,1)</f>
        <v>1</v>
      </c>
      <c r="I83" s="42" t="str">
        <f>TRIM(CLEAN('Data Extraction &amp; Cleaning'!$B83&amp;'Data Extraction &amp; Cleaning'!$E83))</f>
        <v>VEOLIA WATER Bill PayACH TRACE#711960040003240</v>
      </c>
      <c r="J83" s="42">
        <f>'Data Extraction &amp; Cleaning'!$C83</f>
        <v>-283.55</v>
      </c>
      <c r="K83" s="42">
        <f>IF('Data Extraction &amp; Cleaning'!$H83=1,-'Data Extraction &amp; Cleaning'!$J83,"")</f>
        <v>283.55</v>
      </c>
      <c r="L83" s="42" t="str">
        <f>IF('Data Extraction &amp; Cleaning'!$H83=2,'Data Extraction &amp; Cleaning'!$J83,IF(ISBLANK('Data Extraction &amp; Cleaning'!$H83),'Data Extraction &amp; Cleaning'!$J83,""))</f>
        <v/>
      </c>
    </row>
    <row r="84" spans="1:12" x14ac:dyDescent="0.2">
      <c r="A84" s="162">
        <v>45389</v>
      </c>
      <c r="B84" s="163" t="s">
        <v>216</v>
      </c>
      <c r="C84" s="164">
        <v>3285.28</v>
      </c>
      <c r="D84" s="164">
        <v>63043.65</v>
      </c>
      <c r="E84" s="165"/>
      <c r="G84" s="43">
        <f>DATE(YEAR('Data Extraction &amp; Cleaning'!$A84)-1,MONTH('Data Extraction &amp; Cleaning'!$A84),DAY('Data Extraction &amp; Cleaning'!$A84))</f>
        <v>45023</v>
      </c>
      <c r="H84" s="42">
        <f>IF('Data Extraction &amp; Cleaning'!$J84&gt;0,2,1)</f>
        <v>2</v>
      </c>
      <c r="I84" s="42" t="str">
        <f>TRIM(CLEAN('Data Extraction &amp; Cleaning'!$B84&amp;'Data Extraction &amp; Cleaning'!$E84))</f>
        <v>RDC Deposit</v>
      </c>
      <c r="J84" s="42">
        <f>'Data Extraction &amp; Cleaning'!$C84</f>
        <v>3285.28</v>
      </c>
      <c r="K84" s="42" t="str">
        <f>IF('Data Extraction &amp; Cleaning'!$H84=1,-'Data Extraction &amp; Cleaning'!$J84,"")</f>
        <v/>
      </c>
      <c r="L84" s="42">
        <f>IF('Data Extraction &amp; Cleaning'!$H84=2,'Data Extraction &amp; Cleaning'!$J84,IF(ISBLANK('Data Extraction &amp; Cleaning'!$H84),'Data Extraction &amp; Cleaning'!$J84,""))</f>
        <v>3285.28</v>
      </c>
    </row>
    <row r="85" spans="1:12" x14ac:dyDescent="0.2">
      <c r="A85" s="166">
        <v>45392</v>
      </c>
      <c r="B85" s="167" t="s">
        <v>214</v>
      </c>
      <c r="C85" s="168">
        <v>-4250</v>
      </c>
      <c r="D85" s="168">
        <v>58793.65</v>
      </c>
      <c r="E85" s="169"/>
      <c r="G85" s="43">
        <f>DATE(YEAR('Data Extraction &amp; Cleaning'!$A85)-1,MONTH('Data Extraction &amp; Cleaning'!$A85),DAY('Data Extraction &amp; Cleaning'!$A85))</f>
        <v>45026</v>
      </c>
      <c r="H85" s="42">
        <f>IF('Data Extraction &amp; Cleaning'!$J85&gt;0,2,1)</f>
        <v>1</v>
      </c>
      <c r="I85" s="42" t="str">
        <f>TRIM(CLEAN('Data Extraction &amp; Cleaning'!$B85&amp;'Data Extraction &amp; Cleaning'!$E85))</f>
        <v>Total of 2 Checks Presented</v>
      </c>
      <c r="J85" s="42">
        <f>'Data Extraction &amp; Cleaning'!$C85</f>
        <v>-4250</v>
      </c>
      <c r="K85" s="42">
        <f>IF('Data Extraction &amp; Cleaning'!$H85=1,-'Data Extraction &amp; Cleaning'!$J85,"")</f>
        <v>4250</v>
      </c>
      <c r="L85" s="42" t="str">
        <f>IF('Data Extraction &amp; Cleaning'!$H85=2,'Data Extraction &amp; Cleaning'!$J85,IF(ISBLANK('Data Extraction &amp; Cleaning'!$H85),'Data Extraction &amp; Cleaning'!$J85,""))</f>
        <v/>
      </c>
    </row>
    <row r="86" spans="1:12" x14ac:dyDescent="0.2">
      <c r="A86" s="162">
        <v>45394</v>
      </c>
      <c r="B86" s="163" t="s">
        <v>216</v>
      </c>
      <c r="C86" s="164">
        <v>2944.63</v>
      </c>
      <c r="D86" s="164">
        <v>61738.28</v>
      </c>
      <c r="E86" s="165"/>
      <c r="G86" s="43">
        <f>DATE(YEAR('Data Extraction &amp; Cleaning'!$A86)-1,MONTH('Data Extraction &amp; Cleaning'!$A86),DAY('Data Extraction &amp; Cleaning'!$A86))</f>
        <v>45028</v>
      </c>
      <c r="H86" s="42">
        <f>IF('Data Extraction &amp; Cleaning'!$J86&gt;0,2,1)</f>
        <v>2</v>
      </c>
      <c r="I86" s="42" t="str">
        <f>TRIM(CLEAN('Data Extraction &amp; Cleaning'!$B86&amp;'Data Extraction &amp; Cleaning'!$E86))</f>
        <v>RDC Deposit</v>
      </c>
      <c r="J86" s="42">
        <f>'Data Extraction &amp; Cleaning'!$C86</f>
        <v>2944.63</v>
      </c>
      <c r="K86" s="42" t="str">
        <f>IF('Data Extraction &amp; Cleaning'!$H86=1,-'Data Extraction &amp; Cleaning'!$J86,"")</f>
        <v/>
      </c>
      <c r="L86" s="42">
        <f>IF('Data Extraction &amp; Cleaning'!$H86=2,'Data Extraction &amp; Cleaning'!$J86,IF(ISBLANK('Data Extraction &amp; Cleaning'!$H86),'Data Extraction &amp; Cleaning'!$J86,""))</f>
        <v>2944.63</v>
      </c>
    </row>
    <row r="87" spans="1:12" x14ac:dyDescent="0.2">
      <c r="A87" s="166">
        <v>45395</v>
      </c>
      <c r="B87" s="167" t="s">
        <v>206</v>
      </c>
      <c r="C87" s="168">
        <v>-272.89999999999998</v>
      </c>
      <c r="D87" s="168">
        <v>61465.38</v>
      </c>
      <c r="E87" s="169" t="s">
        <v>292</v>
      </c>
      <c r="G87" s="43">
        <f>DATE(YEAR('Data Extraction &amp; Cleaning'!$A87)-1,MONTH('Data Extraction &amp; Cleaning'!$A87),DAY('Data Extraction &amp; Cleaning'!$A87))</f>
        <v>45029</v>
      </c>
      <c r="H87" s="42">
        <f>IF('Data Extraction &amp; Cleaning'!$J87&gt;0,2,1)</f>
        <v>1</v>
      </c>
      <c r="I87" s="42" t="str">
        <f>TRIM(CLEAN('Data Extraction &amp; Cleaning'!$B87&amp;'Data Extraction &amp; Cleaning'!$E87))</f>
        <v>VEOLIA WATER Bill PayACH TRACE#711960040003840</v>
      </c>
      <c r="J87" s="42">
        <f>'Data Extraction &amp; Cleaning'!$C87</f>
        <v>-272.89999999999998</v>
      </c>
      <c r="K87" s="42">
        <f>IF('Data Extraction &amp; Cleaning'!$H87=1,-'Data Extraction &amp; Cleaning'!$J87,"")</f>
        <v>272.89999999999998</v>
      </c>
      <c r="L87" s="42" t="str">
        <f>IF('Data Extraction &amp; Cleaning'!$H87=2,'Data Extraction &amp; Cleaning'!$J87,IF(ISBLANK('Data Extraction &amp; Cleaning'!$H87),'Data Extraction &amp; Cleaning'!$J87,""))</f>
        <v/>
      </c>
    </row>
    <row r="88" spans="1:12" x14ac:dyDescent="0.2">
      <c r="A88" s="162">
        <v>45395</v>
      </c>
      <c r="B88" s="163" t="s">
        <v>206</v>
      </c>
      <c r="C88" s="164">
        <v>-303.10000000000002</v>
      </c>
      <c r="D88" s="164">
        <v>61162.28</v>
      </c>
      <c r="E88" s="165" t="s">
        <v>293</v>
      </c>
      <c r="G88" s="43">
        <f>DATE(YEAR('Data Extraction &amp; Cleaning'!$A88)-1,MONTH('Data Extraction &amp; Cleaning'!$A88),DAY('Data Extraction &amp; Cleaning'!$A88))</f>
        <v>45029</v>
      </c>
      <c r="H88" s="42">
        <f>IF('Data Extraction &amp; Cleaning'!$J88&gt;0,2,1)</f>
        <v>1</v>
      </c>
      <c r="I88" s="42" t="str">
        <f>TRIM(CLEAN('Data Extraction &amp; Cleaning'!$B88&amp;'Data Extraction &amp; Cleaning'!$E88))</f>
        <v>VEOLIA WATER Bill PayACH TRACE#711960040003839</v>
      </c>
      <c r="J88" s="42">
        <f>'Data Extraction &amp; Cleaning'!$C88</f>
        <v>-303.10000000000002</v>
      </c>
      <c r="K88" s="42">
        <f>IF('Data Extraction &amp; Cleaning'!$H88=1,-'Data Extraction &amp; Cleaning'!$J88,"")</f>
        <v>303.10000000000002</v>
      </c>
      <c r="L88" s="42" t="str">
        <f>IF('Data Extraction &amp; Cleaning'!$H88=2,'Data Extraction &amp; Cleaning'!$J88,IF(ISBLANK('Data Extraction &amp; Cleaning'!$H88),'Data Extraction &amp; Cleaning'!$J88,""))</f>
        <v/>
      </c>
    </row>
    <row r="89" spans="1:12" x14ac:dyDescent="0.2">
      <c r="A89" s="166">
        <v>45396</v>
      </c>
      <c r="B89" s="167" t="s">
        <v>221</v>
      </c>
      <c r="C89" s="168">
        <v>-272.89999999999998</v>
      </c>
      <c r="D89" s="168">
        <v>60889.38</v>
      </c>
      <c r="E89" s="169" t="s">
        <v>222</v>
      </c>
      <c r="G89" s="43">
        <f>DATE(YEAR('Data Extraction &amp; Cleaning'!$A89)-1,MONTH('Data Extraction &amp; Cleaning'!$A89),DAY('Data Extraction &amp; Cleaning'!$A89))</f>
        <v>45030</v>
      </c>
      <c r="H89" s="42">
        <f>IF('Data Extraction &amp; Cleaning'!$J89&gt;0,2,1)</f>
        <v>1</v>
      </c>
      <c r="I89" s="42" t="str">
        <f>TRIM(CLEAN('Data Extraction &amp; Cleaning'!$B89&amp;'Data Extraction &amp; Cleaning'!$E89))</f>
        <v>WATER BILL VEOLIA WATER NEW10006752433605 Diwali I</v>
      </c>
      <c r="J89" s="42">
        <f>'Data Extraction &amp; Cleaning'!$C89</f>
        <v>-272.89999999999998</v>
      </c>
      <c r="K89" s="42">
        <f>IF('Data Extraction &amp; Cleaning'!$H89=1,-'Data Extraction &amp; Cleaning'!$J89,"")</f>
        <v>272.89999999999998</v>
      </c>
      <c r="L89" s="42" t="str">
        <f>IF('Data Extraction &amp; Cleaning'!$H89=2,'Data Extraction &amp; Cleaning'!$J89,IF(ISBLANK('Data Extraction &amp; Cleaning'!$H89),'Data Extraction &amp; Cleaning'!$J89,""))</f>
        <v/>
      </c>
    </row>
    <row r="90" spans="1:12" x14ac:dyDescent="0.2">
      <c r="A90" s="162">
        <v>45399</v>
      </c>
      <c r="B90" s="163" t="s">
        <v>208</v>
      </c>
      <c r="C90" s="164">
        <v>-15.75</v>
      </c>
      <c r="D90" s="164">
        <v>60873.63</v>
      </c>
      <c r="E90" s="165" t="s">
        <v>294</v>
      </c>
      <c r="G90" s="43">
        <f>DATE(YEAR('Data Extraction &amp; Cleaning'!$A90)-1,MONTH('Data Extraction &amp; Cleaning'!$A90),DAY('Data Extraction &amp; Cleaning'!$A90))</f>
        <v>45033</v>
      </c>
      <c r="H90" s="42">
        <f>IF('Data Extraction &amp; Cleaning'!$J90&gt;0,2,1)</f>
        <v>1</v>
      </c>
      <c r="I90" s="42" t="str">
        <f>TRIM(CLEAN('Data Extraction &amp; Cleaning'!$B90&amp;'Data Extraction &amp; Cleaning'!$E90))</f>
        <v>PUBLIC SERVICE PSEGACH TRACE#091000014415810</v>
      </c>
      <c r="J90" s="42">
        <f>'Data Extraction &amp; Cleaning'!$C90</f>
        <v>-15.75</v>
      </c>
      <c r="K90" s="42">
        <f>IF('Data Extraction &amp; Cleaning'!$H90=1,-'Data Extraction &amp; Cleaning'!$J90,"")</f>
        <v>15.75</v>
      </c>
      <c r="L90" s="42" t="str">
        <f>IF('Data Extraction &amp; Cleaning'!$H90=2,'Data Extraction &amp; Cleaning'!$J90,IF(ISBLANK('Data Extraction &amp; Cleaning'!$H90),'Data Extraction &amp; Cleaning'!$J90,""))</f>
        <v/>
      </c>
    </row>
    <row r="91" spans="1:12" x14ac:dyDescent="0.2">
      <c r="A91" s="166">
        <v>45399</v>
      </c>
      <c r="B91" s="167" t="s">
        <v>208</v>
      </c>
      <c r="C91" s="168">
        <v>-51.63</v>
      </c>
      <c r="D91" s="168">
        <v>60822</v>
      </c>
      <c r="E91" s="169" t="s">
        <v>295</v>
      </c>
      <c r="G91" s="43">
        <f>DATE(YEAR('Data Extraction &amp; Cleaning'!$A91)-1,MONTH('Data Extraction &amp; Cleaning'!$A91),DAY('Data Extraction &amp; Cleaning'!$A91))</f>
        <v>45033</v>
      </c>
      <c r="H91" s="42">
        <f>IF('Data Extraction &amp; Cleaning'!$J91&gt;0,2,1)</f>
        <v>1</v>
      </c>
      <c r="I91" s="42" t="str">
        <f>TRIM(CLEAN('Data Extraction &amp; Cleaning'!$B91&amp;'Data Extraction &amp; Cleaning'!$E91))</f>
        <v>PUBLIC SERVICE PSEGACH TRACE#091000014436812</v>
      </c>
      <c r="J91" s="42">
        <f>'Data Extraction &amp; Cleaning'!$C91</f>
        <v>-51.63</v>
      </c>
      <c r="K91" s="42">
        <f>IF('Data Extraction &amp; Cleaning'!$H91=1,-'Data Extraction &amp; Cleaning'!$J91,"")</f>
        <v>51.63</v>
      </c>
      <c r="L91" s="42" t="str">
        <f>IF('Data Extraction &amp; Cleaning'!$H91=2,'Data Extraction &amp; Cleaning'!$J91,IF(ISBLANK('Data Extraction &amp; Cleaning'!$H91),'Data Extraction &amp; Cleaning'!$J91,""))</f>
        <v/>
      </c>
    </row>
    <row r="92" spans="1:12" x14ac:dyDescent="0.2">
      <c r="A92" s="162">
        <v>45399</v>
      </c>
      <c r="B92" s="163" t="s">
        <v>208</v>
      </c>
      <c r="C92" s="164">
        <v>-2480.02</v>
      </c>
      <c r="D92" s="164">
        <v>58341.98</v>
      </c>
      <c r="E92" s="165" t="s">
        <v>296</v>
      </c>
      <c r="G92" s="43">
        <f>DATE(YEAR('Data Extraction &amp; Cleaning'!$A92)-1,MONTH('Data Extraction &amp; Cleaning'!$A92),DAY('Data Extraction &amp; Cleaning'!$A92))</f>
        <v>45033</v>
      </c>
      <c r="H92" s="42">
        <f>IF('Data Extraction &amp; Cleaning'!$J92&gt;0,2,1)</f>
        <v>1</v>
      </c>
      <c r="I92" s="42" t="str">
        <f>TRIM(CLEAN('Data Extraction &amp; Cleaning'!$B92&amp;'Data Extraction &amp; Cleaning'!$E92))</f>
        <v>PUBLIC SERVICE PSEGACH TRACE#091000014435638</v>
      </c>
      <c r="J92" s="42">
        <f>'Data Extraction &amp; Cleaning'!$C92</f>
        <v>-2480.02</v>
      </c>
      <c r="K92" s="42">
        <f>IF('Data Extraction &amp; Cleaning'!$H92=1,-'Data Extraction &amp; Cleaning'!$J92,"")</f>
        <v>2480.02</v>
      </c>
      <c r="L92" s="42" t="str">
        <f>IF('Data Extraction &amp; Cleaning'!$H92=2,'Data Extraction &amp; Cleaning'!$J92,IF(ISBLANK('Data Extraction &amp; Cleaning'!$H92),'Data Extraction &amp; Cleaning'!$J92,""))</f>
        <v/>
      </c>
    </row>
    <row r="93" spans="1:12" x14ac:dyDescent="0.2">
      <c r="A93" s="166">
        <v>45400</v>
      </c>
      <c r="B93" s="167" t="s">
        <v>297</v>
      </c>
      <c r="C93" s="168">
        <v>-18385.98</v>
      </c>
      <c r="D93" s="168">
        <v>39956</v>
      </c>
      <c r="E93" s="169"/>
      <c r="G93" s="43">
        <f>DATE(YEAR('Data Extraction &amp; Cleaning'!$A93)-1,MONTH('Data Extraction &amp; Cleaning'!$A93),DAY('Data Extraction &amp; Cleaning'!$A93))</f>
        <v>45034</v>
      </c>
      <c r="H93" s="42">
        <f>IF('Data Extraction &amp; Cleaning'!$J93&gt;0,2,1)</f>
        <v>1</v>
      </c>
      <c r="I93" s="42" t="str">
        <f>TRIM(CLEAN('Data Extraction &amp; Cleaning'!$B93&amp;'Data Extraction &amp; Cleaning'!$E93))</f>
        <v>Total of 3 Checks Presented</v>
      </c>
      <c r="J93" s="42">
        <f>'Data Extraction &amp; Cleaning'!$C93</f>
        <v>-18385.98</v>
      </c>
      <c r="K93" s="42">
        <f>IF('Data Extraction &amp; Cleaning'!$H93=1,-'Data Extraction &amp; Cleaning'!$J93,"")</f>
        <v>18385.98</v>
      </c>
      <c r="L93" s="42" t="str">
        <f>IF('Data Extraction &amp; Cleaning'!$H93=2,'Data Extraction &amp; Cleaning'!$J93,IF(ISBLANK('Data Extraction &amp; Cleaning'!$H93),'Data Extraction &amp; Cleaning'!$J93,""))</f>
        <v/>
      </c>
    </row>
    <row r="94" spans="1:12" x14ac:dyDescent="0.2">
      <c r="A94" s="162">
        <v>45400</v>
      </c>
      <c r="B94" s="163" t="s">
        <v>298</v>
      </c>
      <c r="C94" s="164">
        <v>-450</v>
      </c>
      <c r="D94" s="164">
        <v>39506</v>
      </c>
      <c r="E94" s="165" t="s">
        <v>299</v>
      </c>
      <c r="G94" s="43">
        <f>DATE(YEAR('Data Extraction &amp; Cleaning'!$A94)-1,MONTH('Data Extraction &amp; Cleaning'!$A94),DAY('Data Extraction &amp; Cleaning'!$A94))</f>
        <v>45034</v>
      </c>
      <c r="H94" s="42">
        <f>IF('Data Extraction &amp; Cleaning'!$J94&gt;0,2,1)</f>
        <v>1</v>
      </c>
      <c r="I94" s="42" t="str">
        <f>TRIM(CLEAN('Data Extraction &amp; Cleaning'!$B94&amp;'Data Extraction &amp; Cleaning'!$E94))</f>
        <v>NJWEB04823 NJ WEB PMT 04823091000013790666 DIWALI I TXP*B474360127000*04823*221231 *T*45000*****DIWA\</v>
      </c>
      <c r="J94" s="42">
        <f>'Data Extraction &amp; Cleaning'!$C94</f>
        <v>-450</v>
      </c>
      <c r="K94" s="42">
        <f>IF('Data Extraction &amp; Cleaning'!$H94=1,-'Data Extraction &amp; Cleaning'!$J94,"")</f>
        <v>450</v>
      </c>
      <c r="L94" s="42" t="str">
        <f>IF('Data Extraction &amp; Cleaning'!$H94=2,'Data Extraction &amp; Cleaning'!$J94,IF(ISBLANK('Data Extraction &amp; Cleaning'!$H94),'Data Extraction &amp; Cleaning'!$J94,""))</f>
        <v/>
      </c>
    </row>
    <row r="95" spans="1:12" x14ac:dyDescent="0.2">
      <c r="A95" s="166">
        <v>45406</v>
      </c>
      <c r="B95" s="167" t="s">
        <v>208</v>
      </c>
      <c r="C95" s="168">
        <v>-2.81</v>
      </c>
      <c r="D95" s="168">
        <v>39503.19</v>
      </c>
      <c r="E95" s="169" t="s">
        <v>300</v>
      </c>
      <c r="G95" s="43">
        <f>DATE(YEAR('Data Extraction &amp; Cleaning'!$A95)-1,MONTH('Data Extraction &amp; Cleaning'!$A95),DAY('Data Extraction &amp; Cleaning'!$A95))</f>
        <v>45040</v>
      </c>
      <c r="H95" s="42">
        <f>IF('Data Extraction &amp; Cleaning'!$J95&gt;0,2,1)</f>
        <v>1</v>
      </c>
      <c r="I95" s="42" t="str">
        <f>TRIM(CLEAN('Data Extraction &amp; Cleaning'!$B95&amp;'Data Extraction &amp; Cleaning'!$E95))</f>
        <v>PUBLIC SERVICE PSEGACH TRACE#091000011923898</v>
      </c>
      <c r="J95" s="42">
        <f>'Data Extraction &amp; Cleaning'!$C95</f>
        <v>-2.81</v>
      </c>
      <c r="K95" s="42">
        <f>IF('Data Extraction &amp; Cleaning'!$H95=1,-'Data Extraction &amp; Cleaning'!$J95,"")</f>
        <v>2.81</v>
      </c>
      <c r="L95" s="42" t="str">
        <f>IF('Data Extraction &amp; Cleaning'!$H95=2,'Data Extraction &amp; Cleaning'!$J95,IF(ISBLANK('Data Extraction &amp; Cleaning'!$H95),'Data Extraction &amp; Cleaning'!$J95,""))</f>
        <v/>
      </c>
    </row>
    <row r="96" spans="1:12" x14ac:dyDescent="0.2">
      <c r="A96" s="162">
        <v>45406</v>
      </c>
      <c r="B96" s="163" t="s">
        <v>209</v>
      </c>
      <c r="C96" s="164">
        <v>-420.92</v>
      </c>
      <c r="D96" s="164">
        <v>39082.269999999997</v>
      </c>
      <c r="E96" s="165" t="s">
        <v>301</v>
      </c>
      <c r="G96" s="43">
        <f>DATE(YEAR('Data Extraction &amp; Cleaning'!$A96)-1,MONTH('Data Extraction &amp; Cleaning'!$A96),DAY('Data Extraction &amp; Cleaning'!$A96))</f>
        <v>45040</v>
      </c>
      <c r="H96" s="42">
        <f>IF('Data Extraction &amp; Cleaning'!$J96&gt;0,2,1)</f>
        <v>1</v>
      </c>
      <c r="I96" s="42" t="str">
        <f>TRIM(CLEAN('Data Extraction &amp; Cleaning'!$B96&amp;'Data Extraction &amp; Cleaning'!$E96))</f>
        <v>TIME WARNER CABLBill PayACH TRACE#711960040003799</v>
      </c>
      <c r="J96" s="42">
        <f>'Data Extraction &amp; Cleaning'!$C96</f>
        <v>-420.92</v>
      </c>
      <c r="K96" s="42">
        <f>IF('Data Extraction &amp; Cleaning'!$H96=1,-'Data Extraction &amp; Cleaning'!$J96,"")</f>
        <v>420.92</v>
      </c>
      <c r="L96" s="42" t="str">
        <f>IF('Data Extraction &amp; Cleaning'!$H96=2,'Data Extraction &amp; Cleaning'!$J96,IF(ISBLANK('Data Extraction &amp; Cleaning'!$H96),'Data Extraction &amp; Cleaning'!$J96,""))</f>
        <v/>
      </c>
    </row>
    <row r="97" spans="1:12" x14ac:dyDescent="0.2">
      <c r="A97" s="170">
        <v>45407</v>
      </c>
      <c r="B97" s="171" t="s">
        <v>214</v>
      </c>
      <c r="C97" s="158">
        <v>-4316.6400000000003</v>
      </c>
      <c r="D97" s="158">
        <v>34765.629999999997</v>
      </c>
      <c r="E97" s="172"/>
      <c r="G97" s="43">
        <f>DATE(YEAR('Data Extraction &amp; Cleaning'!$A97)-1,MONTH('Data Extraction &amp; Cleaning'!$A97),DAY('Data Extraction &amp; Cleaning'!$A97))</f>
        <v>45041</v>
      </c>
      <c r="H97" s="42">
        <f>IF('Data Extraction &amp; Cleaning'!$J97&gt;0,2,1)</f>
        <v>1</v>
      </c>
      <c r="I97" s="42" t="str">
        <f>TRIM(CLEAN('Data Extraction &amp; Cleaning'!$B97&amp;'Data Extraction &amp; Cleaning'!$E97))</f>
        <v>Total of 2 Checks Presented</v>
      </c>
      <c r="J97" s="42">
        <f>'Data Extraction &amp; Cleaning'!$C97</f>
        <v>-4316.6400000000003</v>
      </c>
      <c r="K97" s="42">
        <f>IF('Data Extraction &amp; Cleaning'!$H97=1,-'Data Extraction &amp; Cleaning'!$J97,"")</f>
        <v>4316.6400000000003</v>
      </c>
      <c r="L97" s="42" t="str">
        <f>IF('Data Extraction &amp; Cleaning'!$H97=2,'Data Extraction &amp; Cleaning'!$J97,IF(ISBLANK('Data Extraction &amp; Cleaning'!$H97),'Data Extraction &amp; Cleaning'!$J97,""))</f>
        <v/>
      </c>
    </row>
    <row r="100" spans="1:12" x14ac:dyDescent="0.2">
      <c r="A100" s="159" t="s">
        <v>48</v>
      </c>
      <c r="B100" s="160" t="s">
        <v>200</v>
      </c>
      <c r="C100" s="160" t="s">
        <v>211</v>
      </c>
      <c r="D100" s="160" t="s">
        <v>212</v>
      </c>
      <c r="E100" s="161" t="s">
        <v>213</v>
      </c>
      <c r="G100" s="41" t="s">
        <v>14</v>
      </c>
      <c r="H100" s="41" t="s">
        <v>248</v>
      </c>
      <c r="I100" s="41" t="s">
        <v>15</v>
      </c>
      <c r="J100" s="41" t="s">
        <v>202</v>
      </c>
      <c r="K100" s="41" t="s">
        <v>46</v>
      </c>
      <c r="L100" s="41" t="s">
        <v>47</v>
      </c>
    </row>
    <row r="101" spans="1:12" x14ac:dyDescent="0.2">
      <c r="A101" s="162">
        <v>45413</v>
      </c>
      <c r="B101" s="163" t="s">
        <v>207</v>
      </c>
      <c r="C101" s="164">
        <v>-175.93</v>
      </c>
      <c r="D101" s="164">
        <v>34589.699999999997</v>
      </c>
      <c r="E101" s="165" t="s">
        <v>302</v>
      </c>
      <c r="G101" s="43">
        <f>DATE(YEAR('Data Extraction &amp; Cleaning'!$A101)-1,MONTH('Data Extraction &amp; Cleaning'!$A101),DAY('Data Extraction &amp; Cleaning'!$A101))</f>
        <v>45047</v>
      </c>
      <c r="H101" s="42">
        <f>IF('Data Extraction &amp; Cleaning'!$J101&gt;0,2,1)</f>
        <v>1</v>
      </c>
      <c r="I101" s="42" t="str">
        <f>TRIM(CLEAN('Data Extraction &amp; Cleaning'!$B101&amp;'Data Extraction &amp; Cleaning'!$E101))</f>
        <v>ACTION ELEVATOR Bill PayACH TRACE#711960040005328</v>
      </c>
      <c r="J101" s="42">
        <f>'Data Extraction &amp; Cleaning'!$C101</f>
        <v>-175.93</v>
      </c>
      <c r="K101" s="42">
        <f>IF('Data Extraction &amp; Cleaning'!$H101=1,-'Data Extraction &amp; Cleaning'!$J101,"")</f>
        <v>175.93</v>
      </c>
      <c r="L101" s="42" t="str">
        <f>IF('Data Extraction &amp; Cleaning'!$H101=2,'Data Extraction &amp; Cleaning'!$J101,IF(ISBLANK('Data Extraction &amp; Cleaning'!$H101),'Data Extraction &amp; Cleaning'!$J101,""))</f>
        <v/>
      </c>
    </row>
    <row r="102" spans="1:12" x14ac:dyDescent="0.2">
      <c r="A102" s="166">
        <v>45413</v>
      </c>
      <c r="B102" s="167" t="s">
        <v>232</v>
      </c>
      <c r="C102" s="168">
        <v>-646</v>
      </c>
      <c r="D102" s="168">
        <v>33943.699999999997</v>
      </c>
      <c r="E102" s="169" t="s">
        <v>303</v>
      </c>
      <c r="G102" s="43">
        <f>DATE(YEAR('Data Extraction &amp; Cleaning'!$A102)-1,MONTH('Data Extraction &amp; Cleaning'!$A102),DAY('Data Extraction &amp; Cleaning'!$A102))</f>
        <v>45047</v>
      </c>
      <c r="H102" s="42">
        <f>IF('Data Extraction &amp; Cleaning'!$J102&gt;0,2,1)</f>
        <v>1</v>
      </c>
      <c r="I102" s="42" t="str">
        <f>TRIM(CLEAN('Data Extraction &amp; Cleaning'!$B102&amp;'Data Extraction &amp; Cleaning'!$E102))</f>
        <v>Web Pay Utica Mutual Ins000001529630032 DIWALI I</v>
      </c>
      <c r="J102" s="42">
        <f>'Data Extraction &amp; Cleaning'!$C102</f>
        <v>-646</v>
      </c>
      <c r="K102" s="42">
        <f>IF('Data Extraction &amp; Cleaning'!$H102=1,-'Data Extraction &amp; Cleaning'!$J102,"")</f>
        <v>646</v>
      </c>
      <c r="L102" s="42" t="str">
        <f>IF('Data Extraction &amp; Cleaning'!$H102=2,'Data Extraction &amp; Cleaning'!$J102,IF(ISBLANK('Data Extraction &amp; Cleaning'!$H102),'Data Extraction &amp; Cleaning'!$J102,""))</f>
        <v/>
      </c>
    </row>
    <row r="103" spans="1:12" x14ac:dyDescent="0.2">
      <c r="A103" s="162">
        <v>45413</v>
      </c>
      <c r="B103" s="163" t="s">
        <v>204</v>
      </c>
      <c r="C103" s="164">
        <v>-1199.98</v>
      </c>
      <c r="D103" s="164">
        <v>32743.72</v>
      </c>
      <c r="E103" s="165" t="s">
        <v>304</v>
      </c>
      <c r="G103" s="43">
        <f>DATE(YEAR('Data Extraction &amp; Cleaning'!$A103)-1,MONTH('Data Extraction &amp; Cleaning'!$A103),DAY('Data Extraction &amp; Cleaning'!$A103))</f>
        <v>45047</v>
      </c>
      <c r="H103" s="42">
        <f>IF('Data Extraction &amp; Cleaning'!$J103&gt;0,2,1)</f>
        <v>1</v>
      </c>
      <c r="I103" s="42" t="str">
        <f>TRIM(CLEAN('Data Extraction &amp; Cleaning'!$B103&amp;'Data Extraction &amp; Cleaning'!$E103))</f>
        <v>ACTION CARTING EBill PayACH TRACE#711960040005301</v>
      </c>
      <c r="J103" s="42">
        <f>'Data Extraction &amp; Cleaning'!$C103</f>
        <v>-1199.98</v>
      </c>
      <c r="K103" s="42">
        <f>IF('Data Extraction &amp; Cleaning'!$H103=1,-'Data Extraction &amp; Cleaning'!$J103,"")</f>
        <v>1199.98</v>
      </c>
      <c r="L103" s="42" t="str">
        <f>IF('Data Extraction &amp; Cleaning'!$H103=2,'Data Extraction &amp; Cleaning'!$J103,IF(ISBLANK('Data Extraction &amp; Cleaning'!$H103),'Data Extraction &amp; Cleaning'!$J103,""))</f>
        <v/>
      </c>
    </row>
    <row r="104" spans="1:12" x14ac:dyDescent="0.2">
      <c r="A104" s="166">
        <v>45413</v>
      </c>
      <c r="B104" s="167" t="s">
        <v>203</v>
      </c>
      <c r="C104" s="168">
        <v>-18708.78</v>
      </c>
      <c r="D104" s="168">
        <v>14034.94</v>
      </c>
      <c r="E104" s="169" t="s">
        <v>215</v>
      </c>
      <c r="G104" s="43">
        <f>DATE(YEAR('Data Extraction &amp; Cleaning'!$A104)-1,MONTH('Data Extraction &amp; Cleaning'!$A104),DAY('Data Extraction &amp; Cleaning'!$A104))</f>
        <v>45047</v>
      </c>
      <c r="H104" s="42">
        <f>IF('Data Extraction &amp; Cleaning'!$J104&gt;0,2,1)</f>
        <v>1</v>
      </c>
      <c r="I104" s="42" t="str">
        <f>TRIM(CLEAN('Data Extraction &amp; Cleaning'!$B104&amp;'Data Extraction &amp; Cleaning'!$E104))</f>
        <v>Transfer to LoanAcct No. 1718003533</v>
      </c>
      <c r="J104" s="42">
        <f>'Data Extraction &amp; Cleaning'!$C104</f>
        <v>-18708.78</v>
      </c>
      <c r="K104" s="42">
        <f>IF('Data Extraction &amp; Cleaning'!$H104=1,-'Data Extraction &amp; Cleaning'!$J104,"")</f>
        <v>18708.78</v>
      </c>
      <c r="L104" s="42" t="str">
        <f>IF('Data Extraction &amp; Cleaning'!$H104=2,'Data Extraction &amp; Cleaning'!$J104,IF(ISBLANK('Data Extraction &amp; Cleaning'!$H104),'Data Extraction &amp; Cleaning'!$J104,""))</f>
        <v/>
      </c>
    </row>
    <row r="105" spans="1:12" x14ac:dyDescent="0.2">
      <c r="A105" s="162">
        <v>45414</v>
      </c>
      <c r="B105" s="163" t="s">
        <v>228</v>
      </c>
      <c r="C105" s="164">
        <v>7454.7</v>
      </c>
      <c r="D105" s="164">
        <v>21489.64</v>
      </c>
      <c r="E105" s="165" t="s">
        <v>305</v>
      </c>
      <c r="G105" s="43">
        <f>DATE(YEAR('Data Extraction &amp; Cleaning'!$A105)-1,MONTH('Data Extraction &amp; Cleaning'!$A105),DAY('Data Extraction &amp; Cleaning'!$A105))</f>
        <v>45048</v>
      </c>
      <c r="H105" s="42">
        <f>IF('Data Extraction &amp; Cleaning'!$J105&gt;0,2,1)</f>
        <v>2</v>
      </c>
      <c r="I105" s="42" t="str">
        <f>TRIM(CLEAN('Data Extraction &amp; Cleaning'!$B105&amp;'Data Extraction &amp; Cleaning'!$E105))</f>
        <v>ACH Pmt JPW DENTAL LLC11017673427 Diwali I</v>
      </c>
      <c r="J105" s="42">
        <f>'Data Extraction &amp; Cleaning'!$C105</f>
        <v>7454.7</v>
      </c>
      <c r="K105" s="42" t="str">
        <f>IF('Data Extraction &amp; Cleaning'!$H105=1,-'Data Extraction &amp; Cleaning'!$J105,"")</f>
        <v/>
      </c>
      <c r="L105" s="42">
        <f>IF('Data Extraction &amp; Cleaning'!$H105=2,'Data Extraction &amp; Cleaning'!$J105,IF(ISBLANK('Data Extraction &amp; Cleaning'!$H105),'Data Extraction &amp; Cleaning'!$J105,""))</f>
        <v>7454.7</v>
      </c>
    </row>
    <row r="106" spans="1:12" x14ac:dyDescent="0.2">
      <c r="A106" s="166">
        <v>45414</v>
      </c>
      <c r="B106" s="167" t="s">
        <v>228</v>
      </c>
      <c r="C106" s="168">
        <v>7454.7</v>
      </c>
      <c r="D106" s="168">
        <v>28944.34</v>
      </c>
      <c r="E106" s="169" t="s">
        <v>306</v>
      </c>
      <c r="G106" s="43">
        <f>DATE(YEAR('Data Extraction &amp; Cleaning'!$A106)-1,MONTH('Data Extraction &amp; Cleaning'!$A106),DAY('Data Extraction &amp; Cleaning'!$A106))</f>
        <v>45048</v>
      </c>
      <c r="H106" s="42">
        <f>IF('Data Extraction &amp; Cleaning'!$J106&gt;0,2,1)</f>
        <v>2</v>
      </c>
      <c r="I106" s="42" t="str">
        <f>TRIM(CLEAN('Data Extraction &amp; Cleaning'!$B106&amp;'Data Extraction &amp; Cleaning'!$E106))</f>
        <v>ACH Pmt JPW DENTAL LLC11017673441 Diwali I</v>
      </c>
      <c r="J106" s="42">
        <f>'Data Extraction &amp; Cleaning'!$C106</f>
        <v>7454.7</v>
      </c>
      <c r="K106" s="42" t="str">
        <f>IF('Data Extraction &amp; Cleaning'!$H106=1,-'Data Extraction &amp; Cleaning'!$J106,"")</f>
        <v/>
      </c>
      <c r="L106" s="42">
        <f>IF('Data Extraction &amp; Cleaning'!$H106=2,'Data Extraction &amp; Cleaning'!$J106,IF(ISBLANK('Data Extraction &amp; Cleaning'!$H106),'Data Extraction &amp; Cleaning'!$J106,""))</f>
        <v>7454.7</v>
      </c>
    </row>
    <row r="107" spans="1:12" x14ac:dyDescent="0.2">
      <c r="A107" s="162">
        <v>45415</v>
      </c>
      <c r="B107" s="163" t="s">
        <v>216</v>
      </c>
      <c r="C107" s="164">
        <v>2967.66</v>
      </c>
      <c r="D107" s="164">
        <v>31912</v>
      </c>
      <c r="E107" s="165"/>
      <c r="G107" s="43">
        <f>DATE(YEAR('Data Extraction &amp; Cleaning'!$A107)-1,MONTH('Data Extraction &amp; Cleaning'!$A107),DAY('Data Extraction &amp; Cleaning'!$A107))</f>
        <v>45049</v>
      </c>
      <c r="H107" s="42">
        <f>IF('Data Extraction &amp; Cleaning'!$J107&gt;0,2,1)</f>
        <v>2</v>
      </c>
      <c r="I107" s="42" t="str">
        <f>TRIM(CLEAN('Data Extraction &amp; Cleaning'!$B107&amp;'Data Extraction &amp; Cleaning'!$E107))</f>
        <v>RDC Deposit</v>
      </c>
      <c r="J107" s="42">
        <f>'Data Extraction &amp; Cleaning'!$C107</f>
        <v>2967.66</v>
      </c>
      <c r="K107" s="42" t="str">
        <f>IF('Data Extraction &amp; Cleaning'!$H107=1,-'Data Extraction &amp; Cleaning'!$J107,"")</f>
        <v/>
      </c>
      <c r="L107" s="42">
        <f>IF('Data Extraction &amp; Cleaning'!$H107=2,'Data Extraction &amp; Cleaning'!$J107,IF(ISBLANK('Data Extraction &amp; Cleaning'!$H107),'Data Extraction &amp; Cleaning'!$J107,""))</f>
        <v>2967.66</v>
      </c>
    </row>
    <row r="108" spans="1:12" x14ac:dyDescent="0.2">
      <c r="A108" s="166">
        <v>45416</v>
      </c>
      <c r="B108" s="167" t="s">
        <v>217</v>
      </c>
      <c r="C108" s="168">
        <v>-1100</v>
      </c>
      <c r="D108" s="168">
        <v>30812</v>
      </c>
      <c r="E108" s="169"/>
      <c r="G108" s="43">
        <f>DATE(YEAR('Data Extraction &amp; Cleaning'!$A108)-1,MONTH('Data Extraction &amp; Cleaning'!$A108),DAY('Data Extraction &amp; Cleaning'!$A108))</f>
        <v>45050</v>
      </c>
      <c r="H108" s="42">
        <f>IF('Data Extraction &amp; Cleaning'!$J108&gt;0,2,1)</f>
        <v>1</v>
      </c>
      <c r="I108" s="42" t="str">
        <f>TRIM(CLEAN('Data Extraction &amp; Cleaning'!$B108&amp;'Data Extraction &amp; Cleaning'!$E108))</f>
        <v>Total of 1 Check Presented</v>
      </c>
      <c r="J108" s="42">
        <f>'Data Extraction &amp; Cleaning'!$C108</f>
        <v>-1100</v>
      </c>
      <c r="K108" s="42">
        <f>IF('Data Extraction &amp; Cleaning'!$H108=1,-'Data Extraction &amp; Cleaning'!$J108,"")</f>
        <v>1100</v>
      </c>
      <c r="L108" s="42" t="str">
        <f>IF('Data Extraction &amp; Cleaning'!$H108=2,'Data Extraction &amp; Cleaning'!$J108,IF(ISBLANK('Data Extraction &amp; Cleaning'!$H108),'Data Extraction &amp; Cleaning'!$J108,""))</f>
        <v/>
      </c>
    </row>
    <row r="109" spans="1:12" x14ac:dyDescent="0.2">
      <c r="A109" s="162">
        <v>45417</v>
      </c>
      <c r="B109" s="163" t="s">
        <v>217</v>
      </c>
      <c r="C109" s="164">
        <v>-2500</v>
      </c>
      <c r="D109" s="164">
        <v>28312</v>
      </c>
      <c r="E109" s="165"/>
      <c r="G109" s="43">
        <f>DATE(YEAR('Data Extraction &amp; Cleaning'!$A109)-1,MONTH('Data Extraction &amp; Cleaning'!$A109),DAY('Data Extraction &amp; Cleaning'!$A109))</f>
        <v>45051</v>
      </c>
      <c r="H109" s="42">
        <f>IF('Data Extraction &amp; Cleaning'!$J109&gt;0,2,1)</f>
        <v>1</v>
      </c>
      <c r="I109" s="42" t="str">
        <f>TRIM(CLEAN('Data Extraction &amp; Cleaning'!$B109&amp;'Data Extraction &amp; Cleaning'!$E109))</f>
        <v>Total of 1 Check Presented</v>
      </c>
      <c r="J109" s="42">
        <f>'Data Extraction &amp; Cleaning'!$C109</f>
        <v>-2500</v>
      </c>
      <c r="K109" s="42">
        <f>IF('Data Extraction &amp; Cleaning'!$H109=1,-'Data Extraction &amp; Cleaning'!$J109,"")</f>
        <v>2500</v>
      </c>
      <c r="L109" s="42" t="str">
        <f>IF('Data Extraction &amp; Cleaning'!$H109=2,'Data Extraction &amp; Cleaning'!$J109,IF(ISBLANK('Data Extraction &amp; Cleaning'!$H109),'Data Extraction &amp; Cleaning'!$J109,""))</f>
        <v/>
      </c>
    </row>
    <row r="110" spans="1:12" x14ac:dyDescent="0.2">
      <c r="A110" s="166">
        <v>45421</v>
      </c>
      <c r="B110" s="167" t="s">
        <v>217</v>
      </c>
      <c r="C110" s="168">
        <v>-1200</v>
      </c>
      <c r="D110" s="168">
        <v>27112</v>
      </c>
      <c r="E110" s="169"/>
      <c r="G110" s="43">
        <f>DATE(YEAR('Data Extraction &amp; Cleaning'!$A110)-1,MONTH('Data Extraction &amp; Cleaning'!$A110),DAY('Data Extraction &amp; Cleaning'!$A110))</f>
        <v>45055</v>
      </c>
      <c r="H110" s="42">
        <f>IF('Data Extraction &amp; Cleaning'!$J110&gt;0,2,1)</f>
        <v>1</v>
      </c>
      <c r="I110" s="42" t="str">
        <f>TRIM(CLEAN('Data Extraction &amp; Cleaning'!$B110&amp;'Data Extraction &amp; Cleaning'!$E110))</f>
        <v>Total of 1 Check Presented</v>
      </c>
      <c r="J110" s="42">
        <f>'Data Extraction &amp; Cleaning'!$C110</f>
        <v>-1200</v>
      </c>
      <c r="K110" s="42">
        <f>IF('Data Extraction &amp; Cleaning'!$H110=1,-'Data Extraction &amp; Cleaning'!$J110,"")</f>
        <v>1200</v>
      </c>
      <c r="L110" s="42" t="str">
        <f>IF('Data Extraction &amp; Cleaning'!$H110=2,'Data Extraction &amp; Cleaning'!$J110,IF(ISBLANK('Data Extraction &amp; Cleaning'!$H110),'Data Extraction &amp; Cleaning'!$J110,""))</f>
        <v/>
      </c>
    </row>
    <row r="111" spans="1:12" x14ac:dyDescent="0.2">
      <c r="A111" s="162">
        <v>45422</v>
      </c>
      <c r="B111" s="163" t="s">
        <v>206</v>
      </c>
      <c r="C111" s="164">
        <v>-273.77</v>
      </c>
      <c r="D111" s="164">
        <v>26838.23</v>
      </c>
      <c r="E111" s="165" t="s">
        <v>307</v>
      </c>
      <c r="G111" s="43">
        <f>DATE(YEAR('Data Extraction &amp; Cleaning'!$A111)-1,MONTH('Data Extraction &amp; Cleaning'!$A111),DAY('Data Extraction &amp; Cleaning'!$A111))</f>
        <v>45056</v>
      </c>
      <c r="H111" s="42">
        <f>IF('Data Extraction &amp; Cleaning'!$J111&gt;0,2,1)</f>
        <v>1</v>
      </c>
      <c r="I111" s="42" t="str">
        <f>TRIM(CLEAN('Data Extraction &amp; Cleaning'!$B111&amp;'Data Extraction &amp; Cleaning'!$E111))</f>
        <v>VEOLIA WATER Bill PayACH TRACE#711960040002635</v>
      </c>
      <c r="J111" s="42">
        <f>'Data Extraction &amp; Cleaning'!$C111</f>
        <v>-273.77</v>
      </c>
      <c r="K111" s="42">
        <f>IF('Data Extraction &amp; Cleaning'!$H111=1,-'Data Extraction &amp; Cleaning'!$J111,"")</f>
        <v>273.77</v>
      </c>
      <c r="L111" s="42" t="str">
        <f>IF('Data Extraction &amp; Cleaning'!$H111=2,'Data Extraction &amp; Cleaning'!$J111,IF(ISBLANK('Data Extraction &amp; Cleaning'!$H111),'Data Extraction &amp; Cleaning'!$J111,""))</f>
        <v/>
      </c>
    </row>
    <row r="112" spans="1:12" x14ac:dyDescent="0.2">
      <c r="A112" s="166">
        <v>45424</v>
      </c>
      <c r="B112" s="167" t="s">
        <v>216</v>
      </c>
      <c r="C112" s="168">
        <v>2944.63</v>
      </c>
      <c r="D112" s="168">
        <v>29782.86</v>
      </c>
      <c r="E112" s="169"/>
      <c r="G112" s="43">
        <f>DATE(YEAR('Data Extraction &amp; Cleaning'!$A112)-1,MONTH('Data Extraction &amp; Cleaning'!$A112),DAY('Data Extraction &amp; Cleaning'!$A112))</f>
        <v>45058</v>
      </c>
      <c r="H112" s="42">
        <f>IF('Data Extraction &amp; Cleaning'!$J112&gt;0,2,1)</f>
        <v>2</v>
      </c>
      <c r="I112" s="42" t="str">
        <f>TRIM(CLEAN('Data Extraction &amp; Cleaning'!$B112&amp;'Data Extraction &amp; Cleaning'!$E112))</f>
        <v>RDC Deposit</v>
      </c>
      <c r="J112" s="42">
        <f>'Data Extraction &amp; Cleaning'!$C112</f>
        <v>2944.63</v>
      </c>
      <c r="K112" s="42" t="str">
        <f>IF('Data Extraction &amp; Cleaning'!$H112=1,-'Data Extraction &amp; Cleaning'!$J112,"")</f>
        <v/>
      </c>
      <c r="L112" s="42">
        <f>IF('Data Extraction &amp; Cleaning'!$H112=2,'Data Extraction &amp; Cleaning'!$J112,IF(ISBLANK('Data Extraction &amp; Cleaning'!$H112),'Data Extraction &amp; Cleaning'!$J112,""))</f>
        <v>2944.63</v>
      </c>
    </row>
    <row r="113" spans="1:12" x14ac:dyDescent="0.2">
      <c r="A113" s="162">
        <v>45429</v>
      </c>
      <c r="B113" s="163" t="s">
        <v>216</v>
      </c>
      <c r="C113" s="164">
        <v>8923.35</v>
      </c>
      <c r="D113" s="164">
        <v>38706.21</v>
      </c>
      <c r="E113" s="165"/>
      <c r="G113" s="43">
        <f>DATE(YEAR('Data Extraction &amp; Cleaning'!$A113)-1,MONTH('Data Extraction &amp; Cleaning'!$A113),DAY('Data Extraction &amp; Cleaning'!$A113))</f>
        <v>45063</v>
      </c>
      <c r="H113" s="42">
        <f>IF('Data Extraction &amp; Cleaning'!$J113&gt;0,2,1)</f>
        <v>2</v>
      </c>
      <c r="I113" s="42" t="str">
        <f>TRIM(CLEAN('Data Extraction &amp; Cleaning'!$B113&amp;'Data Extraction &amp; Cleaning'!$E113))</f>
        <v>RDC Deposit</v>
      </c>
      <c r="J113" s="42">
        <f>'Data Extraction &amp; Cleaning'!$C113</f>
        <v>8923.35</v>
      </c>
      <c r="K113" s="42" t="str">
        <f>IF('Data Extraction &amp; Cleaning'!$H113=1,-'Data Extraction &amp; Cleaning'!$J113,"")</f>
        <v/>
      </c>
      <c r="L113" s="42">
        <f>IF('Data Extraction &amp; Cleaning'!$H113=2,'Data Extraction &amp; Cleaning'!$J113,IF(ISBLANK('Data Extraction &amp; Cleaning'!$H113),'Data Extraction &amp; Cleaning'!$J113,""))</f>
        <v>8923.35</v>
      </c>
    </row>
    <row r="114" spans="1:12" x14ac:dyDescent="0.2">
      <c r="A114" s="166">
        <v>45429</v>
      </c>
      <c r="B114" s="167" t="s">
        <v>217</v>
      </c>
      <c r="C114" s="168">
        <v>-880</v>
      </c>
      <c r="D114" s="168">
        <v>37826.21</v>
      </c>
      <c r="E114" s="169"/>
      <c r="G114" s="43">
        <f>DATE(YEAR('Data Extraction &amp; Cleaning'!$A114)-1,MONTH('Data Extraction &amp; Cleaning'!$A114),DAY('Data Extraction &amp; Cleaning'!$A114))</f>
        <v>45063</v>
      </c>
      <c r="H114" s="42">
        <f>IF('Data Extraction &amp; Cleaning'!$J114&gt;0,2,1)</f>
        <v>1</v>
      </c>
      <c r="I114" s="42" t="str">
        <f>TRIM(CLEAN('Data Extraction &amp; Cleaning'!$B114&amp;'Data Extraction &amp; Cleaning'!$E114))</f>
        <v>Total of 1 Check Presented</v>
      </c>
      <c r="J114" s="42">
        <f>'Data Extraction &amp; Cleaning'!$C114</f>
        <v>-880</v>
      </c>
      <c r="K114" s="42">
        <f>IF('Data Extraction &amp; Cleaning'!$H114=1,-'Data Extraction &amp; Cleaning'!$J114,"")</f>
        <v>880</v>
      </c>
      <c r="L114" s="42" t="str">
        <f>IF('Data Extraction &amp; Cleaning'!$H114=2,'Data Extraction &amp; Cleaning'!$J114,IF(ISBLANK('Data Extraction &amp; Cleaning'!$H114),'Data Extraction &amp; Cleaning'!$J114,""))</f>
        <v/>
      </c>
    </row>
    <row r="115" spans="1:12" x14ac:dyDescent="0.2">
      <c r="A115" s="162">
        <v>45429</v>
      </c>
      <c r="B115" s="163" t="s">
        <v>208</v>
      </c>
      <c r="C115" s="164">
        <v>-41.83</v>
      </c>
      <c r="D115" s="164">
        <v>37784.379999999997</v>
      </c>
      <c r="E115" s="165" t="s">
        <v>308</v>
      </c>
      <c r="G115" s="43">
        <f>DATE(YEAR('Data Extraction &amp; Cleaning'!$A115)-1,MONTH('Data Extraction &amp; Cleaning'!$A115),DAY('Data Extraction &amp; Cleaning'!$A115))</f>
        <v>45063</v>
      </c>
      <c r="H115" s="42">
        <f>IF('Data Extraction &amp; Cleaning'!$J115&gt;0,2,1)</f>
        <v>1</v>
      </c>
      <c r="I115" s="42" t="str">
        <f>TRIM(CLEAN('Data Extraction &amp; Cleaning'!$B115&amp;'Data Extraction &amp; Cleaning'!$E115))</f>
        <v>PUBLIC SERVICE PSEGACH TRACE#091000013968232</v>
      </c>
      <c r="J115" s="42">
        <f>'Data Extraction &amp; Cleaning'!$C115</f>
        <v>-41.83</v>
      </c>
      <c r="K115" s="42">
        <f>IF('Data Extraction &amp; Cleaning'!$H115=1,-'Data Extraction &amp; Cleaning'!$J115,"")</f>
        <v>41.83</v>
      </c>
      <c r="L115" s="42" t="str">
        <f>IF('Data Extraction &amp; Cleaning'!$H115=2,'Data Extraction &amp; Cleaning'!$J115,IF(ISBLANK('Data Extraction &amp; Cleaning'!$H115),'Data Extraction &amp; Cleaning'!$J115,""))</f>
        <v/>
      </c>
    </row>
    <row r="116" spans="1:12" x14ac:dyDescent="0.2">
      <c r="A116" s="166">
        <v>45429</v>
      </c>
      <c r="B116" s="167" t="s">
        <v>208</v>
      </c>
      <c r="C116" s="168">
        <v>-1984.23</v>
      </c>
      <c r="D116" s="168">
        <v>35800.15</v>
      </c>
      <c r="E116" s="169" t="s">
        <v>309</v>
      </c>
      <c r="G116" s="43">
        <f>DATE(YEAR('Data Extraction &amp; Cleaning'!$A116)-1,MONTH('Data Extraction &amp; Cleaning'!$A116),DAY('Data Extraction &amp; Cleaning'!$A116))</f>
        <v>45063</v>
      </c>
      <c r="H116" s="42">
        <f>IF('Data Extraction &amp; Cleaning'!$J116&gt;0,2,1)</f>
        <v>1</v>
      </c>
      <c r="I116" s="42" t="str">
        <f>TRIM(CLEAN('Data Extraction &amp; Cleaning'!$B116&amp;'Data Extraction &amp; Cleaning'!$E116))</f>
        <v>PUBLIC SERVICE PSEGACH TRACE#091000013983809</v>
      </c>
      <c r="J116" s="42">
        <f>'Data Extraction &amp; Cleaning'!$C116</f>
        <v>-1984.23</v>
      </c>
      <c r="K116" s="42">
        <f>IF('Data Extraction &amp; Cleaning'!$H116=1,-'Data Extraction &amp; Cleaning'!$J116,"")</f>
        <v>1984.23</v>
      </c>
      <c r="L116" s="42" t="str">
        <f>IF('Data Extraction &amp; Cleaning'!$H116=2,'Data Extraction &amp; Cleaning'!$J116,IF(ISBLANK('Data Extraction &amp; Cleaning'!$H116),'Data Extraction &amp; Cleaning'!$J116,""))</f>
        <v/>
      </c>
    </row>
    <row r="117" spans="1:12" x14ac:dyDescent="0.2">
      <c r="A117" s="162">
        <v>45435</v>
      </c>
      <c r="B117" s="163" t="s">
        <v>217</v>
      </c>
      <c r="C117" s="164">
        <v>-535</v>
      </c>
      <c r="D117" s="164">
        <v>35265.15</v>
      </c>
      <c r="E117" s="165"/>
      <c r="G117" s="43">
        <f>DATE(YEAR('Data Extraction &amp; Cleaning'!$A117)-1,MONTH('Data Extraction &amp; Cleaning'!$A117),DAY('Data Extraction &amp; Cleaning'!$A117))</f>
        <v>45069</v>
      </c>
      <c r="H117" s="42">
        <f>IF('Data Extraction &amp; Cleaning'!$J117&gt;0,2,1)</f>
        <v>1</v>
      </c>
      <c r="I117" s="42" t="str">
        <f>TRIM(CLEAN('Data Extraction &amp; Cleaning'!$B117&amp;'Data Extraction &amp; Cleaning'!$E117))</f>
        <v>Total of 1 Check Presented</v>
      </c>
      <c r="J117" s="42">
        <f>'Data Extraction &amp; Cleaning'!$C117</f>
        <v>-535</v>
      </c>
      <c r="K117" s="42">
        <f>IF('Data Extraction &amp; Cleaning'!$H117=1,-'Data Extraction &amp; Cleaning'!$J117,"")</f>
        <v>535</v>
      </c>
      <c r="L117" s="42" t="str">
        <f>IF('Data Extraction &amp; Cleaning'!$H117=2,'Data Extraction &amp; Cleaning'!$J117,IF(ISBLANK('Data Extraction &amp; Cleaning'!$H117),'Data Extraction &amp; Cleaning'!$J117,""))</f>
        <v/>
      </c>
    </row>
    <row r="118" spans="1:12" x14ac:dyDescent="0.2">
      <c r="A118" s="166">
        <v>45438</v>
      </c>
      <c r="B118" s="167" t="s">
        <v>209</v>
      </c>
      <c r="C118" s="168">
        <v>-420.92</v>
      </c>
      <c r="D118" s="168">
        <v>34844.230000000003</v>
      </c>
      <c r="E118" s="169" t="s">
        <v>310</v>
      </c>
      <c r="G118" s="43">
        <f>DATE(YEAR('Data Extraction &amp; Cleaning'!$A118)-1,MONTH('Data Extraction &amp; Cleaning'!$A118),DAY('Data Extraction &amp; Cleaning'!$A118))</f>
        <v>45072</v>
      </c>
      <c r="H118" s="42">
        <f>IF('Data Extraction &amp; Cleaning'!$J118&gt;0,2,1)</f>
        <v>1</v>
      </c>
      <c r="I118" s="42" t="str">
        <f>TRIM(CLEAN('Data Extraction &amp; Cleaning'!$B118&amp;'Data Extraction &amp; Cleaning'!$E118))</f>
        <v>TIME WARNER CABLBill PayACH TRACE#711960040002831</v>
      </c>
      <c r="J118" s="42">
        <f>'Data Extraction &amp; Cleaning'!$C118</f>
        <v>-420.92</v>
      </c>
      <c r="K118" s="42">
        <f>IF('Data Extraction &amp; Cleaning'!$H118=1,-'Data Extraction &amp; Cleaning'!$J118,"")</f>
        <v>420.92</v>
      </c>
      <c r="L118" s="42" t="str">
        <f>IF('Data Extraction &amp; Cleaning'!$H118=2,'Data Extraction &amp; Cleaning'!$J118,IF(ISBLANK('Data Extraction &amp; Cleaning'!$H118),'Data Extraction &amp; Cleaning'!$J118,""))</f>
        <v/>
      </c>
    </row>
    <row r="119" spans="1:12" x14ac:dyDescent="0.2">
      <c r="A119" s="173">
        <v>45443</v>
      </c>
      <c r="B119" s="174" t="s">
        <v>232</v>
      </c>
      <c r="C119" s="157">
        <v>-646</v>
      </c>
      <c r="D119" s="157">
        <v>34198.230000000003</v>
      </c>
      <c r="E119" s="175" t="s">
        <v>311</v>
      </c>
      <c r="G119" s="43">
        <f>DATE(YEAR('Data Extraction &amp; Cleaning'!$A119)-1,MONTH('Data Extraction &amp; Cleaning'!$A119),DAY('Data Extraction &amp; Cleaning'!$A119))</f>
        <v>45077</v>
      </c>
      <c r="H119" s="42">
        <f>IF('Data Extraction &amp; Cleaning'!$J119&gt;0,2,1)</f>
        <v>1</v>
      </c>
      <c r="I119" s="42" t="str">
        <f>TRIM(CLEAN('Data Extraction &amp; Cleaning'!$B119&amp;'Data Extraction &amp; Cleaning'!$E119))</f>
        <v>Web Pay Utica Mutual Ins000001537895284 DIWALI I</v>
      </c>
      <c r="J119" s="42">
        <f>'Data Extraction &amp; Cleaning'!$C119</f>
        <v>-646</v>
      </c>
      <c r="K119" s="42">
        <f>IF('Data Extraction &amp; Cleaning'!$H119=1,-'Data Extraction &amp; Cleaning'!$J119,"")</f>
        <v>646</v>
      </c>
      <c r="L119" s="42" t="str">
        <f>IF('Data Extraction &amp; Cleaning'!$H119=2,'Data Extraction &amp; Cleaning'!$J119,IF(ISBLANK('Data Extraction &amp; Cleaning'!$H119),'Data Extraction &amp; Cleaning'!$J119,""))</f>
        <v/>
      </c>
    </row>
    <row r="120" spans="1:12" x14ac:dyDescent="0.2">
      <c r="G120" s="43"/>
    </row>
    <row r="121" spans="1:12" x14ac:dyDescent="0.2">
      <c r="G121" s="43"/>
    </row>
    <row r="122" spans="1:12" x14ac:dyDescent="0.2">
      <c r="A122" s="159" t="s">
        <v>322</v>
      </c>
      <c r="B122" s="160" t="s">
        <v>323</v>
      </c>
      <c r="C122" s="160" t="s">
        <v>324</v>
      </c>
      <c r="D122" s="160" t="s">
        <v>325</v>
      </c>
      <c r="E122" s="161" t="s">
        <v>326</v>
      </c>
      <c r="G122" s="41" t="s">
        <v>14</v>
      </c>
      <c r="H122" s="41" t="s">
        <v>248</v>
      </c>
      <c r="I122" s="41" t="s">
        <v>15</v>
      </c>
      <c r="J122" s="41" t="s">
        <v>202</v>
      </c>
      <c r="K122" s="41" t="s">
        <v>46</v>
      </c>
      <c r="L122" s="41" t="s">
        <v>47</v>
      </c>
    </row>
    <row r="123" spans="1:12" x14ac:dyDescent="0.2">
      <c r="A123" s="162">
        <v>45444</v>
      </c>
      <c r="B123" s="163" t="s">
        <v>228</v>
      </c>
      <c r="C123" s="164">
        <v>7454.7</v>
      </c>
      <c r="D123" s="176">
        <v>41652.93</v>
      </c>
      <c r="E123" s="165" t="s">
        <v>327</v>
      </c>
      <c r="G123" s="43">
        <f>DATE(YEAR('Data Extraction &amp; Cleaning'!$A123)-1,MONTH('Data Extraction &amp; Cleaning'!$A123),DAY('Data Extraction &amp; Cleaning'!$A123))</f>
        <v>45078</v>
      </c>
      <c r="H123" s="42">
        <f>IF('Data Extraction &amp; Cleaning'!$J123&gt;0,2,1)</f>
        <v>2</v>
      </c>
      <c r="I123" s="42" t="str">
        <f>TRIM(CLEAN('Data Extraction &amp; Cleaning'!$B123&amp;'Data Extraction &amp; Cleaning'!$E123))</f>
        <v>ACH Pmt JPW DENTAL LLC11017673460 Diwali I</v>
      </c>
      <c r="J123" s="42">
        <f>'Data Extraction &amp; Cleaning'!$C123</f>
        <v>7454.7</v>
      </c>
      <c r="K123" s="42" t="str">
        <f>IF('Data Extraction &amp; Cleaning'!$H123=1,-'Data Extraction &amp; Cleaning'!$J123,"")</f>
        <v/>
      </c>
      <c r="L123" s="42">
        <f>IF('Data Extraction &amp; Cleaning'!$H123=2,'Data Extraction &amp; Cleaning'!$J123,IF(ISBLANK('Data Extraction &amp; Cleaning'!$H123),'Data Extraction &amp; Cleaning'!$J123,""))</f>
        <v>7454.7</v>
      </c>
    </row>
    <row r="124" spans="1:12" x14ac:dyDescent="0.2">
      <c r="A124" s="166">
        <v>45444</v>
      </c>
      <c r="B124" s="167" t="s">
        <v>203</v>
      </c>
      <c r="C124" s="168">
        <v>-18708.78</v>
      </c>
      <c r="D124" s="177">
        <v>22944.15</v>
      </c>
      <c r="E124" s="169" t="s">
        <v>328</v>
      </c>
      <c r="G124" s="43">
        <f>DATE(YEAR('Data Extraction &amp; Cleaning'!$A124)-1,MONTH('Data Extraction &amp; Cleaning'!$A124),DAY('Data Extraction &amp; Cleaning'!$A124))</f>
        <v>45078</v>
      </c>
      <c r="H124" s="42">
        <f>IF('Data Extraction &amp; Cleaning'!$J124&gt;0,2,1)</f>
        <v>1</v>
      </c>
      <c r="I124" s="42" t="str">
        <f>TRIM(CLEAN('Data Extraction &amp; Cleaning'!$B124&amp;'Data Extraction &amp; Cleaning'!$E124))</f>
        <v>Transfer to LoanAcct No. XXXXXX3533</v>
      </c>
      <c r="J124" s="42">
        <f>'Data Extraction &amp; Cleaning'!$C124</f>
        <v>-18708.78</v>
      </c>
      <c r="K124" s="42">
        <f>IF('Data Extraction &amp; Cleaning'!$H124=1,-'Data Extraction &amp; Cleaning'!$J124,"")</f>
        <v>18708.78</v>
      </c>
      <c r="L124" s="42" t="str">
        <f>IF('Data Extraction &amp; Cleaning'!$H124=2,'Data Extraction &amp; Cleaning'!$J124,IF(ISBLANK('Data Extraction &amp; Cleaning'!$H124),'Data Extraction &amp; Cleaning'!$J124,""))</f>
        <v/>
      </c>
    </row>
    <row r="125" spans="1:12" x14ac:dyDescent="0.2">
      <c r="A125" s="162">
        <v>45445</v>
      </c>
      <c r="B125" s="163" t="s">
        <v>217</v>
      </c>
      <c r="C125" s="164">
        <v>-2500</v>
      </c>
      <c r="D125" s="176">
        <v>20444.150000000001</v>
      </c>
      <c r="E125" s="165"/>
      <c r="G125" s="43">
        <f>DATE(YEAR('Data Extraction &amp; Cleaning'!$A125)-1,MONTH('Data Extraction &amp; Cleaning'!$A125),DAY('Data Extraction &amp; Cleaning'!$A125))</f>
        <v>45079</v>
      </c>
      <c r="H125" s="42">
        <f>IF('Data Extraction &amp; Cleaning'!$J125&gt;0,2,1)</f>
        <v>1</v>
      </c>
      <c r="I125" s="42" t="str">
        <f>TRIM(CLEAN('Data Extraction &amp; Cleaning'!$B125&amp;'Data Extraction &amp; Cleaning'!$E125))</f>
        <v>Total of 1 Check Presented</v>
      </c>
      <c r="J125" s="42">
        <f>'Data Extraction &amp; Cleaning'!$C125</f>
        <v>-2500</v>
      </c>
      <c r="K125" s="42">
        <f>IF('Data Extraction &amp; Cleaning'!$H125=1,-'Data Extraction &amp; Cleaning'!$J125,"")</f>
        <v>2500</v>
      </c>
      <c r="L125" s="42" t="str">
        <f>IF('Data Extraction &amp; Cleaning'!$H125=2,'Data Extraction &amp; Cleaning'!$J125,IF(ISBLANK('Data Extraction &amp; Cleaning'!$H125),'Data Extraction &amp; Cleaning'!$J125,""))</f>
        <v/>
      </c>
    </row>
    <row r="126" spans="1:12" x14ac:dyDescent="0.2">
      <c r="A126" s="166">
        <v>45445</v>
      </c>
      <c r="B126" s="167" t="s">
        <v>204</v>
      </c>
      <c r="C126" s="168">
        <v>-599.99</v>
      </c>
      <c r="D126" s="177">
        <v>19844.16</v>
      </c>
      <c r="E126" s="169" t="s">
        <v>329</v>
      </c>
      <c r="G126" s="43">
        <f>DATE(YEAR('Data Extraction &amp; Cleaning'!$A126)-1,MONTH('Data Extraction &amp; Cleaning'!$A126),DAY('Data Extraction &amp; Cleaning'!$A126))</f>
        <v>45079</v>
      </c>
      <c r="H126" s="42">
        <f>IF('Data Extraction &amp; Cleaning'!$J126&gt;0,2,1)</f>
        <v>1</v>
      </c>
      <c r="I126" s="42" t="str">
        <f>TRIM(CLEAN('Data Extraction &amp; Cleaning'!$B126&amp;'Data Extraction &amp; Cleaning'!$E126))</f>
        <v>ACTION CARTING EBill PayACH TRACE#711960040003529</v>
      </c>
      <c r="J126" s="42">
        <f>'Data Extraction &amp; Cleaning'!$C126</f>
        <v>-599.99</v>
      </c>
      <c r="K126" s="42">
        <f>IF('Data Extraction &amp; Cleaning'!$H126=1,-'Data Extraction &amp; Cleaning'!$J126,"")</f>
        <v>599.99</v>
      </c>
      <c r="L126" s="42" t="str">
        <f>IF('Data Extraction &amp; Cleaning'!$H126=2,'Data Extraction &amp; Cleaning'!$J126,IF(ISBLANK('Data Extraction &amp; Cleaning'!$H126),'Data Extraction &amp; Cleaning'!$J126,""))</f>
        <v/>
      </c>
    </row>
    <row r="127" spans="1:12" x14ac:dyDescent="0.2">
      <c r="A127" s="162">
        <v>45448</v>
      </c>
      <c r="B127" s="163" t="s">
        <v>216</v>
      </c>
      <c r="C127" s="164">
        <v>20836.59</v>
      </c>
      <c r="D127" s="176">
        <v>40680.75</v>
      </c>
      <c r="E127" s="165"/>
      <c r="G127" s="43">
        <f>DATE(YEAR('Data Extraction &amp; Cleaning'!$A127)-1,MONTH('Data Extraction &amp; Cleaning'!$A127),DAY('Data Extraction &amp; Cleaning'!$A127))</f>
        <v>45082</v>
      </c>
      <c r="H127" s="42">
        <f>IF('Data Extraction &amp; Cleaning'!$J127&gt;0,2,1)</f>
        <v>2</v>
      </c>
      <c r="I127" s="42" t="str">
        <f>TRIM(CLEAN('Data Extraction &amp; Cleaning'!$B127&amp;'Data Extraction &amp; Cleaning'!$E127))</f>
        <v>RDC Deposit</v>
      </c>
      <c r="J127" s="42">
        <f>'Data Extraction &amp; Cleaning'!$C127</f>
        <v>20836.59</v>
      </c>
      <c r="K127" s="42" t="str">
        <f>IF('Data Extraction &amp; Cleaning'!$H127=1,-'Data Extraction &amp; Cleaning'!$J127,"")</f>
        <v/>
      </c>
      <c r="L127" s="42">
        <f>IF('Data Extraction &amp; Cleaning'!$H127=2,'Data Extraction &amp; Cleaning'!$J127,IF(ISBLANK('Data Extraction &amp; Cleaning'!$H127),'Data Extraction &amp; Cleaning'!$J127,""))</f>
        <v>20836.59</v>
      </c>
    </row>
    <row r="128" spans="1:12" x14ac:dyDescent="0.2">
      <c r="A128" s="166">
        <v>45448</v>
      </c>
      <c r="B128" s="167" t="s">
        <v>217</v>
      </c>
      <c r="C128" s="168">
        <v>-1100.44</v>
      </c>
      <c r="D128" s="177">
        <v>39580.31</v>
      </c>
      <c r="E128" s="169"/>
      <c r="G128" s="43">
        <f>DATE(YEAR('Data Extraction &amp; Cleaning'!$A128)-1,MONTH('Data Extraction &amp; Cleaning'!$A128),DAY('Data Extraction &amp; Cleaning'!$A128))</f>
        <v>45082</v>
      </c>
      <c r="H128" s="42">
        <f>IF('Data Extraction &amp; Cleaning'!$J128&gt;0,2,1)</f>
        <v>1</v>
      </c>
      <c r="I128" s="42" t="str">
        <f>TRIM(CLEAN('Data Extraction &amp; Cleaning'!$B128&amp;'Data Extraction &amp; Cleaning'!$E128))</f>
        <v>Total of 1 Check Presented</v>
      </c>
      <c r="J128" s="42">
        <f>'Data Extraction &amp; Cleaning'!$C128</f>
        <v>-1100.44</v>
      </c>
      <c r="K128" s="42">
        <f>IF('Data Extraction &amp; Cleaning'!$H128=1,-'Data Extraction &amp; Cleaning'!$J128,"")</f>
        <v>1100.44</v>
      </c>
      <c r="L128" s="42" t="str">
        <f>IF('Data Extraction &amp; Cleaning'!$H128=2,'Data Extraction &amp; Cleaning'!$J128,IF(ISBLANK('Data Extraction &amp; Cleaning'!$H128),'Data Extraction &amp; Cleaning'!$J128,""))</f>
        <v/>
      </c>
    </row>
    <row r="129" spans="1:12" x14ac:dyDescent="0.2">
      <c r="A129" s="162">
        <v>45449</v>
      </c>
      <c r="B129" s="163" t="s">
        <v>330</v>
      </c>
      <c r="C129" s="164">
        <v>0.4</v>
      </c>
      <c r="D129" s="176">
        <v>39580.71</v>
      </c>
      <c r="E129" s="165"/>
      <c r="G129" s="43">
        <f>DATE(YEAR('Data Extraction &amp; Cleaning'!$A129)-1,MONTH('Data Extraction &amp; Cleaning'!$A129),DAY('Data Extraction &amp; Cleaning'!$A129))</f>
        <v>45083</v>
      </c>
      <c r="H129" s="42">
        <f>IF('Data Extraction &amp; Cleaning'!$J129&gt;0,2,1)</f>
        <v>2</v>
      </c>
      <c r="I129" s="42" t="str">
        <f>TRIM(CLEAN('Data Extraction &amp; Cleaning'!$B129&amp;'Data Extraction &amp; Cleaning'!$E129))</f>
        <v>Encoding error</v>
      </c>
      <c r="J129" s="42">
        <f>'Data Extraction &amp; Cleaning'!$C129</f>
        <v>0.4</v>
      </c>
      <c r="K129" s="42" t="str">
        <f>IF('Data Extraction &amp; Cleaning'!$H129=1,-'Data Extraction &amp; Cleaning'!$J129,"")</f>
        <v/>
      </c>
      <c r="L129" s="42">
        <f>IF('Data Extraction &amp; Cleaning'!$H129=2,'Data Extraction &amp; Cleaning'!$J129,IF(ISBLANK('Data Extraction &amp; Cleaning'!$H129),'Data Extraction &amp; Cleaning'!$J129,""))</f>
        <v>0.4</v>
      </c>
    </row>
    <row r="130" spans="1:12" x14ac:dyDescent="0.2">
      <c r="A130" s="166">
        <v>45449</v>
      </c>
      <c r="B130" s="167" t="s">
        <v>205</v>
      </c>
      <c r="C130" s="168">
        <v>-780</v>
      </c>
      <c r="D130" s="177">
        <v>38800.71</v>
      </c>
      <c r="E130" s="169" t="s">
        <v>331</v>
      </c>
      <c r="G130" s="43">
        <f>DATE(YEAR('Data Extraction &amp; Cleaning'!$A130)-1,MONTH('Data Extraction &amp; Cleaning'!$A130),DAY('Data Extraction &amp; Cleaning'!$A130))</f>
        <v>45083</v>
      </c>
      <c r="H130" s="42">
        <f>IF('Data Extraction &amp; Cleaning'!$J130&gt;0,2,1)</f>
        <v>1</v>
      </c>
      <c r="I130" s="42" t="str">
        <f>TRIM(CLEAN('Data Extraction &amp; Cleaning'!$B130&amp;'Data Extraction &amp; Cleaning'!$E130))</f>
        <v>FIRE PREVENTION Bill PayACH TRACE#711960040002356</v>
      </c>
      <c r="J130" s="42">
        <f>'Data Extraction &amp; Cleaning'!$C130</f>
        <v>-780</v>
      </c>
      <c r="K130" s="42">
        <f>IF('Data Extraction &amp; Cleaning'!$H130=1,-'Data Extraction &amp; Cleaning'!$J130,"")</f>
        <v>780</v>
      </c>
      <c r="L130" s="42" t="str">
        <f>IF('Data Extraction &amp; Cleaning'!$H130=2,'Data Extraction &amp; Cleaning'!$J130,IF(ISBLANK('Data Extraction &amp; Cleaning'!$H130),'Data Extraction &amp; Cleaning'!$J130,""))</f>
        <v/>
      </c>
    </row>
    <row r="131" spans="1:12" x14ac:dyDescent="0.2">
      <c r="A131" s="162">
        <v>45451</v>
      </c>
      <c r="B131" s="163" t="s">
        <v>216</v>
      </c>
      <c r="C131" s="164">
        <v>42961.279999999999</v>
      </c>
      <c r="D131" s="176">
        <v>81761.990000000005</v>
      </c>
      <c r="E131" s="165"/>
      <c r="G131" s="43">
        <f>DATE(YEAR('Data Extraction &amp; Cleaning'!$A131)-1,MONTH('Data Extraction &amp; Cleaning'!$A131),DAY('Data Extraction &amp; Cleaning'!$A131))</f>
        <v>45085</v>
      </c>
      <c r="H131" s="42">
        <f>IF('Data Extraction &amp; Cleaning'!$J131&gt;0,2,1)</f>
        <v>2</v>
      </c>
      <c r="I131" s="42" t="str">
        <f>TRIM(CLEAN('Data Extraction &amp; Cleaning'!$B131&amp;'Data Extraction &amp; Cleaning'!$E131))</f>
        <v>RDC Deposit</v>
      </c>
      <c r="J131" s="42">
        <f>'Data Extraction &amp; Cleaning'!$C131</f>
        <v>42961.279999999999</v>
      </c>
      <c r="K131" s="42" t="str">
        <f>IF('Data Extraction &amp; Cleaning'!$H131=1,-'Data Extraction &amp; Cleaning'!$J131,"")</f>
        <v/>
      </c>
      <c r="L131" s="42">
        <f>IF('Data Extraction &amp; Cleaning'!$H131=2,'Data Extraction &amp; Cleaning'!$J131,IF(ISBLANK('Data Extraction &amp; Cleaning'!$H131),'Data Extraction &amp; Cleaning'!$J131,""))</f>
        <v>42961.279999999999</v>
      </c>
    </row>
    <row r="132" spans="1:12" x14ac:dyDescent="0.2">
      <c r="A132" s="166">
        <v>45451</v>
      </c>
      <c r="B132" s="167" t="s">
        <v>217</v>
      </c>
      <c r="C132" s="168">
        <v>-1200</v>
      </c>
      <c r="D132" s="177">
        <v>80561.990000000005</v>
      </c>
      <c r="E132" s="169"/>
      <c r="G132" s="43">
        <f>DATE(YEAR('Data Extraction &amp; Cleaning'!$A132)-1,MONTH('Data Extraction &amp; Cleaning'!$A132),DAY('Data Extraction &amp; Cleaning'!$A132))</f>
        <v>45085</v>
      </c>
      <c r="H132" s="42">
        <f>IF('Data Extraction &amp; Cleaning'!$J132&gt;0,2,1)</f>
        <v>1</v>
      </c>
      <c r="I132" s="42" t="str">
        <f>TRIM(CLEAN('Data Extraction &amp; Cleaning'!$B132&amp;'Data Extraction &amp; Cleaning'!$E132))</f>
        <v>Total of 1 Check Presented</v>
      </c>
      <c r="J132" s="42">
        <f>'Data Extraction &amp; Cleaning'!$C132</f>
        <v>-1200</v>
      </c>
      <c r="K132" s="42">
        <f>IF('Data Extraction &amp; Cleaning'!$H132=1,-'Data Extraction &amp; Cleaning'!$J132,"")</f>
        <v>1200</v>
      </c>
      <c r="L132" s="42" t="str">
        <f>IF('Data Extraction &amp; Cleaning'!$H132=2,'Data Extraction &amp; Cleaning'!$J132,IF(ISBLANK('Data Extraction &amp; Cleaning'!$H132),'Data Extraction &amp; Cleaning'!$J132,""))</f>
        <v/>
      </c>
    </row>
    <row r="133" spans="1:12" x14ac:dyDescent="0.2">
      <c r="A133" s="162">
        <v>45452</v>
      </c>
      <c r="B133" s="163" t="s">
        <v>214</v>
      </c>
      <c r="C133" s="164">
        <v>-2537.64</v>
      </c>
      <c r="D133" s="176">
        <v>78024.350000000006</v>
      </c>
      <c r="E133" s="165"/>
      <c r="G133" s="43">
        <f>DATE(YEAR('Data Extraction &amp; Cleaning'!$A133)-1,MONTH('Data Extraction &amp; Cleaning'!$A133),DAY('Data Extraction &amp; Cleaning'!$A133))</f>
        <v>45086</v>
      </c>
      <c r="H133" s="42">
        <f>IF('Data Extraction &amp; Cleaning'!$J133&gt;0,2,1)</f>
        <v>1</v>
      </c>
      <c r="I133" s="42" t="str">
        <f>TRIM(CLEAN('Data Extraction &amp; Cleaning'!$B133&amp;'Data Extraction &amp; Cleaning'!$E133))</f>
        <v>Total of 2 Checks Presented</v>
      </c>
      <c r="J133" s="42">
        <f>'Data Extraction &amp; Cleaning'!$C133</f>
        <v>-2537.64</v>
      </c>
      <c r="K133" s="42">
        <f>IF('Data Extraction &amp; Cleaning'!$H133=1,-'Data Extraction &amp; Cleaning'!$J133,"")</f>
        <v>2537.64</v>
      </c>
      <c r="L133" s="42" t="str">
        <f>IF('Data Extraction &amp; Cleaning'!$H133=2,'Data Extraction &amp; Cleaning'!$J133,IF(ISBLANK('Data Extraction &amp; Cleaning'!$H133),'Data Extraction &amp; Cleaning'!$J133,""))</f>
        <v/>
      </c>
    </row>
    <row r="134" spans="1:12" x14ac:dyDescent="0.2">
      <c r="A134" s="166">
        <v>45457</v>
      </c>
      <c r="B134" s="167" t="s">
        <v>216</v>
      </c>
      <c r="C134" s="168">
        <v>2944.63</v>
      </c>
      <c r="D134" s="177">
        <v>80968.98</v>
      </c>
      <c r="E134" s="169"/>
      <c r="G134" s="43">
        <f>DATE(YEAR('Data Extraction &amp; Cleaning'!$A134)-1,MONTH('Data Extraction &amp; Cleaning'!$A134),DAY('Data Extraction &amp; Cleaning'!$A134))</f>
        <v>45091</v>
      </c>
      <c r="H134" s="42">
        <f>IF('Data Extraction &amp; Cleaning'!$J134&gt;0,2,1)</f>
        <v>2</v>
      </c>
      <c r="I134" s="42" t="str">
        <f>TRIM(CLEAN('Data Extraction &amp; Cleaning'!$B134&amp;'Data Extraction &amp; Cleaning'!$E134))</f>
        <v>RDC Deposit</v>
      </c>
      <c r="J134" s="42">
        <f>'Data Extraction &amp; Cleaning'!$C134</f>
        <v>2944.63</v>
      </c>
      <c r="K134" s="42" t="str">
        <f>IF('Data Extraction &amp; Cleaning'!$H134=1,-'Data Extraction &amp; Cleaning'!$J134,"")</f>
        <v/>
      </c>
      <c r="L134" s="42">
        <f>IF('Data Extraction &amp; Cleaning'!$H134=2,'Data Extraction &amp; Cleaning'!$J134,IF(ISBLANK('Data Extraction &amp; Cleaning'!$H134),'Data Extraction &amp; Cleaning'!$J134,""))</f>
        <v>2944.63</v>
      </c>
    </row>
    <row r="135" spans="1:12" x14ac:dyDescent="0.2">
      <c r="A135" s="162">
        <v>45458</v>
      </c>
      <c r="B135" s="163" t="s">
        <v>214</v>
      </c>
      <c r="C135" s="164">
        <v>-3148.64</v>
      </c>
      <c r="D135" s="176">
        <v>77820.34</v>
      </c>
      <c r="E135" s="165"/>
      <c r="G135" s="43">
        <f>DATE(YEAR('Data Extraction &amp; Cleaning'!$A135)-1,MONTH('Data Extraction &amp; Cleaning'!$A135),DAY('Data Extraction &amp; Cleaning'!$A135))</f>
        <v>45092</v>
      </c>
      <c r="H135" s="42">
        <f>IF('Data Extraction &amp; Cleaning'!$J135&gt;0,2,1)</f>
        <v>1</v>
      </c>
      <c r="I135" s="42" t="str">
        <f>TRIM(CLEAN('Data Extraction &amp; Cleaning'!$B135&amp;'Data Extraction &amp; Cleaning'!$E135))</f>
        <v>Total of 2 Checks Presented</v>
      </c>
      <c r="J135" s="42">
        <f>'Data Extraction &amp; Cleaning'!$C135</f>
        <v>-3148.64</v>
      </c>
      <c r="K135" s="42">
        <f>IF('Data Extraction &amp; Cleaning'!$H135=1,-'Data Extraction &amp; Cleaning'!$J135,"")</f>
        <v>3148.64</v>
      </c>
      <c r="L135" s="42" t="str">
        <f>IF('Data Extraction &amp; Cleaning'!$H135=2,'Data Extraction &amp; Cleaning'!$J135,IF(ISBLANK('Data Extraction &amp; Cleaning'!$H135),'Data Extraction &amp; Cleaning'!$J135,""))</f>
        <v/>
      </c>
    </row>
    <row r="136" spans="1:12" x14ac:dyDescent="0.2">
      <c r="A136" s="166">
        <v>45459</v>
      </c>
      <c r="B136" s="167" t="s">
        <v>208</v>
      </c>
      <c r="C136" s="168">
        <v>-32.85</v>
      </c>
      <c r="D136" s="177">
        <v>77787.490000000005</v>
      </c>
      <c r="E136" s="169" t="s">
        <v>332</v>
      </c>
      <c r="G136" s="43">
        <f>DATE(YEAR('Data Extraction &amp; Cleaning'!$A136)-1,MONTH('Data Extraction &amp; Cleaning'!$A136),DAY('Data Extraction &amp; Cleaning'!$A136))</f>
        <v>45093</v>
      </c>
      <c r="H136" s="42">
        <f>IF('Data Extraction &amp; Cleaning'!$J136&gt;0,2,1)</f>
        <v>1</v>
      </c>
      <c r="I136" s="42" t="str">
        <f>TRIM(CLEAN('Data Extraction &amp; Cleaning'!$B136&amp;'Data Extraction &amp; Cleaning'!$E136))</f>
        <v>PUBLIC SERVICE PSEGACH TRACE#091000011511386</v>
      </c>
      <c r="J136" s="42">
        <f>'Data Extraction &amp; Cleaning'!$C136</f>
        <v>-32.85</v>
      </c>
      <c r="K136" s="42">
        <f>IF('Data Extraction &amp; Cleaning'!$H136=1,-'Data Extraction &amp; Cleaning'!$J136,"")</f>
        <v>32.85</v>
      </c>
      <c r="L136" s="42" t="str">
        <f>IF('Data Extraction &amp; Cleaning'!$H136=2,'Data Extraction &amp; Cleaning'!$J136,IF(ISBLANK('Data Extraction &amp; Cleaning'!$H136),'Data Extraction &amp; Cleaning'!$J136,""))</f>
        <v/>
      </c>
    </row>
    <row r="137" spans="1:12" x14ac:dyDescent="0.2">
      <c r="A137" s="162">
        <v>45459</v>
      </c>
      <c r="B137" s="163" t="s">
        <v>221</v>
      </c>
      <c r="C137" s="164">
        <v>-264.68</v>
      </c>
      <c r="D137" s="176">
        <v>77522.81</v>
      </c>
      <c r="E137" s="165" t="s">
        <v>222</v>
      </c>
      <c r="G137" s="43">
        <f>DATE(YEAR('Data Extraction &amp; Cleaning'!$A137)-1,MONTH('Data Extraction &amp; Cleaning'!$A137),DAY('Data Extraction &amp; Cleaning'!$A137))</f>
        <v>45093</v>
      </c>
      <c r="H137" s="42">
        <f>IF('Data Extraction &amp; Cleaning'!$J137&gt;0,2,1)</f>
        <v>1</v>
      </c>
      <c r="I137" s="42" t="str">
        <f>TRIM(CLEAN('Data Extraction &amp; Cleaning'!$B137&amp;'Data Extraction &amp; Cleaning'!$E137))</f>
        <v>WATER BILL VEOLIA WATER NEW10006752433605 Diwali I</v>
      </c>
      <c r="J137" s="42">
        <f>'Data Extraction &amp; Cleaning'!$C137</f>
        <v>-264.68</v>
      </c>
      <c r="K137" s="42">
        <f>IF('Data Extraction &amp; Cleaning'!$H137=1,-'Data Extraction &amp; Cleaning'!$J137,"")</f>
        <v>264.68</v>
      </c>
      <c r="L137" s="42" t="str">
        <f>IF('Data Extraction &amp; Cleaning'!$H137=2,'Data Extraction &amp; Cleaning'!$J137,IF(ISBLANK('Data Extraction &amp; Cleaning'!$H137),'Data Extraction &amp; Cleaning'!$J137,""))</f>
        <v/>
      </c>
    </row>
    <row r="138" spans="1:12" x14ac:dyDescent="0.2">
      <c r="A138" s="166">
        <v>45459</v>
      </c>
      <c r="B138" s="167" t="s">
        <v>208</v>
      </c>
      <c r="C138" s="168">
        <v>-1793.7</v>
      </c>
      <c r="D138" s="177">
        <v>75729.11</v>
      </c>
      <c r="E138" s="169" t="s">
        <v>333</v>
      </c>
      <c r="G138" s="43">
        <f>DATE(YEAR('Data Extraction &amp; Cleaning'!$A138)-1,MONTH('Data Extraction &amp; Cleaning'!$A138),DAY('Data Extraction &amp; Cleaning'!$A138))</f>
        <v>45093</v>
      </c>
      <c r="H138" s="42">
        <f>IF('Data Extraction &amp; Cleaning'!$J138&gt;0,2,1)</f>
        <v>1</v>
      </c>
      <c r="I138" s="42" t="str">
        <f>TRIM(CLEAN('Data Extraction &amp; Cleaning'!$B138&amp;'Data Extraction &amp; Cleaning'!$E138))</f>
        <v>PUBLIC SERVICE PSEGACH TRACE#091000011496776</v>
      </c>
      <c r="J138" s="42">
        <f>'Data Extraction &amp; Cleaning'!$C138</f>
        <v>-1793.7</v>
      </c>
      <c r="K138" s="42">
        <f>IF('Data Extraction &amp; Cleaning'!$H138=1,-'Data Extraction &amp; Cleaning'!$J138,"")</f>
        <v>1793.7</v>
      </c>
      <c r="L138" s="42" t="str">
        <f>IF('Data Extraction &amp; Cleaning'!$H138=2,'Data Extraction &amp; Cleaning'!$J138,IF(ISBLANK('Data Extraction &amp; Cleaning'!$H138),'Data Extraction &amp; Cleaning'!$J138,""))</f>
        <v/>
      </c>
    </row>
    <row r="139" spans="1:12" x14ac:dyDescent="0.2">
      <c r="A139" s="162">
        <v>45464</v>
      </c>
      <c r="B139" s="163" t="s">
        <v>217</v>
      </c>
      <c r="C139" s="164">
        <v>-2468.77</v>
      </c>
      <c r="D139" s="176">
        <v>73260.34</v>
      </c>
      <c r="E139" s="165"/>
      <c r="G139" s="43">
        <f>DATE(YEAR('Data Extraction &amp; Cleaning'!$A139)-1,MONTH('Data Extraction &amp; Cleaning'!$A139),DAY('Data Extraction &amp; Cleaning'!$A139))</f>
        <v>45098</v>
      </c>
      <c r="H139" s="42">
        <f>IF('Data Extraction &amp; Cleaning'!$J139&gt;0,2,1)</f>
        <v>1</v>
      </c>
      <c r="I139" s="42" t="str">
        <f>TRIM(CLEAN('Data Extraction &amp; Cleaning'!$B139&amp;'Data Extraction &amp; Cleaning'!$E139))</f>
        <v>Total of 1 Check Presented</v>
      </c>
      <c r="J139" s="42">
        <f>'Data Extraction &amp; Cleaning'!$C139</f>
        <v>-2468.77</v>
      </c>
      <c r="K139" s="42">
        <f>IF('Data Extraction &amp; Cleaning'!$H139=1,-'Data Extraction &amp; Cleaning'!$J139,"")</f>
        <v>2468.77</v>
      </c>
      <c r="L139" s="42" t="str">
        <f>IF('Data Extraction &amp; Cleaning'!$H139=2,'Data Extraction &amp; Cleaning'!$J139,IF(ISBLANK('Data Extraction &amp; Cleaning'!$H139),'Data Extraction &amp; Cleaning'!$J139,""))</f>
        <v/>
      </c>
    </row>
    <row r="140" spans="1:12" x14ac:dyDescent="0.2">
      <c r="A140" s="166">
        <v>45469</v>
      </c>
      <c r="B140" s="167" t="s">
        <v>207</v>
      </c>
      <c r="C140" s="168">
        <v>-175.93</v>
      </c>
      <c r="D140" s="177">
        <v>73084.41</v>
      </c>
      <c r="E140" s="169" t="s">
        <v>334</v>
      </c>
      <c r="G140" s="43">
        <f>DATE(YEAR('Data Extraction &amp; Cleaning'!$A140)-1,MONTH('Data Extraction &amp; Cleaning'!$A140),DAY('Data Extraction &amp; Cleaning'!$A140))</f>
        <v>45103</v>
      </c>
      <c r="H140" s="42">
        <f>IF('Data Extraction &amp; Cleaning'!$J140&gt;0,2,1)</f>
        <v>1</v>
      </c>
      <c r="I140" s="42" t="str">
        <f>TRIM(CLEAN('Data Extraction &amp; Cleaning'!$B140&amp;'Data Extraction &amp; Cleaning'!$E140))</f>
        <v>ACTION ELEVATOR Bill PayACH TRACE#711960040003869</v>
      </c>
      <c r="J140" s="42">
        <f>'Data Extraction &amp; Cleaning'!$C140</f>
        <v>-175.93</v>
      </c>
      <c r="K140" s="42">
        <f>IF('Data Extraction &amp; Cleaning'!$H140=1,-'Data Extraction &amp; Cleaning'!$J140,"")</f>
        <v>175.93</v>
      </c>
      <c r="L140" s="42" t="str">
        <f>IF('Data Extraction &amp; Cleaning'!$H140=2,'Data Extraction &amp; Cleaning'!$J140,IF(ISBLANK('Data Extraction &amp; Cleaning'!$H140),'Data Extraction &amp; Cleaning'!$J140,""))</f>
        <v/>
      </c>
    </row>
    <row r="141" spans="1:12" x14ac:dyDescent="0.2">
      <c r="A141" s="162">
        <v>45470</v>
      </c>
      <c r="B141" s="163" t="s">
        <v>214</v>
      </c>
      <c r="C141" s="164">
        <v>-5600</v>
      </c>
      <c r="D141" s="176">
        <v>67484.41</v>
      </c>
      <c r="E141" s="165"/>
      <c r="G141" s="43">
        <f>DATE(YEAR('Data Extraction &amp; Cleaning'!$A141)-1,MONTH('Data Extraction &amp; Cleaning'!$A141),DAY('Data Extraction &amp; Cleaning'!$A141))</f>
        <v>45104</v>
      </c>
      <c r="H141" s="42">
        <f>IF('Data Extraction &amp; Cleaning'!$J141&gt;0,2,1)</f>
        <v>1</v>
      </c>
      <c r="I141" s="42" t="str">
        <f>TRIM(CLEAN('Data Extraction &amp; Cleaning'!$B141&amp;'Data Extraction &amp; Cleaning'!$E141))</f>
        <v>Total of 2 Checks Presented</v>
      </c>
      <c r="J141" s="42">
        <f>'Data Extraction &amp; Cleaning'!$C141</f>
        <v>-5600</v>
      </c>
      <c r="K141" s="42">
        <f>IF('Data Extraction &amp; Cleaning'!$H141=1,-'Data Extraction &amp; Cleaning'!$J141,"")</f>
        <v>5600</v>
      </c>
      <c r="L141" s="42" t="str">
        <f>IF('Data Extraction &amp; Cleaning'!$H141=2,'Data Extraction &amp; Cleaning'!$J141,IF(ISBLANK('Data Extraction &amp; Cleaning'!$H141),'Data Extraction &amp; Cleaning'!$J141,""))</f>
        <v/>
      </c>
    </row>
    <row r="142" spans="1:12" x14ac:dyDescent="0.2">
      <c r="A142" s="166">
        <v>45472</v>
      </c>
      <c r="B142" s="167" t="s">
        <v>232</v>
      </c>
      <c r="C142" s="168">
        <v>-646</v>
      </c>
      <c r="D142" s="177">
        <v>66838.41</v>
      </c>
      <c r="E142" s="169" t="s">
        <v>335</v>
      </c>
      <c r="G142" s="43">
        <f>DATE(YEAR('Data Extraction &amp; Cleaning'!$A142)-1,MONTH('Data Extraction &amp; Cleaning'!$A142),DAY('Data Extraction &amp; Cleaning'!$A142))</f>
        <v>45106</v>
      </c>
      <c r="H142" s="42">
        <f>IF('Data Extraction &amp; Cleaning'!$J142&gt;0,2,1)</f>
        <v>1</v>
      </c>
      <c r="I142" s="42" t="str">
        <f>TRIM(CLEAN('Data Extraction &amp; Cleaning'!$B142&amp;'Data Extraction &amp; Cleaning'!$E142))</f>
        <v>Web Pay Utica Mutual Ins000001545709746 DIWALI I</v>
      </c>
      <c r="J142" s="42">
        <f>'Data Extraction &amp; Cleaning'!$C142</f>
        <v>-646</v>
      </c>
      <c r="K142" s="42">
        <f>IF('Data Extraction &amp; Cleaning'!$H142=1,-'Data Extraction &amp; Cleaning'!$J142,"")</f>
        <v>646</v>
      </c>
      <c r="L142" s="42" t="str">
        <f>IF('Data Extraction &amp; Cleaning'!$H142=2,'Data Extraction &amp; Cleaning'!$J142,IF(ISBLANK('Data Extraction &amp; Cleaning'!$H142),'Data Extraction &amp; Cleaning'!$J142,""))</f>
        <v/>
      </c>
    </row>
    <row r="143" spans="1:12" x14ac:dyDescent="0.2">
      <c r="A143" s="162">
        <v>45473</v>
      </c>
      <c r="B143" s="163" t="s">
        <v>228</v>
      </c>
      <c r="C143" s="164">
        <v>7454.7</v>
      </c>
      <c r="D143" s="176">
        <v>74293.11</v>
      </c>
      <c r="E143" s="165" t="s">
        <v>336</v>
      </c>
      <c r="G143" s="43">
        <f>DATE(YEAR('Data Extraction &amp; Cleaning'!$A143)-1,MONTH('Data Extraction &amp; Cleaning'!$A143),DAY('Data Extraction &amp; Cleaning'!$A143))</f>
        <v>45107</v>
      </c>
      <c r="H143" s="42">
        <f>IF('Data Extraction &amp; Cleaning'!$J143&gt;0,2,1)</f>
        <v>2</v>
      </c>
      <c r="I143" s="42" t="str">
        <f>TRIM(CLEAN('Data Extraction &amp; Cleaning'!$B143&amp;'Data Extraction &amp; Cleaning'!$E143))</f>
        <v>ACH Pmt JPW DENTAL LLC11020412695 Diwali I</v>
      </c>
      <c r="J143" s="42">
        <f>'Data Extraction &amp; Cleaning'!$C143</f>
        <v>7454.7</v>
      </c>
      <c r="K143" s="42" t="str">
        <f>IF('Data Extraction &amp; Cleaning'!$H143=1,-'Data Extraction &amp; Cleaning'!$J143,"")</f>
        <v/>
      </c>
      <c r="L143" s="42">
        <f>IF('Data Extraction &amp; Cleaning'!$H143=2,'Data Extraction &amp; Cleaning'!$J143,IF(ISBLANK('Data Extraction &amp; Cleaning'!$H143),'Data Extraction &amp; Cleaning'!$J143,""))</f>
        <v>7454.7</v>
      </c>
    </row>
    <row r="144" spans="1:12" x14ac:dyDescent="0.2">
      <c r="A144" s="166"/>
      <c r="B144" s="167"/>
      <c r="C144" s="168"/>
      <c r="D144" s="167"/>
      <c r="E144" s="169"/>
      <c r="G144" s="43"/>
    </row>
    <row r="145" spans="1:12" x14ac:dyDescent="0.2">
      <c r="A145" s="162">
        <v>45505</v>
      </c>
      <c r="B145" s="163" t="s">
        <v>228</v>
      </c>
      <c r="C145" s="164">
        <v>7454.7</v>
      </c>
      <c r="D145" s="176">
        <v>67239.240000000005</v>
      </c>
      <c r="E145" s="165" t="s">
        <v>337</v>
      </c>
      <c r="G145" s="43">
        <f>DATE(YEAR('Data Extraction &amp; Cleaning'!$A145)-1,MONTH('Data Extraction &amp; Cleaning'!$A145),DAY('Data Extraction &amp; Cleaning'!$A145))</f>
        <v>45139</v>
      </c>
      <c r="H145" s="42">
        <f>IF('Data Extraction &amp; Cleaning'!$J145&gt;0,2,1)</f>
        <v>2</v>
      </c>
      <c r="I145" s="42" t="str">
        <f>TRIM(CLEAN('Data Extraction &amp; Cleaning'!$B145&amp;'Data Extraction &amp; Cleaning'!$E145))</f>
        <v>ACH Pmt JPW DENTAL LLC11023224753 Diwali I</v>
      </c>
      <c r="J145" s="42">
        <f>'Data Extraction &amp; Cleaning'!$C145</f>
        <v>7454.7</v>
      </c>
      <c r="K145" s="42" t="str">
        <f>IF('Data Extraction &amp; Cleaning'!$H145=1,-'Data Extraction &amp; Cleaning'!$J145,"")</f>
        <v/>
      </c>
      <c r="L145" s="42">
        <f>IF('Data Extraction &amp; Cleaning'!$H145=2,'Data Extraction &amp; Cleaning'!$J145,IF(ISBLANK('Data Extraction &amp; Cleaning'!$H145),'Data Extraction &amp; Cleaning'!$J145,""))</f>
        <v>7454.7</v>
      </c>
    </row>
    <row r="146" spans="1:12" x14ac:dyDescent="0.2">
      <c r="A146" s="166">
        <v>45505</v>
      </c>
      <c r="B146" s="167" t="s">
        <v>217</v>
      </c>
      <c r="C146" s="168">
        <v>-4500</v>
      </c>
      <c r="D146" s="177">
        <v>62739.24</v>
      </c>
      <c r="E146" s="169"/>
      <c r="G146" s="43">
        <f>DATE(YEAR('Data Extraction &amp; Cleaning'!$A146)-1,MONTH('Data Extraction &amp; Cleaning'!$A146),DAY('Data Extraction &amp; Cleaning'!$A146))</f>
        <v>45139</v>
      </c>
      <c r="H146" s="42">
        <f>IF('Data Extraction &amp; Cleaning'!$J146&gt;0,2,1)</f>
        <v>1</v>
      </c>
      <c r="I146" s="42" t="str">
        <f>TRIM(CLEAN('Data Extraction &amp; Cleaning'!$B146&amp;'Data Extraction &amp; Cleaning'!$E146))</f>
        <v>Total of 1 Check Presented</v>
      </c>
      <c r="J146" s="42">
        <f>'Data Extraction &amp; Cleaning'!$C146</f>
        <v>-4500</v>
      </c>
      <c r="K146" s="42">
        <f>IF('Data Extraction &amp; Cleaning'!$H146=1,-'Data Extraction &amp; Cleaning'!$J146,"")</f>
        <v>4500</v>
      </c>
      <c r="L146" s="42" t="str">
        <f>IF('Data Extraction &amp; Cleaning'!$H146=2,'Data Extraction &amp; Cleaning'!$J146,IF(ISBLANK('Data Extraction &amp; Cleaning'!$H146),'Data Extraction &amp; Cleaning'!$J146,""))</f>
        <v/>
      </c>
    </row>
    <row r="147" spans="1:12" x14ac:dyDescent="0.2">
      <c r="A147" s="162">
        <v>45505</v>
      </c>
      <c r="B147" s="163" t="s">
        <v>203</v>
      </c>
      <c r="C147" s="164">
        <v>-18708.78</v>
      </c>
      <c r="D147" s="176">
        <v>44030.46</v>
      </c>
      <c r="E147" s="165" t="s">
        <v>328</v>
      </c>
      <c r="G147" s="43">
        <f>DATE(YEAR('Data Extraction &amp; Cleaning'!$A147)-1,MONTH('Data Extraction &amp; Cleaning'!$A147),DAY('Data Extraction &amp; Cleaning'!$A147))</f>
        <v>45139</v>
      </c>
      <c r="H147" s="42">
        <f>IF('Data Extraction &amp; Cleaning'!$J147&gt;0,2,1)</f>
        <v>1</v>
      </c>
      <c r="I147" s="42" t="str">
        <f>TRIM(CLEAN('Data Extraction &amp; Cleaning'!$B147&amp;'Data Extraction &amp; Cleaning'!$E147))</f>
        <v>Transfer to LoanAcct No. XXXXXX3533</v>
      </c>
      <c r="J147" s="42">
        <f>'Data Extraction &amp; Cleaning'!$C147</f>
        <v>-18708.78</v>
      </c>
      <c r="K147" s="42">
        <f>IF('Data Extraction &amp; Cleaning'!$H147=1,-'Data Extraction &amp; Cleaning'!$J147,"")</f>
        <v>18708.78</v>
      </c>
      <c r="L147" s="42" t="str">
        <f>IF('Data Extraction &amp; Cleaning'!$H147=2,'Data Extraction &amp; Cleaning'!$J147,IF(ISBLANK('Data Extraction &amp; Cleaning'!$H147),'Data Extraction &amp; Cleaning'!$J147,""))</f>
        <v/>
      </c>
    </row>
    <row r="148" spans="1:12" x14ac:dyDescent="0.2">
      <c r="A148" s="166">
        <v>45506</v>
      </c>
      <c r="B148" s="167" t="s">
        <v>216</v>
      </c>
      <c r="C148" s="168">
        <v>6252.94</v>
      </c>
      <c r="D148" s="177">
        <v>50283.4</v>
      </c>
      <c r="E148" s="169"/>
      <c r="G148" s="43">
        <f>DATE(YEAR('Data Extraction &amp; Cleaning'!$A148)-1,MONTH('Data Extraction &amp; Cleaning'!$A148),DAY('Data Extraction &amp; Cleaning'!$A148))</f>
        <v>45140</v>
      </c>
      <c r="H148" s="42">
        <f>IF('Data Extraction &amp; Cleaning'!$J148&gt;0,2,1)</f>
        <v>2</v>
      </c>
      <c r="I148" s="42" t="str">
        <f>TRIM(CLEAN('Data Extraction &amp; Cleaning'!$B148&amp;'Data Extraction &amp; Cleaning'!$E148))</f>
        <v>RDC Deposit</v>
      </c>
      <c r="J148" s="42">
        <f>'Data Extraction &amp; Cleaning'!$C148</f>
        <v>6252.94</v>
      </c>
      <c r="K148" s="42" t="str">
        <f>IF('Data Extraction &amp; Cleaning'!$H148=1,-'Data Extraction &amp; Cleaning'!$J148,"")</f>
        <v/>
      </c>
      <c r="L148" s="42">
        <f>IF('Data Extraction &amp; Cleaning'!$H148=2,'Data Extraction &amp; Cleaning'!$J148,IF(ISBLANK('Data Extraction &amp; Cleaning'!$H148),'Data Extraction &amp; Cleaning'!$J148,""))</f>
        <v>6252.94</v>
      </c>
    </row>
    <row r="149" spans="1:12" x14ac:dyDescent="0.2">
      <c r="A149" s="162">
        <v>45506</v>
      </c>
      <c r="B149" s="163" t="s">
        <v>217</v>
      </c>
      <c r="C149" s="164">
        <v>-680.41</v>
      </c>
      <c r="D149" s="176">
        <v>49602.99</v>
      </c>
      <c r="E149" s="165"/>
      <c r="G149" s="43">
        <f>DATE(YEAR('Data Extraction &amp; Cleaning'!$A149)-1,MONTH('Data Extraction &amp; Cleaning'!$A149),DAY('Data Extraction &amp; Cleaning'!$A149))</f>
        <v>45140</v>
      </c>
      <c r="H149" s="42">
        <f>IF('Data Extraction &amp; Cleaning'!$J149&gt;0,2,1)</f>
        <v>1</v>
      </c>
      <c r="I149" s="42" t="str">
        <f>TRIM(CLEAN('Data Extraction &amp; Cleaning'!$B149&amp;'Data Extraction &amp; Cleaning'!$E149))</f>
        <v>Total of 1 Check Presented</v>
      </c>
      <c r="J149" s="42">
        <f>'Data Extraction &amp; Cleaning'!$C149</f>
        <v>-680.41</v>
      </c>
      <c r="K149" s="42">
        <f>IF('Data Extraction &amp; Cleaning'!$H149=1,-'Data Extraction &amp; Cleaning'!$J149,"")</f>
        <v>680.41</v>
      </c>
      <c r="L149" s="42" t="str">
        <f>IF('Data Extraction &amp; Cleaning'!$H149=2,'Data Extraction &amp; Cleaning'!$J149,IF(ISBLANK('Data Extraction &amp; Cleaning'!$H149),'Data Extraction &amp; Cleaning'!$J149,""))</f>
        <v/>
      </c>
    </row>
    <row r="150" spans="1:12" x14ac:dyDescent="0.2">
      <c r="A150" s="166">
        <v>45506</v>
      </c>
      <c r="B150" s="167" t="s">
        <v>207</v>
      </c>
      <c r="C150" s="168">
        <v>-175.93</v>
      </c>
      <c r="D150" s="177">
        <v>49427.06</v>
      </c>
      <c r="E150" s="169" t="s">
        <v>338</v>
      </c>
      <c r="G150" s="43">
        <f>DATE(YEAR('Data Extraction &amp; Cleaning'!$A150)-1,MONTH('Data Extraction &amp; Cleaning'!$A150),DAY('Data Extraction &amp; Cleaning'!$A150))</f>
        <v>45140</v>
      </c>
      <c r="H150" s="42">
        <f>IF('Data Extraction &amp; Cleaning'!$J150&gt;0,2,1)</f>
        <v>1</v>
      </c>
      <c r="I150" s="42" t="str">
        <f>TRIM(CLEAN('Data Extraction &amp; Cleaning'!$B150&amp;'Data Extraction &amp; Cleaning'!$E150))</f>
        <v>ACTION ELEVATOR Bill PayACH TRACE#711960040002791</v>
      </c>
      <c r="J150" s="42">
        <f>'Data Extraction &amp; Cleaning'!$C150</f>
        <v>-175.93</v>
      </c>
      <c r="K150" s="42">
        <f>IF('Data Extraction &amp; Cleaning'!$H150=1,-'Data Extraction &amp; Cleaning'!$J150,"")</f>
        <v>175.93</v>
      </c>
      <c r="L150" s="42" t="str">
        <f>IF('Data Extraction &amp; Cleaning'!$H150=2,'Data Extraction &amp; Cleaning'!$J150,IF(ISBLANK('Data Extraction &amp; Cleaning'!$H150),'Data Extraction &amp; Cleaning'!$J150,""))</f>
        <v/>
      </c>
    </row>
    <row r="151" spans="1:12" x14ac:dyDescent="0.2">
      <c r="A151" s="162">
        <v>45506</v>
      </c>
      <c r="B151" s="163" t="s">
        <v>204</v>
      </c>
      <c r="C151" s="164">
        <v>-599.99</v>
      </c>
      <c r="D151" s="176">
        <v>48827.07</v>
      </c>
      <c r="E151" s="165" t="s">
        <v>339</v>
      </c>
      <c r="G151" s="43">
        <f>DATE(YEAR('Data Extraction &amp; Cleaning'!$A151)-1,MONTH('Data Extraction &amp; Cleaning'!$A151),DAY('Data Extraction &amp; Cleaning'!$A151))</f>
        <v>45140</v>
      </c>
      <c r="H151" s="42">
        <f>IF('Data Extraction &amp; Cleaning'!$J151&gt;0,2,1)</f>
        <v>1</v>
      </c>
      <c r="I151" s="42" t="str">
        <f>TRIM(CLEAN('Data Extraction &amp; Cleaning'!$B151&amp;'Data Extraction &amp; Cleaning'!$E151))</f>
        <v>ACTION CARTING EBill PayACH TRACE#711960040002756</v>
      </c>
      <c r="J151" s="42">
        <f>'Data Extraction &amp; Cleaning'!$C151</f>
        <v>-599.99</v>
      </c>
      <c r="K151" s="42">
        <f>IF('Data Extraction &amp; Cleaning'!$H151=1,-'Data Extraction &amp; Cleaning'!$J151,"")</f>
        <v>599.99</v>
      </c>
      <c r="L151" s="42" t="str">
        <f>IF('Data Extraction &amp; Cleaning'!$H151=2,'Data Extraction &amp; Cleaning'!$J151,IF(ISBLANK('Data Extraction &amp; Cleaning'!$H151),'Data Extraction &amp; Cleaning'!$J151,""))</f>
        <v/>
      </c>
    </row>
    <row r="152" spans="1:12" x14ac:dyDescent="0.2">
      <c r="A152" s="166">
        <v>45507</v>
      </c>
      <c r="B152" s="167" t="s">
        <v>217</v>
      </c>
      <c r="C152" s="168">
        <v>-710.12</v>
      </c>
      <c r="D152" s="177">
        <v>48116.95</v>
      </c>
      <c r="E152" s="169"/>
      <c r="G152" s="43">
        <f>DATE(YEAR('Data Extraction &amp; Cleaning'!$A152)-1,MONTH('Data Extraction &amp; Cleaning'!$A152),DAY('Data Extraction &amp; Cleaning'!$A152))</f>
        <v>45141</v>
      </c>
      <c r="H152" s="42">
        <f>IF('Data Extraction &amp; Cleaning'!$J152&gt;0,2,1)</f>
        <v>1</v>
      </c>
      <c r="I152" s="42" t="str">
        <f>TRIM(CLEAN('Data Extraction &amp; Cleaning'!$B152&amp;'Data Extraction &amp; Cleaning'!$E152))</f>
        <v>Total of 1 Check Presented</v>
      </c>
      <c r="J152" s="42">
        <f>'Data Extraction &amp; Cleaning'!$C152</f>
        <v>-710.12</v>
      </c>
      <c r="K152" s="42">
        <f>IF('Data Extraction &amp; Cleaning'!$H152=1,-'Data Extraction &amp; Cleaning'!$J152,"")</f>
        <v>710.12</v>
      </c>
      <c r="L152" s="42" t="str">
        <f>IF('Data Extraction &amp; Cleaning'!$H152=2,'Data Extraction &amp; Cleaning'!$J152,IF(ISBLANK('Data Extraction &amp; Cleaning'!$H152),'Data Extraction &amp; Cleaning'!$J152,""))</f>
        <v/>
      </c>
    </row>
    <row r="153" spans="1:12" x14ac:dyDescent="0.2">
      <c r="A153" s="162">
        <v>45511</v>
      </c>
      <c r="B153" s="163" t="s">
        <v>297</v>
      </c>
      <c r="C153" s="164">
        <v>-5810.34</v>
      </c>
      <c r="D153" s="176">
        <v>42306.61</v>
      </c>
      <c r="E153" s="165"/>
      <c r="G153" s="43">
        <f>DATE(YEAR('Data Extraction &amp; Cleaning'!$A153)-1,MONTH('Data Extraction &amp; Cleaning'!$A153),DAY('Data Extraction &amp; Cleaning'!$A153))</f>
        <v>45145</v>
      </c>
      <c r="H153" s="42">
        <f>IF('Data Extraction &amp; Cleaning'!$J153&gt;0,2,1)</f>
        <v>1</v>
      </c>
      <c r="I153" s="42" t="str">
        <f>TRIM(CLEAN('Data Extraction &amp; Cleaning'!$B153&amp;'Data Extraction &amp; Cleaning'!$E153))</f>
        <v>Total of 3 Checks Presented</v>
      </c>
      <c r="J153" s="42">
        <f>'Data Extraction &amp; Cleaning'!$C153</f>
        <v>-5810.34</v>
      </c>
      <c r="K153" s="42">
        <f>IF('Data Extraction &amp; Cleaning'!$H153=1,-'Data Extraction &amp; Cleaning'!$J153,"")</f>
        <v>5810.34</v>
      </c>
      <c r="L153" s="42" t="str">
        <f>IF('Data Extraction &amp; Cleaning'!$H153=2,'Data Extraction &amp; Cleaning'!$J153,IF(ISBLANK('Data Extraction &amp; Cleaning'!$H153),'Data Extraction &amp; Cleaning'!$J153,""))</f>
        <v/>
      </c>
    </row>
    <row r="154" spans="1:12" x14ac:dyDescent="0.2">
      <c r="A154" s="166">
        <v>45511</v>
      </c>
      <c r="B154" s="167" t="s">
        <v>210</v>
      </c>
      <c r="C154" s="168">
        <v>-104.36</v>
      </c>
      <c r="D154" s="177">
        <v>42202.25</v>
      </c>
      <c r="E154" s="169" t="s">
        <v>340</v>
      </c>
      <c r="G154" s="43">
        <f>DATE(YEAR('Data Extraction &amp; Cleaning'!$A154)-1,MONTH('Data Extraction &amp; Cleaning'!$A154),DAY('Data Extraction &amp; Cleaning'!$A154))</f>
        <v>45145</v>
      </c>
      <c r="H154" s="42">
        <f>IF('Data Extraction &amp; Cleaning'!$J154&gt;0,2,1)</f>
        <v>1</v>
      </c>
      <c r="I154" s="42" t="str">
        <f>TRIM(CLEAN('Data Extraction &amp; Cleaning'!$B154&amp;'Data Extraction &amp; Cleaning'!$E154))</f>
        <v>P S E AND G NJ Bill PayACH TRACE#711960040004055</v>
      </c>
      <c r="J154" s="42">
        <f>'Data Extraction &amp; Cleaning'!$C154</f>
        <v>-104.36</v>
      </c>
      <c r="K154" s="42">
        <f>IF('Data Extraction &amp; Cleaning'!$H154=1,-'Data Extraction &amp; Cleaning'!$J154,"")</f>
        <v>104.36</v>
      </c>
      <c r="L154" s="42" t="str">
        <f>IF('Data Extraction &amp; Cleaning'!$H154=2,'Data Extraction &amp; Cleaning'!$J154,IF(ISBLANK('Data Extraction &amp; Cleaning'!$H154),'Data Extraction &amp; Cleaning'!$J154,""))</f>
        <v/>
      </c>
    </row>
    <row r="155" spans="1:12" x14ac:dyDescent="0.2">
      <c r="A155" s="162">
        <v>45518</v>
      </c>
      <c r="B155" s="163" t="s">
        <v>221</v>
      </c>
      <c r="C155" s="164">
        <v>-362.14</v>
      </c>
      <c r="D155" s="176">
        <v>41840.11</v>
      </c>
      <c r="E155" s="165" t="s">
        <v>222</v>
      </c>
      <c r="G155" s="43">
        <f>DATE(YEAR('Data Extraction &amp; Cleaning'!$A155)-1,MONTH('Data Extraction &amp; Cleaning'!$A155),DAY('Data Extraction &amp; Cleaning'!$A155))</f>
        <v>45152</v>
      </c>
      <c r="H155" s="42">
        <f>IF('Data Extraction &amp; Cleaning'!$J155&gt;0,2,1)</f>
        <v>1</v>
      </c>
      <c r="I155" s="42" t="str">
        <f>TRIM(CLEAN('Data Extraction &amp; Cleaning'!$B155&amp;'Data Extraction &amp; Cleaning'!$E155))</f>
        <v>WATER BILL VEOLIA WATER NEW10006752433605 Diwali I</v>
      </c>
      <c r="J155" s="42">
        <f>'Data Extraction &amp; Cleaning'!$C155</f>
        <v>-362.14</v>
      </c>
      <c r="K155" s="42">
        <f>IF('Data Extraction &amp; Cleaning'!$H155=1,-'Data Extraction &amp; Cleaning'!$J155,"")</f>
        <v>362.14</v>
      </c>
      <c r="L155" s="42" t="str">
        <f>IF('Data Extraction &amp; Cleaning'!$H155=2,'Data Extraction &amp; Cleaning'!$J155,IF(ISBLANK('Data Extraction &amp; Cleaning'!$H155),'Data Extraction &amp; Cleaning'!$J155,""))</f>
        <v/>
      </c>
    </row>
    <row r="156" spans="1:12" x14ac:dyDescent="0.2">
      <c r="A156" s="166">
        <v>45520</v>
      </c>
      <c r="B156" s="167" t="s">
        <v>208</v>
      </c>
      <c r="C156" s="168">
        <v>-63.16</v>
      </c>
      <c r="D156" s="177">
        <v>41776.949999999997</v>
      </c>
      <c r="E156" s="169" t="s">
        <v>341</v>
      </c>
      <c r="G156" s="43">
        <f>DATE(YEAR('Data Extraction &amp; Cleaning'!$A156)-1,MONTH('Data Extraction &amp; Cleaning'!$A156),DAY('Data Extraction &amp; Cleaning'!$A156))</f>
        <v>45154</v>
      </c>
      <c r="H156" s="42">
        <f>IF('Data Extraction &amp; Cleaning'!$J156&gt;0,2,1)</f>
        <v>1</v>
      </c>
      <c r="I156" s="42" t="str">
        <f>TRIM(CLEAN('Data Extraction &amp; Cleaning'!$B156&amp;'Data Extraction &amp; Cleaning'!$E156))</f>
        <v>PUBLIC SERVICE PSEGACH TRACE#091000014194269</v>
      </c>
      <c r="J156" s="42">
        <f>'Data Extraction &amp; Cleaning'!$C156</f>
        <v>-63.16</v>
      </c>
      <c r="K156" s="42">
        <f>IF('Data Extraction &amp; Cleaning'!$H156=1,-'Data Extraction &amp; Cleaning'!$J156,"")</f>
        <v>63.16</v>
      </c>
      <c r="L156" s="42" t="str">
        <f>IF('Data Extraction &amp; Cleaning'!$H156=2,'Data Extraction &amp; Cleaning'!$J156,IF(ISBLANK('Data Extraction &amp; Cleaning'!$H156),'Data Extraction &amp; Cleaning'!$J156,""))</f>
        <v/>
      </c>
    </row>
    <row r="157" spans="1:12" x14ac:dyDescent="0.2">
      <c r="A157" s="162">
        <v>45520</v>
      </c>
      <c r="B157" s="163" t="s">
        <v>208</v>
      </c>
      <c r="C157" s="164">
        <v>-2769.13</v>
      </c>
      <c r="D157" s="176">
        <v>39007.82</v>
      </c>
      <c r="E157" s="165" t="s">
        <v>342</v>
      </c>
      <c r="G157" s="43">
        <f>DATE(YEAR('Data Extraction &amp; Cleaning'!$A157)-1,MONTH('Data Extraction &amp; Cleaning'!$A157),DAY('Data Extraction &amp; Cleaning'!$A157))</f>
        <v>45154</v>
      </c>
      <c r="H157" s="42">
        <f>IF('Data Extraction &amp; Cleaning'!$J157&gt;0,2,1)</f>
        <v>1</v>
      </c>
      <c r="I157" s="42" t="str">
        <f>TRIM(CLEAN('Data Extraction &amp; Cleaning'!$B157&amp;'Data Extraction &amp; Cleaning'!$E157))</f>
        <v>PUBLIC SERVICE PSEGACH TRACE#091000014162452</v>
      </c>
      <c r="J157" s="42">
        <f>'Data Extraction &amp; Cleaning'!$C157</f>
        <v>-2769.13</v>
      </c>
      <c r="K157" s="42">
        <f>IF('Data Extraction &amp; Cleaning'!$H157=1,-'Data Extraction &amp; Cleaning'!$J157,"")</f>
        <v>2769.13</v>
      </c>
      <c r="L157" s="42" t="str">
        <f>IF('Data Extraction &amp; Cleaning'!$H157=2,'Data Extraction &amp; Cleaning'!$J157,IF(ISBLANK('Data Extraction &amp; Cleaning'!$H157),'Data Extraction &amp; Cleaning'!$J157,""))</f>
        <v/>
      </c>
    </row>
    <row r="158" spans="1:12" x14ac:dyDescent="0.2">
      <c r="A158" s="166">
        <v>45526</v>
      </c>
      <c r="B158" s="167" t="s">
        <v>217</v>
      </c>
      <c r="C158" s="168">
        <v>-900</v>
      </c>
      <c r="D158" s="177">
        <v>38107.82</v>
      </c>
      <c r="E158" s="169"/>
      <c r="G158" s="43">
        <f>DATE(YEAR('Data Extraction &amp; Cleaning'!$A158)-1,MONTH('Data Extraction &amp; Cleaning'!$A158),DAY('Data Extraction &amp; Cleaning'!$A158))</f>
        <v>45160</v>
      </c>
      <c r="H158" s="42">
        <f>IF('Data Extraction &amp; Cleaning'!$J158&gt;0,2,1)</f>
        <v>1</v>
      </c>
      <c r="I158" s="42" t="str">
        <f>TRIM(CLEAN('Data Extraction &amp; Cleaning'!$B158&amp;'Data Extraction &amp; Cleaning'!$E158))</f>
        <v>Total of 1 Check Presented</v>
      </c>
      <c r="J158" s="42">
        <f>'Data Extraction &amp; Cleaning'!$C158</f>
        <v>-900</v>
      </c>
      <c r="K158" s="42">
        <f>IF('Data Extraction &amp; Cleaning'!$H158=1,-'Data Extraction &amp; Cleaning'!$J158,"")</f>
        <v>900</v>
      </c>
      <c r="L158" s="42" t="str">
        <f>IF('Data Extraction &amp; Cleaning'!$H158=2,'Data Extraction &amp; Cleaning'!$J158,IF(ISBLANK('Data Extraction &amp; Cleaning'!$H158),'Data Extraction &amp; Cleaning'!$J158,""))</f>
        <v/>
      </c>
    </row>
    <row r="159" spans="1:12" x14ac:dyDescent="0.2">
      <c r="A159" s="162">
        <v>45528</v>
      </c>
      <c r="B159" s="163" t="s">
        <v>210</v>
      </c>
      <c r="C159" s="164">
        <v>-29.91</v>
      </c>
      <c r="D159" s="176">
        <v>38077.910000000003</v>
      </c>
      <c r="E159" s="165" t="s">
        <v>343</v>
      </c>
      <c r="G159" s="43">
        <f>DATE(YEAR('Data Extraction &amp; Cleaning'!$A159)-1,MONTH('Data Extraction &amp; Cleaning'!$A159),DAY('Data Extraction &amp; Cleaning'!$A159))</f>
        <v>45162</v>
      </c>
      <c r="H159" s="42">
        <f>IF('Data Extraction &amp; Cleaning'!$J159&gt;0,2,1)</f>
        <v>1</v>
      </c>
      <c r="I159" s="42" t="str">
        <f>TRIM(CLEAN('Data Extraction &amp; Cleaning'!$B159&amp;'Data Extraction &amp; Cleaning'!$E159))</f>
        <v>P S E AND G NJ Bill PayACH TRACE#711960040002760</v>
      </c>
      <c r="J159" s="42">
        <f>'Data Extraction &amp; Cleaning'!$C159</f>
        <v>-29.91</v>
      </c>
      <c r="K159" s="42">
        <f>IF('Data Extraction &amp; Cleaning'!$H159=1,-'Data Extraction &amp; Cleaning'!$J159,"")</f>
        <v>29.91</v>
      </c>
      <c r="L159" s="42" t="str">
        <f>IF('Data Extraction &amp; Cleaning'!$H159=2,'Data Extraction &amp; Cleaning'!$J159,IF(ISBLANK('Data Extraction &amp; Cleaning'!$H159),'Data Extraction &amp; Cleaning'!$J159,""))</f>
        <v/>
      </c>
    </row>
    <row r="160" spans="1:12" x14ac:dyDescent="0.2">
      <c r="A160" s="166">
        <v>45528</v>
      </c>
      <c r="B160" s="167" t="s">
        <v>344</v>
      </c>
      <c r="C160" s="168">
        <v>-35.78</v>
      </c>
      <c r="D160" s="177">
        <v>38042.129999999997</v>
      </c>
      <c r="E160" s="169" t="s">
        <v>345</v>
      </c>
      <c r="G160" s="43">
        <f>DATE(YEAR('Data Extraction &amp; Cleaning'!$A160)-1,MONTH('Data Extraction &amp; Cleaning'!$A160),DAY('Data Extraction &amp; Cleaning'!$A160))</f>
        <v>45162</v>
      </c>
      <c r="H160" s="42">
        <f>IF('Data Extraction &amp; Cleaning'!$J160&gt;0,2,1)</f>
        <v>1</v>
      </c>
      <c r="I160" s="42" t="str">
        <f>TRIM(CLEAN('Data Extraction &amp; Cleaning'!$B160&amp;'Data Extraction &amp; Cleaning'!$E160))</f>
        <v>VERIZON COMMUNICBill PayACH TRACE#711960040002785</v>
      </c>
      <c r="J160" s="42">
        <f>'Data Extraction &amp; Cleaning'!$C160</f>
        <v>-35.78</v>
      </c>
      <c r="K160" s="42">
        <f>IF('Data Extraction &amp; Cleaning'!$H160=1,-'Data Extraction &amp; Cleaning'!$J160,"")</f>
        <v>35.78</v>
      </c>
      <c r="L160" s="42" t="str">
        <f>IF('Data Extraction &amp; Cleaning'!$H160=2,'Data Extraction &amp; Cleaning'!$J160,IF(ISBLANK('Data Extraction &amp; Cleaning'!$H160),'Data Extraction &amp; Cleaning'!$J160,""))</f>
        <v/>
      </c>
    </row>
    <row r="161" spans="1:12" x14ac:dyDescent="0.2">
      <c r="A161" s="162">
        <v>45528</v>
      </c>
      <c r="B161" s="163" t="s">
        <v>210</v>
      </c>
      <c r="C161" s="164">
        <v>-92.34</v>
      </c>
      <c r="D161" s="176">
        <v>37949.79</v>
      </c>
      <c r="E161" s="165" t="s">
        <v>346</v>
      </c>
      <c r="G161" s="43">
        <f>DATE(YEAR('Data Extraction &amp; Cleaning'!$A161)-1,MONTH('Data Extraction &amp; Cleaning'!$A161),DAY('Data Extraction &amp; Cleaning'!$A161))</f>
        <v>45162</v>
      </c>
      <c r="H161" s="42">
        <f>IF('Data Extraction &amp; Cleaning'!$J161&gt;0,2,1)</f>
        <v>1</v>
      </c>
      <c r="I161" s="42" t="str">
        <f>TRIM(CLEAN('Data Extraction &amp; Cleaning'!$B161&amp;'Data Extraction &amp; Cleaning'!$E161))</f>
        <v>P S E AND G NJ Bill PayACH TRACE#711960040002761</v>
      </c>
      <c r="J161" s="42">
        <f>'Data Extraction &amp; Cleaning'!$C161</f>
        <v>-92.34</v>
      </c>
      <c r="K161" s="42">
        <f>IF('Data Extraction &amp; Cleaning'!$H161=1,-'Data Extraction &amp; Cleaning'!$J161,"")</f>
        <v>92.34</v>
      </c>
      <c r="L161" s="42" t="str">
        <f>IF('Data Extraction &amp; Cleaning'!$H161=2,'Data Extraction &amp; Cleaning'!$J161,IF(ISBLANK('Data Extraction &amp; Cleaning'!$H161),'Data Extraction &amp; Cleaning'!$J161,""))</f>
        <v/>
      </c>
    </row>
    <row r="162" spans="1:12" x14ac:dyDescent="0.2">
      <c r="A162" s="166">
        <v>45532</v>
      </c>
      <c r="B162" s="167" t="s">
        <v>216</v>
      </c>
      <c r="C162" s="168">
        <v>2944.63</v>
      </c>
      <c r="D162" s="177">
        <v>40894.42</v>
      </c>
      <c r="E162" s="169"/>
      <c r="G162" s="43">
        <f>DATE(YEAR('Data Extraction &amp; Cleaning'!$A162)-1,MONTH('Data Extraction &amp; Cleaning'!$A162),DAY('Data Extraction &amp; Cleaning'!$A162))</f>
        <v>45166</v>
      </c>
      <c r="H162" s="42">
        <f>IF('Data Extraction &amp; Cleaning'!$J162&gt;0,2,1)</f>
        <v>2</v>
      </c>
      <c r="I162" s="42" t="str">
        <f>TRIM(CLEAN('Data Extraction &amp; Cleaning'!$B162&amp;'Data Extraction &amp; Cleaning'!$E162))</f>
        <v>RDC Deposit</v>
      </c>
      <c r="J162" s="42">
        <f>'Data Extraction &amp; Cleaning'!$C162</f>
        <v>2944.63</v>
      </c>
      <c r="K162" s="42" t="str">
        <f>IF('Data Extraction &amp; Cleaning'!$H162=1,-'Data Extraction &amp; Cleaning'!$J162,"")</f>
        <v/>
      </c>
      <c r="L162" s="42">
        <f>IF('Data Extraction &amp; Cleaning'!$H162=2,'Data Extraction &amp; Cleaning'!$J162,IF(ISBLANK('Data Extraction &amp; Cleaning'!$H162),'Data Extraction &amp; Cleaning'!$J162,""))</f>
        <v>2944.63</v>
      </c>
    </row>
    <row r="163" spans="1:12" x14ac:dyDescent="0.2">
      <c r="A163" s="162">
        <v>45533</v>
      </c>
      <c r="B163" s="163" t="s">
        <v>232</v>
      </c>
      <c r="C163" s="164">
        <v>-729</v>
      </c>
      <c r="D163" s="176">
        <v>40165.42</v>
      </c>
      <c r="E163" s="165" t="s">
        <v>347</v>
      </c>
      <c r="G163" s="43">
        <f>DATE(YEAR('Data Extraction &amp; Cleaning'!$A163)-1,MONTH('Data Extraction &amp; Cleaning'!$A163),DAY('Data Extraction &amp; Cleaning'!$A163))</f>
        <v>45167</v>
      </c>
      <c r="H163" s="42">
        <f>IF('Data Extraction &amp; Cleaning'!$J163&gt;0,2,1)</f>
        <v>1</v>
      </c>
      <c r="I163" s="42" t="str">
        <f>TRIM(CLEAN('Data Extraction &amp; Cleaning'!$B163&amp;'Data Extraction &amp; Cleaning'!$E163))</f>
        <v>Web Pay Utica Mutual Ins000001562038124 DIWALI I</v>
      </c>
      <c r="J163" s="42">
        <f>'Data Extraction &amp; Cleaning'!$C163</f>
        <v>-729</v>
      </c>
      <c r="K163" s="42">
        <f>IF('Data Extraction &amp; Cleaning'!$H163=1,-'Data Extraction &amp; Cleaning'!$J163,"")</f>
        <v>729</v>
      </c>
      <c r="L163" s="42" t="str">
        <f>IF('Data Extraction &amp; Cleaning'!$H163=2,'Data Extraction &amp; Cleaning'!$J163,IF(ISBLANK('Data Extraction &amp; Cleaning'!$H163),'Data Extraction &amp; Cleaning'!$J163,""))</f>
        <v/>
      </c>
    </row>
    <row r="164" spans="1:12" x14ac:dyDescent="0.2">
      <c r="A164" s="166"/>
      <c r="B164" s="167"/>
      <c r="C164" s="168"/>
      <c r="D164" s="167"/>
      <c r="E164" s="169"/>
      <c r="G164" s="43"/>
    </row>
    <row r="165" spans="1:12" x14ac:dyDescent="0.2">
      <c r="A165" s="162">
        <v>45536</v>
      </c>
      <c r="B165" s="163" t="s">
        <v>348</v>
      </c>
      <c r="C165" s="164">
        <v>454.7</v>
      </c>
      <c r="D165" s="176">
        <v>47620.12</v>
      </c>
      <c r="E165" s="165" t="s">
        <v>349</v>
      </c>
      <c r="G165" s="43">
        <f>DATE(YEAR('Data Extraction &amp; Cleaning'!$A165)-1,MONTH('Data Extraction &amp; Cleaning'!$A165),DAY('Data Extraction &amp; Cleaning'!$A165))</f>
        <v>45170</v>
      </c>
      <c r="H165" s="42">
        <f>IF('Data Extraction &amp; Cleaning'!$J165&gt;0,2,1)</f>
        <v>2</v>
      </c>
      <c r="I165" s="42" t="str">
        <f>TRIM(CLEAN('Data Extraction &amp; Cleaning'!$B165&amp;'Data Extraction &amp; Cleaning'!$E165))</f>
        <v>ACH Pmt JPW DENTAL LLC 711026021698 Diwali I</v>
      </c>
      <c r="J165" s="42">
        <f>'Data Extraction &amp; Cleaning'!$C165</f>
        <v>454.7</v>
      </c>
      <c r="K165" s="42" t="str">
        <f>IF('Data Extraction &amp; Cleaning'!$H165=1,-'Data Extraction &amp; Cleaning'!$J165,"")</f>
        <v/>
      </c>
      <c r="L165" s="42">
        <f>IF('Data Extraction &amp; Cleaning'!$H165=2,'Data Extraction &amp; Cleaning'!$J165,IF(ISBLANK('Data Extraction &amp; Cleaning'!$H165),'Data Extraction &amp; Cleaning'!$J165,""))</f>
        <v>454.7</v>
      </c>
    </row>
    <row r="166" spans="1:12" x14ac:dyDescent="0.2">
      <c r="A166" s="166">
        <v>45536</v>
      </c>
      <c r="B166" s="167" t="s">
        <v>350</v>
      </c>
      <c r="C166" s="168">
        <v>220.12</v>
      </c>
      <c r="D166" s="167"/>
      <c r="E166" s="169"/>
      <c r="G166" s="43">
        <f>DATE(YEAR('Data Extraction &amp; Cleaning'!$A166)-1,MONTH('Data Extraction &amp; Cleaning'!$A166),DAY('Data Extraction &amp; Cleaning'!$A166))</f>
        <v>45170</v>
      </c>
      <c r="H166" s="42">
        <f>IF('Data Extraction &amp; Cleaning'!$J166&gt;0,2,1)</f>
        <v>2</v>
      </c>
      <c r="I166" s="42" t="str">
        <f>TRIM(CLEAN('Data Extraction &amp; Cleaning'!$B166&amp;'Data Extraction &amp; Cleaning'!$E166))</f>
        <v>Total of 1 Check Presented 400.00- 47</v>
      </c>
      <c r="J166" s="42">
        <f>'Data Extraction &amp; Cleaning'!$C166</f>
        <v>220.12</v>
      </c>
      <c r="K166" s="42" t="str">
        <f>IF('Data Extraction &amp; Cleaning'!$H166=1,-'Data Extraction &amp; Cleaning'!$J166,"")</f>
        <v/>
      </c>
      <c r="L166" s="42">
        <f>IF('Data Extraction &amp; Cleaning'!$H166=2,'Data Extraction &amp; Cleaning'!$J166,IF(ISBLANK('Data Extraction &amp; Cleaning'!$H166),'Data Extraction &amp; Cleaning'!$J166,""))</f>
        <v>220.12</v>
      </c>
    </row>
    <row r="167" spans="1:12" x14ac:dyDescent="0.2">
      <c r="A167" s="162">
        <v>45536</v>
      </c>
      <c r="B167" s="163" t="s">
        <v>351</v>
      </c>
      <c r="C167" s="164">
        <v>-708.78</v>
      </c>
      <c r="D167" s="176">
        <v>28511.34</v>
      </c>
      <c r="E167" s="165" t="s">
        <v>328</v>
      </c>
      <c r="G167" s="43">
        <f>DATE(YEAR('Data Extraction &amp; Cleaning'!$A167)-1,MONTH('Data Extraction &amp; Cleaning'!$A167),DAY('Data Extraction &amp; Cleaning'!$A167))</f>
        <v>45170</v>
      </c>
      <c r="H167" s="42">
        <f>IF('Data Extraction &amp; Cleaning'!$J167&gt;0,2,1)</f>
        <v>1</v>
      </c>
      <c r="I167" s="42" t="str">
        <f>TRIM(CLEAN('Data Extraction &amp; Cleaning'!$B167&amp;'Data Extraction &amp; Cleaning'!$E167))</f>
        <v>Transfer to Loan 18Acct No. XXXXXX3533</v>
      </c>
      <c r="J167" s="42">
        <f>'Data Extraction &amp; Cleaning'!$C167</f>
        <v>-708.78</v>
      </c>
      <c r="K167" s="42">
        <f>IF('Data Extraction &amp; Cleaning'!$H167=1,-'Data Extraction &amp; Cleaning'!$J167,"")</f>
        <v>708.78</v>
      </c>
      <c r="L167" s="42" t="str">
        <f>IF('Data Extraction &amp; Cleaning'!$H167=2,'Data Extraction &amp; Cleaning'!$J167,IF(ISBLANK('Data Extraction &amp; Cleaning'!$H167),'Data Extraction &amp; Cleaning'!$J167,""))</f>
        <v/>
      </c>
    </row>
    <row r="168" spans="1:12" x14ac:dyDescent="0.2">
      <c r="A168" s="166">
        <v>45546</v>
      </c>
      <c r="B168" s="167" t="s">
        <v>352</v>
      </c>
      <c r="C168" s="168">
        <v>-100</v>
      </c>
      <c r="D168" s="177">
        <v>27411.34</v>
      </c>
      <c r="E168" s="169"/>
      <c r="G168" s="43">
        <f>DATE(YEAR('Data Extraction &amp; Cleaning'!$A168)-1,MONTH('Data Extraction &amp; Cleaning'!$A168),DAY('Data Extraction &amp; Cleaning'!$A168))</f>
        <v>45180</v>
      </c>
      <c r="H168" s="42">
        <f>IF('Data Extraction &amp; Cleaning'!$J168&gt;0,2,1)</f>
        <v>1</v>
      </c>
      <c r="I168" s="42" t="str">
        <f>TRIM(CLEAN('Data Extraction &amp; Cleaning'!$B168&amp;'Data Extraction &amp; Cleaning'!$E168))</f>
        <v>Total of 1 Check Presented 1</v>
      </c>
      <c r="J168" s="42">
        <f>'Data Extraction &amp; Cleaning'!$C168</f>
        <v>-100</v>
      </c>
      <c r="K168" s="42">
        <f>IF('Data Extraction &amp; Cleaning'!$H168=1,-'Data Extraction &amp; Cleaning'!$J168,"")</f>
        <v>100</v>
      </c>
      <c r="L168" s="42" t="str">
        <f>IF('Data Extraction &amp; Cleaning'!$H168=2,'Data Extraction &amp; Cleaning'!$J168,IF(ISBLANK('Data Extraction &amp; Cleaning'!$H168),'Data Extraction &amp; Cleaning'!$J168,""))</f>
        <v/>
      </c>
    </row>
    <row r="169" spans="1:12" x14ac:dyDescent="0.2">
      <c r="A169" s="162">
        <v>45547</v>
      </c>
      <c r="B169" s="163" t="s">
        <v>352</v>
      </c>
      <c r="C169" s="164">
        <v>-200</v>
      </c>
      <c r="D169" s="176">
        <v>26211.34</v>
      </c>
      <c r="E169" s="165"/>
      <c r="G169" s="43">
        <f>DATE(YEAR('Data Extraction &amp; Cleaning'!$A169)-1,MONTH('Data Extraction &amp; Cleaning'!$A169),DAY('Data Extraction &amp; Cleaning'!$A169))</f>
        <v>45181</v>
      </c>
      <c r="H169" s="42">
        <f>IF('Data Extraction &amp; Cleaning'!$J169&gt;0,2,1)</f>
        <v>1</v>
      </c>
      <c r="I169" s="42" t="str">
        <f>TRIM(CLEAN('Data Extraction &amp; Cleaning'!$B169&amp;'Data Extraction &amp; Cleaning'!$E169))</f>
        <v>Total of 1 Check Presented 1</v>
      </c>
      <c r="J169" s="42">
        <f>'Data Extraction &amp; Cleaning'!$C169</f>
        <v>-200</v>
      </c>
      <c r="K169" s="42">
        <f>IF('Data Extraction &amp; Cleaning'!$H169=1,-'Data Extraction &amp; Cleaning'!$J169,"")</f>
        <v>200</v>
      </c>
      <c r="L169" s="42" t="str">
        <f>IF('Data Extraction &amp; Cleaning'!$H169=2,'Data Extraction &amp; Cleaning'!$J169,IF(ISBLANK('Data Extraction &amp; Cleaning'!$H169),'Data Extraction &amp; Cleaning'!$J169,""))</f>
        <v/>
      </c>
    </row>
    <row r="170" spans="1:12" x14ac:dyDescent="0.2">
      <c r="A170" s="166">
        <v>45549</v>
      </c>
      <c r="B170" s="167" t="s">
        <v>353</v>
      </c>
      <c r="C170" s="168">
        <v>-500</v>
      </c>
      <c r="D170" s="177">
        <v>23711.34</v>
      </c>
      <c r="E170" s="169"/>
      <c r="G170" s="43">
        <f>DATE(YEAR('Data Extraction &amp; Cleaning'!$A170)-1,MONTH('Data Extraction &amp; Cleaning'!$A170),DAY('Data Extraction &amp; Cleaning'!$A170))</f>
        <v>45183</v>
      </c>
      <c r="H170" s="42">
        <f>IF('Data Extraction &amp; Cleaning'!$J170&gt;0,2,1)</f>
        <v>1</v>
      </c>
      <c r="I170" s="42" t="str">
        <f>TRIM(CLEAN('Data Extraction &amp; Cleaning'!$B170&amp;'Data Extraction &amp; Cleaning'!$E170))</f>
        <v>Total of 1 Check Presented 2</v>
      </c>
      <c r="J170" s="42">
        <f>'Data Extraction &amp; Cleaning'!$C170</f>
        <v>-500</v>
      </c>
      <c r="K170" s="42">
        <f>IF('Data Extraction &amp; Cleaning'!$H170=1,-'Data Extraction &amp; Cleaning'!$J170,"")</f>
        <v>500</v>
      </c>
      <c r="L170" s="42" t="str">
        <f>IF('Data Extraction &amp; Cleaning'!$H170=2,'Data Extraction &amp; Cleaning'!$J170,IF(ISBLANK('Data Extraction &amp; Cleaning'!$H170),'Data Extraction &amp; Cleaning'!$J170,""))</f>
        <v/>
      </c>
    </row>
    <row r="171" spans="1:12" x14ac:dyDescent="0.2">
      <c r="A171" s="162">
        <v>45549</v>
      </c>
      <c r="B171" s="163" t="s">
        <v>354</v>
      </c>
      <c r="C171" s="164">
        <v>615.89</v>
      </c>
      <c r="D171" s="163" t="s">
        <v>355</v>
      </c>
      <c r="E171" s="165" t="s">
        <v>356</v>
      </c>
      <c r="G171" s="43">
        <f>DATE(YEAR('Data Extraction &amp; Cleaning'!$A171)-1,MONTH('Data Extraction &amp; Cleaning'!$A171),DAY('Data Extraction &amp; Cleaning'!$A171))</f>
        <v>45183</v>
      </c>
      <c r="H171" s="42">
        <f>IF('Data Extraction &amp; Cleaning'!$J171&gt;0,2,1)</f>
        <v>2</v>
      </c>
      <c r="I171" s="42" t="str">
        <f>TRIM(CLEAN('Data Extraction &amp; Cleaning'!$B171&amp;'Data Extraction &amp; Cleaning'!$E171))</f>
        <v>PUBLIC SERVICE PSEG 95.45- 23TRACE#091000014084283</v>
      </c>
      <c r="J171" s="42">
        <f>'Data Extraction &amp; Cleaning'!$C171</f>
        <v>615.89</v>
      </c>
      <c r="K171" s="42" t="str">
        <f>IF('Data Extraction &amp; Cleaning'!$H171=1,-'Data Extraction &amp; Cleaning'!$J171,"")</f>
        <v/>
      </c>
      <c r="L171" s="42">
        <f>IF('Data Extraction &amp; Cleaning'!$H171=2,'Data Extraction &amp; Cleaning'!$J171,IF(ISBLANK('Data Extraction &amp; Cleaning'!$H171),'Data Extraction &amp; Cleaning'!$J171,""))</f>
        <v>615.89</v>
      </c>
    </row>
    <row r="172" spans="1:12" x14ac:dyDescent="0.2">
      <c r="A172" s="166">
        <v>45549</v>
      </c>
      <c r="B172" s="167" t="s">
        <v>357</v>
      </c>
      <c r="C172" s="168">
        <v>200.25</v>
      </c>
      <c r="D172" s="167" t="s">
        <v>358</v>
      </c>
      <c r="E172" s="169" t="s">
        <v>359</v>
      </c>
      <c r="G172" s="43">
        <f>DATE(YEAR('Data Extraction &amp; Cleaning'!$A172)-1,MONTH('Data Extraction &amp; Cleaning'!$A172),DAY('Data Extraction &amp; Cleaning'!$A172))</f>
        <v>45183</v>
      </c>
      <c r="H172" s="42">
        <f>IF('Data Extraction &amp; Cleaning'!$J172&gt;0,2,1)</f>
        <v>2</v>
      </c>
      <c r="I172" s="42" t="str">
        <f>TRIM(CLEAN('Data Extraction &amp; Cleaning'!$B172&amp;'Data Extraction &amp; Cleaning'!$E172))</f>
        <v>Veolia Veolia 415.64- 23INTERNET-INITIATED ENTRIES 10006752433605</v>
      </c>
      <c r="J172" s="42">
        <f>'Data Extraction &amp; Cleaning'!$C172</f>
        <v>200.25</v>
      </c>
      <c r="K172" s="42" t="str">
        <f>IF('Data Extraction &amp; Cleaning'!$H172=1,-'Data Extraction &amp; Cleaning'!$J172,"")</f>
        <v/>
      </c>
      <c r="L172" s="42">
        <f>IF('Data Extraction &amp; Cleaning'!$H172=2,'Data Extraction &amp; Cleaning'!$J172,IF(ISBLANK('Data Extraction &amp; Cleaning'!$H172),'Data Extraction &amp; Cleaning'!$J172,""))</f>
        <v>200.25</v>
      </c>
    </row>
    <row r="173" spans="1:12" x14ac:dyDescent="0.2">
      <c r="A173" s="162">
        <v>45549</v>
      </c>
      <c r="B173" s="163" t="s">
        <v>360</v>
      </c>
      <c r="C173" s="164">
        <v>568.5</v>
      </c>
      <c r="D173" s="163" t="s">
        <v>358</v>
      </c>
      <c r="E173" s="165" t="s">
        <v>361</v>
      </c>
      <c r="G173" s="43">
        <f>DATE(YEAR('Data Extraction &amp; Cleaning'!$A173)-1,MONTH('Data Extraction &amp; Cleaning'!$A173),DAY('Data Extraction &amp; Cleaning'!$A173))</f>
        <v>45183</v>
      </c>
      <c r="H173" s="42">
        <f>IF('Data Extraction &amp; Cleaning'!$J173&gt;0,2,1)</f>
        <v>2</v>
      </c>
      <c r="I173" s="42" t="str">
        <f>TRIM(CLEAN('Data Extraction &amp; Cleaning'!$B173&amp;'Data Extraction &amp; Cleaning'!$E173))</f>
        <v>Veolia Veolia 631.75- 22INTERNET-INITIATED ENTRIES 10009806967654</v>
      </c>
      <c r="J173" s="42">
        <f>'Data Extraction &amp; Cleaning'!$C173</f>
        <v>568.5</v>
      </c>
      <c r="K173" s="42" t="str">
        <f>IF('Data Extraction &amp; Cleaning'!$H173=1,-'Data Extraction &amp; Cleaning'!$J173,"")</f>
        <v/>
      </c>
      <c r="L173" s="42">
        <f>IF('Data Extraction &amp; Cleaning'!$H173=2,'Data Extraction &amp; Cleaning'!$J173,IF(ISBLANK('Data Extraction &amp; Cleaning'!$H173),'Data Extraction &amp; Cleaning'!$J173,""))</f>
        <v>568.5</v>
      </c>
    </row>
    <row r="174" spans="1:12" x14ac:dyDescent="0.2">
      <c r="A174" s="166">
        <v>45549</v>
      </c>
      <c r="B174" s="167" t="s">
        <v>362</v>
      </c>
      <c r="C174" s="168">
        <v>-614.95000000000005</v>
      </c>
      <c r="D174" s="177">
        <v>19953.55</v>
      </c>
      <c r="E174" s="169" t="s">
        <v>363</v>
      </c>
      <c r="G174" s="43">
        <f>DATE(YEAR('Data Extraction &amp; Cleaning'!$A174)-1,MONTH('Data Extraction &amp; Cleaning'!$A174),DAY('Data Extraction &amp; Cleaning'!$A174))</f>
        <v>45183</v>
      </c>
      <c r="H174" s="42">
        <f>IF('Data Extraction &amp; Cleaning'!$J174&gt;0,2,1)</f>
        <v>1</v>
      </c>
      <c r="I174" s="42" t="str">
        <f>TRIM(CLEAN('Data Extraction &amp; Cleaning'!$B174&amp;'Data Extraction &amp; Cleaning'!$E174))</f>
        <v>PUBLIC SERVICE PSEG 2ACH TRACE#091000014088267</v>
      </c>
      <c r="J174" s="42">
        <f>'Data Extraction &amp; Cleaning'!$C174</f>
        <v>-614.95000000000005</v>
      </c>
      <c r="K174" s="42">
        <f>IF('Data Extraction &amp; Cleaning'!$H174=1,-'Data Extraction &amp; Cleaning'!$J174,"")</f>
        <v>614.95000000000005</v>
      </c>
      <c r="L174" s="42" t="str">
        <f>IF('Data Extraction &amp; Cleaning'!$H174=2,'Data Extraction &amp; Cleaning'!$J174,IF(ISBLANK('Data Extraction &amp; Cleaning'!$H174),'Data Extraction &amp; Cleaning'!$J174,""))</f>
        <v/>
      </c>
    </row>
    <row r="175" spans="1:12" x14ac:dyDescent="0.2">
      <c r="A175" s="162">
        <v>45553</v>
      </c>
      <c r="B175" s="163" t="s">
        <v>364</v>
      </c>
      <c r="C175" s="164">
        <v>537.91</v>
      </c>
      <c r="D175" s="163">
        <v>10006752433605</v>
      </c>
      <c r="E175" s="165" t="s">
        <v>365</v>
      </c>
      <c r="G175" s="43">
        <f>DATE(YEAR('Data Extraction &amp; Cleaning'!$A175)-1,MONTH('Data Extraction &amp; Cleaning'!$A175),DAY('Data Extraction &amp; Cleaning'!$A175))</f>
        <v>45187</v>
      </c>
      <c r="H175" s="42">
        <f>IF('Data Extraction &amp; Cleaning'!$J175&gt;0,2,1)</f>
        <v>2</v>
      </c>
      <c r="I175" s="42" t="str">
        <f>TRIM(CLEAN('Data Extraction &amp; Cleaning'!$B175&amp;'Data Extraction &amp; Cleaning'!$E175))</f>
        <v>WATER BILL VEOLIA WATER NEW 415.64- 19Diwali I</v>
      </c>
      <c r="J175" s="42">
        <f>'Data Extraction &amp; Cleaning'!$C175</f>
        <v>537.91</v>
      </c>
      <c r="K175" s="42" t="str">
        <f>IF('Data Extraction &amp; Cleaning'!$H175=1,-'Data Extraction &amp; Cleaning'!$J175,"")</f>
        <v/>
      </c>
      <c r="L175" s="42">
        <f>IF('Data Extraction &amp; Cleaning'!$H175=2,'Data Extraction &amp; Cleaning'!$J175,IF(ISBLANK('Data Extraction &amp; Cleaning'!$H175),'Data Extraction &amp; Cleaning'!$J175,""))</f>
        <v>537.91</v>
      </c>
    </row>
    <row r="176" spans="1:12" x14ac:dyDescent="0.2">
      <c r="A176" s="166">
        <v>45555</v>
      </c>
      <c r="B176" s="167" t="s">
        <v>463</v>
      </c>
      <c r="C176" s="168">
        <v>14572.2</v>
      </c>
      <c r="D176" s="177">
        <v>34110.11</v>
      </c>
      <c r="E176" s="169"/>
      <c r="G176" s="43">
        <f>DATE(YEAR('Data Extraction &amp; Cleaning'!$A176)-1,MONTH('Data Extraction &amp; Cleaning'!$A176),DAY('Data Extraction &amp; Cleaning'!$A176))</f>
        <v>45189</v>
      </c>
      <c r="H176" s="42">
        <f>IF('Data Extraction &amp; Cleaning'!$J176&gt;0,2,1)</f>
        <v>2</v>
      </c>
      <c r="I176" s="42" t="str">
        <f>TRIM(CLEAN('Data Extraction &amp; Cleaning'!$B176&amp;'Data Extraction &amp; Cleaning'!$E176))</f>
        <v>RDC Deposit</v>
      </c>
      <c r="J176" s="42">
        <f>'Data Extraction &amp; Cleaning'!$C176</f>
        <v>14572.2</v>
      </c>
      <c r="K176" s="42" t="str">
        <f>IF('Data Extraction &amp; Cleaning'!$H176=1,-'Data Extraction &amp; Cleaning'!$J176,"")</f>
        <v/>
      </c>
      <c r="L176" s="42">
        <f>IF('Data Extraction &amp; Cleaning'!$H176=2,'Data Extraction &amp; Cleaning'!$J176,IF(ISBLANK('Data Extraction &amp; Cleaning'!$H176),'Data Extraction &amp; Cleaning'!$J176,""))</f>
        <v>14572.2</v>
      </c>
    </row>
    <row r="177" spans="1:12" x14ac:dyDescent="0.2">
      <c r="A177" s="162">
        <v>45555</v>
      </c>
      <c r="B177" s="163" t="s">
        <v>366</v>
      </c>
      <c r="C177" s="164">
        <v>934.18</v>
      </c>
      <c r="D177" s="163" t="s">
        <v>355</v>
      </c>
      <c r="E177" s="165" t="s">
        <v>367</v>
      </c>
      <c r="G177" s="43">
        <f>DATE(YEAR('Data Extraction &amp; Cleaning'!$A177)-1,MONTH('Data Extraction &amp; Cleaning'!$A177),DAY('Data Extraction &amp; Cleaning'!$A177))</f>
        <v>45189</v>
      </c>
      <c r="H177" s="42">
        <f>IF('Data Extraction &amp; Cleaning'!$J177&gt;0,2,1)</f>
        <v>2</v>
      </c>
      <c r="I177" s="42" t="str">
        <f>TRIM(CLEAN('Data Extraction &amp; Cleaning'!$B177&amp;'Data Extraction &amp; Cleaning'!$E177))</f>
        <v>ACTION ELEVATOR Bill Pay 175.93- 33TRACE#711960040002621</v>
      </c>
      <c r="J177" s="42">
        <f>'Data Extraction &amp; Cleaning'!$C177</f>
        <v>934.18</v>
      </c>
      <c r="K177" s="42" t="str">
        <f>IF('Data Extraction &amp; Cleaning'!$H177=1,-'Data Extraction &amp; Cleaning'!$J177,"")</f>
        <v/>
      </c>
      <c r="L177" s="42">
        <f>IF('Data Extraction &amp; Cleaning'!$H177=2,'Data Extraction &amp; Cleaning'!$J177,IF(ISBLANK('Data Extraction &amp; Cleaning'!$H177),'Data Extraction &amp; Cleaning'!$J177,""))</f>
        <v>934.18</v>
      </c>
    </row>
    <row r="178" spans="1:12" x14ac:dyDescent="0.2">
      <c r="A178" s="166">
        <v>45556</v>
      </c>
      <c r="B178" s="167" t="s">
        <v>368</v>
      </c>
      <c r="C178" s="168">
        <v>679.18</v>
      </c>
      <c r="D178" s="167">
        <v>91000015590721</v>
      </c>
      <c r="E178" s="169" t="s">
        <v>369</v>
      </c>
      <c r="G178" s="43">
        <f>DATE(YEAR('Data Extraction &amp; Cleaning'!$A178)-1,MONTH('Data Extraction &amp; Cleaning'!$A178),DAY('Data Extraction &amp; Cleaning'!$A178))</f>
        <v>45190</v>
      </c>
      <c r="H178" s="42">
        <f>IF('Data Extraction &amp; Cleaning'!$J178&gt;0,2,1)</f>
        <v>2</v>
      </c>
      <c r="I178" s="42" t="str">
        <f>TRIM(CLEAN('Data Extraction &amp; Cleaning'!$B178&amp;'Data Extraction &amp; Cleaning'!$E178))</f>
        <v>NJWEB30301 DEP PAYMENT 255.00- 33DIWALI I TXP*B8ec0e6beb51e*30301*151231 *T*25500*P*0000032401***JERE\</v>
      </c>
      <c r="J178" s="42">
        <f>'Data Extraction &amp; Cleaning'!$C178</f>
        <v>679.18</v>
      </c>
      <c r="K178" s="42" t="str">
        <f>IF('Data Extraction &amp; Cleaning'!$H178=1,-'Data Extraction &amp; Cleaning'!$J178,"")</f>
        <v/>
      </c>
      <c r="L178" s="42">
        <f>IF('Data Extraction &amp; Cleaning'!$H178=2,'Data Extraction &amp; Cleaning'!$J178,IF(ISBLANK('Data Extraction &amp; Cleaning'!$H178),'Data Extraction &amp; Cleaning'!$J178,""))</f>
        <v>679.18</v>
      </c>
    </row>
    <row r="179" spans="1:12" x14ac:dyDescent="0.2">
      <c r="A179" s="162">
        <v>45557</v>
      </c>
      <c r="B179" s="163" t="s">
        <v>370</v>
      </c>
      <c r="C179" s="164">
        <v>486.32</v>
      </c>
      <c r="D179" s="163" t="s">
        <v>358</v>
      </c>
      <c r="E179" s="165" t="s">
        <v>371</v>
      </c>
      <c r="G179" s="43">
        <f>DATE(YEAR('Data Extraction &amp; Cleaning'!$A179)-1,MONTH('Data Extraction &amp; Cleaning'!$A179),DAY('Data Extraction &amp; Cleaning'!$A179))</f>
        <v>45191</v>
      </c>
      <c r="H179" s="42">
        <f>IF('Data Extraction &amp; Cleaning'!$J179&gt;0,2,1)</f>
        <v>2</v>
      </c>
      <c r="I179" s="42" t="str">
        <f>TRIM(CLEAN('Data Extraction &amp; Cleaning'!$B179&amp;'Data Extraction &amp; Cleaning'!$E179))</f>
        <v>VERIZON PAYMENTREC 192.86- 33INTERNET-INITIATED ENTRIES DIWALI LLC</v>
      </c>
      <c r="J179" s="42">
        <f>'Data Extraction &amp; Cleaning'!$C179</f>
        <v>486.32</v>
      </c>
      <c r="K179" s="42" t="str">
        <f>IF('Data Extraction &amp; Cleaning'!$H179=1,-'Data Extraction &amp; Cleaning'!$J179,"")</f>
        <v/>
      </c>
      <c r="L179" s="42">
        <f>IF('Data Extraction &amp; Cleaning'!$H179=2,'Data Extraction &amp; Cleaning'!$J179,IF(ISBLANK('Data Extraction &amp; Cleaning'!$H179),'Data Extraction &amp; Cleaning'!$J179,""))</f>
        <v>486.32</v>
      </c>
    </row>
    <row r="180" spans="1:12" x14ac:dyDescent="0.2">
      <c r="A180" s="166">
        <v>45564</v>
      </c>
      <c r="B180" s="167" t="s">
        <v>348</v>
      </c>
      <c r="C180" s="168">
        <v>454.7</v>
      </c>
      <c r="D180" s="177">
        <v>40941.019999999997</v>
      </c>
      <c r="E180" s="169" t="s">
        <v>372</v>
      </c>
      <c r="G180" s="43">
        <f>DATE(YEAR('Data Extraction &amp; Cleaning'!$A180)-1,MONTH('Data Extraction &amp; Cleaning'!$A180),DAY('Data Extraction &amp; Cleaning'!$A180))</f>
        <v>45198</v>
      </c>
      <c r="H180" s="42">
        <f>IF('Data Extraction &amp; Cleaning'!$J180&gt;0,2,1)</f>
        <v>2</v>
      </c>
      <c r="I180" s="42" t="str">
        <f>TRIM(CLEAN('Data Extraction &amp; Cleaning'!$B180&amp;'Data Extraction &amp; Cleaning'!$E180))</f>
        <v>ACH Pmt JPW DENTAL LLC 711028986769 Diwali I</v>
      </c>
      <c r="J180" s="42">
        <f>'Data Extraction &amp; Cleaning'!$C180</f>
        <v>454.7</v>
      </c>
      <c r="K180" s="42" t="str">
        <f>IF('Data Extraction &amp; Cleaning'!$H180=1,-'Data Extraction &amp; Cleaning'!$J180,"")</f>
        <v/>
      </c>
      <c r="L180" s="42">
        <f>IF('Data Extraction &amp; Cleaning'!$H180=2,'Data Extraction &amp; Cleaning'!$J180,IF(ISBLANK('Data Extraction &amp; Cleaning'!$H180),'Data Extraction &amp; Cleaning'!$J180,""))</f>
        <v>454.7</v>
      </c>
    </row>
    <row r="181" spans="1:12" x14ac:dyDescent="0.2">
      <c r="A181" s="162">
        <v>45564</v>
      </c>
      <c r="B181" s="163" t="s">
        <v>373</v>
      </c>
      <c r="C181" s="164">
        <v>212.02</v>
      </c>
      <c r="D181" s="163">
        <v>1570256692</v>
      </c>
      <c r="E181" s="165" t="s">
        <v>374</v>
      </c>
      <c r="G181" s="43">
        <f>DATE(YEAR('Data Extraction &amp; Cleaning'!$A181)-1,MONTH('Data Extraction &amp; Cleaning'!$A181),DAY('Data Extraction &amp; Cleaning'!$A181))</f>
        <v>45198</v>
      </c>
      <c r="H181" s="42">
        <f>IF('Data Extraction &amp; Cleaning'!$J181&gt;0,2,1)</f>
        <v>2</v>
      </c>
      <c r="I181" s="42" t="str">
        <f>TRIM(CLEAN('Data Extraction &amp; Cleaning'!$B181&amp;'Data Extraction &amp; Cleaning'!$E181))</f>
        <v>Web Pay Utica Mutual Ins 729.00- 40DIWALI I</v>
      </c>
      <c r="J181" s="42">
        <f>'Data Extraction &amp; Cleaning'!$C181</f>
        <v>212.02</v>
      </c>
      <c r="K181" s="42" t="str">
        <f>IF('Data Extraction &amp; Cleaning'!$H181=1,-'Data Extraction &amp; Cleaning'!$J181,"")</f>
        <v/>
      </c>
      <c r="L181" s="42">
        <f>IF('Data Extraction &amp; Cleaning'!$H181=2,'Data Extraction &amp; Cleaning'!$J181,IF(ISBLANK('Data Extraction &amp; Cleaning'!$H181),'Data Extraction &amp; Cleaning'!$J181,""))</f>
        <v>212.02</v>
      </c>
    </row>
    <row r="182" spans="1:12" x14ac:dyDescent="0.2">
      <c r="A182" s="166"/>
      <c r="B182" s="167"/>
      <c r="C182" s="168"/>
      <c r="D182" s="167"/>
      <c r="E182" s="169"/>
      <c r="G182" s="43"/>
    </row>
    <row r="183" spans="1:12" x14ac:dyDescent="0.2">
      <c r="A183" s="162">
        <v>45567</v>
      </c>
      <c r="B183" s="163" t="s">
        <v>351</v>
      </c>
      <c r="C183" s="164">
        <v>-708.78</v>
      </c>
      <c r="D183" s="176">
        <v>21503.24</v>
      </c>
      <c r="E183" s="165" t="s">
        <v>328</v>
      </c>
      <c r="G183" s="43">
        <f>DATE(YEAR('Data Extraction &amp; Cleaning'!$A183)-1,MONTH('Data Extraction &amp; Cleaning'!$A183),DAY('Data Extraction &amp; Cleaning'!$A183))</f>
        <v>45201</v>
      </c>
      <c r="H183" s="42">
        <f>IF('Data Extraction &amp; Cleaning'!$J183&gt;0,2,1)</f>
        <v>1</v>
      </c>
      <c r="I183" s="42" t="str">
        <f>TRIM(CLEAN('Data Extraction &amp; Cleaning'!$B183&amp;'Data Extraction &amp; Cleaning'!$E183))</f>
        <v>Transfer to Loan 18Acct No. XXXXXX3533</v>
      </c>
      <c r="J183" s="42">
        <f>'Data Extraction &amp; Cleaning'!$C183</f>
        <v>-708.78</v>
      </c>
      <c r="K183" s="42">
        <f>IF('Data Extraction &amp; Cleaning'!$H183=1,-'Data Extraction &amp; Cleaning'!$J183,"")</f>
        <v>708.78</v>
      </c>
      <c r="L183" s="42" t="str">
        <f>IF('Data Extraction &amp; Cleaning'!$H183=2,'Data Extraction &amp; Cleaning'!$J183,IF(ISBLANK('Data Extraction &amp; Cleaning'!$H183),'Data Extraction &amp; Cleaning'!$J183,""))</f>
        <v/>
      </c>
    </row>
    <row r="184" spans="1:12" x14ac:dyDescent="0.2">
      <c r="A184" s="166">
        <v>45571</v>
      </c>
      <c r="B184" s="167" t="s">
        <v>352</v>
      </c>
      <c r="C184" s="168">
        <v>-555.76</v>
      </c>
      <c r="D184" s="177">
        <v>19947.48</v>
      </c>
      <c r="E184" s="169"/>
      <c r="G184" s="43">
        <f>DATE(YEAR('Data Extraction &amp; Cleaning'!$A184)-1,MONTH('Data Extraction &amp; Cleaning'!$A184),DAY('Data Extraction &amp; Cleaning'!$A184))</f>
        <v>45205</v>
      </c>
      <c r="H184" s="42">
        <f>IF('Data Extraction &amp; Cleaning'!$J184&gt;0,2,1)</f>
        <v>1</v>
      </c>
      <c r="I184" s="42" t="str">
        <f>TRIM(CLEAN('Data Extraction &amp; Cleaning'!$B184&amp;'Data Extraction &amp; Cleaning'!$E184))</f>
        <v>Total of 1 Check Presented 1</v>
      </c>
      <c r="J184" s="42">
        <f>'Data Extraction &amp; Cleaning'!$C184</f>
        <v>-555.76</v>
      </c>
      <c r="K184" s="42">
        <f>IF('Data Extraction &amp; Cleaning'!$H184=1,-'Data Extraction &amp; Cleaning'!$J184,"")</f>
        <v>555.76</v>
      </c>
      <c r="L184" s="42" t="str">
        <f>IF('Data Extraction &amp; Cleaning'!$H184=2,'Data Extraction &amp; Cleaning'!$J184,IF(ISBLANK('Data Extraction &amp; Cleaning'!$H184),'Data Extraction &amp; Cleaning'!$J184,""))</f>
        <v/>
      </c>
    </row>
    <row r="185" spans="1:12" x14ac:dyDescent="0.2">
      <c r="A185" s="162">
        <v>45575</v>
      </c>
      <c r="B185" s="163" t="s">
        <v>375</v>
      </c>
      <c r="C185" s="164">
        <v>492.29</v>
      </c>
      <c r="D185" s="176">
        <v>28439.77</v>
      </c>
      <c r="E185" s="165"/>
      <c r="G185" s="43">
        <f>DATE(YEAR('Data Extraction &amp; Cleaning'!$A185)-1,MONTH('Data Extraction &amp; Cleaning'!$A185),DAY('Data Extraction &amp; Cleaning'!$A185))</f>
        <v>45209</v>
      </c>
      <c r="H185" s="42">
        <f>IF('Data Extraction &amp; Cleaning'!$J185&gt;0,2,1)</f>
        <v>2</v>
      </c>
      <c r="I185" s="42" t="str">
        <f>TRIM(CLEAN('Data Extraction &amp; Cleaning'!$B185&amp;'Data Extraction &amp; Cleaning'!$E185))</f>
        <v>RDC Deposit 8</v>
      </c>
      <c r="J185" s="42">
        <f>'Data Extraction &amp; Cleaning'!$C185</f>
        <v>492.29</v>
      </c>
      <c r="K185" s="42" t="str">
        <f>IF('Data Extraction &amp; Cleaning'!$H185=1,-'Data Extraction &amp; Cleaning'!$J185,"")</f>
        <v/>
      </c>
      <c r="L185" s="42">
        <f>IF('Data Extraction &amp; Cleaning'!$H185=2,'Data Extraction &amp; Cleaning'!$J185,IF(ISBLANK('Data Extraction &amp; Cleaning'!$H185),'Data Extraction &amp; Cleaning'!$J185,""))</f>
        <v>492.29</v>
      </c>
    </row>
    <row r="186" spans="1:12" x14ac:dyDescent="0.2">
      <c r="A186" s="166">
        <v>45575</v>
      </c>
      <c r="B186" s="167" t="s">
        <v>353</v>
      </c>
      <c r="C186" s="168">
        <v>-500</v>
      </c>
      <c r="D186" s="177">
        <v>25939.77</v>
      </c>
      <c r="E186" s="169"/>
      <c r="G186" s="43">
        <f>DATE(YEAR('Data Extraction &amp; Cleaning'!$A186)-1,MONTH('Data Extraction &amp; Cleaning'!$A186),DAY('Data Extraction &amp; Cleaning'!$A186))</f>
        <v>45209</v>
      </c>
      <c r="H186" s="42">
        <f>IF('Data Extraction &amp; Cleaning'!$J186&gt;0,2,1)</f>
        <v>1</v>
      </c>
      <c r="I186" s="42" t="str">
        <f>TRIM(CLEAN('Data Extraction &amp; Cleaning'!$B186&amp;'Data Extraction &amp; Cleaning'!$E186))</f>
        <v>Total of 1 Check Presented 2</v>
      </c>
      <c r="J186" s="42">
        <f>'Data Extraction &amp; Cleaning'!$C186</f>
        <v>-500</v>
      </c>
      <c r="K186" s="42">
        <f>IF('Data Extraction &amp; Cleaning'!$H186=1,-'Data Extraction &amp; Cleaning'!$J186,"")</f>
        <v>500</v>
      </c>
      <c r="L186" s="42" t="str">
        <f>IF('Data Extraction &amp; Cleaning'!$H186=2,'Data Extraction &amp; Cleaning'!$J186,IF(ISBLANK('Data Extraction &amp; Cleaning'!$H186),'Data Extraction &amp; Cleaning'!$J186,""))</f>
        <v/>
      </c>
    </row>
    <row r="187" spans="1:12" x14ac:dyDescent="0.2">
      <c r="A187" s="162">
        <v>45577</v>
      </c>
      <c r="B187" s="163" t="s">
        <v>376</v>
      </c>
      <c r="C187" s="164">
        <v>39.770000000000003</v>
      </c>
      <c r="D187" s="163"/>
      <c r="E187" s="165"/>
      <c r="G187" s="43">
        <f>DATE(YEAR('Data Extraction &amp; Cleaning'!$A187)-1,MONTH('Data Extraction &amp; Cleaning'!$A187),DAY('Data Extraction &amp; Cleaning'!$A187))</f>
        <v>45211</v>
      </c>
      <c r="H187" s="42">
        <f>IF('Data Extraction &amp; Cleaning'!$J187&gt;0,2,1)</f>
        <v>2</v>
      </c>
      <c r="I187" s="42" t="str">
        <f>TRIM(CLEAN('Data Extraction &amp; Cleaning'!$B187&amp;'Data Extraction &amp; Cleaning'!$E187))</f>
        <v>Total of 1 Check Presented 900.00- 25</v>
      </c>
      <c r="J187" s="42">
        <f>'Data Extraction &amp; Cleaning'!$C187</f>
        <v>39.770000000000003</v>
      </c>
      <c r="K187" s="42" t="str">
        <f>IF('Data Extraction &amp; Cleaning'!$H187=1,-'Data Extraction &amp; Cleaning'!$J187,"")</f>
        <v/>
      </c>
      <c r="L187" s="42">
        <f>IF('Data Extraction &amp; Cleaning'!$H187=2,'Data Extraction &amp; Cleaning'!$J187,IF(ISBLANK('Data Extraction &amp; Cleaning'!$H187),'Data Extraction &amp; Cleaning'!$J187,""))</f>
        <v>39.770000000000003</v>
      </c>
    </row>
    <row r="188" spans="1:12" x14ac:dyDescent="0.2">
      <c r="A188" s="166">
        <v>45578</v>
      </c>
      <c r="B188" s="167" t="s">
        <v>377</v>
      </c>
      <c r="C188" s="168">
        <v>775.78</v>
      </c>
      <c r="D188" s="167">
        <v>10009806967654</v>
      </c>
      <c r="E188" s="169" t="s">
        <v>365</v>
      </c>
      <c r="G188" s="43">
        <f>DATE(YEAR('Data Extraction &amp; Cleaning'!$A188)-1,MONTH('Data Extraction &amp; Cleaning'!$A188),DAY('Data Extraction &amp; Cleaning'!$A188))</f>
        <v>45212</v>
      </c>
      <c r="H188" s="42">
        <f>IF('Data Extraction &amp; Cleaning'!$J188&gt;0,2,1)</f>
        <v>2</v>
      </c>
      <c r="I188" s="42" t="str">
        <f>TRIM(CLEAN('Data Extraction &amp; Cleaning'!$B188&amp;'Data Extraction &amp; Cleaning'!$E188))</f>
        <v>WATER BILL VEOLIA WATER NEW 263.99- 24Diwali I</v>
      </c>
      <c r="J188" s="42">
        <f>'Data Extraction &amp; Cleaning'!$C188</f>
        <v>775.78</v>
      </c>
      <c r="K188" s="42" t="str">
        <f>IF('Data Extraction &amp; Cleaning'!$H188=1,-'Data Extraction &amp; Cleaning'!$J188,"")</f>
        <v/>
      </c>
      <c r="L188" s="42">
        <f>IF('Data Extraction &amp; Cleaning'!$H188=2,'Data Extraction &amp; Cleaning'!$J188,IF(ISBLANK('Data Extraction &amp; Cleaning'!$H188),'Data Extraction &amp; Cleaning'!$J188,""))</f>
        <v>775.78</v>
      </c>
    </row>
    <row r="189" spans="1:12" x14ac:dyDescent="0.2">
      <c r="A189" s="162">
        <v>45581</v>
      </c>
      <c r="B189" s="163" t="s">
        <v>378</v>
      </c>
      <c r="C189" s="164">
        <v>229.91</v>
      </c>
      <c r="D189" s="176">
        <v>31005.69</v>
      </c>
      <c r="E189" s="165"/>
      <c r="G189" s="43">
        <f>DATE(YEAR('Data Extraction &amp; Cleaning'!$A189)-1,MONTH('Data Extraction &amp; Cleaning'!$A189),DAY('Data Extraction &amp; Cleaning'!$A189))</f>
        <v>45215</v>
      </c>
      <c r="H189" s="42">
        <f>IF('Data Extraction &amp; Cleaning'!$J189&gt;0,2,1)</f>
        <v>2</v>
      </c>
      <c r="I189" s="42" t="str">
        <f>TRIM(CLEAN('Data Extraction &amp; Cleaning'!$B189&amp;'Data Extraction &amp; Cleaning'!$E189))</f>
        <v>RDC Deposit 6</v>
      </c>
      <c r="J189" s="42">
        <f>'Data Extraction &amp; Cleaning'!$C189</f>
        <v>229.91</v>
      </c>
      <c r="K189" s="42" t="str">
        <f>IF('Data Extraction &amp; Cleaning'!$H189=1,-'Data Extraction &amp; Cleaning'!$J189,"")</f>
        <v/>
      </c>
      <c r="L189" s="42">
        <f>IF('Data Extraction &amp; Cleaning'!$H189=2,'Data Extraction &amp; Cleaning'!$J189,IF(ISBLANK('Data Extraction &amp; Cleaning'!$H189),'Data Extraction &amp; Cleaning'!$J189,""))</f>
        <v>229.91</v>
      </c>
    </row>
    <row r="190" spans="1:12" x14ac:dyDescent="0.2">
      <c r="A190" s="166">
        <v>45581</v>
      </c>
      <c r="B190" s="167" t="s">
        <v>379</v>
      </c>
      <c r="C190" s="168">
        <v>941.8</v>
      </c>
      <c r="D190" s="167" t="s">
        <v>355</v>
      </c>
      <c r="E190" s="169" t="s">
        <v>380</v>
      </c>
      <c r="G190" s="43">
        <f>DATE(YEAR('Data Extraction &amp; Cleaning'!$A190)-1,MONTH('Data Extraction &amp; Cleaning'!$A190),DAY('Data Extraction &amp; Cleaning'!$A190))</f>
        <v>45215</v>
      </c>
      <c r="H190" s="42">
        <f>IF('Data Extraction &amp; Cleaning'!$J190&gt;0,2,1)</f>
        <v>2</v>
      </c>
      <c r="I190" s="42" t="str">
        <f>TRIM(CLEAN('Data Extraction &amp; Cleaning'!$B190&amp;'Data Extraction &amp; Cleaning'!$E190))</f>
        <v>PUBLIC SERVICE PSEG 63.89- 30TRACE#091000014250655</v>
      </c>
      <c r="J190" s="42">
        <f>'Data Extraction &amp; Cleaning'!$C190</f>
        <v>941.8</v>
      </c>
      <c r="K190" s="42" t="str">
        <f>IF('Data Extraction &amp; Cleaning'!$H190=1,-'Data Extraction &amp; Cleaning'!$J190,"")</f>
        <v/>
      </c>
      <c r="L190" s="42">
        <f>IF('Data Extraction &amp; Cleaning'!$H190=2,'Data Extraction &amp; Cleaning'!$J190,IF(ISBLANK('Data Extraction &amp; Cleaning'!$H190),'Data Extraction &amp; Cleaning'!$J190,""))</f>
        <v>941.8</v>
      </c>
    </row>
    <row r="191" spans="1:12" x14ac:dyDescent="0.2">
      <c r="A191" s="162">
        <v>45581</v>
      </c>
      <c r="B191" s="163" t="s">
        <v>381</v>
      </c>
      <c r="C191" s="164">
        <v>869.07</v>
      </c>
      <c r="D191" s="163" t="s">
        <v>355</v>
      </c>
      <c r="E191" s="165" t="s">
        <v>382</v>
      </c>
      <c r="G191" s="43">
        <f>DATE(YEAR('Data Extraction &amp; Cleaning'!$A191)-1,MONTH('Data Extraction &amp; Cleaning'!$A191),DAY('Data Extraction &amp; Cleaning'!$A191))</f>
        <v>45215</v>
      </c>
      <c r="H191" s="42">
        <f>IF('Data Extraction &amp; Cleaning'!$J191&gt;0,2,1)</f>
        <v>2</v>
      </c>
      <c r="I191" s="42" t="str">
        <f>TRIM(CLEAN('Data Extraction &amp; Cleaning'!$B191&amp;'Data Extraction &amp; Cleaning'!$E191))</f>
        <v>VERIZON COMMUNICBill Pay 72.73- 30TRACE#711960040004109</v>
      </c>
      <c r="J191" s="42">
        <f>'Data Extraction &amp; Cleaning'!$C191</f>
        <v>869.07</v>
      </c>
      <c r="K191" s="42" t="str">
        <f>IF('Data Extraction &amp; Cleaning'!$H191=1,-'Data Extraction &amp; Cleaning'!$J191,"")</f>
        <v/>
      </c>
      <c r="L191" s="42">
        <f>IF('Data Extraction &amp; Cleaning'!$H191=2,'Data Extraction &amp; Cleaning'!$J191,IF(ISBLANK('Data Extraction &amp; Cleaning'!$H191),'Data Extraction &amp; Cleaning'!$J191,""))</f>
        <v>869.07</v>
      </c>
    </row>
    <row r="192" spans="1:12" x14ac:dyDescent="0.2">
      <c r="A192" s="166">
        <v>45581</v>
      </c>
      <c r="B192" s="167" t="s">
        <v>383</v>
      </c>
      <c r="C192" s="168">
        <v>625.12</v>
      </c>
      <c r="D192" s="167" t="s">
        <v>355</v>
      </c>
      <c r="E192" s="169" t="s">
        <v>384</v>
      </c>
      <c r="G192" s="43">
        <f>DATE(YEAR('Data Extraction &amp; Cleaning'!$A192)-1,MONTH('Data Extraction &amp; Cleaning'!$A192),DAY('Data Extraction &amp; Cleaning'!$A192))</f>
        <v>45215</v>
      </c>
      <c r="H192" s="42">
        <f>IF('Data Extraction &amp; Cleaning'!$J192&gt;0,2,1)</f>
        <v>2</v>
      </c>
      <c r="I192" s="42" t="str">
        <f>TRIM(CLEAN('Data Extraction &amp; Cleaning'!$B192&amp;'Data Extraction &amp; Cleaning'!$E192))</f>
        <v>P S E AND G NJ Bill Pay 243.95- 30TRACE#711960040004096</v>
      </c>
      <c r="J192" s="42">
        <f>'Data Extraction &amp; Cleaning'!$C192</f>
        <v>625.12</v>
      </c>
      <c r="K192" s="42" t="str">
        <f>IF('Data Extraction &amp; Cleaning'!$H192=1,-'Data Extraction &amp; Cleaning'!$J192,"")</f>
        <v/>
      </c>
      <c r="L192" s="42">
        <f>IF('Data Extraction &amp; Cleaning'!$H192=2,'Data Extraction &amp; Cleaning'!$J192,IF(ISBLANK('Data Extraction &amp; Cleaning'!$H192),'Data Extraction &amp; Cleaning'!$J192,""))</f>
        <v>625.12</v>
      </c>
    </row>
    <row r="193" spans="1:12" x14ac:dyDescent="0.2">
      <c r="A193" s="162">
        <v>45581</v>
      </c>
      <c r="B193" s="163" t="s">
        <v>385</v>
      </c>
      <c r="C193" s="164">
        <v>355.23</v>
      </c>
      <c r="D193" s="163" t="s">
        <v>355</v>
      </c>
      <c r="E193" s="165" t="s">
        <v>386</v>
      </c>
      <c r="G193" s="43">
        <f>DATE(YEAR('Data Extraction &amp; Cleaning'!$A193)-1,MONTH('Data Extraction &amp; Cleaning'!$A193),DAY('Data Extraction &amp; Cleaning'!$A193))</f>
        <v>45215</v>
      </c>
      <c r="H193" s="42">
        <f>IF('Data Extraction &amp; Cleaning'!$J193&gt;0,2,1)</f>
        <v>2</v>
      </c>
      <c r="I193" s="42" t="str">
        <f>TRIM(CLEAN('Data Extraction &amp; Cleaning'!$B193&amp;'Data Extraction &amp; Cleaning'!$E193))</f>
        <v>P S E AND G NJ Bill Pay 269.89- 30TRACE#711960040004095</v>
      </c>
      <c r="J193" s="42">
        <f>'Data Extraction &amp; Cleaning'!$C193</f>
        <v>355.23</v>
      </c>
      <c r="K193" s="42" t="str">
        <f>IF('Data Extraction &amp; Cleaning'!$H193=1,-'Data Extraction &amp; Cleaning'!$J193,"")</f>
        <v/>
      </c>
      <c r="L193" s="42">
        <f>IF('Data Extraction &amp; Cleaning'!$H193=2,'Data Extraction &amp; Cleaning'!$J193,IF(ISBLANK('Data Extraction &amp; Cleaning'!$H193),'Data Extraction &amp; Cleaning'!$J193,""))</f>
        <v>355.23</v>
      </c>
    </row>
    <row r="194" spans="1:12" x14ac:dyDescent="0.2">
      <c r="A194" s="166">
        <v>45581</v>
      </c>
      <c r="B194" s="167" t="s">
        <v>362</v>
      </c>
      <c r="C194" s="168">
        <v>-616.13</v>
      </c>
      <c r="D194" s="177">
        <v>27739.1</v>
      </c>
      <c r="E194" s="169" t="s">
        <v>387</v>
      </c>
      <c r="G194" s="43">
        <f>DATE(YEAR('Data Extraction &amp; Cleaning'!$A194)-1,MONTH('Data Extraction &amp; Cleaning'!$A194),DAY('Data Extraction &amp; Cleaning'!$A194))</f>
        <v>45215</v>
      </c>
      <c r="H194" s="42">
        <f>IF('Data Extraction &amp; Cleaning'!$J194&gt;0,2,1)</f>
        <v>1</v>
      </c>
      <c r="I194" s="42" t="str">
        <f>TRIM(CLEAN('Data Extraction &amp; Cleaning'!$B194&amp;'Data Extraction &amp; Cleaning'!$E194))</f>
        <v>PUBLIC SERVICE PSEG 2ACH TRACE#091000014265327</v>
      </c>
      <c r="J194" s="42">
        <f>'Data Extraction &amp; Cleaning'!$C194</f>
        <v>-616.13</v>
      </c>
      <c r="K194" s="42">
        <f>IF('Data Extraction &amp; Cleaning'!$H194=1,-'Data Extraction &amp; Cleaning'!$J194,"")</f>
        <v>616.13</v>
      </c>
      <c r="L194" s="42" t="str">
        <f>IF('Data Extraction &amp; Cleaning'!$H194=2,'Data Extraction &amp; Cleaning'!$J194,IF(ISBLANK('Data Extraction &amp; Cleaning'!$H194),'Data Extraction &amp; Cleaning'!$J194,""))</f>
        <v/>
      </c>
    </row>
    <row r="195" spans="1:12" x14ac:dyDescent="0.2">
      <c r="A195" s="162">
        <v>45582</v>
      </c>
      <c r="B195" s="163" t="s">
        <v>388</v>
      </c>
      <c r="C195" s="164">
        <v>0</v>
      </c>
      <c r="D195" s="176">
        <v>23739.1</v>
      </c>
      <c r="E195" s="165"/>
      <c r="G195" s="43"/>
    </row>
    <row r="196" spans="1:12" x14ac:dyDescent="0.2">
      <c r="A196" s="166">
        <v>45588</v>
      </c>
      <c r="B196" s="167" t="s">
        <v>389</v>
      </c>
      <c r="C196" s="168">
        <v>762.75</v>
      </c>
      <c r="D196" s="177">
        <v>70501.850000000006</v>
      </c>
      <c r="E196" s="169"/>
      <c r="G196" s="43">
        <f>DATE(YEAR('Data Extraction &amp; Cleaning'!$A196)-1,MONTH('Data Extraction &amp; Cleaning'!$A196),DAY('Data Extraction &amp; Cleaning'!$A196))</f>
        <v>45222</v>
      </c>
      <c r="H196" s="42">
        <f>IF('Data Extraction &amp; Cleaning'!$J196&gt;0,2,1)</f>
        <v>2</v>
      </c>
      <c r="I196" s="42" t="str">
        <f>TRIM(CLEAN('Data Extraction &amp; Cleaning'!$B196&amp;'Data Extraction &amp; Cleaning'!$E196))</f>
        <v>RDC Deposit 46</v>
      </c>
      <c r="J196" s="42">
        <f>'Data Extraction &amp; Cleaning'!$C196</f>
        <v>762.75</v>
      </c>
      <c r="K196" s="42" t="str">
        <f>IF('Data Extraction &amp; Cleaning'!$H196=1,-'Data Extraction &amp; Cleaning'!$J196,"")</f>
        <v/>
      </c>
      <c r="L196" s="42">
        <f>IF('Data Extraction &amp; Cleaning'!$H196=2,'Data Extraction &amp; Cleaning'!$J196,IF(ISBLANK('Data Extraction &amp; Cleaning'!$H196),'Data Extraction &amp; Cleaning'!$J196,""))</f>
        <v>762.75</v>
      </c>
    </row>
    <row r="197" spans="1:12" x14ac:dyDescent="0.2">
      <c r="A197" s="162">
        <v>45589</v>
      </c>
      <c r="B197" s="163" t="s">
        <v>352</v>
      </c>
      <c r="C197" s="164">
        <v>-100</v>
      </c>
      <c r="D197" s="176">
        <v>69401.850000000006</v>
      </c>
      <c r="E197" s="165"/>
      <c r="G197" s="43">
        <f>DATE(YEAR('Data Extraction &amp; Cleaning'!$A197)-1,MONTH('Data Extraction &amp; Cleaning'!$A197),DAY('Data Extraction &amp; Cleaning'!$A197))</f>
        <v>45223</v>
      </c>
      <c r="H197" s="42">
        <f>IF('Data Extraction &amp; Cleaning'!$J197&gt;0,2,1)</f>
        <v>1</v>
      </c>
      <c r="I197" s="42" t="str">
        <f>TRIM(CLEAN('Data Extraction &amp; Cleaning'!$B197&amp;'Data Extraction &amp; Cleaning'!$E197))</f>
        <v>Total of 1 Check Presented 1</v>
      </c>
      <c r="J197" s="42">
        <f>'Data Extraction &amp; Cleaning'!$C197</f>
        <v>-100</v>
      </c>
      <c r="K197" s="42">
        <f>IF('Data Extraction &amp; Cleaning'!$H197=1,-'Data Extraction &amp; Cleaning'!$J197,"")</f>
        <v>100</v>
      </c>
      <c r="L197" s="42" t="str">
        <f>IF('Data Extraction &amp; Cleaning'!$H197=2,'Data Extraction &amp; Cleaning'!$J197,IF(ISBLANK('Data Extraction &amp; Cleaning'!$H197),'Data Extraction &amp; Cleaning'!$J197,""))</f>
        <v/>
      </c>
    </row>
    <row r="198" spans="1:12" x14ac:dyDescent="0.2">
      <c r="A198" s="166">
        <v>45589</v>
      </c>
      <c r="B198" s="167" t="s">
        <v>390</v>
      </c>
      <c r="C198" s="168">
        <v>122.94</v>
      </c>
      <c r="D198" s="167" t="s">
        <v>358</v>
      </c>
      <c r="E198" s="169" t="s">
        <v>371</v>
      </c>
      <c r="G198" s="43">
        <f>DATE(YEAR('Data Extraction &amp; Cleaning'!$A198)-1,MONTH('Data Extraction &amp; Cleaning'!$A198),DAY('Data Extraction &amp; Cleaning'!$A198))</f>
        <v>45223</v>
      </c>
      <c r="H198" s="42">
        <f>IF('Data Extraction &amp; Cleaning'!$J198&gt;0,2,1)</f>
        <v>2</v>
      </c>
      <c r="I198" s="42" t="str">
        <f>TRIM(CLEAN('Data Extraction &amp; Cleaning'!$B198&amp;'Data Extraction &amp; Cleaning'!$E198))</f>
        <v>VERIZON PAYMENTREC 278.91- 69INTERNET-INITIATED ENTRIES DIWALI LLC</v>
      </c>
      <c r="J198" s="42">
        <f>'Data Extraction &amp; Cleaning'!$C198</f>
        <v>122.94</v>
      </c>
      <c r="K198" s="42" t="str">
        <f>IF('Data Extraction &amp; Cleaning'!$H198=1,-'Data Extraction &amp; Cleaning'!$J198,"")</f>
        <v/>
      </c>
      <c r="L198" s="42">
        <f>IF('Data Extraction &amp; Cleaning'!$H198=2,'Data Extraction &amp; Cleaning'!$J198,IF(ISBLANK('Data Extraction &amp; Cleaning'!$H198),'Data Extraction &amp; Cleaning'!$J198,""))</f>
        <v>122.94</v>
      </c>
    </row>
    <row r="199" spans="1:12" x14ac:dyDescent="0.2">
      <c r="A199" s="162">
        <v>45596</v>
      </c>
      <c r="B199" s="163" t="s">
        <v>391</v>
      </c>
      <c r="C199" s="164">
        <v>393.94</v>
      </c>
      <c r="D199" s="163">
        <v>1578665056</v>
      </c>
      <c r="E199" s="165" t="s">
        <v>374</v>
      </c>
      <c r="G199" s="43">
        <f>DATE(YEAR('Data Extraction &amp; Cleaning'!$A199)-1,MONTH('Data Extraction &amp; Cleaning'!$A199),DAY('Data Extraction &amp; Cleaning'!$A199))</f>
        <v>45230</v>
      </c>
      <c r="H199" s="42">
        <f>IF('Data Extraction &amp; Cleaning'!$J199&gt;0,2,1)</f>
        <v>2</v>
      </c>
      <c r="I199" s="42" t="str">
        <f>TRIM(CLEAN('Data Extraction &amp; Cleaning'!$B199&amp;'Data Extraction &amp; Cleaning'!$E199))</f>
        <v>Web Pay Utica Mutual Ins 729.00- 68DIWALI I</v>
      </c>
      <c r="J199" s="42">
        <f>'Data Extraction &amp; Cleaning'!$C199</f>
        <v>393.94</v>
      </c>
      <c r="K199" s="42" t="str">
        <f>IF('Data Extraction &amp; Cleaning'!$H199=1,-'Data Extraction &amp; Cleaning'!$J199,"")</f>
        <v/>
      </c>
      <c r="L199" s="42">
        <f>IF('Data Extraction &amp; Cleaning'!$H199=2,'Data Extraction &amp; Cleaning'!$J199,IF(ISBLANK('Data Extraction &amp; Cleaning'!$H199),'Data Extraction &amp; Cleaning'!$J199,""))</f>
        <v>393.94</v>
      </c>
    </row>
    <row r="200" spans="1:12" x14ac:dyDescent="0.2">
      <c r="A200" s="166"/>
      <c r="B200" s="167"/>
      <c r="C200" s="168"/>
      <c r="D200" s="167"/>
      <c r="E200" s="169"/>
      <c r="G200" s="43"/>
    </row>
    <row r="201" spans="1:12" x14ac:dyDescent="0.2">
      <c r="A201" s="162">
        <v>45597</v>
      </c>
      <c r="B201" s="163" t="s">
        <v>348</v>
      </c>
      <c r="C201" s="164">
        <v>454.7</v>
      </c>
      <c r="D201" s="176">
        <v>75848.639999999999</v>
      </c>
      <c r="E201" s="165" t="s">
        <v>392</v>
      </c>
      <c r="G201" s="43">
        <f>DATE(YEAR('Data Extraction &amp; Cleaning'!$A201)-1,MONTH('Data Extraction &amp; Cleaning'!$A201),DAY('Data Extraction &amp; Cleaning'!$A201))</f>
        <v>45231</v>
      </c>
      <c r="H201" s="42">
        <f>IF('Data Extraction &amp; Cleaning'!$J201&gt;0,2,1)</f>
        <v>2</v>
      </c>
      <c r="I201" s="42" t="str">
        <f>TRIM(CLEAN('Data Extraction &amp; Cleaning'!$B201&amp;'Data Extraction &amp; Cleaning'!$E201))</f>
        <v>ACH Pmt JPW DENTAL LLC 711109762206 Diwali I</v>
      </c>
      <c r="J201" s="42">
        <f>'Data Extraction &amp; Cleaning'!$C201</f>
        <v>454.7</v>
      </c>
      <c r="K201" s="42" t="str">
        <f>IF('Data Extraction &amp; Cleaning'!$H201=1,-'Data Extraction &amp; Cleaning'!$J201,"")</f>
        <v/>
      </c>
      <c r="L201" s="42">
        <f>IF('Data Extraction &amp; Cleaning'!$H201=2,'Data Extraction &amp; Cleaning'!$J201,IF(ISBLANK('Data Extraction &amp; Cleaning'!$H201),'Data Extraction &amp; Cleaning'!$J201,""))</f>
        <v>454.7</v>
      </c>
    </row>
    <row r="202" spans="1:12" x14ac:dyDescent="0.2">
      <c r="A202" s="166">
        <v>45597</v>
      </c>
      <c r="B202" s="167" t="s">
        <v>351</v>
      </c>
      <c r="C202" s="168">
        <v>-537.59</v>
      </c>
      <c r="D202" s="177">
        <v>57311.05</v>
      </c>
      <c r="E202" s="169" t="s">
        <v>328</v>
      </c>
      <c r="G202" s="43">
        <f>DATE(YEAR('Data Extraction &amp; Cleaning'!$A202)-1,MONTH('Data Extraction &amp; Cleaning'!$A202),DAY('Data Extraction &amp; Cleaning'!$A202))</f>
        <v>45231</v>
      </c>
      <c r="H202" s="42">
        <f>IF('Data Extraction &amp; Cleaning'!$J202&gt;0,2,1)</f>
        <v>1</v>
      </c>
      <c r="I202" s="42" t="str">
        <f>TRIM(CLEAN('Data Extraction &amp; Cleaning'!$B202&amp;'Data Extraction &amp; Cleaning'!$E202))</f>
        <v>Transfer to Loan 18Acct No. XXXXXX3533</v>
      </c>
      <c r="J202" s="42">
        <f>'Data Extraction &amp; Cleaning'!$C202</f>
        <v>-537.59</v>
      </c>
      <c r="K202" s="42">
        <f>IF('Data Extraction &amp; Cleaning'!$H202=1,-'Data Extraction &amp; Cleaning'!$J202,"")</f>
        <v>537.59</v>
      </c>
      <c r="L202" s="42" t="str">
        <f>IF('Data Extraction &amp; Cleaning'!$H202=2,'Data Extraction &amp; Cleaning'!$J202,IF(ISBLANK('Data Extraction &amp; Cleaning'!$H202),'Data Extraction &amp; Cleaning'!$J202,""))</f>
        <v/>
      </c>
    </row>
    <row r="203" spans="1:12" x14ac:dyDescent="0.2">
      <c r="A203" s="162">
        <v>45602</v>
      </c>
      <c r="B203" s="163" t="s">
        <v>393</v>
      </c>
      <c r="C203" s="164">
        <v>57.42</v>
      </c>
      <c r="D203" s="176">
        <v>69368.47</v>
      </c>
      <c r="E203" s="165"/>
      <c r="G203" s="43">
        <f>DATE(YEAR('Data Extraction &amp; Cleaning'!$A203)-1,MONTH('Data Extraction &amp; Cleaning'!$A203),DAY('Data Extraction &amp; Cleaning'!$A203))</f>
        <v>45236</v>
      </c>
      <c r="H203" s="42">
        <f>IF('Data Extraction &amp; Cleaning'!$J203&gt;0,2,1)</f>
        <v>2</v>
      </c>
      <c r="I203" s="42" t="str">
        <f>TRIM(CLEAN('Data Extraction &amp; Cleaning'!$B203&amp;'Data Extraction &amp; Cleaning'!$E203))</f>
        <v>RDC Deposit 12</v>
      </c>
      <c r="J203" s="42">
        <f>'Data Extraction &amp; Cleaning'!$C203</f>
        <v>57.42</v>
      </c>
      <c r="K203" s="42" t="str">
        <f>IF('Data Extraction &amp; Cleaning'!$H203=1,-'Data Extraction &amp; Cleaning'!$J203,"")</f>
        <v/>
      </c>
      <c r="L203" s="42">
        <f>IF('Data Extraction &amp; Cleaning'!$H203=2,'Data Extraction &amp; Cleaning'!$J203,IF(ISBLANK('Data Extraction &amp; Cleaning'!$H203),'Data Extraction &amp; Cleaning'!$J203,""))</f>
        <v>57.42</v>
      </c>
    </row>
    <row r="204" spans="1:12" x14ac:dyDescent="0.2">
      <c r="A204" s="166">
        <v>45603</v>
      </c>
      <c r="B204" s="167" t="s">
        <v>375</v>
      </c>
      <c r="C204" s="168">
        <v>898.62</v>
      </c>
      <c r="D204" s="177">
        <v>78267.09</v>
      </c>
      <c r="E204" s="169"/>
      <c r="G204" s="43">
        <f>DATE(YEAR('Data Extraction &amp; Cleaning'!$A204)-1,MONTH('Data Extraction &amp; Cleaning'!$A204),DAY('Data Extraction &amp; Cleaning'!$A204))</f>
        <v>45237</v>
      </c>
      <c r="H204" s="42">
        <f>IF('Data Extraction &amp; Cleaning'!$J204&gt;0,2,1)</f>
        <v>2</v>
      </c>
      <c r="I204" s="42" t="str">
        <f>TRIM(CLEAN('Data Extraction &amp; Cleaning'!$B204&amp;'Data Extraction &amp; Cleaning'!$E204))</f>
        <v>RDC Deposit 8</v>
      </c>
      <c r="J204" s="42">
        <f>'Data Extraction &amp; Cleaning'!$C204</f>
        <v>898.62</v>
      </c>
      <c r="K204" s="42" t="str">
        <f>IF('Data Extraction &amp; Cleaning'!$H204=1,-'Data Extraction &amp; Cleaning'!$J204,"")</f>
        <v/>
      </c>
      <c r="L204" s="42">
        <f>IF('Data Extraction &amp; Cleaning'!$H204=2,'Data Extraction &amp; Cleaning'!$J204,IF(ISBLANK('Data Extraction &amp; Cleaning'!$H204),'Data Extraction &amp; Cleaning'!$J204,""))</f>
        <v>898.62</v>
      </c>
    </row>
    <row r="205" spans="1:12" x14ac:dyDescent="0.2">
      <c r="A205" s="162">
        <v>45603</v>
      </c>
      <c r="B205" s="163" t="s">
        <v>394</v>
      </c>
      <c r="C205" s="164">
        <v>-420.57</v>
      </c>
      <c r="D205" s="176">
        <v>72846.52</v>
      </c>
      <c r="E205" s="165"/>
      <c r="G205" s="43">
        <f>DATE(YEAR('Data Extraction &amp; Cleaning'!$A205)-1,MONTH('Data Extraction &amp; Cleaning'!$A205),DAY('Data Extraction &amp; Cleaning'!$A205))</f>
        <v>45237</v>
      </c>
      <c r="H205" s="42">
        <f>IF('Data Extraction &amp; Cleaning'!$J205&gt;0,2,1)</f>
        <v>1</v>
      </c>
      <c r="I205" s="42" t="str">
        <f>TRIM(CLEAN('Data Extraction &amp; Cleaning'!$B205&amp;'Data Extraction &amp; Cleaning'!$E205))</f>
        <v>Total of 2 Checks Presented 5</v>
      </c>
      <c r="J205" s="42">
        <f>'Data Extraction &amp; Cleaning'!$C205</f>
        <v>-420.57</v>
      </c>
      <c r="K205" s="42">
        <f>IF('Data Extraction &amp; Cleaning'!$H205=1,-'Data Extraction &amp; Cleaning'!$J205,"")</f>
        <v>420.57</v>
      </c>
      <c r="L205" s="42" t="str">
        <f>IF('Data Extraction &amp; Cleaning'!$H205=2,'Data Extraction &amp; Cleaning'!$J205,IF(ISBLANK('Data Extraction &amp; Cleaning'!$H205),'Data Extraction &amp; Cleaning'!$J205,""))</f>
        <v/>
      </c>
    </row>
    <row r="206" spans="1:12" x14ac:dyDescent="0.2">
      <c r="A206" s="166">
        <v>45604</v>
      </c>
      <c r="B206" s="167" t="s">
        <v>352</v>
      </c>
      <c r="C206" s="168">
        <v>-100</v>
      </c>
      <c r="D206" s="177">
        <v>71746.52</v>
      </c>
      <c r="E206" s="169"/>
      <c r="G206" s="43">
        <f>DATE(YEAR('Data Extraction &amp; Cleaning'!$A206)-1,MONTH('Data Extraction &amp; Cleaning'!$A206),DAY('Data Extraction &amp; Cleaning'!$A206))</f>
        <v>45238</v>
      </c>
      <c r="H206" s="42">
        <f>IF('Data Extraction &amp; Cleaning'!$J206&gt;0,2,1)</f>
        <v>1</v>
      </c>
      <c r="I206" s="42" t="str">
        <f>TRIM(CLEAN('Data Extraction &amp; Cleaning'!$B206&amp;'Data Extraction &amp; Cleaning'!$E206))</f>
        <v>Total of 1 Check Presented 1</v>
      </c>
      <c r="J206" s="42">
        <f>'Data Extraction &amp; Cleaning'!$C206</f>
        <v>-100</v>
      </c>
      <c r="K206" s="42">
        <f>IF('Data Extraction &amp; Cleaning'!$H206=1,-'Data Extraction &amp; Cleaning'!$J206,"")</f>
        <v>100</v>
      </c>
      <c r="L206" s="42" t="str">
        <f>IF('Data Extraction &amp; Cleaning'!$H206=2,'Data Extraction &amp; Cleaning'!$J206,IF(ISBLANK('Data Extraction &amp; Cleaning'!$H206),'Data Extraction &amp; Cleaning'!$J206,""))</f>
        <v/>
      </c>
    </row>
    <row r="207" spans="1:12" x14ac:dyDescent="0.2">
      <c r="A207" s="162">
        <v>45606</v>
      </c>
      <c r="B207" s="163" t="s">
        <v>395</v>
      </c>
      <c r="C207" s="164">
        <v>800.92</v>
      </c>
      <c r="D207" s="163"/>
      <c r="E207" s="165"/>
      <c r="G207" s="43">
        <f>DATE(YEAR('Data Extraction &amp; Cleaning'!$A207)-1,MONTH('Data Extraction &amp; Cleaning'!$A207),DAY('Data Extraction &amp; Cleaning'!$A207))</f>
        <v>45240</v>
      </c>
      <c r="H207" s="42">
        <f>IF('Data Extraction &amp; Cleaning'!$J207&gt;0,2,1)</f>
        <v>2</v>
      </c>
      <c r="I207" s="42" t="str">
        <f>TRIM(CLEAN('Data Extraction &amp; Cleaning'!$B207&amp;'Data Extraction &amp; Cleaning'!$E207))</f>
        <v>Total of 1 Check Presented 945.60- 70</v>
      </c>
      <c r="J207" s="42">
        <f>'Data Extraction &amp; Cleaning'!$C207</f>
        <v>800.92</v>
      </c>
      <c r="K207" s="42" t="str">
        <f>IF('Data Extraction &amp; Cleaning'!$H207=1,-'Data Extraction &amp; Cleaning'!$J207,"")</f>
        <v/>
      </c>
      <c r="L207" s="42">
        <f>IF('Data Extraction &amp; Cleaning'!$H207=2,'Data Extraction &amp; Cleaning'!$J207,IF(ISBLANK('Data Extraction &amp; Cleaning'!$H207),'Data Extraction &amp; Cleaning'!$J207,""))</f>
        <v>800.92</v>
      </c>
    </row>
    <row r="208" spans="1:12" x14ac:dyDescent="0.2">
      <c r="A208" s="166">
        <v>45609</v>
      </c>
      <c r="B208" s="167" t="s">
        <v>396</v>
      </c>
      <c r="C208" s="168">
        <v>-444.02</v>
      </c>
      <c r="D208" s="177">
        <v>50356.9</v>
      </c>
      <c r="E208" s="169"/>
      <c r="G208" s="43">
        <f>DATE(YEAR('Data Extraction &amp; Cleaning'!$A208)-1,MONTH('Data Extraction &amp; Cleaning'!$A208),DAY('Data Extraction &amp; Cleaning'!$A208))</f>
        <v>45243</v>
      </c>
      <c r="H208" s="42">
        <f>IF('Data Extraction &amp; Cleaning'!$J208&gt;0,2,1)</f>
        <v>1</v>
      </c>
      <c r="I208" s="42" t="str">
        <f>TRIM(CLEAN('Data Extraction &amp; Cleaning'!$B208&amp;'Data Extraction &amp; Cleaning'!$E208))</f>
        <v>Total of 1 Check Presented 20</v>
      </c>
      <c r="J208" s="42">
        <f>'Data Extraction &amp; Cleaning'!$C208</f>
        <v>-444.02</v>
      </c>
      <c r="K208" s="42">
        <f>IF('Data Extraction &amp; Cleaning'!$H208=1,-'Data Extraction &amp; Cleaning'!$J208,"")</f>
        <v>444.02</v>
      </c>
      <c r="L208" s="42" t="str">
        <f>IF('Data Extraction &amp; Cleaning'!$H208=2,'Data Extraction &amp; Cleaning'!$J208,IF(ISBLANK('Data Extraction &amp; Cleaning'!$H208),'Data Extraction &amp; Cleaning'!$J208,""))</f>
        <v/>
      </c>
    </row>
    <row r="209" spans="1:12" x14ac:dyDescent="0.2">
      <c r="A209" s="162">
        <v>45609</v>
      </c>
      <c r="B209" s="163" t="s">
        <v>397</v>
      </c>
      <c r="C209" s="164">
        <v>72.69</v>
      </c>
      <c r="D209" s="163">
        <v>10006752433605</v>
      </c>
      <c r="E209" s="165" t="s">
        <v>365</v>
      </c>
      <c r="G209" s="43">
        <f>DATE(YEAR('Data Extraction &amp; Cleaning'!$A209)-1,MONTH('Data Extraction &amp; Cleaning'!$A209),DAY('Data Extraction &amp; Cleaning'!$A209))</f>
        <v>45243</v>
      </c>
      <c r="H209" s="42">
        <f>IF('Data Extraction &amp; Cleaning'!$J209&gt;0,2,1)</f>
        <v>2</v>
      </c>
      <c r="I209" s="42" t="str">
        <f>TRIM(CLEAN('Data Extraction &amp; Cleaning'!$B209&amp;'Data Extraction &amp; Cleaning'!$E209))</f>
        <v>WATER BILL VEOLIA WATER NEW 284.21- 50Diwali I</v>
      </c>
      <c r="J209" s="42">
        <f>'Data Extraction &amp; Cleaning'!$C209</f>
        <v>72.69</v>
      </c>
      <c r="K209" s="42" t="str">
        <f>IF('Data Extraction &amp; Cleaning'!$H209=1,-'Data Extraction &amp; Cleaning'!$J209,"")</f>
        <v/>
      </c>
      <c r="L209" s="42">
        <f>IF('Data Extraction &amp; Cleaning'!$H209=2,'Data Extraction &amp; Cleaning'!$J209,IF(ISBLANK('Data Extraction &amp; Cleaning'!$H209),'Data Extraction &amp; Cleaning'!$J209,""))</f>
        <v>72.69</v>
      </c>
    </row>
    <row r="210" spans="1:12" x14ac:dyDescent="0.2">
      <c r="A210" s="166">
        <v>45609</v>
      </c>
      <c r="B210" s="167" t="s">
        <v>398</v>
      </c>
      <c r="C210" s="168">
        <v>759.81</v>
      </c>
      <c r="D210" s="167">
        <v>10009806967654</v>
      </c>
      <c r="E210" s="169" t="s">
        <v>365</v>
      </c>
      <c r="G210" s="43">
        <f>DATE(YEAR('Data Extraction &amp; Cleaning'!$A210)-1,MONTH('Data Extraction &amp; Cleaning'!$A210),DAY('Data Extraction &amp; Cleaning'!$A210))</f>
        <v>45243</v>
      </c>
      <c r="H210" s="42">
        <f>IF('Data Extraction &amp; Cleaning'!$J210&gt;0,2,1)</f>
        <v>2</v>
      </c>
      <c r="I210" s="42" t="str">
        <f>TRIM(CLEAN('Data Extraction &amp; Cleaning'!$B210&amp;'Data Extraction &amp; Cleaning'!$E210))</f>
        <v>WATER BILL VEOLIA WATER NEW 312.88- 49Diwali I</v>
      </c>
      <c r="J210" s="42">
        <f>'Data Extraction &amp; Cleaning'!$C210</f>
        <v>759.81</v>
      </c>
      <c r="K210" s="42" t="str">
        <f>IF('Data Extraction &amp; Cleaning'!$H210=1,-'Data Extraction &amp; Cleaning'!$J210,"")</f>
        <v/>
      </c>
      <c r="L210" s="42">
        <f>IF('Data Extraction &amp; Cleaning'!$H210=2,'Data Extraction &amp; Cleaning'!$J210,IF(ISBLANK('Data Extraction &amp; Cleaning'!$H210),'Data Extraction &amp; Cleaning'!$J210,""))</f>
        <v>759.81</v>
      </c>
    </row>
    <row r="211" spans="1:12" x14ac:dyDescent="0.2">
      <c r="A211" s="162">
        <v>45610</v>
      </c>
      <c r="B211" s="163" t="s">
        <v>399</v>
      </c>
      <c r="C211" s="164">
        <v>944.63</v>
      </c>
      <c r="D211" s="176">
        <v>52704.44</v>
      </c>
      <c r="E211" s="165"/>
      <c r="G211" s="43">
        <f>DATE(YEAR('Data Extraction &amp; Cleaning'!$A211)-1,MONTH('Data Extraction &amp; Cleaning'!$A211),DAY('Data Extraction &amp; Cleaning'!$A211))</f>
        <v>45244</v>
      </c>
      <c r="H211" s="42">
        <f>IF('Data Extraction &amp; Cleaning'!$J211&gt;0,2,1)</f>
        <v>2</v>
      </c>
      <c r="I211" s="42" t="str">
        <f>TRIM(CLEAN('Data Extraction &amp; Cleaning'!$B211&amp;'Data Extraction &amp; Cleaning'!$E211))</f>
        <v>RDC Deposit 2</v>
      </c>
      <c r="J211" s="42">
        <f>'Data Extraction &amp; Cleaning'!$C211</f>
        <v>944.63</v>
      </c>
      <c r="K211" s="42" t="str">
        <f>IF('Data Extraction &amp; Cleaning'!$H211=1,-'Data Extraction &amp; Cleaning'!$J211,"")</f>
        <v/>
      </c>
      <c r="L211" s="42">
        <f>IF('Data Extraction &amp; Cleaning'!$H211=2,'Data Extraction &amp; Cleaning'!$J211,IF(ISBLANK('Data Extraction &amp; Cleaning'!$H211),'Data Extraction &amp; Cleaning'!$J211,""))</f>
        <v>944.63</v>
      </c>
    </row>
    <row r="212" spans="1:12" x14ac:dyDescent="0.2">
      <c r="A212" s="166">
        <v>45610</v>
      </c>
      <c r="B212" s="167" t="s">
        <v>400</v>
      </c>
      <c r="C212" s="168">
        <v>679.05</v>
      </c>
      <c r="D212" s="167" t="s">
        <v>355</v>
      </c>
      <c r="E212" s="169" t="s">
        <v>401</v>
      </c>
      <c r="G212" s="43">
        <f>DATE(YEAR('Data Extraction &amp; Cleaning'!$A212)-1,MONTH('Data Extraction &amp; Cleaning'!$A212),DAY('Data Extraction &amp; Cleaning'!$A212))</f>
        <v>45244</v>
      </c>
      <c r="H212" s="42">
        <f>IF('Data Extraction &amp; Cleaning'!$J212&gt;0,2,1)</f>
        <v>2</v>
      </c>
      <c r="I212" s="42" t="str">
        <f>TRIM(CLEAN('Data Extraction &amp; Cleaning'!$B212&amp;'Data Extraction &amp; Cleaning'!$E212))</f>
        <v>PUBLIC SERVICE PSEG 25.39- 52TRACE#091000014321623</v>
      </c>
      <c r="J212" s="42">
        <f>'Data Extraction &amp; Cleaning'!$C212</f>
        <v>679.05</v>
      </c>
      <c r="K212" s="42" t="str">
        <f>IF('Data Extraction &amp; Cleaning'!$H212=1,-'Data Extraction &amp; Cleaning'!$J212,"")</f>
        <v/>
      </c>
      <c r="L212" s="42">
        <f>IF('Data Extraction &amp; Cleaning'!$H212=2,'Data Extraction &amp; Cleaning'!$J212,IF(ISBLANK('Data Extraction &amp; Cleaning'!$H212),'Data Extraction &amp; Cleaning'!$J212,""))</f>
        <v>679.05</v>
      </c>
    </row>
    <row r="213" spans="1:12" x14ac:dyDescent="0.2">
      <c r="A213" s="162">
        <v>45610</v>
      </c>
      <c r="B213" s="163" t="s">
        <v>402</v>
      </c>
      <c r="C213" s="164">
        <v>-720</v>
      </c>
      <c r="D213" s="176">
        <v>50959.05</v>
      </c>
      <c r="E213" s="165" t="s">
        <v>403</v>
      </c>
      <c r="G213" s="43">
        <f>DATE(YEAR('Data Extraction &amp; Cleaning'!$A213)-1,MONTH('Data Extraction &amp; Cleaning'!$A213),DAY('Data Extraction &amp; Cleaning'!$A213))</f>
        <v>45244</v>
      </c>
      <c r="H213" s="42">
        <f>IF('Data Extraction &amp; Cleaning'!$J213&gt;0,2,1)</f>
        <v>1</v>
      </c>
      <c r="I213" s="42" t="str">
        <f>TRIM(CLEAN('Data Extraction &amp; Cleaning'!$B213&amp;'Data Extraction &amp; Cleaning'!$E213))</f>
        <v>PUBLIC SERVICE PSEG 1ACH TRACE#091000014318181</v>
      </c>
      <c r="J213" s="42">
        <f>'Data Extraction &amp; Cleaning'!$C213</f>
        <v>-720</v>
      </c>
      <c r="K213" s="42">
        <f>IF('Data Extraction &amp; Cleaning'!$H213=1,-'Data Extraction &amp; Cleaning'!$J213,"")</f>
        <v>720</v>
      </c>
      <c r="L213" s="42" t="str">
        <f>IF('Data Extraction &amp; Cleaning'!$H213=2,'Data Extraction &amp; Cleaning'!$J213,IF(ISBLANK('Data Extraction &amp; Cleaning'!$H213),'Data Extraction &amp; Cleaning'!$J213,""))</f>
        <v/>
      </c>
    </row>
    <row r="214" spans="1:12" x14ac:dyDescent="0.2">
      <c r="A214" s="166">
        <v>45613</v>
      </c>
      <c r="B214" s="167" t="s">
        <v>404</v>
      </c>
      <c r="C214" s="168">
        <v>-944.63</v>
      </c>
      <c r="D214" s="177">
        <v>48014.42</v>
      </c>
      <c r="E214" s="169"/>
      <c r="G214" s="43">
        <f>DATE(YEAR('Data Extraction &amp; Cleaning'!$A214)-1,MONTH('Data Extraction &amp; Cleaning'!$A214),DAY('Data Extraction &amp; Cleaning'!$A214))</f>
        <v>45247</v>
      </c>
      <c r="H214" s="42">
        <f>IF('Data Extraction &amp; Cleaning'!$J214&gt;0,2,1)</f>
        <v>1</v>
      </c>
      <c r="I214" s="42" t="str">
        <f>TRIM(CLEAN('Data Extraction &amp; Cleaning'!$B214&amp;'Data Extraction &amp; Cleaning'!$E214))</f>
        <v>Chargeback 8448 2</v>
      </c>
      <c r="J214" s="42">
        <f>'Data Extraction &amp; Cleaning'!$C214</f>
        <v>-944.63</v>
      </c>
      <c r="K214" s="42">
        <f>IF('Data Extraction &amp; Cleaning'!$H214=1,-'Data Extraction &amp; Cleaning'!$J214,"")</f>
        <v>944.63</v>
      </c>
      <c r="L214" s="42" t="str">
        <f>IF('Data Extraction &amp; Cleaning'!$H214=2,'Data Extraction &amp; Cleaning'!$J214,IF(ISBLANK('Data Extraction &amp; Cleaning'!$H214),'Data Extraction &amp; Cleaning'!$J214,""))</f>
        <v/>
      </c>
    </row>
    <row r="215" spans="1:12" x14ac:dyDescent="0.2">
      <c r="A215" s="162">
        <v>45613</v>
      </c>
      <c r="B215" s="163" t="s">
        <v>405</v>
      </c>
      <c r="C215" s="164">
        <v>994.42</v>
      </c>
      <c r="D215" s="163"/>
      <c r="E215" s="165"/>
      <c r="G215" s="43">
        <f>DATE(YEAR('Data Extraction &amp; Cleaning'!$A215)-1,MONTH('Data Extraction &amp; Cleaning'!$A215),DAY('Data Extraction &amp; Cleaning'!$A215))</f>
        <v>45247</v>
      </c>
      <c r="H215" s="42">
        <f>IF('Data Extraction &amp; Cleaning'!$J215&gt;0,2,1)</f>
        <v>2</v>
      </c>
      <c r="I215" s="42" t="str">
        <f>TRIM(CLEAN('Data Extraction &amp; Cleaning'!$B215&amp;'Data Extraction &amp; Cleaning'!$E215))</f>
        <v>Chargeback Fee 20.00- 47</v>
      </c>
      <c r="J215" s="42">
        <f>'Data Extraction &amp; Cleaning'!$C215</f>
        <v>994.42</v>
      </c>
      <c r="K215" s="42" t="str">
        <f>IF('Data Extraction &amp; Cleaning'!$H215=1,-'Data Extraction &amp; Cleaning'!$J215,"")</f>
        <v/>
      </c>
      <c r="L215" s="42">
        <f>IF('Data Extraction &amp; Cleaning'!$H215=2,'Data Extraction &amp; Cleaning'!$J215,IF(ISBLANK('Data Extraction &amp; Cleaning'!$H215),'Data Extraction &amp; Cleaning'!$J215,""))</f>
        <v>994.42</v>
      </c>
    </row>
    <row r="216" spans="1:12" x14ac:dyDescent="0.2">
      <c r="A216" s="166">
        <v>45616</v>
      </c>
      <c r="B216" s="167" t="s">
        <v>406</v>
      </c>
      <c r="C216" s="168">
        <v>-500</v>
      </c>
      <c r="D216" s="177">
        <v>45494.42</v>
      </c>
      <c r="E216" s="169"/>
      <c r="G216" s="43">
        <f>DATE(YEAR('Data Extraction &amp; Cleaning'!$A216)-1,MONTH('Data Extraction &amp; Cleaning'!$A216),DAY('Data Extraction &amp; Cleaning'!$A216))</f>
        <v>45250</v>
      </c>
      <c r="H216" s="42">
        <f>IF('Data Extraction &amp; Cleaning'!$J216&gt;0,2,1)</f>
        <v>1</v>
      </c>
      <c r="I216" s="42" t="str">
        <f>TRIM(CLEAN('Data Extraction &amp; Cleaning'!$B216&amp;'Data Extraction &amp; Cleaning'!$E216))</f>
        <v>Total of 2 Checks Presented 2</v>
      </c>
      <c r="J216" s="42">
        <f>'Data Extraction &amp; Cleaning'!$C216</f>
        <v>-500</v>
      </c>
      <c r="K216" s="42">
        <f>IF('Data Extraction &amp; Cleaning'!$H216=1,-'Data Extraction &amp; Cleaning'!$J216,"")</f>
        <v>500</v>
      </c>
      <c r="L216" s="42" t="str">
        <f>IF('Data Extraction &amp; Cleaning'!$H216=2,'Data Extraction &amp; Cleaning'!$J216,IF(ISBLANK('Data Extraction &amp; Cleaning'!$H216),'Data Extraction &amp; Cleaning'!$J216,""))</f>
        <v/>
      </c>
    </row>
    <row r="217" spans="1:12" x14ac:dyDescent="0.2">
      <c r="A217" s="162">
        <v>45618</v>
      </c>
      <c r="B217" s="163" t="s">
        <v>352</v>
      </c>
      <c r="C217" s="164">
        <v>-857.68</v>
      </c>
      <c r="D217" s="176">
        <v>43636.74</v>
      </c>
      <c r="E217" s="165"/>
      <c r="G217" s="43">
        <f>DATE(YEAR('Data Extraction &amp; Cleaning'!$A217)-1,MONTH('Data Extraction &amp; Cleaning'!$A217),DAY('Data Extraction &amp; Cleaning'!$A217))</f>
        <v>45252</v>
      </c>
      <c r="H217" s="42">
        <f>IF('Data Extraction &amp; Cleaning'!$J217&gt;0,2,1)</f>
        <v>1</v>
      </c>
      <c r="I217" s="42" t="str">
        <f>TRIM(CLEAN('Data Extraction &amp; Cleaning'!$B217&amp;'Data Extraction &amp; Cleaning'!$E217))</f>
        <v>Total of 1 Check Presented 1</v>
      </c>
      <c r="J217" s="42">
        <f>'Data Extraction &amp; Cleaning'!$C217</f>
        <v>-857.68</v>
      </c>
      <c r="K217" s="42">
        <f>IF('Data Extraction &amp; Cleaning'!$H217=1,-'Data Extraction &amp; Cleaning'!$J217,"")</f>
        <v>857.68</v>
      </c>
      <c r="L217" s="42" t="str">
        <f>IF('Data Extraction &amp; Cleaning'!$H217=2,'Data Extraction &amp; Cleaning'!$J217,IF(ISBLANK('Data Extraction &amp; Cleaning'!$H217),'Data Extraction &amp; Cleaning'!$J217,""))</f>
        <v/>
      </c>
    </row>
    <row r="218" spans="1:12" x14ac:dyDescent="0.2">
      <c r="A218" s="166">
        <v>45618</v>
      </c>
      <c r="B218" s="167" t="s">
        <v>407</v>
      </c>
      <c r="C218" s="168">
        <v>359.29</v>
      </c>
      <c r="D218" s="167" t="s">
        <v>358</v>
      </c>
      <c r="E218" s="169" t="s">
        <v>371</v>
      </c>
      <c r="G218" s="43">
        <f>DATE(YEAR('Data Extraction &amp; Cleaning'!$A218)-1,MONTH('Data Extraction &amp; Cleaning'!$A218),DAY('Data Extraction &amp; Cleaning'!$A218))</f>
        <v>45252</v>
      </c>
      <c r="H218" s="42">
        <f>IF('Data Extraction &amp; Cleaning'!$J218&gt;0,2,1)</f>
        <v>2</v>
      </c>
      <c r="I218" s="42" t="str">
        <f>TRIM(CLEAN('Data Extraction &amp; Cleaning'!$B218&amp;'Data Extraction &amp; Cleaning'!$E218))</f>
        <v>VERIZON PAYMENTREC 277.45- 43INTERNET-INITIATED ENTRIES DIWALI LLC</v>
      </c>
      <c r="J218" s="42">
        <f>'Data Extraction &amp; Cleaning'!$C218</f>
        <v>359.29</v>
      </c>
      <c r="K218" s="42" t="str">
        <f>IF('Data Extraction &amp; Cleaning'!$H218=1,-'Data Extraction &amp; Cleaning'!$J218,"")</f>
        <v/>
      </c>
      <c r="L218" s="42">
        <f>IF('Data Extraction &amp; Cleaning'!$H218=2,'Data Extraction &amp; Cleaning'!$J218,IF(ISBLANK('Data Extraction &amp; Cleaning'!$H218),'Data Extraction &amp; Cleaning'!$J218,""))</f>
        <v>359.29</v>
      </c>
    </row>
    <row r="219" spans="1:12" x14ac:dyDescent="0.2">
      <c r="A219" s="162">
        <v>45618</v>
      </c>
      <c r="B219" s="163" t="s">
        <v>408</v>
      </c>
      <c r="C219" s="164">
        <v>912.8</v>
      </c>
      <c r="D219" s="163" t="s">
        <v>355</v>
      </c>
      <c r="E219" s="165" t="s">
        <v>409</v>
      </c>
      <c r="G219" s="43">
        <f>DATE(YEAR('Data Extraction &amp; Cleaning'!$A219)-1,MONTH('Data Extraction &amp; Cleaning'!$A219),DAY('Data Extraction &amp; Cleaning'!$A219))</f>
        <v>45252</v>
      </c>
      <c r="H219" s="42">
        <f>IF('Data Extraction &amp; Cleaning'!$J219&gt;0,2,1)</f>
        <v>2</v>
      </c>
      <c r="I219" s="42" t="str">
        <f>TRIM(CLEAN('Data Extraction &amp; Cleaning'!$B219&amp;'Data Extraction &amp; Cleaning'!$E219))</f>
        <v>Action Elevator Bill Pay 446.49- 42TRACE#711960040003050</v>
      </c>
      <c r="J219" s="42">
        <f>'Data Extraction &amp; Cleaning'!$C219</f>
        <v>912.8</v>
      </c>
      <c r="K219" s="42" t="str">
        <f>IF('Data Extraction &amp; Cleaning'!$H219=1,-'Data Extraction &amp; Cleaning'!$J219,"")</f>
        <v/>
      </c>
      <c r="L219" s="42">
        <f>IF('Data Extraction &amp; Cleaning'!$H219=2,'Data Extraction &amp; Cleaning'!$J219,IF(ISBLANK('Data Extraction &amp; Cleaning'!$H219),'Data Extraction &amp; Cleaning'!$J219,""))</f>
        <v>912.8</v>
      </c>
    </row>
    <row r="220" spans="1:12" x14ac:dyDescent="0.2">
      <c r="A220" s="166">
        <v>45618</v>
      </c>
      <c r="B220" s="167" t="s">
        <v>410</v>
      </c>
      <c r="C220" s="168">
        <v>-199.98</v>
      </c>
      <c r="D220" s="177">
        <v>41712.82</v>
      </c>
      <c r="E220" s="169" t="s">
        <v>411</v>
      </c>
      <c r="G220" s="43">
        <f>DATE(YEAR('Data Extraction &amp; Cleaning'!$A220)-1,MONTH('Data Extraction &amp; Cleaning'!$A220),DAY('Data Extraction &amp; Cleaning'!$A220))</f>
        <v>45252</v>
      </c>
      <c r="H220" s="42">
        <f>IF('Data Extraction &amp; Cleaning'!$J220&gt;0,2,1)</f>
        <v>1</v>
      </c>
      <c r="I220" s="42" t="str">
        <f>TRIM(CLEAN('Data Extraction &amp; Cleaning'!$B220&amp;'Data Extraction &amp; Cleaning'!$E220))</f>
        <v>ACTION CARTING EBill Pay 1ACH TRACE#711960040002976</v>
      </c>
      <c r="J220" s="42">
        <f>'Data Extraction &amp; Cleaning'!$C220</f>
        <v>-199.98</v>
      </c>
      <c r="K220" s="42">
        <f>IF('Data Extraction &amp; Cleaning'!$H220=1,-'Data Extraction &amp; Cleaning'!$J220,"")</f>
        <v>199.98</v>
      </c>
      <c r="L220" s="42" t="str">
        <f>IF('Data Extraction &amp; Cleaning'!$H220=2,'Data Extraction &amp; Cleaning'!$J220,IF(ISBLANK('Data Extraction &amp; Cleaning'!$H220),'Data Extraction &amp; Cleaning'!$J220,""))</f>
        <v/>
      </c>
    </row>
    <row r="221" spans="1:12" x14ac:dyDescent="0.2">
      <c r="A221" s="162">
        <v>45618</v>
      </c>
      <c r="B221" s="163" t="s">
        <v>412</v>
      </c>
      <c r="C221" s="164">
        <v>-422</v>
      </c>
      <c r="D221" s="176">
        <v>40290.82</v>
      </c>
      <c r="E221" s="165" t="s">
        <v>413</v>
      </c>
      <c r="G221" s="43">
        <f>DATE(YEAR('Data Extraction &amp; Cleaning'!$A221)-1,MONTH('Data Extraction &amp; Cleaning'!$A221),DAY('Data Extraction &amp; Cleaning'!$A221))</f>
        <v>45252</v>
      </c>
      <c r="H221" s="42">
        <f>IF('Data Extraction &amp; Cleaning'!$J221&gt;0,2,1)</f>
        <v>1</v>
      </c>
      <c r="I221" s="42" t="str">
        <f>TRIM(CLEAN('Data Extraction &amp; Cleaning'!$B221&amp;'Data Extraction &amp; Cleaning'!$E221))</f>
        <v>FIRE PREVENTION Bill Pay 1ACH TRACE#711960040003028</v>
      </c>
      <c r="J221" s="42">
        <f>'Data Extraction &amp; Cleaning'!$C221</f>
        <v>-422</v>
      </c>
      <c r="K221" s="42">
        <f>IF('Data Extraction &amp; Cleaning'!$H221=1,-'Data Extraction &amp; Cleaning'!$J221,"")</f>
        <v>422</v>
      </c>
      <c r="L221" s="42" t="str">
        <f>IF('Data Extraction &amp; Cleaning'!$H221=2,'Data Extraction &amp; Cleaning'!$J221,IF(ISBLANK('Data Extraction &amp; Cleaning'!$H221),'Data Extraction &amp; Cleaning'!$J221,""))</f>
        <v/>
      </c>
    </row>
    <row r="222" spans="1:12" x14ac:dyDescent="0.2">
      <c r="A222" s="166">
        <v>45625</v>
      </c>
      <c r="B222" s="167" t="s">
        <v>414</v>
      </c>
      <c r="C222" s="168">
        <v>561.82000000000005</v>
      </c>
      <c r="D222" s="167">
        <v>1586511526</v>
      </c>
      <c r="E222" s="169" t="s">
        <v>374</v>
      </c>
      <c r="G222" s="43">
        <f>DATE(YEAR('Data Extraction &amp; Cleaning'!$A222)-1,MONTH('Data Extraction &amp; Cleaning'!$A222),DAY('Data Extraction &amp; Cleaning'!$A222))</f>
        <v>45259</v>
      </c>
      <c r="H222" s="42">
        <f>IF('Data Extraction &amp; Cleaning'!$J222&gt;0,2,1)</f>
        <v>2</v>
      </c>
      <c r="I222" s="42" t="str">
        <f>TRIM(CLEAN('Data Extraction &amp; Cleaning'!$B222&amp;'Data Extraction &amp; Cleaning'!$E222))</f>
        <v>Web Pay Utica Mutual Ins 729.00- 39DIWALI I</v>
      </c>
      <c r="J222" s="42">
        <f>'Data Extraction &amp; Cleaning'!$C222</f>
        <v>561.82000000000005</v>
      </c>
      <c r="K222" s="42" t="str">
        <f>IF('Data Extraction &amp; Cleaning'!$H222=1,-'Data Extraction &amp; Cleaning'!$J222,"")</f>
        <v/>
      </c>
      <c r="L222" s="42">
        <f>IF('Data Extraction &amp; Cleaning'!$H222=2,'Data Extraction &amp; Cleaning'!$J222,IF(ISBLANK('Data Extraction &amp; Cleaning'!$H222),'Data Extraction &amp; Cleaning'!$J222,""))</f>
        <v>561.82000000000005</v>
      </c>
    </row>
    <row r="223" spans="1:12" x14ac:dyDescent="0.2">
      <c r="A223" s="162"/>
      <c r="B223" s="163"/>
      <c r="C223" s="164"/>
      <c r="D223" s="163"/>
      <c r="E223" s="165"/>
      <c r="G223" s="43"/>
    </row>
    <row r="224" spans="1:12" x14ac:dyDescent="0.2">
      <c r="A224" s="166">
        <v>45627</v>
      </c>
      <c r="B224" s="167" t="s">
        <v>351</v>
      </c>
      <c r="C224" s="168">
        <v>-537.59</v>
      </c>
      <c r="D224" s="177">
        <v>21024.23</v>
      </c>
      <c r="E224" s="169" t="s">
        <v>328</v>
      </c>
      <c r="G224" s="43">
        <f>DATE(YEAR('Data Extraction &amp; Cleaning'!$A224)-1,MONTH('Data Extraction &amp; Cleaning'!$A224),DAY('Data Extraction &amp; Cleaning'!$A224))</f>
        <v>45261</v>
      </c>
      <c r="H224" s="42">
        <f>IF('Data Extraction &amp; Cleaning'!$J224&gt;0,2,1)</f>
        <v>1</v>
      </c>
      <c r="I224" s="42" t="str">
        <f>TRIM(CLEAN('Data Extraction &amp; Cleaning'!$B224&amp;'Data Extraction &amp; Cleaning'!$E224))</f>
        <v>Transfer to Loan 18Acct No. XXXXXX3533</v>
      </c>
      <c r="J224" s="42">
        <f>'Data Extraction &amp; Cleaning'!$C224</f>
        <v>-537.59</v>
      </c>
      <c r="K224" s="42">
        <f>IF('Data Extraction &amp; Cleaning'!$H224=1,-'Data Extraction &amp; Cleaning'!$J224,"")</f>
        <v>537.59</v>
      </c>
      <c r="L224" s="42" t="str">
        <f>IF('Data Extraction &amp; Cleaning'!$H224=2,'Data Extraction &amp; Cleaning'!$J224,IF(ISBLANK('Data Extraction &amp; Cleaning'!$H224),'Data Extraction &amp; Cleaning'!$J224,""))</f>
        <v/>
      </c>
    </row>
    <row r="225" spans="1:12" x14ac:dyDescent="0.2">
      <c r="A225" s="162">
        <v>45630</v>
      </c>
      <c r="B225" s="163" t="s">
        <v>415</v>
      </c>
      <c r="C225" s="164">
        <v>837.38</v>
      </c>
      <c r="D225" s="176">
        <v>32861.61</v>
      </c>
      <c r="E225" s="165"/>
      <c r="G225" s="43">
        <f>DATE(YEAR('Data Extraction &amp; Cleaning'!$A225)-1,MONTH('Data Extraction &amp; Cleaning'!$A225),DAY('Data Extraction &amp; Cleaning'!$A225))</f>
        <v>45264</v>
      </c>
      <c r="H225" s="42">
        <f>IF('Data Extraction &amp; Cleaning'!$J225&gt;0,2,1)</f>
        <v>2</v>
      </c>
      <c r="I225" s="42" t="str">
        <f>TRIM(CLEAN('Data Extraction &amp; Cleaning'!$B225&amp;'Data Extraction &amp; Cleaning'!$E225))</f>
        <v>RDC Deposit 11</v>
      </c>
      <c r="J225" s="42">
        <f>'Data Extraction &amp; Cleaning'!$C225</f>
        <v>837.38</v>
      </c>
      <c r="K225" s="42" t="str">
        <f>IF('Data Extraction &amp; Cleaning'!$H225=1,-'Data Extraction &amp; Cleaning'!$J225,"")</f>
        <v/>
      </c>
      <c r="L225" s="42">
        <f>IF('Data Extraction &amp; Cleaning'!$H225=2,'Data Extraction &amp; Cleaning'!$J225,IF(ISBLANK('Data Extraction &amp; Cleaning'!$H225),'Data Extraction &amp; Cleaning'!$J225,""))</f>
        <v>837.38</v>
      </c>
    </row>
    <row r="226" spans="1:12" x14ac:dyDescent="0.2">
      <c r="A226" s="166">
        <v>45630</v>
      </c>
      <c r="B226" s="167" t="s">
        <v>416</v>
      </c>
      <c r="C226" s="168">
        <v>-468</v>
      </c>
      <c r="D226" s="177">
        <v>30393.61</v>
      </c>
      <c r="E226" s="169"/>
      <c r="G226" s="43">
        <f>DATE(YEAR('Data Extraction &amp; Cleaning'!$A226)-1,MONTH('Data Extraction &amp; Cleaning'!$A226),DAY('Data Extraction &amp; Cleaning'!$A226))</f>
        <v>45264</v>
      </c>
      <c r="H226" s="42">
        <f>IF('Data Extraction &amp; Cleaning'!$J226&gt;0,2,1)</f>
        <v>1</v>
      </c>
      <c r="I226" s="42" t="str">
        <f>TRIM(CLEAN('Data Extraction &amp; Cleaning'!$B226&amp;'Data Extraction &amp; Cleaning'!$E226))</f>
        <v>Total of 3 Checks Presented 2</v>
      </c>
      <c r="J226" s="42">
        <f>'Data Extraction &amp; Cleaning'!$C226</f>
        <v>-468</v>
      </c>
      <c r="K226" s="42">
        <f>IF('Data Extraction &amp; Cleaning'!$H226=1,-'Data Extraction &amp; Cleaning'!$J226,"")</f>
        <v>468</v>
      </c>
      <c r="L226" s="42" t="str">
        <f>IF('Data Extraction &amp; Cleaning'!$H226=2,'Data Extraction &amp; Cleaning'!$J226,IF(ISBLANK('Data Extraction &amp; Cleaning'!$H226),'Data Extraction &amp; Cleaning'!$J226,""))</f>
        <v/>
      </c>
    </row>
    <row r="227" spans="1:12" x14ac:dyDescent="0.2">
      <c r="A227" s="162">
        <v>45632</v>
      </c>
      <c r="B227" s="163" t="s">
        <v>378</v>
      </c>
      <c r="C227" s="164">
        <v>295.63</v>
      </c>
      <c r="D227" s="176">
        <v>36689.24</v>
      </c>
      <c r="E227" s="165"/>
      <c r="G227" s="43">
        <f>DATE(YEAR('Data Extraction &amp; Cleaning'!$A227)-1,MONTH('Data Extraction &amp; Cleaning'!$A227),DAY('Data Extraction &amp; Cleaning'!$A227))</f>
        <v>45266</v>
      </c>
      <c r="H227" s="42">
        <f>IF('Data Extraction &amp; Cleaning'!$J227&gt;0,2,1)</f>
        <v>2</v>
      </c>
      <c r="I227" s="42" t="str">
        <f>TRIM(CLEAN('Data Extraction &amp; Cleaning'!$B227&amp;'Data Extraction &amp; Cleaning'!$E227))</f>
        <v>RDC Deposit 6</v>
      </c>
      <c r="J227" s="42">
        <f>'Data Extraction &amp; Cleaning'!$C227</f>
        <v>295.63</v>
      </c>
      <c r="K227" s="42" t="str">
        <f>IF('Data Extraction &amp; Cleaning'!$H227=1,-'Data Extraction &amp; Cleaning'!$J227,"")</f>
        <v/>
      </c>
      <c r="L227" s="42">
        <f>IF('Data Extraction &amp; Cleaning'!$H227=2,'Data Extraction &amp; Cleaning'!$J227,IF(ISBLANK('Data Extraction &amp; Cleaning'!$H227),'Data Extraction &amp; Cleaning'!$J227,""))</f>
        <v>295.63</v>
      </c>
    </row>
    <row r="228" spans="1:12" x14ac:dyDescent="0.2">
      <c r="A228" s="166">
        <v>45632</v>
      </c>
      <c r="B228" s="167" t="s">
        <v>417</v>
      </c>
      <c r="C228" s="168">
        <v>641.73</v>
      </c>
      <c r="D228" s="167"/>
      <c r="E228" s="169"/>
      <c r="G228" s="43">
        <f>DATE(YEAR('Data Extraction &amp; Cleaning'!$A228)-1,MONTH('Data Extraction &amp; Cleaning'!$A228),DAY('Data Extraction &amp; Cleaning'!$A228))</f>
        <v>45266</v>
      </c>
      <c r="H228" s="42">
        <f>IF('Data Extraction &amp; Cleaning'!$J228&gt;0,2,1)</f>
        <v>2</v>
      </c>
      <c r="I228" s="42" t="str">
        <f>TRIM(CLEAN('Data Extraction &amp; Cleaning'!$B228&amp;'Data Extraction &amp; Cleaning'!$E228))</f>
        <v>Total of 1 Check Presented 47.51- 36</v>
      </c>
      <c r="J228" s="42">
        <f>'Data Extraction &amp; Cleaning'!$C228</f>
        <v>641.73</v>
      </c>
      <c r="K228" s="42" t="str">
        <f>IF('Data Extraction &amp; Cleaning'!$H228=1,-'Data Extraction &amp; Cleaning'!$J228,"")</f>
        <v/>
      </c>
      <c r="L228" s="42">
        <f>IF('Data Extraction &amp; Cleaning'!$H228=2,'Data Extraction &amp; Cleaning'!$J228,IF(ISBLANK('Data Extraction &amp; Cleaning'!$H228),'Data Extraction &amp; Cleaning'!$J228,""))</f>
        <v>641.73</v>
      </c>
    </row>
    <row r="229" spans="1:12" x14ac:dyDescent="0.2">
      <c r="A229" s="162">
        <v>45632</v>
      </c>
      <c r="B229" s="163" t="s">
        <v>418</v>
      </c>
      <c r="C229" s="164">
        <v>465.8</v>
      </c>
      <c r="D229" s="163" t="s">
        <v>355</v>
      </c>
      <c r="E229" s="165" t="s">
        <v>419</v>
      </c>
      <c r="G229" s="43">
        <f>DATE(YEAR('Data Extraction &amp; Cleaning'!$A229)-1,MONTH('Data Extraction &amp; Cleaning'!$A229),DAY('Data Extraction &amp; Cleaning'!$A229))</f>
        <v>45266</v>
      </c>
      <c r="H229" s="42">
        <f>IF('Data Extraction &amp; Cleaning'!$J229&gt;0,2,1)</f>
        <v>2</v>
      </c>
      <c r="I229" s="42" t="str">
        <f>TRIM(CLEAN('Data Extraction &amp; Cleaning'!$B229&amp;'Data Extraction &amp; Cleaning'!$E229))</f>
        <v>Action Elevator Bill Pay 175.93- 36TRACE#711960040002642</v>
      </c>
      <c r="J229" s="42">
        <f>'Data Extraction &amp; Cleaning'!$C229</f>
        <v>465.8</v>
      </c>
      <c r="K229" s="42" t="str">
        <f>IF('Data Extraction &amp; Cleaning'!$H229=1,-'Data Extraction &amp; Cleaning'!$J229,"")</f>
        <v/>
      </c>
      <c r="L229" s="42">
        <f>IF('Data Extraction &amp; Cleaning'!$H229=2,'Data Extraction &amp; Cleaning'!$J229,IF(ISBLANK('Data Extraction &amp; Cleaning'!$H229),'Data Extraction &amp; Cleaning'!$J229,""))</f>
        <v>465.8</v>
      </c>
    </row>
    <row r="230" spans="1:12" x14ac:dyDescent="0.2">
      <c r="A230" s="166">
        <v>45632</v>
      </c>
      <c r="B230" s="167" t="s">
        <v>420</v>
      </c>
      <c r="C230" s="168">
        <v>865.81</v>
      </c>
      <c r="D230" s="167" t="s">
        <v>355</v>
      </c>
      <c r="E230" s="169" t="s">
        <v>421</v>
      </c>
      <c r="G230" s="43">
        <f>DATE(YEAR('Data Extraction &amp; Cleaning'!$A230)-1,MONTH('Data Extraction &amp; Cleaning'!$A230),DAY('Data Extraction &amp; Cleaning'!$A230))</f>
        <v>45266</v>
      </c>
      <c r="H230" s="42">
        <f>IF('Data Extraction &amp; Cleaning'!$J230&gt;0,2,1)</f>
        <v>2</v>
      </c>
      <c r="I230" s="42" t="str">
        <f>TRIM(CLEAN('Data Extraction &amp; Cleaning'!$B230&amp;'Data Extraction &amp; Cleaning'!$E230))</f>
        <v>ACTION CARTING EBill Pay 599.99- 35TRACE#711960040002611</v>
      </c>
      <c r="J230" s="42">
        <f>'Data Extraction &amp; Cleaning'!$C230</f>
        <v>865.81</v>
      </c>
      <c r="K230" s="42" t="str">
        <f>IF('Data Extraction &amp; Cleaning'!$H230=1,-'Data Extraction &amp; Cleaning'!$J230,"")</f>
        <v/>
      </c>
      <c r="L230" s="42">
        <f>IF('Data Extraction &amp; Cleaning'!$H230=2,'Data Extraction &amp; Cleaning'!$J230,IF(ISBLANK('Data Extraction &amp; Cleaning'!$H230),'Data Extraction &amp; Cleaning'!$J230,""))</f>
        <v>865.81</v>
      </c>
    </row>
    <row r="231" spans="1:12" x14ac:dyDescent="0.2">
      <c r="A231" s="162">
        <v>45633</v>
      </c>
      <c r="B231" s="163" t="s">
        <v>422</v>
      </c>
      <c r="C231" s="164">
        <v>-246.06</v>
      </c>
      <c r="D231" s="176">
        <v>31619.75</v>
      </c>
      <c r="E231" s="165"/>
      <c r="G231" s="43">
        <f>DATE(YEAR('Data Extraction &amp; Cleaning'!$A231)-1,MONTH('Data Extraction &amp; Cleaning'!$A231),DAY('Data Extraction &amp; Cleaning'!$A231))</f>
        <v>45267</v>
      </c>
      <c r="H231" s="42">
        <f>IF('Data Extraction &amp; Cleaning'!$J231&gt;0,2,1)</f>
        <v>1</v>
      </c>
      <c r="I231" s="42" t="str">
        <f>TRIM(CLEAN('Data Extraction &amp; Cleaning'!$B231&amp;'Data Extraction &amp; Cleaning'!$E231))</f>
        <v>Total of 3 Checks Presented 4</v>
      </c>
      <c r="J231" s="42">
        <f>'Data Extraction &amp; Cleaning'!$C231</f>
        <v>-246.06</v>
      </c>
      <c r="K231" s="42">
        <f>IF('Data Extraction &amp; Cleaning'!$H231=1,-'Data Extraction &amp; Cleaning'!$J231,"")</f>
        <v>246.06</v>
      </c>
      <c r="L231" s="42" t="str">
        <f>IF('Data Extraction &amp; Cleaning'!$H231=2,'Data Extraction &amp; Cleaning'!$J231,IF(ISBLANK('Data Extraction &amp; Cleaning'!$H231),'Data Extraction &amp; Cleaning'!$J231,""))</f>
        <v/>
      </c>
    </row>
    <row r="232" spans="1:12" x14ac:dyDescent="0.2">
      <c r="A232" s="166">
        <v>45637</v>
      </c>
      <c r="B232" s="167" t="s">
        <v>423</v>
      </c>
      <c r="C232" s="168">
        <v>912.29</v>
      </c>
      <c r="D232" s="177">
        <v>37532.04</v>
      </c>
      <c r="E232" s="169"/>
      <c r="G232" s="43">
        <f>DATE(YEAR('Data Extraction &amp; Cleaning'!$A232)-1,MONTH('Data Extraction &amp; Cleaning'!$A232),DAY('Data Extraction &amp; Cleaning'!$A232))</f>
        <v>45271</v>
      </c>
      <c r="H232" s="42">
        <f>IF('Data Extraction &amp; Cleaning'!$J232&gt;0,2,1)</f>
        <v>2</v>
      </c>
      <c r="I232" s="42" t="str">
        <f>TRIM(CLEAN('Data Extraction &amp; Cleaning'!$B232&amp;'Data Extraction &amp; Cleaning'!$E232))</f>
        <v>RDC Deposit 5</v>
      </c>
      <c r="J232" s="42">
        <f>'Data Extraction &amp; Cleaning'!$C232</f>
        <v>912.29</v>
      </c>
      <c r="K232" s="42" t="str">
        <f>IF('Data Extraction &amp; Cleaning'!$H232=1,-'Data Extraction &amp; Cleaning'!$J232,"")</f>
        <v/>
      </c>
      <c r="L232" s="42">
        <f>IF('Data Extraction &amp; Cleaning'!$H232=2,'Data Extraction &amp; Cleaning'!$J232,IF(ISBLANK('Data Extraction &amp; Cleaning'!$H232),'Data Extraction &amp; Cleaning'!$J232,""))</f>
        <v>912.29</v>
      </c>
    </row>
    <row r="233" spans="1:12" x14ac:dyDescent="0.2">
      <c r="A233" s="162">
        <v>45637</v>
      </c>
      <c r="B233" s="163" t="s">
        <v>424</v>
      </c>
      <c r="C233" s="164">
        <v>292.95999999999998</v>
      </c>
      <c r="D233" s="163" t="s">
        <v>355</v>
      </c>
      <c r="E233" s="165" t="s">
        <v>425</v>
      </c>
      <c r="G233" s="43">
        <f>DATE(YEAR('Data Extraction &amp; Cleaning'!$A233)-1,MONTH('Data Extraction &amp; Cleaning'!$A233),DAY('Data Extraction &amp; Cleaning'!$A233))</f>
        <v>45271</v>
      </c>
      <c r="H233" s="42">
        <f>IF('Data Extraction &amp; Cleaning'!$J233&gt;0,2,1)</f>
        <v>2</v>
      </c>
      <c r="I233" s="42" t="str">
        <f>TRIM(CLEAN('Data Extraction &amp; Cleaning'!$B233&amp;'Data Extraction &amp; Cleaning'!$E233))</f>
        <v>P S E AND G NJ Bill Pay 239.08- 37TRACE#711960040003811</v>
      </c>
      <c r="J233" s="42">
        <f>'Data Extraction &amp; Cleaning'!$C233</f>
        <v>292.95999999999998</v>
      </c>
      <c r="K233" s="42" t="str">
        <f>IF('Data Extraction &amp; Cleaning'!$H233=1,-'Data Extraction &amp; Cleaning'!$J233,"")</f>
        <v/>
      </c>
      <c r="L233" s="42">
        <f>IF('Data Extraction &amp; Cleaning'!$H233=2,'Data Extraction &amp; Cleaning'!$J233,IF(ISBLANK('Data Extraction &amp; Cleaning'!$H233),'Data Extraction &amp; Cleaning'!$J233,""))</f>
        <v>292.95999999999998</v>
      </c>
    </row>
    <row r="234" spans="1:12" x14ac:dyDescent="0.2">
      <c r="A234" s="166">
        <v>45637</v>
      </c>
      <c r="B234" s="167" t="s">
        <v>426</v>
      </c>
      <c r="C234" s="168">
        <v>48.1</v>
      </c>
      <c r="D234" s="167" t="s">
        <v>355</v>
      </c>
      <c r="E234" s="169" t="s">
        <v>427</v>
      </c>
      <c r="G234" s="43">
        <f>DATE(YEAR('Data Extraction &amp; Cleaning'!$A234)-1,MONTH('Data Extraction &amp; Cleaning'!$A234),DAY('Data Extraction &amp; Cleaning'!$A234))</f>
        <v>45271</v>
      </c>
      <c r="H234" s="42">
        <f>IF('Data Extraction &amp; Cleaning'!$J234&gt;0,2,1)</f>
        <v>2</v>
      </c>
      <c r="I234" s="42" t="str">
        <f>TRIM(CLEAN('Data Extraction &amp; Cleaning'!$B234&amp;'Data Extraction &amp; Cleaning'!$E234))</f>
        <v>P S E AND G NJ Bill Pay 244.86- 37TRACE#711960040003810</v>
      </c>
      <c r="J234" s="42">
        <f>'Data Extraction &amp; Cleaning'!$C234</f>
        <v>48.1</v>
      </c>
      <c r="K234" s="42" t="str">
        <f>IF('Data Extraction &amp; Cleaning'!$H234=1,-'Data Extraction &amp; Cleaning'!$J234,"")</f>
        <v/>
      </c>
      <c r="L234" s="42">
        <f>IF('Data Extraction &amp; Cleaning'!$H234=2,'Data Extraction &amp; Cleaning'!$J234,IF(ISBLANK('Data Extraction &amp; Cleaning'!$H234),'Data Extraction &amp; Cleaning'!$J234,""))</f>
        <v>48.1</v>
      </c>
    </row>
    <row r="235" spans="1:12" x14ac:dyDescent="0.2">
      <c r="A235" s="162">
        <v>45640</v>
      </c>
      <c r="B235" s="163" t="s">
        <v>428</v>
      </c>
      <c r="C235" s="164">
        <v>478.73</v>
      </c>
      <c r="D235" s="163"/>
      <c r="E235" s="165"/>
      <c r="G235" s="43">
        <f>DATE(YEAR('Data Extraction &amp; Cleaning'!$A235)-1,MONTH('Data Extraction &amp; Cleaning'!$A235),DAY('Data Extraction &amp; Cleaning'!$A235))</f>
        <v>45274</v>
      </c>
      <c r="H235" s="42">
        <f>IF('Data Extraction &amp; Cleaning'!$J235&gt;0,2,1)</f>
        <v>2</v>
      </c>
      <c r="I235" s="42" t="str">
        <f>TRIM(CLEAN('Data Extraction &amp; Cleaning'!$B235&amp;'Data Extraction &amp; Cleaning'!$E235))</f>
        <v>Total of 1 Check Presented 569.37- 36</v>
      </c>
      <c r="J235" s="42">
        <f>'Data Extraction &amp; Cleaning'!$C235</f>
        <v>478.73</v>
      </c>
      <c r="K235" s="42" t="str">
        <f>IF('Data Extraction &amp; Cleaning'!$H235=1,-'Data Extraction &amp; Cleaning'!$J235,"")</f>
        <v/>
      </c>
      <c r="L235" s="42">
        <f>IF('Data Extraction &amp; Cleaning'!$H235=2,'Data Extraction &amp; Cleaning'!$J235,IF(ISBLANK('Data Extraction &amp; Cleaning'!$H235),'Data Extraction &amp; Cleaning'!$J235,""))</f>
        <v>478.73</v>
      </c>
    </row>
    <row r="236" spans="1:12" x14ac:dyDescent="0.2">
      <c r="A236" s="166">
        <v>45640</v>
      </c>
      <c r="B236" s="167" t="s">
        <v>429</v>
      </c>
      <c r="C236" s="168">
        <v>441.94</v>
      </c>
      <c r="D236" s="167" t="s">
        <v>355</v>
      </c>
      <c r="E236" s="169" t="s">
        <v>430</v>
      </c>
      <c r="G236" s="43">
        <f>DATE(YEAR('Data Extraction &amp; Cleaning'!$A236)-1,MONTH('Data Extraction &amp; Cleaning'!$A236),DAY('Data Extraction &amp; Cleaning'!$A236))</f>
        <v>45274</v>
      </c>
      <c r="H236" s="42">
        <f>IF('Data Extraction &amp; Cleaning'!$J236&gt;0,2,1)</f>
        <v>2</v>
      </c>
      <c r="I236" s="42" t="str">
        <f>TRIM(CLEAN('Data Extraction &amp; Cleaning'!$B236&amp;'Data Extraction &amp; Cleaning'!$E236))</f>
        <v>VERIZON COMMUNICBill Pay 36.79- 36TRACE#711960040003801</v>
      </c>
      <c r="J236" s="42">
        <f>'Data Extraction &amp; Cleaning'!$C236</f>
        <v>441.94</v>
      </c>
      <c r="K236" s="42" t="str">
        <f>IF('Data Extraction &amp; Cleaning'!$H236=1,-'Data Extraction &amp; Cleaning'!$J236,"")</f>
        <v/>
      </c>
      <c r="L236" s="42">
        <f>IF('Data Extraction &amp; Cleaning'!$H236=2,'Data Extraction &amp; Cleaning'!$J236,IF(ISBLANK('Data Extraction &amp; Cleaning'!$H236),'Data Extraction &amp; Cleaning'!$J236,""))</f>
        <v>441.94</v>
      </c>
    </row>
    <row r="237" spans="1:12" x14ac:dyDescent="0.2">
      <c r="A237" s="162">
        <v>45640</v>
      </c>
      <c r="B237" s="163" t="s">
        <v>431</v>
      </c>
      <c r="C237" s="164">
        <v>148.61000000000001</v>
      </c>
      <c r="D237" s="163">
        <v>10009806967654</v>
      </c>
      <c r="E237" s="165" t="s">
        <v>365</v>
      </c>
      <c r="G237" s="43">
        <f>DATE(YEAR('Data Extraction &amp; Cleaning'!$A237)-1,MONTH('Data Extraction &amp; Cleaning'!$A237),DAY('Data Extraction &amp; Cleaning'!$A237))</f>
        <v>45274</v>
      </c>
      <c r="H237" s="42">
        <f>IF('Data Extraction &amp; Cleaning'!$J237&gt;0,2,1)</f>
        <v>2</v>
      </c>
      <c r="I237" s="42" t="str">
        <f>TRIM(CLEAN('Data Extraction &amp; Cleaning'!$B237&amp;'Data Extraction &amp; Cleaning'!$E237))</f>
        <v>WATER BILL VEOLIA WATER NEW 293.33- 36Diwali I</v>
      </c>
      <c r="J237" s="42">
        <f>'Data Extraction &amp; Cleaning'!$C237</f>
        <v>148.61000000000001</v>
      </c>
      <c r="K237" s="42" t="str">
        <f>IF('Data Extraction &amp; Cleaning'!$H237=1,-'Data Extraction &amp; Cleaning'!$J237,"")</f>
        <v/>
      </c>
      <c r="L237" s="42">
        <f>IF('Data Extraction &amp; Cleaning'!$H237=2,'Data Extraction &amp; Cleaning'!$J237,IF(ISBLANK('Data Extraction &amp; Cleaning'!$H237),'Data Extraction &amp; Cleaning'!$J237,""))</f>
        <v>148.61000000000001</v>
      </c>
    </row>
    <row r="238" spans="1:12" x14ac:dyDescent="0.2">
      <c r="A238" s="166">
        <v>45640</v>
      </c>
      <c r="B238" s="167" t="s">
        <v>432</v>
      </c>
      <c r="C238" s="168">
        <v>692.44</v>
      </c>
      <c r="D238" s="167">
        <v>10006752433605</v>
      </c>
      <c r="E238" s="169" t="s">
        <v>365</v>
      </c>
      <c r="G238" s="43">
        <f>DATE(YEAR('Data Extraction &amp; Cleaning'!$A238)-1,MONTH('Data Extraction &amp; Cleaning'!$A238),DAY('Data Extraction &amp; Cleaning'!$A238))</f>
        <v>45274</v>
      </c>
      <c r="H238" s="42">
        <f>IF('Data Extraction &amp; Cleaning'!$J238&gt;0,2,1)</f>
        <v>2</v>
      </c>
      <c r="I238" s="42" t="str">
        <f>TRIM(CLEAN('Data Extraction &amp; Cleaning'!$B238&amp;'Data Extraction &amp; Cleaning'!$E238))</f>
        <v>WATER BILL VEOLIA WATER NEW 456.17- 35Diwali I</v>
      </c>
      <c r="J238" s="42">
        <f>'Data Extraction &amp; Cleaning'!$C238</f>
        <v>692.44</v>
      </c>
      <c r="K238" s="42" t="str">
        <f>IF('Data Extraction &amp; Cleaning'!$H238=1,-'Data Extraction &amp; Cleaning'!$J238,"")</f>
        <v/>
      </c>
      <c r="L238" s="42">
        <f>IF('Data Extraction &amp; Cleaning'!$H238=2,'Data Extraction &amp; Cleaning'!$J238,IF(ISBLANK('Data Extraction &amp; Cleaning'!$H238),'Data Extraction &amp; Cleaning'!$J238,""))</f>
        <v>692.44</v>
      </c>
    </row>
    <row r="239" spans="1:12" x14ac:dyDescent="0.2">
      <c r="A239" s="162">
        <v>45641</v>
      </c>
      <c r="B239" s="163" t="s">
        <v>348</v>
      </c>
      <c r="C239" s="164">
        <v>454.7</v>
      </c>
      <c r="D239" s="176">
        <v>43147.14</v>
      </c>
      <c r="E239" s="165" t="s">
        <v>433</v>
      </c>
      <c r="G239" s="43">
        <f>DATE(YEAR('Data Extraction &amp; Cleaning'!$A239)-1,MONTH('Data Extraction &amp; Cleaning'!$A239),DAY('Data Extraction &amp; Cleaning'!$A239))</f>
        <v>45275</v>
      </c>
      <c r="H239" s="42">
        <f>IF('Data Extraction &amp; Cleaning'!$J239&gt;0,2,1)</f>
        <v>2</v>
      </c>
      <c r="I239" s="42" t="str">
        <f>TRIM(CLEAN('Data Extraction &amp; Cleaning'!$B239&amp;'Data Extraction &amp; Cleaning'!$E239))</f>
        <v>ACH Pmt JPW DENTAL LLC 711117169357 Diwali I</v>
      </c>
      <c r="J239" s="42">
        <f>'Data Extraction &amp; Cleaning'!$C239</f>
        <v>454.7</v>
      </c>
      <c r="K239" s="42" t="str">
        <f>IF('Data Extraction &amp; Cleaning'!$H239=1,-'Data Extraction &amp; Cleaning'!$J239,"")</f>
        <v/>
      </c>
      <c r="L239" s="42">
        <f>IF('Data Extraction &amp; Cleaning'!$H239=2,'Data Extraction &amp; Cleaning'!$J239,IF(ISBLANK('Data Extraction &amp; Cleaning'!$H239),'Data Extraction &amp; Cleaning'!$J239,""))</f>
        <v>454.7</v>
      </c>
    </row>
    <row r="240" spans="1:12" x14ac:dyDescent="0.2">
      <c r="A240" s="166">
        <v>45641</v>
      </c>
      <c r="B240" s="167" t="s">
        <v>434</v>
      </c>
      <c r="C240" s="168">
        <v>84.48</v>
      </c>
      <c r="D240" s="167" t="s">
        <v>355</v>
      </c>
      <c r="E240" s="169" t="s">
        <v>435</v>
      </c>
      <c r="G240" s="43">
        <f>DATE(YEAR('Data Extraction &amp; Cleaning'!$A240)-1,MONTH('Data Extraction &amp; Cleaning'!$A240),DAY('Data Extraction &amp; Cleaning'!$A240))</f>
        <v>45275</v>
      </c>
      <c r="H240" s="42">
        <f>IF('Data Extraction &amp; Cleaning'!$J240&gt;0,2,1)</f>
        <v>2</v>
      </c>
      <c r="I240" s="42" t="str">
        <f>TRIM(CLEAN('Data Extraction &amp; Cleaning'!$B240&amp;'Data Extraction &amp; Cleaning'!$E240))</f>
        <v>PUBLIC SERVICE PSEG 62.66- 43TRACE#091000012870943</v>
      </c>
      <c r="J240" s="42">
        <f>'Data Extraction &amp; Cleaning'!$C240</f>
        <v>84.48</v>
      </c>
      <c r="K240" s="42" t="str">
        <f>IF('Data Extraction &amp; Cleaning'!$H240=1,-'Data Extraction &amp; Cleaning'!$J240,"")</f>
        <v/>
      </c>
      <c r="L240" s="42">
        <f>IF('Data Extraction &amp; Cleaning'!$H240=2,'Data Extraction &amp; Cleaning'!$J240,IF(ISBLANK('Data Extraction &amp; Cleaning'!$H240),'Data Extraction &amp; Cleaning'!$J240,""))</f>
        <v>84.48</v>
      </c>
    </row>
    <row r="241" spans="1:12" x14ac:dyDescent="0.2">
      <c r="A241" s="162">
        <v>45641</v>
      </c>
      <c r="B241" s="163" t="s">
        <v>362</v>
      </c>
      <c r="C241" s="164">
        <v>-200.65</v>
      </c>
      <c r="D241" s="176">
        <v>40883.83</v>
      </c>
      <c r="E241" s="165" t="s">
        <v>436</v>
      </c>
      <c r="G241" s="43">
        <f>DATE(YEAR('Data Extraction &amp; Cleaning'!$A241)-1,MONTH('Data Extraction &amp; Cleaning'!$A241),DAY('Data Extraction &amp; Cleaning'!$A241))</f>
        <v>45275</v>
      </c>
      <c r="H241" s="42">
        <f>IF('Data Extraction &amp; Cleaning'!$J241&gt;0,2,1)</f>
        <v>1</v>
      </c>
      <c r="I241" s="42" t="str">
        <f>TRIM(CLEAN('Data Extraction &amp; Cleaning'!$B241&amp;'Data Extraction &amp; Cleaning'!$E241))</f>
        <v>PUBLIC SERVICE PSEG 2ACH TRACE#091000012863422</v>
      </c>
      <c r="J241" s="42">
        <f>'Data Extraction &amp; Cleaning'!$C241</f>
        <v>-200.65</v>
      </c>
      <c r="K241" s="42">
        <f>IF('Data Extraction &amp; Cleaning'!$H241=1,-'Data Extraction &amp; Cleaning'!$J241,"")</f>
        <v>200.65</v>
      </c>
      <c r="L241" s="42" t="str">
        <f>IF('Data Extraction &amp; Cleaning'!$H241=2,'Data Extraction &amp; Cleaning'!$J241,IF(ISBLANK('Data Extraction &amp; Cleaning'!$H241),'Data Extraction &amp; Cleaning'!$J241,""))</f>
        <v/>
      </c>
    </row>
    <row r="242" spans="1:12" x14ac:dyDescent="0.2">
      <c r="A242" s="166">
        <v>45647</v>
      </c>
      <c r="B242" s="167" t="s">
        <v>437</v>
      </c>
      <c r="C242" s="168">
        <v>809.95</v>
      </c>
      <c r="D242" s="167" t="s">
        <v>355</v>
      </c>
      <c r="E242" s="169" t="s">
        <v>438</v>
      </c>
      <c r="G242" s="43">
        <f>DATE(YEAR('Data Extraction &amp; Cleaning'!$A242)-1,MONTH('Data Extraction &amp; Cleaning'!$A242),DAY('Data Extraction &amp; Cleaning'!$A242))</f>
        <v>45281</v>
      </c>
      <c r="H242" s="42">
        <f>IF('Data Extraction &amp; Cleaning'!$J242&gt;0,2,1)</f>
        <v>2</v>
      </c>
      <c r="I242" s="42" t="str">
        <f>TRIM(CLEAN('Data Extraction &amp; Cleaning'!$B242&amp;'Data Extraction &amp; Cleaning'!$E242))</f>
        <v>VERIZON COMMUNICBill Pay 73.88- 40TRACE#711960040003086</v>
      </c>
      <c r="J242" s="42">
        <f>'Data Extraction &amp; Cleaning'!$C242</f>
        <v>809.95</v>
      </c>
      <c r="K242" s="42" t="str">
        <f>IF('Data Extraction &amp; Cleaning'!$H242=1,-'Data Extraction &amp; Cleaning'!$J242,"")</f>
        <v/>
      </c>
      <c r="L242" s="42">
        <f>IF('Data Extraction &amp; Cleaning'!$H242=2,'Data Extraction &amp; Cleaning'!$J242,IF(ISBLANK('Data Extraction &amp; Cleaning'!$H242),'Data Extraction &amp; Cleaning'!$J242,""))</f>
        <v>809.95</v>
      </c>
    </row>
    <row r="243" spans="1:12" x14ac:dyDescent="0.2">
      <c r="A243" s="162">
        <v>45648</v>
      </c>
      <c r="B243" s="163" t="s">
        <v>439</v>
      </c>
      <c r="C243" s="164">
        <v>32.409999999999997</v>
      </c>
      <c r="D243" s="176">
        <v>82842.36</v>
      </c>
      <c r="E243" s="165"/>
      <c r="G243" s="43">
        <f>DATE(YEAR('Data Extraction &amp; Cleaning'!$A243)-1,MONTH('Data Extraction &amp; Cleaning'!$A243),DAY('Data Extraction &amp; Cleaning'!$A243))</f>
        <v>45282</v>
      </c>
      <c r="H243" s="42">
        <f>IF('Data Extraction &amp; Cleaning'!$J243&gt;0,2,1)</f>
        <v>2</v>
      </c>
      <c r="I243" s="42" t="str">
        <f>TRIM(CLEAN('Data Extraction &amp; Cleaning'!$B243&amp;'Data Extraction &amp; Cleaning'!$E243))</f>
        <v>RDC Deposit 42</v>
      </c>
      <c r="J243" s="42">
        <f>'Data Extraction &amp; Cleaning'!$C243</f>
        <v>32.409999999999997</v>
      </c>
      <c r="K243" s="42" t="str">
        <f>IF('Data Extraction &amp; Cleaning'!$H243=1,-'Data Extraction &amp; Cleaning'!$J243,"")</f>
        <v/>
      </c>
      <c r="L243" s="42">
        <f>IF('Data Extraction &amp; Cleaning'!$H243=2,'Data Extraction &amp; Cleaning'!$J243,IF(ISBLANK('Data Extraction &amp; Cleaning'!$H243),'Data Extraction &amp; Cleaning'!$J243,""))</f>
        <v>32.409999999999997</v>
      </c>
    </row>
    <row r="244" spans="1:12" x14ac:dyDescent="0.2">
      <c r="A244" s="166">
        <v>45648</v>
      </c>
      <c r="B244" s="167" t="s">
        <v>440</v>
      </c>
      <c r="C244" s="168">
        <v>566.59</v>
      </c>
      <c r="D244" s="167" t="s">
        <v>358</v>
      </c>
      <c r="E244" s="169" t="s">
        <v>371</v>
      </c>
      <c r="G244" s="43">
        <f>DATE(YEAR('Data Extraction &amp; Cleaning'!$A244)-1,MONTH('Data Extraction &amp; Cleaning'!$A244),DAY('Data Extraction &amp; Cleaning'!$A244))</f>
        <v>45282</v>
      </c>
      <c r="H244" s="42">
        <f>IF('Data Extraction &amp; Cleaning'!$J244&gt;0,2,1)</f>
        <v>2</v>
      </c>
      <c r="I244" s="42" t="str">
        <f>TRIM(CLEAN('Data Extraction &amp; Cleaning'!$B244&amp;'Data Extraction &amp; Cleaning'!$E244))</f>
        <v>VERIZON PAYMENTREC 275.77- 82INTERNET-INITIATED ENTRIES DIWALI LLC</v>
      </c>
      <c r="J244" s="42">
        <f>'Data Extraction &amp; Cleaning'!$C244</f>
        <v>566.59</v>
      </c>
      <c r="K244" s="42" t="str">
        <f>IF('Data Extraction &amp; Cleaning'!$H244=1,-'Data Extraction &amp; Cleaning'!$J244,"")</f>
        <v/>
      </c>
      <c r="L244" s="42">
        <f>IF('Data Extraction &amp; Cleaning'!$H244=2,'Data Extraction &amp; Cleaning'!$J244,IF(ISBLANK('Data Extraction &amp; Cleaning'!$H244),'Data Extraction &amp; Cleaning'!$J244,""))</f>
        <v>566.59</v>
      </c>
    </row>
    <row r="245" spans="1:12" x14ac:dyDescent="0.2">
      <c r="A245" s="162">
        <v>45652</v>
      </c>
      <c r="B245" s="163" t="s">
        <v>441</v>
      </c>
      <c r="C245" s="164">
        <v>-681.97</v>
      </c>
      <c r="D245" s="176">
        <v>74884.62</v>
      </c>
      <c r="E245" s="165"/>
      <c r="G245" s="43">
        <f>DATE(YEAR('Data Extraction &amp; Cleaning'!$A245)-1,MONTH('Data Extraction &amp; Cleaning'!$A245),DAY('Data Extraction &amp; Cleaning'!$A245))</f>
        <v>45286</v>
      </c>
      <c r="H245" s="42">
        <f>IF('Data Extraction &amp; Cleaning'!$J245&gt;0,2,1)</f>
        <v>1</v>
      </c>
      <c r="I245" s="42" t="str">
        <f>TRIM(CLEAN('Data Extraction &amp; Cleaning'!$B245&amp;'Data Extraction &amp; Cleaning'!$E245))</f>
        <v>Total of 5 Checks Presented 7</v>
      </c>
      <c r="J245" s="42">
        <f>'Data Extraction &amp; Cleaning'!$C245</f>
        <v>-681.97</v>
      </c>
      <c r="K245" s="42">
        <f>IF('Data Extraction &amp; Cleaning'!$H245=1,-'Data Extraction &amp; Cleaning'!$J245,"")</f>
        <v>681.97</v>
      </c>
      <c r="L245" s="42" t="str">
        <f>IF('Data Extraction &amp; Cleaning'!$H245=2,'Data Extraction &amp; Cleaning'!$J245,IF(ISBLANK('Data Extraction &amp; Cleaning'!$H245),'Data Extraction &amp; Cleaning'!$J245,""))</f>
        <v/>
      </c>
    </row>
    <row r="246" spans="1:12" x14ac:dyDescent="0.2">
      <c r="A246" s="166">
        <v>45655</v>
      </c>
      <c r="B246" s="167" t="s">
        <v>442</v>
      </c>
      <c r="C246" s="168">
        <v>155.62</v>
      </c>
      <c r="D246" s="167">
        <v>1594518073</v>
      </c>
      <c r="E246" s="169" t="s">
        <v>374</v>
      </c>
      <c r="G246" s="43">
        <f>DATE(YEAR('Data Extraction &amp; Cleaning'!$A246)-1,MONTH('Data Extraction &amp; Cleaning'!$A246),DAY('Data Extraction &amp; Cleaning'!$A246))</f>
        <v>45289</v>
      </c>
      <c r="H246" s="42">
        <f>IF('Data Extraction &amp; Cleaning'!$J246&gt;0,2,1)</f>
        <v>2</v>
      </c>
      <c r="I246" s="42" t="str">
        <f>TRIM(CLEAN('Data Extraction &amp; Cleaning'!$B246&amp;'Data Extraction &amp; Cleaning'!$E246))</f>
        <v>Web Pay Utica Mutual Ins 729.00- 74DIWALI I</v>
      </c>
      <c r="J246" s="42">
        <f>'Data Extraction &amp; Cleaning'!$C246</f>
        <v>155.62</v>
      </c>
      <c r="K246" s="42" t="str">
        <f>IF('Data Extraction &amp; Cleaning'!$H246=1,-'Data Extraction &amp; Cleaning'!$J246,"")</f>
        <v/>
      </c>
      <c r="L246" s="42">
        <f>IF('Data Extraction &amp; Cleaning'!$H246=2,'Data Extraction &amp; Cleaning'!$J246,IF(ISBLANK('Data Extraction &amp; Cleaning'!$H246),'Data Extraction &amp; Cleaning'!$J246,""))</f>
        <v>155.62</v>
      </c>
    </row>
    <row r="247" spans="1:12" x14ac:dyDescent="0.2">
      <c r="A247" s="162"/>
      <c r="B247" s="163"/>
      <c r="C247" s="164"/>
      <c r="D247" s="163"/>
      <c r="E247" s="165"/>
      <c r="G247" s="43"/>
    </row>
    <row r="248" spans="1:12" x14ac:dyDescent="0.2">
      <c r="A248" s="162">
        <v>45476</v>
      </c>
      <c r="B248" s="163" t="s">
        <v>203</v>
      </c>
      <c r="C248" s="164">
        <v>-18708.78</v>
      </c>
      <c r="D248" s="164">
        <v>55584.33</v>
      </c>
      <c r="E248" s="165" t="s">
        <v>328</v>
      </c>
      <c r="G248" s="43">
        <f>DATE(YEAR('Data Extraction &amp; Cleaning'!$A248)-1,MONTH('Data Extraction &amp; Cleaning'!$A248),DAY('Data Extraction &amp; Cleaning'!$A248))</f>
        <v>45110</v>
      </c>
      <c r="H248" s="42">
        <f>IF('Data Extraction &amp; Cleaning'!$J248&gt;0,2,1)</f>
        <v>1</v>
      </c>
      <c r="I248" s="42" t="str">
        <f>TRIM(CLEAN('Data Extraction &amp; Cleaning'!$B248&amp;'Data Extraction &amp; Cleaning'!$E248))</f>
        <v>Transfer to LoanAcct No. XXXXXX3533</v>
      </c>
      <c r="J248" s="42">
        <f>'Data Extraction &amp; Cleaning'!$C248</f>
        <v>-18708.78</v>
      </c>
      <c r="K248" s="42">
        <f>IF('Data Extraction &amp; Cleaning'!$H248=1,-'Data Extraction &amp; Cleaning'!$J248,"")</f>
        <v>18708.78</v>
      </c>
      <c r="L248" s="42" t="str">
        <f>IF('Data Extraction &amp; Cleaning'!$H248=2,'Data Extraction &amp; Cleaning'!$J248,IF(ISBLANK('Data Extraction &amp; Cleaning'!$H248),'Data Extraction &amp; Cleaning'!$J248,""))</f>
        <v/>
      </c>
    </row>
    <row r="249" spans="1:12" x14ac:dyDescent="0.2">
      <c r="A249" s="166">
        <v>45486</v>
      </c>
      <c r="B249" s="167" t="s">
        <v>221</v>
      </c>
      <c r="C249" s="168">
        <v>-250.75</v>
      </c>
      <c r="D249" s="168">
        <v>55333.58</v>
      </c>
      <c r="E249" s="169" t="s">
        <v>222</v>
      </c>
      <c r="G249" s="43">
        <f>DATE(YEAR('Data Extraction &amp; Cleaning'!$A249)-1,MONTH('Data Extraction &amp; Cleaning'!$A249),DAY('Data Extraction &amp; Cleaning'!$A249))</f>
        <v>45120</v>
      </c>
      <c r="H249" s="42">
        <f>IF('Data Extraction &amp; Cleaning'!$J249&gt;0,2,1)</f>
        <v>1</v>
      </c>
      <c r="I249" s="42" t="str">
        <f>TRIM(CLEAN('Data Extraction &amp; Cleaning'!$B249&amp;'Data Extraction &amp; Cleaning'!$E249))</f>
        <v>WATER BILL VEOLIA WATER NEW10006752433605 Diwali I</v>
      </c>
      <c r="J249" s="42">
        <f>'Data Extraction &amp; Cleaning'!$C249</f>
        <v>-250.75</v>
      </c>
      <c r="K249" s="42">
        <f>IF('Data Extraction &amp; Cleaning'!$H249=1,-'Data Extraction &amp; Cleaning'!$J249,"")</f>
        <v>250.75</v>
      </c>
      <c r="L249" s="42" t="str">
        <f>IF('Data Extraction &amp; Cleaning'!$H249=2,'Data Extraction &amp; Cleaning'!$J249,IF(ISBLANK('Data Extraction &amp; Cleaning'!$H249),'Data Extraction &amp; Cleaning'!$J249,""))</f>
        <v/>
      </c>
    </row>
    <row r="250" spans="1:12" x14ac:dyDescent="0.2">
      <c r="A250" s="162">
        <v>45490</v>
      </c>
      <c r="B250" s="163" t="s">
        <v>216</v>
      </c>
      <c r="C250" s="164">
        <v>14572.2</v>
      </c>
      <c r="D250" s="164">
        <v>69905.78</v>
      </c>
      <c r="E250" s="165"/>
      <c r="G250" s="43">
        <f>DATE(YEAR('Data Extraction &amp; Cleaning'!$A250)-1,MONTH('Data Extraction &amp; Cleaning'!$A250),DAY('Data Extraction &amp; Cleaning'!$A250))</f>
        <v>45124</v>
      </c>
      <c r="H250" s="42">
        <f>IF('Data Extraction &amp; Cleaning'!$J250&gt;0,2,1)</f>
        <v>2</v>
      </c>
      <c r="I250" s="42" t="str">
        <f>TRIM(CLEAN('Data Extraction &amp; Cleaning'!$B250&amp;'Data Extraction &amp; Cleaning'!$E250))</f>
        <v>RDC Deposit</v>
      </c>
      <c r="J250" s="42">
        <f>'Data Extraction &amp; Cleaning'!$C250</f>
        <v>14572.2</v>
      </c>
      <c r="K250" s="42" t="str">
        <f>IF('Data Extraction &amp; Cleaning'!$H250=1,-'Data Extraction &amp; Cleaning'!$J250,"")</f>
        <v/>
      </c>
      <c r="L250" s="42">
        <f>IF('Data Extraction &amp; Cleaning'!$H250=2,'Data Extraction &amp; Cleaning'!$J250,IF(ISBLANK('Data Extraction &amp; Cleaning'!$H250),'Data Extraction &amp; Cleaning'!$J250,""))</f>
        <v>14572.2</v>
      </c>
    </row>
    <row r="251" spans="1:12" x14ac:dyDescent="0.2">
      <c r="A251" s="166">
        <v>45490</v>
      </c>
      <c r="B251" s="167" t="s">
        <v>208</v>
      </c>
      <c r="C251" s="168">
        <v>-46.21</v>
      </c>
      <c r="D251" s="168">
        <v>69859.570000000007</v>
      </c>
      <c r="E251" s="169" t="s">
        <v>487</v>
      </c>
      <c r="G251" s="43">
        <f>DATE(YEAR('Data Extraction &amp; Cleaning'!$A251)-1,MONTH('Data Extraction &amp; Cleaning'!$A251),DAY('Data Extraction &amp; Cleaning'!$A251))</f>
        <v>45124</v>
      </c>
      <c r="H251" s="42">
        <f>IF('Data Extraction &amp; Cleaning'!$J251&gt;0,2,1)</f>
        <v>1</v>
      </c>
      <c r="I251" s="42" t="str">
        <f>TRIM(CLEAN('Data Extraction &amp; Cleaning'!$B251&amp;'Data Extraction &amp; Cleaning'!$E251))</f>
        <v>PUBLIC SERVICE PSEGACH TRACE#091000014012653</v>
      </c>
      <c r="J251" s="42">
        <f>'Data Extraction &amp; Cleaning'!$C251</f>
        <v>-46.21</v>
      </c>
      <c r="K251" s="42">
        <f>IF('Data Extraction &amp; Cleaning'!$H251=1,-'Data Extraction &amp; Cleaning'!$J251,"")</f>
        <v>46.21</v>
      </c>
      <c r="L251" s="42" t="str">
        <f>IF('Data Extraction &amp; Cleaning'!$H251=2,'Data Extraction &amp; Cleaning'!$J251,IF(ISBLANK('Data Extraction &amp; Cleaning'!$H251),'Data Extraction &amp; Cleaning'!$J251,""))</f>
        <v/>
      </c>
    </row>
    <row r="252" spans="1:12" x14ac:dyDescent="0.2">
      <c r="A252" s="162">
        <v>45497</v>
      </c>
      <c r="B252" s="163" t="s">
        <v>344</v>
      </c>
      <c r="C252" s="164">
        <v>-71.989999999999995</v>
      </c>
      <c r="D252" s="164">
        <v>69787.58</v>
      </c>
      <c r="E252" s="165" t="s">
        <v>488</v>
      </c>
      <c r="G252" s="43">
        <f>DATE(YEAR('Data Extraction &amp; Cleaning'!$A252)-1,MONTH('Data Extraction &amp; Cleaning'!$A252),DAY('Data Extraction &amp; Cleaning'!$A252))</f>
        <v>45131</v>
      </c>
      <c r="H252" s="42">
        <f>IF('Data Extraction &amp; Cleaning'!$J252&gt;0,2,1)</f>
        <v>1</v>
      </c>
      <c r="I252" s="42" t="str">
        <f>TRIM(CLEAN('Data Extraction &amp; Cleaning'!$B252&amp;'Data Extraction &amp; Cleaning'!$E252))</f>
        <v>VERIZON COMMUNICBill PayACH TRACE#711960040003668</v>
      </c>
      <c r="J252" s="42">
        <f>'Data Extraction &amp; Cleaning'!$C252</f>
        <v>-71.989999999999995</v>
      </c>
      <c r="K252" s="42">
        <f>IF('Data Extraction &amp; Cleaning'!$H252=1,-'Data Extraction &amp; Cleaning'!$J252,"")</f>
        <v>71.989999999999995</v>
      </c>
      <c r="L252" s="42" t="str">
        <f>IF('Data Extraction &amp; Cleaning'!$H252=2,'Data Extraction &amp; Cleaning'!$J252,IF(ISBLANK('Data Extraction &amp; Cleaning'!$H252),'Data Extraction &amp; Cleaning'!$J252,""))</f>
        <v/>
      </c>
    </row>
    <row r="253" spans="1:12" x14ac:dyDescent="0.2">
      <c r="A253" s="166">
        <v>45497</v>
      </c>
      <c r="B253" s="167" t="s">
        <v>207</v>
      </c>
      <c r="C253" s="168">
        <v>-351.86</v>
      </c>
      <c r="D253" s="168">
        <v>69435.72</v>
      </c>
      <c r="E253" s="169" t="s">
        <v>489</v>
      </c>
      <c r="G253" s="43">
        <f>DATE(YEAR('Data Extraction &amp; Cleaning'!$A253)-1,MONTH('Data Extraction &amp; Cleaning'!$A253),DAY('Data Extraction &amp; Cleaning'!$A253))</f>
        <v>45131</v>
      </c>
      <c r="H253" s="42">
        <f>IF('Data Extraction &amp; Cleaning'!$J253&gt;0,2,1)</f>
        <v>1</v>
      </c>
      <c r="I253" s="42" t="str">
        <f>TRIM(CLEAN('Data Extraction &amp; Cleaning'!$B253&amp;'Data Extraction &amp; Cleaning'!$E253))</f>
        <v>ACTION ELEVATOR Bill PayACH TRACE#711960040003659</v>
      </c>
      <c r="J253" s="42">
        <f>'Data Extraction &amp; Cleaning'!$C253</f>
        <v>-351.86</v>
      </c>
      <c r="K253" s="42">
        <f>IF('Data Extraction &amp; Cleaning'!$H253=1,-'Data Extraction &amp; Cleaning'!$J253,"")</f>
        <v>351.86</v>
      </c>
      <c r="L253" s="42" t="str">
        <f>IF('Data Extraction &amp; Cleaning'!$H253=2,'Data Extraction &amp; Cleaning'!$J253,IF(ISBLANK('Data Extraction &amp; Cleaning'!$H253),'Data Extraction &amp; Cleaning'!$J253,""))</f>
        <v/>
      </c>
    </row>
    <row r="254" spans="1:12" x14ac:dyDescent="0.2">
      <c r="A254" s="162">
        <v>45497</v>
      </c>
      <c r="B254" s="163" t="s">
        <v>344</v>
      </c>
      <c r="C254" s="164">
        <v>-635.32000000000005</v>
      </c>
      <c r="D254" s="164">
        <v>68800.399999999994</v>
      </c>
      <c r="E254" s="165" t="s">
        <v>490</v>
      </c>
      <c r="G254" s="43">
        <f>DATE(YEAR('Data Extraction &amp; Cleaning'!$A254)-1,MONTH('Data Extraction &amp; Cleaning'!$A254),DAY('Data Extraction &amp; Cleaning'!$A254))</f>
        <v>45131</v>
      </c>
      <c r="H254" s="42">
        <f>IF('Data Extraction &amp; Cleaning'!$J254&gt;0,2,1)</f>
        <v>1</v>
      </c>
      <c r="I254" s="42" t="str">
        <f>TRIM(CLEAN('Data Extraction &amp; Cleaning'!$B254&amp;'Data Extraction &amp; Cleaning'!$E254))</f>
        <v>VERIZON COMMUNICBill PayACH TRACE#711960040003667</v>
      </c>
      <c r="J254" s="42">
        <f>'Data Extraction &amp; Cleaning'!$C254</f>
        <v>-635.32000000000005</v>
      </c>
      <c r="K254" s="42">
        <f>IF('Data Extraction &amp; Cleaning'!$H254=1,-'Data Extraction &amp; Cleaning'!$J254,"")</f>
        <v>635.32000000000005</v>
      </c>
      <c r="L254" s="42" t="str">
        <f>IF('Data Extraction &amp; Cleaning'!$H254=2,'Data Extraction &amp; Cleaning'!$J254,IF(ISBLANK('Data Extraction &amp; Cleaning'!$H254),'Data Extraction &amp; Cleaning'!$J254,""))</f>
        <v/>
      </c>
    </row>
    <row r="255" spans="1:12" x14ac:dyDescent="0.2">
      <c r="A255" s="166">
        <v>45497</v>
      </c>
      <c r="B255" s="167" t="s">
        <v>204</v>
      </c>
      <c r="C255" s="168">
        <v>-1199.98</v>
      </c>
      <c r="D255" s="168">
        <v>67600.42</v>
      </c>
      <c r="E255" s="169" t="s">
        <v>491</v>
      </c>
      <c r="G255" s="43">
        <f>DATE(YEAR('Data Extraction &amp; Cleaning'!$A255)-1,MONTH('Data Extraction &amp; Cleaning'!$A255),DAY('Data Extraction &amp; Cleaning'!$A255))</f>
        <v>45131</v>
      </c>
      <c r="H255" s="42">
        <f>IF('Data Extraction &amp; Cleaning'!$J255&gt;0,2,1)</f>
        <v>1</v>
      </c>
      <c r="I255" s="42" t="str">
        <f>TRIM(CLEAN('Data Extraction &amp; Cleaning'!$B255&amp;'Data Extraction &amp; Cleaning'!$E255))</f>
        <v>ACTION CARTING EBill PayACH TRACE#711960040003642</v>
      </c>
      <c r="J255" s="42">
        <f>'Data Extraction &amp; Cleaning'!$C255</f>
        <v>-1199.98</v>
      </c>
      <c r="K255" s="42">
        <f>IF('Data Extraction &amp; Cleaning'!$H255=1,-'Data Extraction &amp; Cleaning'!$J255,"")</f>
        <v>1199.98</v>
      </c>
      <c r="L255" s="42" t="str">
        <f>IF('Data Extraction &amp; Cleaning'!$H255=2,'Data Extraction &amp; Cleaning'!$J255,IF(ISBLANK('Data Extraction &amp; Cleaning'!$H255),'Data Extraction &amp; Cleaning'!$J255,""))</f>
        <v/>
      </c>
    </row>
    <row r="256" spans="1:12" x14ac:dyDescent="0.2">
      <c r="A256" s="162">
        <v>45499</v>
      </c>
      <c r="B256" s="163" t="s">
        <v>217</v>
      </c>
      <c r="C256" s="164">
        <v>-2200</v>
      </c>
      <c r="D256" s="164">
        <v>65400.42</v>
      </c>
      <c r="E256" s="165"/>
      <c r="G256" s="43">
        <f>DATE(YEAR('Data Extraction &amp; Cleaning'!$A256)-1,MONTH('Data Extraction &amp; Cleaning'!$A256),DAY('Data Extraction &amp; Cleaning'!$A256))</f>
        <v>45133</v>
      </c>
      <c r="H256" s="42">
        <f>IF('Data Extraction &amp; Cleaning'!$J256&gt;0,2,1)</f>
        <v>1</v>
      </c>
      <c r="I256" s="42" t="str">
        <f>TRIM(CLEAN('Data Extraction &amp; Cleaning'!$B256&amp;'Data Extraction &amp; Cleaning'!$E256))</f>
        <v>Total of 1 Check Presented</v>
      </c>
      <c r="J256" s="42">
        <f>'Data Extraction &amp; Cleaning'!$C256</f>
        <v>-2200</v>
      </c>
      <c r="K256" s="42">
        <f>IF('Data Extraction &amp; Cleaning'!$H256=1,-'Data Extraction &amp; Cleaning'!$J256,"")</f>
        <v>2200</v>
      </c>
      <c r="L256" s="42" t="str">
        <f>IF('Data Extraction &amp; Cleaning'!$H256=2,'Data Extraction &amp; Cleaning'!$J256,IF(ISBLANK('Data Extraction &amp; Cleaning'!$H256),'Data Extraction &amp; Cleaning'!$J256,""))</f>
        <v/>
      </c>
    </row>
    <row r="257" spans="1:12" x14ac:dyDescent="0.2">
      <c r="A257" s="166">
        <v>45499</v>
      </c>
      <c r="B257" s="167" t="s">
        <v>208</v>
      </c>
      <c r="C257" s="168">
        <v>-2096.87</v>
      </c>
      <c r="D257" s="168">
        <v>63303.55</v>
      </c>
      <c r="E257" s="169" t="s">
        <v>492</v>
      </c>
      <c r="G257" s="43">
        <f>DATE(YEAR('Data Extraction &amp; Cleaning'!$A257)-1,MONTH('Data Extraction &amp; Cleaning'!$A257),DAY('Data Extraction &amp; Cleaning'!$A257))</f>
        <v>45133</v>
      </c>
      <c r="H257" s="42">
        <f>IF('Data Extraction &amp; Cleaning'!$J257&gt;0,2,1)</f>
        <v>1</v>
      </c>
      <c r="I257" s="42" t="str">
        <f>TRIM(CLEAN('Data Extraction &amp; Cleaning'!$B257&amp;'Data Extraction &amp; Cleaning'!$E257))</f>
        <v>PUBLIC SERVICE PSEGACH TRACE#091000012431325</v>
      </c>
      <c r="J257" s="42">
        <f>'Data Extraction &amp; Cleaning'!$C257</f>
        <v>-2096.87</v>
      </c>
      <c r="K257" s="42">
        <f>IF('Data Extraction &amp; Cleaning'!$H257=1,-'Data Extraction &amp; Cleaning'!$J257,"")</f>
        <v>2096.87</v>
      </c>
      <c r="L257" s="42" t="str">
        <f>IF('Data Extraction &amp; Cleaning'!$H257=2,'Data Extraction &amp; Cleaning'!$J257,IF(ISBLANK('Data Extraction &amp; Cleaning'!$H257),'Data Extraction &amp; Cleaning'!$J257,""))</f>
        <v/>
      </c>
    </row>
    <row r="258" spans="1:12" x14ac:dyDescent="0.2">
      <c r="A258" s="162">
        <v>45500</v>
      </c>
      <c r="B258" s="163" t="s">
        <v>206</v>
      </c>
      <c r="C258" s="164">
        <v>-610</v>
      </c>
      <c r="D258" s="164">
        <v>62693.55</v>
      </c>
      <c r="E258" s="165" t="s">
        <v>493</v>
      </c>
      <c r="G258" s="43">
        <f>DATE(YEAR('Data Extraction &amp; Cleaning'!$A258)-1,MONTH('Data Extraction &amp; Cleaning'!$A258),DAY('Data Extraction &amp; Cleaning'!$A258))</f>
        <v>45134</v>
      </c>
      <c r="H258" s="42">
        <f>IF('Data Extraction &amp; Cleaning'!$J258&gt;0,2,1)</f>
        <v>1</v>
      </c>
      <c r="I258" s="42" t="str">
        <f>TRIM(CLEAN('Data Extraction &amp; Cleaning'!$B258&amp;'Data Extraction &amp; Cleaning'!$E258))</f>
        <v>VEOLIA WATER Bill PayACH TRACE#711960040002765</v>
      </c>
      <c r="J258" s="42">
        <f>'Data Extraction &amp; Cleaning'!$C258</f>
        <v>-610</v>
      </c>
      <c r="K258" s="42">
        <f>IF('Data Extraction &amp; Cleaning'!$H258=1,-'Data Extraction &amp; Cleaning'!$J258,"")</f>
        <v>610</v>
      </c>
      <c r="L258" s="42" t="str">
        <f>IF('Data Extraction &amp; Cleaning'!$H258=2,'Data Extraction &amp; Cleaning'!$J258,IF(ISBLANK('Data Extraction &amp; Cleaning'!$H258),'Data Extraction &amp; Cleaning'!$J258,""))</f>
        <v/>
      </c>
    </row>
    <row r="259" spans="1:12" x14ac:dyDescent="0.2">
      <c r="A259" s="166">
        <v>45501</v>
      </c>
      <c r="B259" s="167" t="s">
        <v>214</v>
      </c>
      <c r="C259" s="168">
        <v>-7648.64</v>
      </c>
      <c r="D259" s="168">
        <v>55044.91</v>
      </c>
      <c r="E259" s="169"/>
      <c r="G259" s="43">
        <f>DATE(YEAR('Data Extraction &amp; Cleaning'!$A259)-1,MONTH('Data Extraction &amp; Cleaning'!$A259),DAY('Data Extraction &amp; Cleaning'!$A259))</f>
        <v>45135</v>
      </c>
      <c r="H259" s="42">
        <f>IF('Data Extraction &amp; Cleaning'!$J259&gt;0,2,1)</f>
        <v>1</v>
      </c>
      <c r="I259" s="42" t="str">
        <f>TRIM(CLEAN('Data Extraction &amp; Cleaning'!$B259&amp;'Data Extraction &amp; Cleaning'!$E259))</f>
        <v>Total of 2 Checks Presented</v>
      </c>
      <c r="J259" s="42">
        <f>'Data Extraction &amp; Cleaning'!$C259</f>
        <v>-7648.64</v>
      </c>
      <c r="K259" s="42">
        <f>IF('Data Extraction &amp; Cleaning'!$H259=1,-'Data Extraction &amp; Cleaning'!$J259,"")</f>
        <v>7648.64</v>
      </c>
      <c r="L259" s="42" t="str">
        <f>IF('Data Extraction &amp; Cleaning'!$H259=2,'Data Extraction &amp; Cleaning'!$J259,IF(ISBLANK('Data Extraction &amp; Cleaning'!$H259),'Data Extraction &amp; Cleaning'!$J259,""))</f>
        <v/>
      </c>
    </row>
    <row r="260" spans="1:12" x14ac:dyDescent="0.2">
      <c r="A260" s="162">
        <v>45504</v>
      </c>
      <c r="B260" s="163" t="s">
        <v>216</v>
      </c>
      <c r="C260" s="164">
        <v>5374.63</v>
      </c>
      <c r="D260" s="164">
        <v>60419.54</v>
      </c>
      <c r="E260" s="165"/>
      <c r="G260" s="43">
        <f>DATE(YEAR('Data Extraction &amp; Cleaning'!$A260)-1,MONTH('Data Extraction &amp; Cleaning'!$A260),DAY('Data Extraction &amp; Cleaning'!$A260))</f>
        <v>45138</v>
      </c>
      <c r="H260" s="42">
        <f>IF('Data Extraction &amp; Cleaning'!$J260&gt;0,2,1)</f>
        <v>2</v>
      </c>
      <c r="I260" s="42" t="str">
        <f>TRIM(CLEAN('Data Extraction &amp; Cleaning'!$B260&amp;'Data Extraction &amp; Cleaning'!$E260))</f>
        <v>RDC Deposit</v>
      </c>
      <c r="J260" s="42">
        <f>'Data Extraction &amp; Cleaning'!$C260</f>
        <v>5374.63</v>
      </c>
      <c r="K260" s="42" t="str">
        <f>IF('Data Extraction &amp; Cleaning'!$H260=1,-'Data Extraction &amp; Cleaning'!$J260,"")</f>
        <v/>
      </c>
      <c r="L260" s="42">
        <f>IF('Data Extraction &amp; Cleaning'!$H260=2,'Data Extraction &amp; Cleaning'!$J260,IF(ISBLANK('Data Extraction &amp; Cleaning'!$H260),'Data Extraction &amp; Cleaning'!$J260,""))</f>
        <v>5374.63</v>
      </c>
    </row>
    <row r="261" spans="1:12" x14ac:dyDescent="0.2">
      <c r="A261" s="170">
        <v>45504</v>
      </c>
      <c r="B261" s="171" t="s">
        <v>232</v>
      </c>
      <c r="C261" s="158">
        <v>-635</v>
      </c>
      <c r="D261" s="158">
        <v>59784.54</v>
      </c>
      <c r="E261" s="172" t="s">
        <v>494</v>
      </c>
      <c r="G261" s="43">
        <f>DATE(YEAR('Data Extraction &amp; Cleaning'!$A261)-1,MONTH('Data Extraction &amp; Cleaning'!$A261),DAY('Data Extraction &amp; Cleaning'!$A261))</f>
        <v>45138</v>
      </c>
      <c r="H261" s="42">
        <f>IF('Data Extraction &amp; Cleaning'!$J261&gt;0,2,1)</f>
        <v>1</v>
      </c>
      <c r="I261" s="42" t="str">
        <f>TRIM(CLEAN('Data Extraction &amp; Cleaning'!$B261&amp;'Data Extraction &amp; Cleaning'!$E261))</f>
        <v>Web Pay Utica Mutual Ins000001553857927 DIWALI I</v>
      </c>
      <c r="J261" s="42">
        <f>'Data Extraction &amp; Cleaning'!$C261</f>
        <v>-635</v>
      </c>
      <c r="K261" s="42">
        <f>IF('Data Extraction &amp; Cleaning'!$H261=1,-'Data Extraction &amp; Cleaning'!$J261,"")</f>
        <v>635</v>
      </c>
      <c r="L261" s="42" t="str">
        <f>IF('Data Extraction &amp; Cleaning'!$H261=2,'Data Extraction &amp; Cleaning'!$J261,IF(ISBLANK('Data Extraction &amp; Cleaning'!$H261),'Data Extraction &amp; Cleaning'!$J261,""))</f>
        <v/>
      </c>
    </row>
  </sheetData>
  <pageMargins left="0.7" right="0.7" top="0.75" bottom="0.75" header="0.3" footer="0.3"/>
  <ignoredErrors>
    <ignoredError sqref="G7:G26 K30:L30 G6 I6:J6 I7:J26 L6" calculatedColumn="1"/>
  </ignoredError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607D8B-9968-465C-9F18-45E72BE2BF1E}">
  <dimension ref="C2:V267"/>
  <sheetViews>
    <sheetView topLeftCell="C1" zoomScale="130" zoomScaleNormal="130" workbookViewId="0">
      <selection activeCell="C3" sqref="C3:N237"/>
    </sheetView>
  </sheetViews>
  <sheetFormatPr defaultRowHeight="10.199999999999999" x14ac:dyDescent="0.2"/>
  <cols>
    <col min="1" max="2" width="2.5703125" style="42" customWidth="1"/>
    <col min="3" max="3" width="9.28515625" style="42" customWidth="1"/>
    <col min="4" max="4" width="12.85546875" style="42" customWidth="1"/>
    <col min="5" max="6" width="10.140625" style="42" customWidth="1"/>
    <col min="7" max="7" width="10.7109375" style="42" customWidth="1"/>
    <col min="8" max="8" width="12.85546875" style="42" bestFit="1" customWidth="1"/>
    <col min="9" max="9" width="12.5703125" style="42" customWidth="1"/>
    <col min="10" max="10" width="11.28515625" style="42" bestFit="1" customWidth="1"/>
    <col min="11" max="11" width="19" style="42" customWidth="1"/>
    <col min="12" max="12" width="16.140625" style="42" bestFit="1" customWidth="1"/>
    <col min="13" max="13" width="11.85546875" style="42" bestFit="1" customWidth="1"/>
    <col min="14" max="14" width="11.7109375" style="42" customWidth="1"/>
    <col min="15" max="15" width="10" style="42" bestFit="1" customWidth="1"/>
    <col min="16" max="16" width="19" style="42" customWidth="1"/>
    <col min="17" max="17" width="9.42578125" style="42" customWidth="1"/>
    <col min="18" max="18" width="10.7109375" style="42" customWidth="1"/>
    <col min="19" max="19" width="14.85546875" style="42" bestFit="1" customWidth="1"/>
    <col min="20" max="20" width="10.7109375" style="42" customWidth="1"/>
    <col min="21" max="21" width="9.140625" style="42"/>
    <col min="22" max="22" width="10.140625" style="42" bestFit="1" customWidth="1"/>
    <col min="23" max="16384" width="9.140625" style="42"/>
  </cols>
  <sheetData>
    <row r="2" spans="3:22" x14ac:dyDescent="0.2">
      <c r="C2" s="42" t="s">
        <v>14</v>
      </c>
      <c r="D2" s="42" t="s">
        <v>15</v>
      </c>
      <c r="E2" s="68" t="s">
        <v>173</v>
      </c>
      <c r="F2" s="68" t="s">
        <v>49</v>
      </c>
      <c r="G2" s="68" t="s">
        <v>48</v>
      </c>
      <c r="H2" s="68" t="s">
        <v>174</v>
      </c>
      <c r="I2" s="42" t="s">
        <v>46</v>
      </c>
      <c r="J2" s="42" t="s">
        <v>47</v>
      </c>
      <c r="K2" s="41" t="s">
        <v>171</v>
      </c>
      <c r="L2" s="41" t="s">
        <v>172</v>
      </c>
      <c r="M2" s="41" t="s">
        <v>50</v>
      </c>
      <c r="N2" s="41" t="s">
        <v>199</v>
      </c>
      <c r="P2" s="41" t="s">
        <v>176</v>
      </c>
      <c r="R2" s="41" t="s">
        <v>172</v>
      </c>
      <c r="S2" s="234" t="s">
        <v>171</v>
      </c>
      <c r="T2" s="234" t="s">
        <v>46</v>
      </c>
      <c r="U2" s="234" t="s">
        <v>47</v>
      </c>
      <c r="V2" s="234" t="s">
        <v>549</v>
      </c>
    </row>
    <row r="3" spans="3:22" ht="13.2" x14ac:dyDescent="0.25">
      <c r="C3" s="43">
        <v>44929</v>
      </c>
      <c r="D3" s="42" t="s">
        <v>214</v>
      </c>
      <c r="I3" s="178">
        <v>8755.2099999999991</v>
      </c>
      <c r="J3" s="179" t="s">
        <v>201</v>
      </c>
      <c r="K3" s="179" t="s">
        <v>159</v>
      </c>
      <c r="L3" s="180" t="str">
        <f>IF(NOT(ISBLANK(TransactionsTable[[#This Row],[Date]])),TEXT(TransactionsTable[[#This Row],[Date]],"mmmm-yy"),"")</f>
        <v>January-23</v>
      </c>
      <c r="M3" s="181" t="s">
        <v>193</v>
      </c>
      <c r="N3" s="180">
        <f>MONTH(TransactionsTable[[#This Row],[Date]])</f>
        <v>1</v>
      </c>
      <c r="O3"/>
      <c r="P3" s="182" t="str" cm="1">
        <f t="array" ref="P3:P14">_xlfn.UNIQUE(TransactionsTable[Month])</f>
        <v>January-23</v>
      </c>
      <c r="Q3" s="182" cm="1">
        <f t="array" ref="Q3:Q14">_xlfn.UNIQUE(TransactionsTable[Month2])</f>
        <v>1</v>
      </c>
      <c r="R3" s="182" t="str" cm="1">
        <f t="array" ref="R3:R14">_xlfn.UNIQUE(TransactionsTable[Month])</f>
        <v>January-23</v>
      </c>
      <c r="S3" s="235" t="str" cm="1">
        <f t="array" ref="S3:S6">_xlfn.UNIQUE(TransactionsTable[Transaction type])</f>
        <v>Check</v>
      </c>
      <c r="T3" s="235">
        <f>SUMIFS(TransactionsTable[Debit],TransactionsTable[Transaction type],S3)</f>
        <v>189143.80000000002</v>
      </c>
      <c r="U3" s="235">
        <f>SUMIFS(TransactionsTable[Credit],TransactionsTable[Transaction type],S3)</f>
        <v>0</v>
      </c>
      <c r="V3" s="236">
        <f>U3-T3</f>
        <v>-189143.80000000002</v>
      </c>
    </row>
    <row r="4" spans="3:22" ht="13.2" x14ac:dyDescent="0.25">
      <c r="C4" s="43">
        <v>44929</v>
      </c>
      <c r="D4" s="42" t="s">
        <v>234</v>
      </c>
      <c r="I4" s="178">
        <v>18708.78</v>
      </c>
      <c r="J4" s="92" t="s">
        <v>201</v>
      </c>
      <c r="K4" s="179" t="s">
        <v>160</v>
      </c>
      <c r="L4" s="180" t="str">
        <f>IF(NOT(ISBLANK(TransactionsTable[[#This Row],[Date]])),TEXT(TransactionsTable[[#This Row],[Date]],"mmmm-yy"),"")</f>
        <v>January-23</v>
      </c>
      <c r="M4" s="181" t="s">
        <v>193</v>
      </c>
      <c r="N4" s="180">
        <f>MONTH(TransactionsTable[[#This Row],[Date]])</f>
        <v>1</v>
      </c>
      <c r="O4"/>
      <c r="P4" s="42" t="str">
        <v>February-23</v>
      </c>
      <c r="Q4" s="42">
        <v>2</v>
      </c>
      <c r="R4" s="42" t="str">
        <v>February-23</v>
      </c>
      <c r="S4" s="237" t="str">
        <v>Transfer</v>
      </c>
      <c r="T4" s="235">
        <f>SUMIFS(TransactionsTable[Debit],TransactionsTable[Transaction type],S4)</f>
        <v>224162.97999999998</v>
      </c>
      <c r="U4" s="235">
        <f>SUMIFS(TransactionsTable[Credit],TransactionsTable[Transaction type],S4)</f>
        <v>0</v>
      </c>
      <c r="V4" s="236">
        <f t="shared" ref="V4:V6" si="0">U4-T4</f>
        <v>-224162.97999999998</v>
      </c>
    </row>
    <row r="5" spans="3:22" ht="13.2" x14ac:dyDescent="0.25">
      <c r="C5" s="43">
        <v>44932</v>
      </c>
      <c r="D5" s="42" t="s">
        <v>216</v>
      </c>
      <c r="I5" s="183" t="s">
        <v>201</v>
      </c>
      <c r="J5" s="42">
        <v>49000</v>
      </c>
      <c r="K5" s="179" t="s">
        <v>162</v>
      </c>
      <c r="L5" s="180" t="str">
        <f>IF(NOT(ISBLANK(TransactionsTable[[#This Row],[Date]])),TEXT(TransactionsTable[[#This Row],[Date]],"mmmm-yy"),"")</f>
        <v>January-23</v>
      </c>
      <c r="M5" s="181" t="s">
        <v>193</v>
      </c>
      <c r="N5" s="180">
        <f>MONTH(TransactionsTable[[#This Row],[Date]])</f>
        <v>1</v>
      </c>
      <c r="P5" s="42" t="str">
        <v>March-23</v>
      </c>
      <c r="Q5" s="42">
        <v>3</v>
      </c>
      <c r="R5" s="42" t="str">
        <v>March-23</v>
      </c>
      <c r="S5" s="237" t="str">
        <v>RDC</v>
      </c>
      <c r="T5" s="235">
        <f>SUMIFS(TransactionsTable[Debit],TransactionsTable[Transaction type],S5)</f>
        <v>0</v>
      </c>
      <c r="U5" s="235">
        <f>SUMIFS(TransactionsTable[Credit],TransactionsTable[Transaction type],S5)</f>
        <v>424198.07999999996</v>
      </c>
      <c r="V5" s="236">
        <f t="shared" si="0"/>
        <v>424198.07999999996</v>
      </c>
    </row>
    <row r="6" spans="3:22" ht="13.2" x14ac:dyDescent="0.25">
      <c r="C6" s="43">
        <v>44932</v>
      </c>
      <c r="D6" s="42" t="s">
        <v>217</v>
      </c>
      <c r="I6" s="178">
        <v>10257.32</v>
      </c>
      <c r="J6" s="92" t="s">
        <v>201</v>
      </c>
      <c r="K6" s="179" t="s">
        <v>159</v>
      </c>
      <c r="L6" s="180" t="str">
        <f>IF(NOT(ISBLANK(TransactionsTable[[#This Row],[Date]])),TEXT(TransactionsTable[[#This Row],[Date]],"mmmm-yy"),"")</f>
        <v>January-23</v>
      </c>
      <c r="M6" s="181" t="s">
        <v>193</v>
      </c>
      <c r="N6" s="180">
        <f>MONTH(TransactionsTable[[#This Row],[Date]])</f>
        <v>1</v>
      </c>
      <c r="P6" s="42" t="str">
        <v>April-23</v>
      </c>
      <c r="Q6" s="42">
        <v>4</v>
      </c>
      <c r="R6" s="42" t="str">
        <v>April-23</v>
      </c>
      <c r="S6" s="237" t="str">
        <v>Misc</v>
      </c>
      <c r="T6" s="235">
        <f>SUMIFS(TransactionsTable[Debit],TransactionsTable[Transaction type],S6)</f>
        <v>71014.279999999984</v>
      </c>
      <c r="U6" s="235">
        <f>SUMIFS(TransactionsTable[Credit],TransactionsTable[Transaction type],S6)</f>
        <v>93856.799999999988</v>
      </c>
      <c r="V6" s="236">
        <f t="shared" si="0"/>
        <v>22842.520000000004</v>
      </c>
    </row>
    <row r="7" spans="3:22" ht="13.2" x14ac:dyDescent="0.25">
      <c r="C7" s="43">
        <v>44932</v>
      </c>
      <c r="D7" s="42" t="s">
        <v>235</v>
      </c>
      <c r="I7" s="178">
        <v>1763.18</v>
      </c>
      <c r="J7" s="92" t="s">
        <v>201</v>
      </c>
      <c r="K7" s="179" t="s">
        <v>161</v>
      </c>
      <c r="L7" s="180" t="str">
        <f>IF(NOT(ISBLANK(TransactionsTable[[#This Row],[Date]])),TEXT(TransactionsTable[[#This Row],[Date]],"mmmm-yy"),"")</f>
        <v>January-23</v>
      </c>
      <c r="M7" s="181" t="s">
        <v>193</v>
      </c>
      <c r="N7" s="180">
        <f>MONTH(TransactionsTable[[#This Row],[Date]])</f>
        <v>1</v>
      </c>
      <c r="P7" s="42" t="str">
        <v>May-23</v>
      </c>
      <c r="Q7" s="42">
        <v>5</v>
      </c>
      <c r="R7" s="42" t="str">
        <v>May-23</v>
      </c>
    </row>
    <row r="8" spans="3:22" ht="13.2" x14ac:dyDescent="0.25">
      <c r="C8" s="43">
        <v>44937</v>
      </c>
      <c r="D8" s="42" t="s">
        <v>216</v>
      </c>
      <c r="I8" s="178" t="s">
        <v>201</v>
      </c>
      <c r="J8" s="92">
        <v>6229.91</v>
      </c>
      <c r="K8" s="179" t="s">
        <v>162</v>
      </c>
      <c r="L8" s="180" t="str">
        <f>IF(NOT(ISBLANK(TransactionsTable[[#This Row],[Date]])),TEXT(TransactionsTable[[#This Row],[Date]],"mmmm-yy"),"")</f>
        <v>January-23</v>
      </c>
      <c r="M8" s="181" t="s">
        <v>193</v>
      </c>
      <c r="N8" s="180">
        <f>MONTH(TransactionsTable[[#This Row],[Date]])</f>
        <v>1</v>
      </c>
      <c r="P8" s="42" t="str">
        <v>June-23</v>
      </c>
      <c r="Q8" s="42">
        <v>6</v>
      </c>
      <c r="R8" s="42" t="str">
        <v>June-23</v>
      </c>
    </row>
    <row r="9" spans="3:22" ht="13.2" x14ac:dyDescent="0.25">
      <c r="C9" s="43">
        <v>44943</v>
      </c>
      <c r="D9" s="42" t="s">
        <v>236</v>
      </c>
      <c r="I9" s="183">
        <v>300</v>
      </c>
      <c r="J9" s="42" t="s">
        <v>201</v>
      </c>
      <c r="K9" s="179" t="s">
        <v>161</v>
      </c>
      <c r="L9" s="180" t="str">
        <f>IF(NOT(ISBLANK(TransactionsTable[[#This Row],[Date]])),TEXT(TransactionsTable[[#This Row],[Date]],"mmmm-yy"),"")</f>
        <v>January-23</v>
      </c>
      <c r="M9" s="181" t="s">
        <v>193</v>
      </c>
      <c r="N9" s="180">
        <f>MONTH(TransactionsTable[[#This Row],[Date]])</f>
        <v>1</v>
      </c>
      <c r="P9" s="42" t="str">
        <v>July-23</v>
      </c>
      <c r="Q9" s="42">
        <v>7</v>
      </c>
      <c r="R9" s="42" t="str">
        <v>July-23</v>
      </c>
    </row>
    <row r="10" spans="3:22" ht="13.2" x14ac:dyDescent="0.25">
      <c r="C10" s="43">
        <v>44943</v>
      </c>
      <c r="D10" s="42" t="s">
        <v>237</v>
      </c>
      <c r="I10" s="178">
        <v>303.11</v>
      </c>
      <c r="J10" s="92" t="s">
        <v>201</v>
      </c>
      <c r="K10" s="179" t="s">
        <v>161</v>
      </c>
      <c r="L10" s="180" t="str">
        <f>IF(NOT(ISBLANK(TransactionsTable[[#This Row],[Date]])),TEXT(TransactionsTable[[#This Row],[Date]],"mmmm-yy"),"")</f>
        <v>January-23</v>
      </c>
      <c r="M10" s="181" t="s">
        <v>193</v>
      </c>
      <c r="N10" s="180">
        <f>MONTH(TransactionsTable[[#This Row],[Date]])</f>
        <v>1</v>
      </c>
      <c r="P10" s="42" t="str">
        <v>August-23</v>
      </c>
      <c r="Q10" s="42">
        <v>8</v>
      </c>
      <c r="R10" s="42" t="str">
        <v>August-23</v>
      </c>
    </row>
    <row r="11" spans="3:22" ht="13.2" x14ac:dyDescent="0.25">
      <c r="C11" s="43">
        <v>44943</v>
      </c>
      <c r="D11" s="42" t="s">
        <v>238</v>
      </c>
      <c r="I11" s="178">
        <v>423.63</v>
      </c>
      <c r="J11" s="92" t="s">
        <v>201</v>
      </c>
      <c r="K11" s="179" t="s">
        <v>161</v>
      </c>
      <c r="L11" s="180" t="str">
        <f>IF(NOT(ISBLANK(TransactionsTable[[#This Row],[Date]])),TEXT(TransactionsTable[[#This Row],[Date]],"mmmm-yy"),"")</f>
        <v>January-23</v>
      </c>
      <c r="M11" s="181" t="s">
        <v>193</v>
      </c>
      <c r="N11" s="180">
        <f>MONTH(TransactionsTable[[#This Row],[Date]])</f>
        <v>1</v>
      </c>
      <c r="P11" s="42" t="str">
        <v>September-23</v>
      </c>
      <c r="Q11" s="42">
        <v>9</v>
      </c>
      <c r="R11" s="42" t="str">
        <v>September-23</v>
      </c>
    </row>
    <row r="12" spans="3:22" ht="13.2" x14ac:dyDescent="0.25">
      <c r="C12" s="43">
        <v>44943</v>
      </c>
      <c r="D12" s="42" t="s">
        <v>239</v>
      </c>
      <c r="I12" s="178">
        <v>583.77</v>
      </c>
      <c r="J12" s="92" t="s">
        <v>201</v>
      </c>
      <c r="K12" s="179" t="s">
        <v>161</v>
      </c>
      <c r="L12" s="180" t="str">
        <f>IF(NOT(ISBLANK(TransactionsTable[[#This Row],[Date]])),TEXT(TransactionsTable[[#This Row],[Date]],"mmmm-yy"),"")</f>
        <v>January-23</v>
      </c>
      <c r="M12" s="181" t="s">
        <v>193</v>
      </c>
      <c r="N12" s="180">
        <f>MONTH(TransactionsTable[[#This Row],[Date]])</f>
        <v>1</v>
      </c>
      <c r="P12" s="42" t="str">
        <v>October-23</v>
      </c>
      <c r="Q12" s="42">
        <v>10</v>
      </c>
      <c r="R12" s="42" t="str">
        <v>October-23</v>
      </c>
    </row>
    <row r="13" spans="3:22" ht="13.2" x14ac:dyDescent="0.25">
      <c r="C13" s="43">
        <v>44943</v>
      </c>
      <c r="D13" s="42" t="s">
        <v>240</v>
      </c>
      <c r="I13" s="178">
        <v>600</v>
      </c>
      <c r="J13" s="92" t="s">
        <v>201</v>
      </c>
      <c r="K13" s="179" t="s">
        <v>161</v>
      </c>
      <c r="L13" s="180" t="str">
        <f>IF(NOT(ISBLANK(TransactionsTable[[#This Row],[Date]])),TEXT(TransactionsTable[[#This Row],[Date]],"mmmm-yy"),"")</f>
        <v>January-23</v>
      </c>
      <c r="M13" s="181" t="s">
        <v>193</v>
      </c>
      <c r="N13" s="180">
        <f>MONTH(TransactionsTable[[#This Row],[Date]])</f>
        <v>1</v>
      </c>
      <c r="P13" s="42" t="str">
        <v>November-23</v>
      </c>
      <c r="Q13" s="42">
        <v>11</v>
      </c>
      <c r="R13" s="42" t="str">
        <v>November-23</v>
      </c>
    </row>
    <row r="14" spans="3:22" ht="13.2" x14ac:dyDescent="0.25">
      <c r="C14" s="43">
        <v>44944</v>
      </c>
      <c r="D14" s="42" t="s">
        <v>208</v>
      </c>
      <c r="I14" s="178">
        <v>18.329999999999998</v>
      </c>
      <c r="J14" s="92" t="s">
        <v>201</v>
      </c>
      <c r="K14" s="179" t="s">
        <v>161</v>
      </c>
      <c r="L14" s="180" t="str">
        <f>IF(NOT(ISBLANK(TransactionsTable[[#This Row],[Date]])),TEXT(TransactionsTable[[#This Row],[Date]],"mmmm-yy"),"")</f>
        <v>January-23</v>
      </c>
      <c r="M14" s="181" t="s">
        <v>193</v>
      </c>
      <c r="N14" s="180">
        <f>MONTH(TransactionsTable[[#This Row],[Date]])</f>
        <v>1</v>
      </c>
      <c r="P14" s="42" t="str">
        <v>December-23</v>
      </c>
      <c r="Q14" s="42">
        <v>12</v>
      </c>
      <c r="R14" s="42" t="str">
        <v>December-23</v>
      </c>
    </row>
    <row r="15" spans="3:22" ht="13.2" x14ac:dyDescent="0.25">
      <c r="C15" s="43">
        <v>44944</v>
      </c>
      <c r="D15" s="42" t="s">
        <v>241</v>
      </c>
      <c r="I15" s="178">
        <v>66.05</v>
      </c>
      <c r="J15" s="92" t="s">
        <v>201</v>
      </c>
      <c r="K15" s="179" t="s">
        <v>161</v>
      </c>
      <c r="L15" s="180" t="str">
        <f>IF(NOT(ISBLANK(TransactionsTable[[#This Row],[Date]])),TEXT(TransactionsTable[[#This Row],[Date]],"mmmm-yy"),"")</f>
        <v>January-23</v>
      </c>
      <c r="M15" s="181" t="s">
        <v>193</v>
      </c>
      <c r="N15" s="180">
        <f>MONTH(TransactionsTable[[#This Row],[Date]])</f>
        <v>1</v>
      </c>
    </row>
    <row r="16" spans="3:22" ht="13.2" x14ac:dyDescent="0.25">
      <c r="C16" s="43">
        <v>44946</v>
      </c>
      <c r="D16" s="42" t="s">
        <v>216</v>
      </c>
      <c r="I16" s="178" t="s">
        <v>201</v>
      </c>
      <c r="J16" s="92">
        <v>3694.4</v>
      </c>
      <c r="K16" s="179" t="s">
        <v>162</v>
      </c>
      <c r="L16" s="180" t="str">
        <f>IF(NOT(ISBLANK(TransactionsTable[[#This Row],[Date]])),TEXT(TransactionsTable[[#This Row],[Date]],"mmmm-yy"),"")</f>
        <v>January-23</v>
      </c>
      <c r="M16" s="181" t="s">
        <v>193</v>
      </c>
      <c r="N16" s="180">
        <f>MONTH(TransactionsTable[[#This Row],[Date]])</f>
        <v>1</v>
      </c>
    </row>
    <row r="17" spans="3:16" ht="13.2" x14ac:dyDescent="0.25">
      <c r="C17" s="43">
        <v>44949</v>
      </c>
      <c r="D17" s="42" t="s">
        <v>242</v>
      </c>
      <c r="I17" s="178">
        <v>420.92</v>
      </c>
      <c r="J17" s="92" t="s">
        <v>201</v>
      </c>
      <c r="K17" s="179" t="s">
        <v>161</v>
      </c>
      <c r="L17" s="180" t="str">
        <f>IF(NOT(ISBLANK(TransactionsTable[[#This Row],[Date]])),TEXT(TransactionsTable[[#This Row],[Date]],"mmmm-yy"),"")</f>
        <v>January-23</v>
      </c>
      <c r="M17" s="181" t="s">
        <v>193</v>
      </c>
      <c r="N17" s="180">
        <f>MONTH(TransactionsTable[[#This Row],[Date]])</f>
        <v>1</v>
      </c>
    </row>
    <row r="18" spans="3:16" ht="13.2" x14ac:dyDescent="0.25">
      <c r="C18" s="43">
        <v>44949</v>
      </c>
      <c r="D18" s="42" t="s">
        <v>243</v>
      </c>
      <c r="I18" s="178">
        <v>3584.72</v>
      </c>
      <c r="J18" s="92" t="s">
        <v>201</v>
      </c>
      <c r="K18" s="179" t="s">
        <v>161</v>
      </c>
      <c r="L18" s="180" t="str">
        <f>IF(NOT(ISBLANK(TransactionsTable[[#This Row],[Date]])),TEXT(TransactionsTable[[#This Row],[Date]],"mmmm-yy"),"")</f>
        <v>January-23</v>
      </c>
      <c r="M18" s="181" t="s">
        <v>193</v>
      </c>
      <c r="N18" s="180">
        <f>MONTH(TransactionsTable[[#This Row],[Date]])</f>
        <v>1</v>
      </c>
      <c r="P18"/>
    </row>
    <row r="19" spans="3:16" ht="13.2" x14ac:dyDescent="0.25">
      <c r="C19" s="43">
        <v>44950</v>
      </c>
      <c r="D19" s="42" t="s">
        <v>244</v>
      </c>
      <c r="I19" s="183" t="s">
        <v>201</v>
      </c>
      <c r="J19" s="42">
        <v>7354.7</v>
      </c>
      <c r="K19" s="179" t="s">
        <v>161</v>
      </c>
      <c r="L19" s="180" t="str">
        <f>IF(NOT(ISBLANK(TransactionsTable[[#This Row],[Date]])),TEXT(TransactionsTable[[#This Row],[Date]],"mmmm-yy"),"")</f>
        <v>January-23</v>
      </c>
      <c r="M19" s="181" t="s">
        <v>193</v>
      </c>
      <c r="N19" s="180">
        <f>MONTH(TransactionsTable[[#This Row],[Date]])</f>
        <v>1</v>
      </c>
    </row>
    <row r="20" spans="3:16" ht="13.2" x14ac:dyDescent="0.25">
      <c r="C20" s="43">
        <v>44953</v>
      </c>
      <c r="D20" s="42" t="s">
        <v>245</v>
      </c>
      <c r="I20" s="178">
        <v>46.43</v>
      </c>
      <c r="J20" s="92" t="s">
        <v>201</v>
      </c>
      <c r="K20" s="179" t="s">
        <v>161</v>
      </c>
      <c r="L20" s="180" t="str">
        <f>IF(NOT(ISBLANK(TransactionsTable[[#This Row],[Date]])),TEXT(TransactionsTable[[#This Row],[Date]],"mmmm-yy"),"")</f>
        <v>January-23</v>
      </c>
      <c r="M20" s="181" t="s">
        <v>193</v>
      </c>
      <c r="N20" s="180">
        <f>MONTH(TransactionsTable[[#This Row],[Date]])</f>
        <v>1</v>
      </c>
    </row>
    <row r="21" spans="3:16" ht="13.2" x14ac:dyDescent="0.25">
      <c r="C21" s="43">
        <v>44953</v>
      </c>
      <c r="D21" s="42" t="s">
        <v>246</v>
      </c>
      <c r="I21" s="178">
        <v>81.39</v>
      </c>
      <c r="J21" s="92" t="s">
        <v>201</v>
      </c>
      <c r="K21" s="179" t="s">
        <v>161</v>
      </c>
      <c r="L21" s="180" t="str">
        <f>IF(NOT(ISBLANK(TransactionsTable[[#This Row],[Date]])),TEXT(TransactionsTable[[#This Row],[Date]],"mmmm-yy"),"")</f>
        <v>January-23</v>
      </c>
      <c r="M21" s="181" t="s">
        <v>193</v>
      </c>
      <c r="N21" s="180">
        <f>MONTH(TransactionsTable[[#This Row],[Date]])</f>
        <v>1</v>
      </c>
    </row>
    <row r="22" spans="3:16" ht="13.2" x14ac:dyDescent="0.25">
      <c r="C22" s="43">
        <v>44956</v>
      </c>
      <c r="D22" s="42" t="s">
        <v>217</v>
      </c>
      <c r="I22" s="178">
        <v>1100</v>
      </c>
      <c r="J22" s="92" t="s">
        <v>201</v>
      </c>
      <c r="K22" s="179" t="s">
        <v>159</v>
      </c>
      <c r="L22" s="180" t="str">
        <f>IF(NOT(ISBLANK(TransactionsTable[[#This Row],[Date]])),TEXT(TransactionsTable[[#This Row],[Date]],"mmmm-yy"),"")</f>
        <v>January-23</v>
      </c>
      <c r="M22" s="181" t="s">
        <v>193</v>
      </c>
      <c r="N22" s="180">
        <f>MONTH(TransactionsTable[[#This Row],[Date]])</f>
        <v>1</v>
      </c>
    </row>
    <row r="23" spans="3:16" ht="13.2" x14ac:dyDescent="0.25">
      <c r="C23" s="43">
        <v>44957</v>
      </c>
      <c r="D23" s="42" t="s">
        <v>247</v>
      </c>
      <c r="I23" s="178">
        <v>646</v>
      </c>
      <c r="J23" s="92" t="s">
        <v>201</v>
      </c>
      <c r="K23" s="179" t="s">
        <v>161</v>
      </c>
      <c r="L23" s="180" t="str">
        <f>IF(NOT(ISBLANK(TransactionsTable[[#This Row],[Date]])),TEXT(TransactionsTable[[#This Row],[Date]],"mmmm-yy"),"")</f>
        <v>January-23</v>
      </c>
      <c r="M23" s="181" t="s">
        <v>193</v>
      </c>
      <c r="N23" s="180">
        <f>MONTH(TransactionsTable[[#This Row],[Date]])</f>
        <v>1</v>
      </c>
    </row>
    <row r="24" spans="3:16" ht="13.2" x14ac:dyDescent="0.25">
      <c r="C24" s="43">
        <v>44958</v>
      </c>
      <c r="D24" s="42" t="s">
        <v>234</v>
      </c>
      <c r="I24" s="178">
        <v>18708.78</v>
      </c>
      <c r="J24" s="92" t="s">
        <v>201</v>
      </c>
      <c r="K24" s="179" t="s">
        <v>160</v>
      </c>
      <c r="L24" s="180" t="str">
        <f>IF(NOT(ISBLANK(TransactionsTable[[#This Row],[Date]])),TEXT(TransactionsTable[[#This Row],[Date]],"mmmm-yy"),"")</f>
        <v>February-23</v>
      </c>
      <c r="M24" s="181" t="s">
        <v>193</v>
      </c>
      <c r="N24" s="180">
        <f>MONTH(TransactionsTable[[#This Row],[Date]])</f>
        <v>2</v>
      </c>
    </row>
    <row r="25" spans="3:16" ht="13.2" x14ac:dyDescent="0.25">
      <c r="C25" s="43">
        <v>44960</v>
      </c>
      <c r="D25" s="42" t="s">
        <v>214</v>
      </c>
      <c r="I25" s="178">
        <v>2750</v>
      </c>
      <c r="J25" s="92" t="s">
        <v>201</v>
      </c>
      <c r="K25" s="179" t="s">
        <v>159</v>
      </c>
      <c r="L25" s="180" t="str">
        <f>IF(NOT(ISBLANK(TransactionsTable[[#This Row],[Date]])),TEXT(TransactionsTable[[#This Row],[Date]],"mmmm-yy"),"")</f>
        <v>February-23</v>
      </c>
      <c r="M25" s="181" t="s">
        <v>193</v>
      </c>
      <c r="N25" s="180">
        <f>MONTH(TransactionsTable[[#This Row],[Date]])</f>
        <v>2</v>
      </c>
    </row>
    <row r="26" spans="3:16" ht="13.2" x14ac:dyDescent="0.25">
      <c r="C26" s="43">
        <v>44963</v>
      </c>
      <c r="D26" s="42" t="s">
        <v>216</v>
      </c>
      <c r="I26" s="183" t="s">
        <v>201</v>
      </c>
      <c r="J26" s="42">
        <v>18888.12</v>
      </c>
      <c r="K26" s="179" t="s">
        <v>162</v>
      </c>
      <c r="L26" s="180" t="str">
        <f>IF(NOT(ISBLANK(TransactionsTable[[#This Row],[Date]])),TEXT(TransactionsTable[[#This Row],[Date]],"mmmm-yy"),"")</f>
        <v>February-23</v>
      </c>
      <c r="M26" s="181" t="s">
        <v>193</v>
      </c>
      <c r="N26" s="180">
        <f>MONTH(TransactionsTable[[#This Row],[Date]])</f>
        <v>2</v>
      </c>
    </row>
    <row r="27" spans="3:16" ht="13.2" x14ac:dyDescent="0.25">
      <c r="C27" s="43">
        <v>44964</v>
      </c>
      <c r="D27" s="42" t="s">
        <v>258</v>
      </c>
      <c r="I27" s="178">
        <v>73.36</v>
      </c>
      <c r="J27" s="92" t="s">
        <v>201</v>
      </c>
      <c r="K27" s="179" t="s">
        <v>161</v>
      </c>
      <c r="L27" s="180" t="str">
        <f>IF(NOT(ISBLANK(TransactionsTable[[#This Row],[Date]])),TEXT(TransactionsTable[[#This Row],[Date]],"mmmm-yy"),"")</f>
        <v>February-23</v>
      </c>
      <c r="M27" s="181" t="s">
        <v>193</v>
      </c>
      <c r="N27" s="180">
        <f>MONTH(TransactionsTable[[#This Row],[Date]])</f>
        <v>2</v>
      </c>
    </row>
    <row r="28" spans="3:16" ht="13.2" x14ac:dyDescent="0.25">
      <c r="C28" s="43">
        <v>44965</v>
      </c>
      <c r="D28" s="42" t="s">
        <v>217</v>
      </c>
      <c r="I28" s="178">
        <v>1200</v>
      </c>
      <c r="J28" s="92" t="s">
        <v>201</v>
      </c>
      <c r="K28" s="179" t="s">
        <v>159</v>
      </c>
      <c r="L28" s="180" t="str">
        <f>IF(NOT(ISBLANK(TransactionsTable[[#This Row],[Date]])),TEXT(TransactionsTable[[#This Row],[Date]],"mmmm-yy"),"")</f>
        <v>February-23</v>
      </c>
      <c r="M28" s="181" t="s">
        <v>193</v>
      </c>
      <c r="N28" s="180">
        <f>MONTH(TransactionsTable[[#This Row],[Date]])</f>
        <v>2</v>
      </c>
    </row>
    <row r="29" spans="3:16" ht="13.2" x14ac:dyDescent="0.25">
      <c r="C29" s="43">
        <v>44967</v>
      </c>
      <c r="D29" s="42" t="s">
        <v>214</v>
      </c>
      <c r="I29" s="178">
        <v>3725</v>
      </c>
      <c r="J29" s="92" t="s">
        <v>201</v>
      </c>
      <c r="K29" s="179" t="s">
        <v>159</v>
      </c>
      <c r="L29" s="180" t="str">
        <f>IF(NOT(ISBLANK(TransactionsTable[[#This Row],[Date]])),TEXT(TransactionsTable[[#This Row],[Date]],"mmmm-yy"),"")</f>
        <v>February-23</v>
      </c>
      <c r="M29" s="181" t="s">
        <v>193</v>
      </c>
      <c r="N29" s="180">
        <f>MONTH(TransactionsTable[[#This Row],[Date]])</f>
        <v>2</v>
      </c>
    </row>
    <row r="30" spans="3:16" ht="13.2" x14ac:dyDescent="0.25">
      <c r="C30" s="43">
        <v>44970</v>
      </c>
      <c r="D30" s="42" t="s">
        <v>217</v>
      </c>
      <c r="I30" s="178">
        <v>47.51</v>
      </c>
      <c r="J30" s="92" t="s">
        <v>201</v>
      </c>
      <c r="K30" s="179" t="s">
        <v>159</v>
      </c>
      <c r="L30" s="180" t="str">
        <f>IF(NOT(ISBLANK(TransactionsTable[[#This Row],[Date]])),TEXT(TransactionsTable[[#This Row],[Date]],"mmmm-yy"),"")</f>
        <v>February-23</v>
      </c>
      <c r="M30" s="181" t="s">
        <v>193</v>
      </c>
      <c r="N30" s="180">
        <f>MONTH(TransactionsTable[[#This Row],[Date]])</f>
        <v>2</v>
      </c>
    </row>
    <row r="31" spans="3:16" ht="13.2" x14ac:dyDescent="0.25">
      <c r="C31" s="43">
        <v>44970</v>
      </c>
      <c r="D31" s="42" t="s">
        <v>238</v>
      </c>
      <c r="I31" s="178">
        <v>369.49</v>
      </c>
      <c r="J31" s="92" t="s">
        <v>201</v>
      </c>
      <c r="K31" s="179" t="s">
        <v>161</v>
      </c>
      <c r="L31" s="180" t="str">
        <f>IF(NOT(ISBLANK(TransactionsTable[[#This Row],[Date]])),TEXT(TransactionsTable[[#This Row],[Date]],"mmmm-yy"),"")</f>
        <v>February-23</v>
      </c>
      <c r="M31" s="181" t="s">
        <v>193</v>
      </c>
      <c r="N31" s="180">
        <f>MONTH(TransactionsTable[[#This Row],[Date]])</f>
        <v>2</v>
      </c>
    </row>
    <row r="32" spans="3:16" ht="13.2" x14ac:dyDescent="0.25">
      <c r="C32" s="43">
        <v>44971</v>
      </c>
      <c r="D32" s="42" t="s">
        <v>259</v>
      </c>
      <c r="I32" s="178">
        <v>113.88</v>
      </c>
      <c r="J32" s="92" t="s">
        <v>201</v>
      </c>
      <c r="K32" s="179" t="s">
        <v>161</v>
      </c>
      <c r="L32" s="180" t="str">
        <f>IF(NOT(ISBLANK(TransactionsTable[[#This Row],[Date]])),TEXT(TransactionsTable[[#This Row],[Date]],"mmmm-yy"),"")</f>
        <v>February-23</v>
      </c>
      <c r="M32" s="181" t="s">
        <v>193</v>
      </c>
      <c r="N32" s="180">
        <f>MONTH(TransactionsTable[[#This Row],[Date]])</f>
        <v>2</v>
      </c>
    </row>
    <row r="33" spans="3:14" ht="13.2" x14ac:dyDescent="0.25">
      <c r="C33" s="43">
        <v>44971</v>
      </c>
      <c r="D33" s="42" t="s">
        <v>260</v>
      </c>
      <c r="I33" s="178">
        <v>175.93</v>
      </c>
      <c r="J33" s="92" t="s">
        <v>201</v>
      </c>
      <c r="K33" s="179" t="s">
        <v>161</v>
      </c>
      <c r="L33" s="180" t="str">
        <f>IF(NOT(ISBLANK(TransactionsTable[[#This Row],[Date]])),TEXT(TransactionsTable[[#This Row],[Date]],"mmmm-yy"),"")</f>
        <v>February-23</v>
      </c>
      <c r="M33" s="181" t="s">
        <v>193</v>
      </c>
      <c r="N33" s="180">
        <f>MONTH(TransactionsTable[[#This Row],[Date]])</f>
        <v>2</v>
      </c>
    </row>
    <row r="34" spans="3:14" ht="13.2" x14ac:dyDescent="0.25">
      <c r="C34" s="43">
        <v>44971</v>
      </c>
      <c r="D34" s="42" t="s">
        <v>261</v>
      </c>
      <c r="I34" s="183">
        <v>254.22</v>
      </c>
      <c r="J34" s="42" t="s">
        <v>201</v>
      </c>
      <c r="K34" s="179" t="s">
        <v>161</v>
      </c>
      <c r="L34" s="180" t="str">
        <f>IF(NOT(ISBLANK(TransactionsTable[[#This Row],[Date]])),TEXT(TransactionsTable[[#This Row],[Date]],"mmmm-yy"),"")</f>
        <v>February-23</v>
      </c>
      <c r="M34" s="181" t="s">
        <v>193</v>
      </c>
      <c r="N34" s="180">
        <f>MONTH(TransactionsTable[[#This Row],[Date]])</f>
        <v>2</v>
      </c>
    </row>
    <row r="35" spans="3:14" ht="13.2" x14ac:dyDescent="0.25">
      <c r="C35" s="43">
        <v>44971</v>
      </c>
      <c r="D35" s="42" t="s">
        <v>262</v>
      </c>
      <c r="I35" s="178">
        <v>599.99</v>
      </c>
      <c r="J35" s="92" t="s">
        <v>201</v>
      </c>
      <c r="K35" s="179" t="s">
        <v>161</v>
      </c>
      <c r="L35" s="180" t="str">
        <f>IF(NOT(ISBLANK(TransactionsTable[[#This Row],[Date]])),TEXT(TransactionsTable[[#This Row],[Date]],"mmmm-yy"),"")</f>
        <v>February-23</v>
      </c>
      <c r="M35" s="181" t="s">
        <v>193</v>
      </c>
      <c r="N35" s="180">
        <f>MONTH(TransactionsTable[[#This Row],[Date]])</f>
        <v>2</v>
      </c>
    </row>
    <row r="36" spans="3:14" ht="13.2" x14ac:dyDescent="0.25">
      <c r="C36" s="43">
        <v>44971</v>
      </c>
      <c r="D36" s="42" t="s">
        <v>204</v>
      </c>
      <c r="I36" s="183">
        <v>696.1</v>
      </c>
      <c r="J36" s="42" t="s">
        <v>201</v>
      </c>
      <c r="K36" s="179" t="s">
        <v>161</v>
      </c>
      <c r="L36" s="180" t="str">
        <f>IF(NOT(ISBLANK(TransactionsTable[[#This Row],[Date]])),TEXT(TransactionsTable[[#This Row],[Date]],"mmmm-yy"),"")</f>
        <v>February-23</v>
      </c>
      <c r="M36" s="181" t="s">
        <v>193</v>
      </c>
      <c r="N36" s="180">
        <f>MONTH(TransactionsTable[[#This Row],[Date]])</f>
        <v>2</v>
      </c>
    </row>
    <row r="37" spans="3:14" ht="13.2" x14ac:dyDescent="0.25">
      <c r="C37" s="43">
        <v>44972</v>
      </c>
      <c r="D37" s="42" t="s">
        <v>217</v>
      </c>
      <c r="I37" s="178">
        <v>1008.04</v>
      </c>
      <c r="J37" s="92" t="s">
        <v>201</v>
      </c>
      <c r="K37" s="179" t="s">
        <v>159</v>
      </c>
      <c r="L37" s="180" t="str">
        <f>IF(NOT(ISBLANK(TransactionsTable[[#This Row],[Date]])),TEXT(TransactionsTable[[#This Row],[Date]],"mmmm-yy"),"")</f>
        <v>February-23</v>
      </c>
      <c r="M37" s="181" t="s">
        <v>193</v>
      </c>
      <c r="N37" s="180">
        <f>MONTH(TransactionsTable[[#This Row],[Date]])</f>
        <v>2</v>
      </c>
    </row>
    <row r="38" spans="3:14" ht="13.2" x14ac:dyDescent="0.25">
      <c r="C38" s="43">
        <v>44972</v>
      </c>
      <c r="D38" s="42" t="s">
        <v>263</v>
      </c>
      <c r="I38" s="178">
        <v>12.83</v>
      </c>
      <c r="J38" s="92" t="s">
        <v>201</v>
      </c>
      <c r="K38" s="179" t="s">
        <v>161</v>
      </c>
      <c r="L38" s="180" t="str">
        <f>IF(NOT(ISBLANK(TransactionsTable[[#This Row],[Date]])),TEXT(TransactionsTable[[#This Row],[Date]],"mmmm-yy"),"")</f>
        <v>February-23</v>
      </c>
      <c r="M38" s="181" t="s">
        <v>193</v>
      </c>
      <c r="N38" s="180">
        <f>MONTH(TransactionsTable[[#This Row],[Date]])</f>
        <v>2</v>
      </c>
    </row>
    <row r="39" spans="3:14" ht="13.2" x14ac:dyDescent="0.25">
      <c r="C39" s="43">
        <v>44972</v>
      </c>
      <c r="D39" s="42" t="s">
        <v>264</v>
      </c>
      <c r="I39" s="178">
        <v>49.98</v>
      </c>
      <c r="J39" s="92" t="s">
        <v>201</v>
      </c>
      <c r="K39" s="179" t="s">
        <v>161</v>
      </c>
      <c r="L39" s="180" t="str">
        <f>IF(NOT(ISBLANK(TransactionsTable[[#This Row],[Date]])),TEXT(TransactionsTable[[#This Row],[Date]],"mmmm-yy"),"")</f>
        <v>February-23</v>
      </c>
      <c r="M39" s="181" t="s">
        <v>193</v>
      </c>
      <c r="N39" s="180">
        <f>MONTH(TransactionsTable[[#This Row],[Date]])</f>
        <v>2</v>
      </c>
    </row>
    <row r="40" spans="3:14" ht="13.2" x14ac:dyDescent="0.25">
      <c r="C40" s="43">
        <v>44972</v>
      </c>
      <c r="D40" s="42" t="s">
        <v>265</v>
      </c>
      <c r="I40" s="178">
        <v>2685.73</v>
      </c>
      <c r="J40" s="92" t="s">
        <v>201</v>
      </c>
      <c r="K40" s="179" t="s">
        <v>161</v>
      </c>
      <c r="L40" s="180" t="str">
        <f>IF(NOT(ISBLANK(TransactionsTable[[#This Row],[Date]])),TEXT(TransactionsTable[[#This Row],[Date]],"mmmm-yy"),"")</f>
        <v>February-23</v>
      </c>
      <c r="M40" s="181" t="s">
        <v>193</v>
      </c>
      <c r="N40" s="180">
        <f>MONTH(TransactionsTable[[#This Row],[Date]])</f>
        <v>2</v>
      </c>
    </row>
    <row r="41" spans="3:14" ht="13.2" x14ac:dyDescent="0.25">
      <c r="C41" s="43">
        <v>44973</v>
      </c>
      <c r="D41" s="42" t="s">
        <v>216</v>
      </c>
      <c r="I41" s="178" t="s">
        <v>201</v>
      </c>
      <c r="J41" s="92">
        <v>17918.63</v>
      </c>
      <c r="K41" s="179" t="s">
        <v>162</v>
      </c>
      <c r="L41" s="180" t="str">
        <f>IF(NOT(ISBLANK(TransactionsTable[[#This Row],[Date]])),TEXT(TransactionsTable[[#This Row],[Date]],"mmmm-yy"),"")</f>
        <v>February-23</v>
      </c>
      <c r="M41" s="181" t="s">
        <v>193</v>
      </c>
      <c r="N41" s="180">
        <f>MONTH(TransactionsTable[[#This Row],[Date]])</f>
        <v>2</v>
      </c>
    </row>
    <row r="42" spans="3:14" ht="13.2" x14ac:dyDescent="0.25">
      <c r="C42" s="43">
        <v>44974</v>
      </c>
      <c r="D42" s="42" t="s">
        <v>217</v>
      </c>
      <c r="I42" s="178">
        <v>100</v>
      </c>
      <c r="J42" s="92" t="s">
        <v>201</v>
      </c>
      <c r="K42" s="179" t="s">
        <v>159</v>
      </c>
      <c r="L42" s="180" t="str">
        <f>IF(NOT(ISBLANK(TransactionsTable[[#This Row],[Date]])),TEXT(TransactionsTable[[#This Row],[Date]],"mmmm-yy"),"")</f>
        <v>February-23</v>
      </c>
      <c r="M42" s="181" t="s">
        <v>193</v>
      </c>
      <c r="N42" s="180">
        <f>MONTH(TransactionsTable[[#This Row],[Date]])</f>
        <v>2</v>
      </c>
    </row>
    <row r="43" spans="3:14" ht="13.2" x14ac:dyDescent="0.25">
      <c r="C43" s="43">
        <v>44985</v>
      </c>
      <c r="D43" s="42" t="s">
        <v>216</v>
      </c>
      <c r="I43" s="178" t="s">
        <v>201</v>
      </c>
      <c r="J43" s="92">
        <v>10000</v>
      </c>
      <c r="K43" s="179" t="s">
        <v>162</v>
      </c>
      <c r="L43" s="180" t="str">
        <f>IF(NOT(ISBLANK(TransactionsTable[[#This Row],[Date]])),TEXT(TransactionsTable[[#This Row],[Date]],"mmmm-yy"),"")</f>
        <v>February-23</v>
      </c>
      <c r="M43" s="181" t="s">
        <v>193</v>
      </c>
      <c r="N43" s="180">
        <f>MONTH(TransactionsTable[[#This Row],[Date]])</f>
        <v>2</v>
      </c>
    </row>
    <row r="44" spans="3:14" ht="13.2" x14ac:dyDescent="0.25">
      <c r="C44" s="43">
        <v>44985</v>
      </c>
      <c r="D44" s="42" t="s">
        <v>214</v>
      </c>
      <c r="I44" s="178">
        <v>3300</v>
      </c>
      <c r="J44" s="92" t="s">
        <v>201</v>
      </c>
      <c r="K44" s="179" t="s">
        <v>159</v>
      </c>
      <c r="L44" s="180" t="str">
        <f>IF(NOT(ISBLANK(TransactionsTable[[#This Row],[Date]])),TEXT(TransactionsTable[[#This Row],[Date]],"mmmm-yy"),"")</f>
        <v>February-23</v>
      </c>
      <c r="M44" s="181" t="s">
        <v>193</v>
      </c>
      <c r="N44" s="180">
        <f>MONTH(TransactionsTable[[#This Row],[Date]])</f>
        <v>2</v>
      </c>
    </row>
    <row r="45" spans="3:14" ht="13.2" x14ac:dyDescent="0.25">
      <c r="C45" s="43">
        <v>44985</v>
      </c>
      <c r="D45" s="42" t="s">
        <v>266</v>
      </c>
      <c r="I45" s="178">
        <v>420.92</v>
      </c>
      <c r="J45" s="92" t="s">
        <v>201</v>
      </c>
      <c r="K45" s="179" t="s">
        <v>161</v>
      </c>
      <c r="L45" s="180" t="str">
        <f>IF(NOT(ISBLANK(TransactionsTable[[#This Row],[Date]])),TEXT(TransactionsTable[[#This Row],[Date]],"mmmm-yy"),"")</f>
        <v>February-23</v>
      </c>
      <c r="M45" s="181" t="s">
        <v>193</v>
      </c>
      <c r="N45" s="180">
        <f>MONTH(TransactionsTable[[#This Row],[Date]])</f>
        <v>2</v>
      </c>
    </row>
    <row r="46" spans="3:14" ht="13.2" x14ac:dyDescent="0.25">
      <c r="C46" s="43">
        <v>44986</v>
      </c>
      <c r="D46" s="42" t="s">
        <v>278</v>
      </c>
      <c r="I46" s="178" t="s">
        <v>201</v>
      </c>
      <c r="J46" s="92">
        <v>7454.7</v>
      </c>
      <c r="K46" s="179" t="s">
        <v>161</v>
      </c>
      <c r="L46" s="180" t="str">
        <f>IF(NOT(ISBLANK(TransactionsTable[[#This Row],[Date]])),TEXT(TransactionsTable[[#This Row],[Date]],"mmmm-yy"),"")</f>
        <v>March-23</v>
      </c>
      <c r="M46" s="181" t="s">
        <v>193</v>
      </c>
      <c r="N46" s="180">
        <f>MONTH(TransactionsTable[[#This Row],[Date]])</f>
        <v>3</v>
      </c>
    </row>
    <row r="47" spans="3:14" ht="13.2" x14ac:dyDescent="0.25">
      <c r="C47" s="43">
        <v>44986</v>
      </c>
      <c r="D47" s="42" t="s">
        <v>234</v>
      </c>
      <c r="I47" s="178">
        <v>18708.78</v>
      </c>
      <c r="J47" s="92" t="s">
        <v>201</v>
      </c>
      <c r="K47" s="179" t="s">
        <v>160</v>
      </c>
      <c r="L47" s="180" t="str">
        <f>IF(NOT(ISBLANK(TransactionsTable[[#This Row],[Date]])),TEXT(TransactionsTable[[#This Row],[Date]],"mmmm-yy"),"")</f>
        <v>March-23</v>
      </c>
      <c r="M47" s="181" t="s">
        <v>193</v>
      </c>
      <c r="N47" s="180">
        <f>MONTH(TransactionsTable[[#This Row],[Date]])</f>
        <v>3</v>
      </c>
    </row>
    <row r="48" spans="3:14" ht="13.2" x14ac:dyDescent="0.25">
      <c r="C48" s="43">
        <v>44987</v>
      </c>
      <c r="D48" s="42" t="s">
        <v>279</v>
      </c>
      <c r="I48" s="178">
        <v>646</v>
      </c>
      <c r="J48" s="92" t="s">
        <v>201</v>
      </c>
      <c r="K48" s="179" t="s">
        <v>161</v>
      </c>
      <c r="L48" s="180" t="str">
        <f>IF(NOT(ISBLANK(TransactionsTable[[#This Row],[Date]])),TEXT(TransactionsTable[[#This Row],[Date]],"mmmm-yy"),"")</f>
        <v>March-23</v>
      </c>
      <c r="M48" s="181" t="s">
        <v>193</v>
      </c>
      <c r="N48" s="180">
        <f>MONTH(TransactionsTable[[#This Row],[Date]])</f>
        <v>3</v>
      </c>
    </row>
    <row r="49" spans="3:14" ht="13.2" x14ac:dyDescent="0.25">
      <c r="C49" s="43">
        <v>44998</v>
      </c>
      <c r="D49" s="42" t="s">
        <v>238</v>
      </c>
      <c r="I49" s="178">
        <v>279.25</v>
      </c>
      <c r="J49" s="92" t="s">
        <v>201</v>
      </c>
      <c r="K49" s="179" t="s">
        <v>161</v>
      </c>
      <c r="L49" s="180" t="str">
        <f>IF(NOT(ISBLANK(TransactionsTable[[#This Row],[Date]])),TEXT(TransactionsTable[[#This Row],[Date]],"mmmm-yy"),"")</f>
        <v>March-23</v>
      </c>
      <c r="M49" s="181" t="s">
        <v>193</v>
      </c>
      <c r="N49" s="180">
        <f>MONTH(TransactionsTable[[#This Row],[Date]])</f>
        <v>3</v>
      </c>
    </row>
    <row r="50" spans="3:14" ht="13.2" x14ac:dyDescent="0.25">
      <c r="C50" s="43">
        <v>45002</v>
      </c>
      <c r="D50" s="42" t="s">
        <v>280</v>
      </c>
      <c r="I50" s="178">
        <v>49.32</v>
      </c>
      <c r="J50" s="92" t="s">
        <v>201</v>
      </c>
      <c r="K50" s="179" t="s">
        <v>161</v>
      </c>
      <c r="L50" s="180" t="str">
        <f>IF(NOT(ISBLANK(TransactionsTable[[#This Row],[Date]])),TEXT(TransactionsTable[[#This Row],[Date]],"mmmm-yy"),"")</f>
        <v>March-23</v>
      </c>
      <c r="M50" s="181" t="s">
        <v>193</v>
      </c>
      <c r="N50" s="180">
        <f>MONTH(TransactionsTable[[#This Row],[Date]])</f>
        <v>3</v>
      </c>
    </row>
    <row r="51" spans="3:14" ht="13.2" x14ac:dyDescent="0.25">
      <c r="C51" s="43">
        <v>45002</v>
      </c>
      <c r="D51" s="42" t="s">
        <v>281</v>
      </c>
      <c r="I51" s="183">
        <v>2806.34</v>
      </c>
      <c r="J51" s="42" t="s">
        <v>201</v>
      </c>
      <c r="K51" s="179" t="s">
        <v>161</v>
      </c>
      <c r="L51" s="180" t="str">
        <f>IF(NOT(ISBLANK(TransactionsTable[[#This Row],[Date]])),TEXT(TransactionsTable[[#This Row],[Date]],"mmmm-yy"),"")</f>
        <v>March-23</v>
      </c>
      <c r="M51" s="181" t="s">
        <v>193</v>
      </c>
      <c r="N51" s="180">
        <f>MONTH(TransactionsTable[[#This Row],[Date]])</f>
        <v>3</v>
      </c>
    </row>
    <row r="52" spans="3:14" ht="13.2" x14ac:dyDescent="0.25">
      <c r="C52" s="43">
        <v>45005</v>
      </c>
      <c r="D52" s="42" t="s">
        <v>216</v>
      </c>
      <c r="I52" s="183" t="s">
        <v>201</v>
      </c>
      <c r="J52" s="42">
        <v>9924.31</v>
      </c>
      <c r="K52" s="179" t="s">
        <v>162</v>
      </c>
      <c r="L52" s="180" t="str">
        <f>IF(NOT(ISBLANK(TransactionsTable[[#This Row],[Date]])),TEXT(TransactionsTable[[#This Row],[Date]],"mmmm-yy"),"")</f>
        <v>March-23</v>
      </c>
      <c r="M52" s="181" t="s">
        <v>193</v>
      </c>
      <c r="N52" s="180">
        <f>MONTH(TransactionsTable[[#This Row],[Date]])</f>
        <v>3</v>
      </c>
    </row>
    <row r="53" spans="3:14" ht="13.2" x14ac:dyDescent="0.25">
      <c r="C53" s="43">
        <v>45005</v>
      </c>
      <c r="D53" s="42" t="s">
        <v>282</v>
      </c>
      <c r="I53" s="178">
        <v>14.28</v>
      </c>
      <c r="J53" s="92" t="s">
        <v>201</v>
      </c>
      <c r="K53" s="179" t="s">
        <v>161</v>
      </c>
      <c r="L53" s="180" t="str">
        <f>IF(NOT(ISBLANK(TransactionsTable[[#This Row],[Date]])),TEXT(TransactionsTable[[#This Row],[Date]],"mmmm-yy"),"")</f>
        <v>March-23</v>
      </c>
      <c r="M53" s="181" t="s">
        <v>193</v>
      </c>
      <c r="N53" s="180">
        <f>MONTH(TransactionsTable[[#This Row],[Date]])</f>
        <v>3</v>
      </c>
    </row>
    <row r="54" spans="3:14" ht="13.2" x14ac:dyDescent="0.25">
      <c r="C54" s="43">
        <v>45005</v>
      </c>
      <c r="D54" s="42" t="s">
        <v>283</v>
      </c>
      <c r="I54" s="178">
        <v>175.93</v>
      </c>
      <c r="J54" s="92" t="s">
        <v>201</v>
      </c>
      <c r="K54" s="179" t="s">
        <v>161</v>
      </c>
      <c r="L54" s="180" t="str">
        <f>IF(NOT(ISBLANK(TransactionsTable[[#This Row],[Date]])),TEXT(TransactionsTable[[#This Row],[Date]],"mmmm-yy"),"")</f>
        <v>March-23</v>
      </c>
      <c r="M54" s="181" t="s">
        <v>193</v>
      </c>
      <c r="N54" s="180">
        <f>MONTH(TransactionsTable[[#This Row],[Date]])</f>
        <v>3</v>
      </c>
    </row>
    <row r="55" spans="3:14" ht="13.2" x14ac:dyDescent="0.25">
      <c r="C55" s="43">
        <v>45005</v>
      </c>
      <c r="D55" s="42" t="s">
        <v>284</v>
      </c>
      <c r="I55" s="178">
        <v>485.7</v>
      </c>
      <c r="J55" s="92" t="s">
        <v>201</v>
      </c>
      <c r="K55" s="179" t="s">
        <v>161</v>
      </c>
      <c r="L55" s="180" t="str">
        <f>IF(NOT(ISBLANK(TransactionsTable[[#This Row],[Date]])),TEXT(TransactionsTable[[#This Row],[Date]],"mmmm-yy"),"")</f>
        <v>March-23</v>
      </c>
      <c r="M55" s="181" t="s">
        <v>193</v>
      </c>
      <c r="N55" s="180">
        <f>MONTH(TransactionsTable[[#This Row],[Date]])</f>
        <v>3</v>
      </c>
    </row>
    <row r="56" spans="3:14" ht="13.2" x14ac:dyDescent="0.25">
      <c r="C56" s="43">
        <v>45005</v>
      </c>
      <c r="D56" s="42" t="s">
        <v>285</v>
      </c>
      <c r="I56" s="178">
        <v>670.63</v>
      </c>
      <c r="J56" s="92" t="s">
        <v>201</v>
      </c>
      <c r="K56" s="179" t="s">
        <v>161</v>
      </c>
      <c r="L56" s="180" t="str">
        <f>IF(NOT(ISBLANK(TransactionsTable[[#This Row],[Date]])),TEXT(TransactionsTable[[#This Row],[Date]],"mmmm-yy"),"")</f>
        <v>March-23</v>
      </c>
      <c r="M56" s="181" t="s">
        <v>193</v>
      </c>
      <c r="N56" s="180">
        <f>MONTH(TransactionsTable[[#This Row],[Date]])</f>
        <v>3</v>
      </c>
    </row>
    <row r="57" spans="3:14" ht="13.2" x14ac:dyDescent="0.25">
      <c r="C57" s="43">
        <v>45006</v>
      </c>
      <c r="D57" s="42" t="s">
        <v>217</v>
      </c>
      <c r="I57" s="178">
        <v>2500</v>
      </c>
      <c r="J57" s="92" t="s">
        <v>201</v>
      </c>
      <c r="K57" s="179" t="s">
        <v>159</v>
      </c>
      <c r="L57" s="180" t="str">
        <f>IF(NOT(ISBLANK(TransactionsTable[[#This Row],[Date]])),TEXT(TransactionsTable[[#This Row],[Date]],"mmmm-yy"),"")</f>
        <v>March-23</v>
      </c>
      <c r="M57" s="181" t="s">
        <v>193</v>
      </c>
      <c r="N57" s="180">
        <f>MONTH(TransactionsTable[[#This Row],[Date]])</f>
        <v>3</v>
      </c>
    </row>
    <row r="58" spans="3:14" ht="13.2" x14ac:dyDescent="0.25">
      <c r="C58" s="43">
        <v>45013</v>
      </c>
      <c r="D58" s="42" t="s">
        <v>286</v>
      </c>
      <c r="I58" s="178">
        <v>420.92</v>
      </c>
      <c r="J58" s="92" t="s">
        <v>201</v>
      </c>
      <c r="K58" s="179" t="s">
        <v>161</v>
      </c>
      <c r="L58" s="180" t="str">
        <f>IF(NOT(ISBLANK(TransactionsTable[[#This Row],[Date]])),TEXT(TransactionsTable[[#This Row],[Date]],"mmmm-yy"),"")</f>
        <v>March-23</v>
      </c>
      <c r="M58" s="181" t="s">
        <v>193</v>
      </c>
      <c r="N58" s="180">
        <f>MONTH(TransactionsTable[[#This Row],[Date]])</f>
        <v>3</v>
      </c>
    </row>
    <row r="59" spans="3:14" ht="13.2" x14ac:dyDescent="0.25">
      <c r="C59" s="43">
        <v>45013</v>
      </c>
      <c r="D59" s="42" t="s">
        <v>287</v>
      </c>
      <c r="I59" s="178">
        <v>599.99</v>
      </c>
      <c r="J59" s="92" t="s">
        <v>201</v>
      </c>
      <c r="K59" s="179" t="s">
        <v>161</v>
      </c>
      <c r="L59" s="180" t="str">
        <f>IF(NOT(ISBLANK(TransactionsTable[[#This Row],[Date]])),TEXT(TransactionsTable[[#This Row],[Date]],"mmmm-yy"),"")</f>
        <v>March-23</v>
      </c>
      <c r="M59" s="181" t="s">
        <v>193</v>
      </c>
      <c r="N59" s="180">
        <f>MONTH(TransactionsTable[[#This Row],[Date]])</f>
        <v>3</v>
      </c>
    </row>
    <row r="60" spans="3:14" ht="13.2" x14ac:dyDescent="0.25">
      <c r="C60" s="43">
        <v>45014</v>
      </c>
      <c r="D60" s="42" t="s">
        <v>217</v>
      </c>
      <c r="I60" s="178">
        <v>1511.96</v>
      </c>
      <c r="J60" s="92" t="s">
        <v>201</v>
      </c>
      <c r="K60" s="179" t="s">
        <v>159</v>
      </c>
      <c r="L60" s="180" t="str">
        <f>IF(NOT(ISBLANK(TransactionsTable[[#This Row],[Date]])),TEXT(TransactionsTable[[#This Row],[Date]],"mmmm-yy"),"")</f>
        <v>March-23</v>
      </c>
      <c r="M60" s="181" t="s">
        <v>193</v>
      </c>
      <c r="N60" s="180">
        <f>MONTH(TransactionsTable[[#This Row],[Date]])</f>
        <v>3</v>
      </c>
    </row>
    <row r="61" spans="3:14" ht="13.2" x14ac:dyDescent="0.25">
      <c r="C61" s="43">
        <v>45014</v>
      </c>
      <c r="D61" s="42" t="s">
        <v>288</v>
      </c>
      <c r="I61" s="178">
        <v>646</v>
      </c>
      <c r="J61" s="92" t="s">
        <v>201</v>
      </c>
      <c r="K61" s="179" t="s">
        <v>161</v>
      </c>
      <c r="L61" s="180" t="str">
        <f>IF(NOT(ISBLANK(TransactionsTable[[#This Row],[Date]])),TEXT(TransactionsTable[[#This Row],[Date]],"mmmm-yy"),"")</f>
        <v>March-23</v>
      </c>
      <c r="M61" s="181" t="s">
        <v>193</v>
      </c>
      <c r="N61" s="180">
        <f>MONTH(TransactionsTable[[#This Row],[Date]])</f>
        <v>3</v>
      </c>
    </row>
    <row r="62" spans="3:14" ht="13.2" x14ac:dyDescent="0.25">
      <c r="C62" s="43">
        <v>45015</v>
      </c>
      <c r="D62" s="42" t="s">
        <v>216</v>
      </c>
      <c r="I62" s="178" t="s">
        <v>201</v>
      </c>
      <c r="J62" s="92">
        <v>18892.669999999998</v>
      </c>
      <c r="K62" s="179" t="s">
        <v>162</v>
      </c>
      <c r="L62" s="180" t="str">
        <f>IF(NOT(ISBLANK(TransactionsTable[[#This Row],[Date]])),TEXT(TransactionsTable[[#This Row],[Date]],"mmmm-yy"),"")</f>
        <v>March-23</v>
      </c>
      <c r="M62" s="181" t="s">
        <v>193</v>
      </c>
      <c r="N62" s="180">
        <f>MONTH(TransactionsTable[[#This Row],[Date]])</f>
        <v>3</v>
      </c>
    </row>
    <row r="63" spans="3:14" ht="13.2" x14ac:dyDescent="0.25">
      <c r="C63" s="43">
        <v>45016</v>
      </c>
      <c r="D63" s="42" t="s">
        <v>214</v>
      </c>
      <c r="I63" s="178">
        <v>11829.6</v>
      </c>
      <c r="J63" s="92" t="s">
        <v>201</v>
      </c>
      <c r="K63" s="179" t="s">
        <v>159</v>
      </c>
      <c r="L63" s="180" t="str">
        <f>IF(NOT(ISBLANK(TransactionsTable[[#This Row],[Date]])),TEXT(TransactionsTable[[#This Row],[Date]],"mmmm-yy"),"")</f>
        <v>March-23</v>
      </c>
      <c r="M63" s="181" t="s">
        <v>193</v>
      </c>
      <c r="N63" s="180">
        <f>MONTH(TransactionsTable[[#This Row],[Date]])</f>
        <v>3</v>
      </c>
    </row>
    <row r="64" spans="3:14" ht="13.2" x14ac:dyDescent="0.25">
      <c r="C64" s="185">
        <v>45019</v>
      </c>
      <c r="D64" s="42" t="s">
        <v>464</v>
      </c>
      <c r="I64" s="178" t="s">
        <v>201</v>
      </c>
      <c r="J64" s="41">
        <v>4500</v>
      </c>
      <c r="K64" s="179" t="s">
        <v>161</v>
      </c>
      <c r="L64" s="180" t="str">
        <f>IF(NOT(ISBLANK(TransactionsTable[[#This Row],[Date]])),TEXT(TransactionsTable[[#This Row],[Date]],"mmmm-yy"),"")</f>
        <v>April-23</v>
      </c>
      <c r="M64" s="181"/>
      <c r="N64" s="180">
        <f>MONTH(TransactionsTable[[#This Row],[Date]])</f>
        <v>4</v>
      </c>
    </row>
    <row r="65" spans="3:14" ht="13.2" x14ac:dyDescent="0.25">
      <c r="C65" s="185">
        <v>45019</v>
      </c>
      <c r="D65" s="42" t="s">
        <v>465</v>
      </c>
      <c r="I65" s="178" t="s">
        <v>201</v>
      </c>
      <c r="J65" s="41">
        <v>7454.7</v>
      </c>
      <c r="K65" s="179" t="s">
        <v>161</v>
      </c>
      <c r="L65" s="180" t="str">
        <f>IF(NOT(ISBLANK(TransactionsTable[[#This Row],[Date]])),TEXT(TransactionsTable[[#This Row],[Date]],"mmmm-yy"),"")</f>
        <v>April-23</v>
      </c>
      <c r="M65" s="181"/>
      <c r="N65" s="180">
        <f>MONTH(TransactionsTable[[#This Row],[Date]])</f>
        <v>4</v>
      </c>
    </row>
    <row r="66" spans="3:14" ht="13.2" x14ac:dyDescent="0.25">
      <c r="C66" s="185">
        <v>45019</v>
      </c>
      <c r="D66" s="42" t="s">
        <v>216</v>
      </c>
      <c r="I66" s="178" t="s">
        <v>201</v>
      </c>
      <c r="J66" s="41">
        <v>2967.66</v>
      </c>
      <c r="K66" s="179" t="s">
        <v>162</v>
      </c>
      <c r="L66" s="180" t="str">
        <f>IF(NOT(ISBLANK(TransactionsTable[[#This Row],[Date]])),TEXT(TransactionsTable[[#This Row],[Date]],"mmmm-yy"),"")</f>
        <v>April-23</v>
      </c>
      <c r="M66" s="181"/>
      <c r="N66" s="180">
        <f>MONTH(TransactionsTable[[#This Row],[Date]])</f>
        <v>4</v>
      </c>
    </row>
    <row r="67" spans="3:14" ht="13.2" x14ac:dyDescent="0.25">
      <c r="C67" s="185">
        <v>45019</v>
      </c>
      <c r="D67" s="42" t="s">
        <v>214</v>
      </c>
      <c r="I67" s="178">
        <v>2600</v>
      </c>
      <c r="J67" s="41" t="s">
        <v>201</v>
      </c>
      <c r="K67" s="179" t="s">
        <v>159</v>
      </c>
      <c r="L67" s="180" t="str">
        <f>IF(NOT(ISBLANK(TransactionsTable[[#This Row],[Date]])),TEXT(TransactionsTable[[#This Row],[Date]],"mmmm-yy"),"")</f>
        <v>April-23</v>
      </c>
      <c r="M67" s="181"/>
      <c r="N67" s="180">
        <f>MONTH(TransactionsTable[[#This Row],[Date]])</f>
        <v>4</v>
      </c>
    </row>
    <row r="68" spans="3:14" ht="13.2" x14ac:dyDescent="0.25">
      <c r="C68" s="185">
        <v>45019</v>
      </c>
      <c r="D68" s="42" t="s">
        <v>234</v>
      </c>
      <c r="I68" s="178">
        <v>18708.78</v>
      </c>
      <c r="J68" s="41" t="s">
        <v>201</v>
      </c>
      <c r="K68" s="179" t="s">
        <v>160</v>
      </c>
      <c r="L68" s="180" t="str">
        <f>IF(NOT(ISBLANK(TransactionsTable[[#This Row],[Date]])),TEXT(TransactionsTable[[#This Row],[Date]],"mmmm-yy"),"")</f>
        <v>April-23</v>
      </c>
      <c r="M68" s="181"/>
      <c r="N68" s="180">
        <f>MONTH(TransactionsTable[[#This Row],[Date]])</f>
        <v>4</v>
      </c>
    </row>
    <row r="69" spans="3:14" ht="13.2" x14ac:dyDescent="0.25">
      <c r="C69" s="185">
        <v>45020</v>
      </c>
      <c r="D69" s="42" t="s">
        <v>214</v>
      </c>
      <c r="I69" s="178">
        <v>1750</v>
      </c>
      <c r="J69" s="41" t="s">
        <v>201</v>
      </c>
      <c r="K69" s="179" t="s">
        <v>159</v>
      </c>
      <c r="L69" s="180" t="str">
        <f>IF(NOT(ISBLANK(TransactionsTable[[#This Row],[Date]])),TEXT(TransactionsTable[[#This Row],[Date]],"mmmm-yy"),"")</f>
        <v>April-23</v>
      </c>
      <c r="M69" s="181"/>
      <c r="N69" s="180">
        <f>MONTH(TransactionsTable[[#This Row],[Date]])</f>
        <v>4</v>
      </c>
    </row>
    <row r="70" spans="3:14" ht="13.2" x14ac:dyDescent="0.25">
      <c r="C70" s="185">
        <v>45021</v>
      </c>
      <c r="D70" s="42" t="s">
        <v>216</v>
      </c>
      <c r="I70" s="178" t="s">
        <v>201</v>
      </c>
      <c r="J70" s="41">
        <v>3694.4</v>
      </c>
      <c r="K70" s="179" t="s">
        <v>162</v>
      </c>
      <c r="L70" s="180" t="str">
        <f>IF(NOT(ISBLANK(TransactionsTable[[#This Row],[Date]])),TEXT(TransactionsTable[[#This Row],[Date]],"mmmm-yy"),"")</f>
        <v>April-23</v>
      </c>
      <c r="M70" s="181"/>
      <c r="N70" s="180">
        <f>MONTH(TransactionsTable[[#This Row],[Date]])</f>
        <v>4</v>
      </c>
    </row>
    <row r="71" spans="3:14" ht="13.2" x14ac:dyDescent="0.25">
      <c r="C71" s="185">
        <v>45022</v>
      </c>
      <c r="D71" s="42" t="s">
        <v>466</v>
      </c>
      <c r="I71" s="178">
        <v>283.55</v>
      </c>
      <c r="J71" s="41" t="s">
        <v>201</v>
      </c>
      <c r="K71" s="179" t="s">
        <v>161</v>
      </c>
      <c r="L71" s="180" t="str">
        <f>IF(NOT(ISBLANK(TransactionsTable[[#This Row],[Date]])),TEXT(TransactionsTable[[#This Row],[Date]],"mmmm-yy"),"")</f>
        <v>April-23</v>
      </c>
      <c r="M71" s="181"/>
      <c r="N71" s="180">
        <f>MONTH(TransactionsTable[[#This Row],[Date]])</f>
        <v>4</v>
      </c>
    </row>
    <row r="72" spans="3:14" ht="13.2" x14ac:dyDescent="0.25">
      <c r="C72" s="185">
        <v>45023</v>
      </c>
      <c r="D72" s="42" t="s">
        <v>216</v>
      </c>
      <c r="I72" s="178" t="s">
        <v>201</v>
      </c>
      <c r="J72" s="41">
        <v>3285.28</v>
      </c>
      <c r="K72" s="179" t="s">
        <v>162</v>
      </c>
      <c r="L72" s="180" t="str">
        <f>IF(NOT(ISBLANK(TransactionsTable[[#This Row],[Date]])),TEXT(TransactionsTable[[#This Row],[Date]],"mmmm-yy"),"")</f>
        <v>April-23</v>
      </c>
      <c r="M72" s="181"/>
      <c r="N72" s="180">
        <f>MONTH(TransactionsTable[[#This Row],[Date]])</f>
        <v>4</v>
      </c>
    </row>
    <row r="73" spans="3:14" ht="13.2" x14ac:dyDescent="0.25">
      <c r="C73" s="185">
        <v>45026</v>
      </c>
      <c r="D73" s="42" t="s">
        <v>214</v>
      </c>
      <c r="I73" s="178">
        <v>4250</v>
      </c>
      <c r="J73" s="41" t="s">
        <v>201</v>
      </c>
      <c r="K73" s="179" t="s">
        <v>159</v>
      </c>
      <c r="L73" s="180" t="str">
        <f>IF(NOT(ISBLANK(TransactionsTable[[#This Row],[Date]])),TEXT(TransactionsTable[[#This Row],[Date]],"mmmm-yy"),"")</f>
        <v>April-23</v>
      </c>
      <c r="M73" s="181"/>
      <c r="N73" s="180">
        <f>MONTH(TransactionsTable[[#This Row],[Date]])</f>
        <v>4</v>
      </c>
    </row>
    <row r="74" spans="3:14" ht="13.2" x14ac:dyDescent="0.25">
      <c r="C74" s="185">
        <v>45028</v>
      </c>
      <c r="D74" s="42" t="s">
        <v>216</v>
      </c>
      <c r="I74" s="178" t="s">
        <v>201</v>
      </c>
      <c r="J74" s="41">
        <v>2944.63</v>
      </c>
      <c r="K74" s="179" t="s">
        <v>162</v>
      </c>
      <c r="L74" s="180" t="str">
        <f>IF(NOT(ISBLANK(TransactionsTable[[#This Row],[Date]])),TEXT(TransactionsTable[[#This Row],[Date]],"mmmm-yy"),"")</f>
        <v>April-23</v>
      </c>
      <c r="M74" s="181"/>
      <c r="N74" s="180">
        <f>MONTH(TransactionsTable[[#This Row],[Date]])</f>
        <v>4</v>
      </c>
    </row>
    <row r="75" spans="3:14" ht="13.2" x14ac:dyDescent="0.25">
      <c r="C75" s="185">
        <v>45029</v>
      </c>
      <c r="D75" s="42" t="s">
        <v>467</v>
      </c>
      <c r="I75" s="178">
        <v>272.89999999999998</v>
      </c>
      <c r="J75" s="41" t="s">
        <v>201</v>
      </c>
      <c r="K75" s="179" t="s">
        <v>161</v>
      </c>
      <c r="L75" s="180" t="str">
        <f>IF(NOT(ISBLANK(TransactionsTable[[#This Row],[Date]])),TEXT(TransactionsTable[[#This Row],[Date]],"mmmm-yy"),"")</f>
        <v>April-23</v>
      </c>
      <c r="M75" s="181"/>
      <c r="N75" s="180">
        <f>MONTH(TransactionsTable[[#This Row],[Date]])</f>
        <v>4</v>
      </c>
    </row>
    <row r="76" spans="3:14" ht="13.2" x14ac:dyDescent="0.25">
      <c r="C76" s="185">
        <v>45029</v>
      </c>
      <c r="D76" s="42" t="s">
        <v>468</v>
      </c>
      <c r="I76" s="178">
        <v>303.10000000000002</v>
      </c>
      <c r="J76" s="41" t="s">
        <v>201</v>
      </c>
      <c r="K76" s="179" t="s">
        <v>161</v>
      </c>
      <c r="L76" s="180" t="str">
        <f>IF(NOT(ISBLANK(TransactionsTable[[#This Row],[Date]])),TEXT(TransactionsTable[[#This Row],[Date]],"mmmm-yy"),"")</f>
        <v>April-23</v>
      </c>
      <c r="M76" s="181"/>
      <c r="N76" s="180">
        <f>MONTH(TransactionsTable[[#This Row],[Date]])</f>
        <v>4</v>
      </c>
    </row>
    <row r="77" spans="3:14" ht="13.2" x14ac:dyDescent="0.25">
      <c r="C77" s="185">
        <v>45030</v>
      </c>
      <c r="D77" s="42" t="s">
        <v>238</v>
      </c>
      <c r="I77" s="178">
        <v>272.89999999999998</v>
      </c>
      <c r="J77" s="41" t="s">
        <v>201</v>
      </c>
      <c r="K77" s="179" t="s">
        <v>161</v>
      </c>
      <c r="L77" s="180" t="str">
        <f>IF(NOT(ISBLANK(TransactionsTable[[#This Row],[Date]])),TEXT(TransactionsTable[[#This Row],[Date]],"mmmm-yy"),"")</f>
        <v>April-23</v>
      </c>
      <c r="M77" s="181"/>
      <c r="N77" s="180">
        <f>MONTH(TransactionsTable[[#This Row],[Date]])</f>
        <v>4</v>
      </c>
    </row>
    <row r="78" spans="3:14" ht="13.2" x14ac:dyDescent="0.25">
      <c r="C78" s="185">
        <v>45033</v>
      </c>
      <c r="D78" s="42" t="s">
        <v>469</v>
      </c>
      <c r="I78" s="178">
        <v>15.75</v>
      </c>
      <c r="J78" s="41" t="s">
        <v>201</v>
      </c>
      <c r="K78" s="179" t="s">
        <v>161</v>
      </c>
      <c r="L78" s="180" t="str">
        <f>IF(NOT(ISBLANK(TransactionsTable[[#This Row],[Date]])),TEXT(TransactionsTable[[#This Row],[Date]],"mmmm-yy"),"")</f>
        <v>April-23</v>
      </c>
      <c r="M78" s="181"/>
      <c r="N78" s="180">
        <f>MONTH(TransactionsTable[[#This Row],[Date]])</f>
        <v>4</v>
      </c>
    </row>
    <row r="79" spans="3:14" ht="13.2" x14ac:dyDescent="0.25">
      <c r="C79" s="185">
        <v>45033</v>
      </c>
      <c r="D79" s="42" t="s">
        <v>470</v>
      </c>
      <c r="I79" s="178">
        <v>51.63</v>
      </c>
      <c r="J79" s="41" t="s">
        <v>201</v>
      </c>
      <c r="K79" s="179" t="s">
        <v>161</v>
      </c>
      <c r="L79" s="180" t="str">
        <f>IF(NOT(ISBLANK(TransactionsTable[[#This Row],[Date]])),TEXT(TransactionsTable[[#This Row],[Date]],"mmmm-yy"),"")</f>
        <v>April-23</v>
      </c>
      <c r="M79" s="181"/>
      <c r="N79" s="180">
        <f>MONTH(TransactionsTable[[#This Row],[Date]])</f>
        <v>4</v>
      </c>
    </row>
    <row r="80" spans="3:14" ht="13.2" x14ac:dyDescent="0.25">
      <c r="C80" s="185">
        <v>45033</v>
      </c>
      <c r="D80" s="42" t="s">
        <v>471</v>
      </c>
      <c r="I80" s="178">
        <v>2480.02</v>
      </c>
      <c r="J80" s="41" t="s">
        <v>201</v>
      </c>
      <c r="K80" s="179" t="s">
        <v>161</v>
      </c>
      <c r="L80" s="180" t="str">
        <f>IF(NOT(ISBLANK(TransactionsTable[[#This Row],[Date]])),TEXT(TransactionsTable[[#This Row],[Date]],"mmmm-yy"),"")</f>
        <v>April-23</v>
      </c>
      <c r="M80" s="181"/>
      <c r="N80" s="180">
        <f>MONTH(TransactionsTable[[#This Row],[Date]])</f>
        <v>4</v>
      </c>
    </row>
    <row r="81" spans="3:14" ht="13.2" x14ac:dyDescent="0.25">
      <c r="C81" s="185">
        <v>45034</v>
      </c>
      <c r="D81" s="42" t="s">
        <v>297</v>
      </c>
      <c r="I81" s="178">
        <v>18385.98</v>
      </c>
      <c r="J81" s="41" t="s">
        <v>201</v>
      </c>
      <c r="K81" s="179" t="s">
        <v>159</v>
      </c>
      <c r="L81" s="180" t="str">
        <f>IF(NOT(ISBLANK(TransactionsTable[[#This Row],[Date]])),TEXT(TransactionsTable[[#This Row],[Date]],"mmmm-yy"),"")</f>
        <v>April-23</v>
      </c>
      <c r="M81" s="181"/>
      <c r="N81" s="180">
        <f>MONTH(TransactionsTable[[#This Row],[Date]])</f>
        <v>4</v>
      </c>
    </row>
    <row r="82" spans="3:14" ht="13.2" x14ac:dyDescent="0.25">
      <c r="C82" s="185">
        <v>45034</v>
      </c>
      <c r="D82" s="42" t="s">
        <v>472</v>
      </c>
      <c r="I82" s="178">
        <v>450</v>
      </c>
      <c r="J82" s="41" t="s">
        <v>201</v>
      </c>
      <c r="K82" s="179" t="s">
        <v>161</v>
      </c>
      <c r="L82" s="180" t="str">
        <f>IF(NOT(ISBLANK(TransactionsTable[[#This Row],[Date]])),TEXT(TransactionsTable[[#This Row],[Date]],"mmmm-yy"),"")</f>
        <v>April-23</v>
      </c>
      <c r="M82" s="181"/>
      <c r="N82" s="180">
        <f>MONTH(TransactionsTable[[#This Row],[Date]])</f>
        <v>4</v>
      </c>
    </row>
    <row r="83" spans="3:14" ht="13.2" x14ac:dyDescent="0.25">
      <c r="C83" s="185">
        <v>45040</v>
      </c>
      <c r="D83" s="42" t="s">
        <v>473</v>
      </c>
      <c r="I83" s="178">
        <v>2.81</v>
      </c>
      <c r="J83" s="41" t="s">
        <v>201</v>
      </c>
      <c r="K83" s="179" t="s">
        <v>161</v>
      </c>
      <c r="L83" s="180" t="str">
        <f>IF(NOT(ISBLANK(TransactionsTable[[#This Row],[Date]])),TEXT(TransactionsTable[[#This Row],[Date]],"mmmm-yy"),"")</f>
        <v>April-23</v>
      </c>
      <c r="M83" s="181"/>
      <c r="N83" s="180">
        <f>MONTH(TransactionsTable[[#This Row],[Date]])</f>
        <v>4</v>
      </c>
    </row>
    <row r="84" spans="3:14" ht="13.2" x14ac:dyDescent="0.25">
      <c r="C84" s="185">
        <v>45040</v>
      </c>
      <c r="D84" s="42" t="s">
        <v>474</v>
      </c>
      <c r="I84" s="178">
        <v>420.92</v>
      </c>
      <c r="J84" s="41" t="s">
        <v>201</v>
      </c>
      <c r="K84" s="179" t="s">
        <v>161</v>
      </c>
      <c r="L84" s="180" t="str">
        <f>IF(NOT(ISBLANK(TransactionsTable[[#This Row],[Date]])),TEXT(TransactionsTable[[#This Row],[Date]],"mmmm-yy"),"")</f>
        <v>April-23</v>
      </c>
      <c r="M84" s="181"/>
      <c r="N84" s="180">
        <f>MONTH(TransactionsTable[[#This Row],[Date]])</f>
        <v>4</v>
      </c>
    </row>
    <row r="85" spans="3:14" ht="13.2" x14ac:dyDescent="0.25">
      <c r="C85" s="185">
        <v>45041</v>
      </c>
      <c r="D85" s="42" t="s">
        <v>214</v>
      </c>
      <c r="I85" s="178">
        <v>4316.6400000000003</v>
      </c>
      <c r="J85" s="41" t="s">
        <v>201</v>
      </c>
      <c r="K85" s="179" t="s">
        <v>159</v>
      </c>
      <c r="L85" s="180" t="str">
        <f>IF(NOT(ISBLANK(TransactionsTable[[#This Row],[Date]])),TEXT(TransactionsTable[[#This Row],[Date]],"mmmm-yy"),"")</f>
        <v>April-23</v>
      </c>
      <c r="M85" s="181"/>
      <c r="N85" s="180">
        <f>MONTH(TransactionsTable[[#This Row],[Date]])</f>
        <v>4</v>
      </c>
    </row>
    <row r="86" spans="3:14" ht="13.2" x14ac:dyDescent="0.25">
      <c r="C86" s="43">
        <v>45047</v>
      </c>
      <c r="D86" s="42" t="s">
        <v>312</v>
      </c>
      <c r="I86" s="178">
        <v>175.93</v>
      </c>
      <c r="J86" s="92" t="s">
        <v>201</v>
      </c>
      <c r="K86" s="179" t="s">
        <v>161</v>
      </c>
      <c r="L86" s="180" t="str">
        <f>IF(NOT(ISBLANK(TransactionsTable[[#This Row],[Date]])),TEXT(TransactionsTable[[#This Row],[Date]],"mmmm-yy"),"")</f>
        <v>May-23</v>
      </c>
      <c r="M86" s="181" t="s">
        <v>193</v>
      </c>
      <c r="N86" s="180">
        <f>MONTH(TransactionsTable[[#This Row],[Date]])</f>
        <v>5</v>
      </c>
    </row>
    <row r="87" spans="3:14" ht="13.2" x14ac:dyDescent="0.25">
      <c r="C87" s="43">
        <v>45047</v>
      </c>
      <c r="D87" s="42" t="s">
        <v>313</v>
      </c>
      <c r="I87" s="178">
        <v>646</v>
      </c>
      <c r="J87" s="92" t="s">
        <v>201</v>
      </c>
      <c r="K87" s="179" t="s">
        <v>161</v>
      </c>
      <c r="L87" s="180" t="str">
        <f>IF(NOT(ISBLANK(TransactionsTable[[#This Row],[Date]])),TEXT(TransactionsTable[[#This Row],[Date]],"mmmm-yy"),"")</f>
        <v>May-23</v>
      </c>
      <c r="M87" s="181" t="s">
        <v>193</v>
      </c>
      <c r="N87" s="180">
        <f>MONTH(TransactionsTable[[#This Row],[Date]])</f>
        <v>5</v>
      </c>
    </row>
    <row r="88" spans="3:14" ht="13.2" x14ac:dyDescent="0.25">
      <c r="C88" s="43">
        <v>45047</v>
      </c>
      <c r="D88" s="42" t="s">
        <v>314</v>
      </c>
      <c r="I88" s="178">
        <v>1199.98</v>
      </c>
      <c r="J88" s="92" t="s">
        <v>201</v>
      </c>
      <c r="K88" s="179" t="s">
        <v>161</v>
      </c>
      <c r="L88" s="180" t="str">
        <f>IF(NOT(ISBLANK(TransactionsTable[[#This Row],[Date]])),TEXT(TransactionsTable[[#This Row],[Date]],"mmmm-yy"),"")</f>
        <v>May-23</v>
      </c>
      <c r="M88" s="181" t="s">
        <v>193</v>
      </c>
      <c r="N88" s="180">
        <f>MONTH(TransactionsTable[[#This Row],[Date]])</f>
        <v>5</v>
      </c>
    </row>
    <row r="89" spans="3:14" ht="13.2" x14ac:dyDescent="0.25">
      <c r="C89" s="43">
        <v>45047</v>
      </c>
      <c r="D89" s="42" t="s">
        <v>234</v>
      </c>
      <c r="I89" s="178">
        <v>18708.78</v>
      </c>
      <c r="J89" s="92" t="s">
        <v>201</v>
      </c>
      <c r="K89" s="179" t="s">
        <v>160</v>
      </c>
      <c r="L89" s="180" t="str">
        <f>IF(NOT(ISBLANK(TransactionsTable[[#This Row],[Date]])),TEXT(TransactionsTable[[#This Row],[Date]],"mmmm-yy"),"")</f>
        <v>May-23</v>
      </c>
      <c r="M89" s="181" t="s">
        <v>193</v>
      </c>
      <c r="N89" s="180">
        <f>MONTH(TransactionsTable[[#This Row],[Date]])</f>
        <v>5</v>
      </c>
    </row>
    <row r="90" spans="3:14" ht="13.2" x14ac:dyDescent="0.25">
      <c r="C90" s="43">
        <v>45048</v>
      </c>
      <c r="D90" s="42" t="s">
        <v>315</v>
      </c>
      <c r="I90" s="178" t="s">
        <v>201</v>
      </c>
      <c r="J90" s="92">
        <v>7454.7</v>
      </c>
      <c r="K90" s="179" t="s">
        <v>161</v>
      </c>
      <c r="L90" s="180" t="str">
        <f>IF(NOT(ISBLANK(TransactionsTable[[#This Row],[Date]])),TEXT(TransactionsTable[[#This Row],[Date]],"mmmm-yy"),"")</f>
        <v>May-23</v>
      </c>
      <c r="M90" s="181" t="s">
        <v>193</v>
      </c>
      <c r="N90" s="180">
        <f>MONTH(TransactionsTable[[#This Row],[Date]])</f>
        <v>5</v>
      </c>
    </row>
    <row r="91" spans="3:14" ht="13.2" x14ac:dyDescent="0.25">
      <c r="C91" s="43">
        <v>45048</v>
      </c>
      <c r="D91" s="42" t="s">
        <v>316</v>
      </c>
      <c r="I91" s="178" t="s">
        <v>201</v>
      </c>
      <c r="J91" s="92">
        <v>7454.7</v>
      </c>
      <c r="K91" s="179" t="s">
        <v>161</v>
      </c>
      <c r="L91" s="180" t="str">
        <f>IF(NOT(ISBLANK(TransactionsTable[[#This Row],[Date]])),TEXT(TransactionsTable[[#This Row],[Date]],"mmmm-yy"),"")</f>
        <v>May-23</v>
      </c>
      <c r="M91" s="181" t="s">
        <v>193</v>
      </c>
      <c r="N91" s="180">
        <f>MONTH(TransactionsTable[[#This Row],[Date]])</f>
        <v>5</v>
      </c>
    </row>
    <row r="92" spans="3:14" ht="13.2" x14ac:dyDescent="0.25">
      <c r="C92" s="43">
        <v>45049</v>
      </c>
      <c r="D92" s="42" t="s">
        <v>216</v>
      </c>
      <c r="I92" s="178" t="s">
        <v>201</v>
      </c>
      <c r="J92" s="92">
        <v>2967.66</v>
      </c>
      <c r="K92" s="179" t="s">
        <v>162</v>
      </c>
      <c r="L92" s="180" t="str">
        <f>IF(NOT(ISBLANK(TransactionsTable[[#This Row],[Date]])),TEXT(TransactionsTable[[#This Row],[Date]],"mmmm-yy"),"")</f>
        <v>May-23</v>
      </c>
      <c r="M92" s="181" t="s">
        <v>193</v>
      </c>
      <c r="N92" s="180">
        <f>MONTH(TransactionsTable[[#This Row],[Date]])</f>
        <v>5</v>
      </c>
    </row>
    <row r="93" spans="3:14" ht="13.2" x14ac:dyDescent="0.25">
      <c r="C93" s="43">
        <v>45050</v>
      </c>
      <c r="D93" s="42" t="s">
        <v>217</v>
      </c>
      <c r="I93" s="183">
        <v>1100</v>
      </c>
      <c r="J93" s="42" t="s">
        <v>201</v>
      </c>
      <c r="K93" s="179" t="s">
        <v>159</v>
      </c>
      <c r="L93" s="180" t="str">
        <f>IF(NOT(ISBLANK(TransactionsTable[[#This Row],[Date]])),TEXT(TransactionsTable[[#This Row],[Date]],"mmmm-yy"),"")</f>
        <v>May-23</v>
      </c>
      <c r="M93" s="181" t="s">
        <v>193</v>
      </c>
      <c r="N93" s="180">
        <f>MONTH(TransactionsTable[[#This Row],[Date]])</f>
        <v>5</v>
      </c>
    </row>
    <row r="94" spans="3:14" ht="13.2" x14ac:dyDescent="0.25">
      <c r="C94" s="43">
        <v>45051</v>
      </c>
      <c r="D94" s="42" t="s">
        <v>217</v>
      </c>
      <c r="I94" s="178">
        <v>2500</v>
      </c>
      <c r="J94" s="92" t="s">
        <v>201</v>
      </c>
      <c r="K94" s="179" t="s">
        <v>159</v>
      </c>
      <c r="L94" s="180" t="str">
        <f>IF(NOT(ISBLANK(TransactionsTable[[#This Row],[Date]])),TEXT(TransactionsTable[[#This Row],[Date]],"mmmm-yy"),"")</f>
        <v>May-23</v>
      </c>
      <c r="M94" s="181" t="s">
        <v>193</v>
      </c>
      <c r="N94" s="180">
        <f>MONTH(TransactionsTable[[#This Row],[Date]])</f>
        <v>5</v>
      </c>
    </row>
    <row r="95" spans="3:14" ht="13.2" x14ac:dyDescent="0.25">
      <c r="C95" s="43">
        <v>45055</v>
      </c>
      <c r="D95" s="42" t="s">
        <v>217</v>
      </c>
      <c r="I95" s="178">
        <v>1200</v>
      </c>
      <c r="J95" s="92" t="s">
        <v>201</v>
      </c>
      <c r="K95" s="179" t="s">
        <v>159</v>
      </c>
      <c r="L95" s="180" t="str">
        <f>IF(NOT(ISBLANK(TransactionsTable[[#This Row],[Date]])),TEXT(TransactionsTable[[#This Row],[Date]],"mmmm-yy"),"")</f>
        <v>May-23</v>
      </c>
      <c r="M95" s="181" t="s">
        <v>193</v>
      </c>
      <c r="N95" s="180">
        <f>MONTH(TransactionsTable[[#This Row],[Date]])</f>
        <v>5</v>
      </c>
    </row>
    <row r="96" spans="3:14" ht="13.2" x14ac:dyDescent="0.25">
      <c r="C96" s="43">
        <v>45056</v>
      </c>
      <c r="D96" s="42" t="s">
        <v>317</v>
      </c>
      <c r="I96" s="178">
        <v>273.77</v>
      </c>
      <c r="J96" s="92" t="s">
        <v>201</v>
      </c>
      <c r="K96" s="179" t="s">
        <v>161</v>
      </c>
      <c r="L96" s="180" t="str">
        <f>IF(NOT(ISBLANK(TransactionsTable[[#This Row],[Date]])),TEXT(TransactionsTable[[#This Row],[Date]],"mmmm-yy"),"")</f>
        <v>May-23</v>
      </c>
      <c r="M96" s="181" t="s">
        <v>193</v>
      </c>
      <c r="N96" s="180">
        <f>MONTH(TransactionsTable[[#This Row],[Date]])</f>
        <v>5</v>
      </c>
    </row>
    <row r="97" spans="3:14" ht="13.2" x14ac:dyDescent="0.25">
      <c r="C97" s="43">
        <v>45058</v>
      </c>
      <c r="D97" s="42" t="s">
        <v>216</v>
      </c>
      <c r="I97" s="178" t="s">
        <v>201</v>
      </c>
      <c r="J97" s="92">
        <v>2944.63</v>
      </c>
      <c r="K97" s="179" t="s">
        <v>162</v>
      </c>
      <c r="L97" s="180" t="str">
        <f>IF(NOT(ISBLANK(TransactionsTable[[#This Row],[Date]])),TEXT(TransactionsTable[[#This Row],[Date]],"mmmm-yy"),"")</f>
        <v>May-23</v>
      </c>
      <c r="M97" s="181" t="s">
        <v>193</v>
      </c>
      <c r="N97" s="180">
        <f>MONTH(TransactionsTable[[#This Row],[Date]])</f>
        <v>5</v>
      </c>
    </row>
    <row r="98" spans="3:14" ht="13.2" x14ac:dyDescent="0.25">
      <c r="C98" s="43">
        <v>45063</v>
      </c>
      <c r="D98" s="42" t="s">
        <v>216</v>
      </c>
      <c r="I98" s="178" t="s">
        <v>201</v>
      </c>
      <c r="J98" s="92">
        <v>8923.35</v>
      </c>
      <c r="K98" s="179" t="s">
        <v>162</v>
      </c>
      <c r="L98" s="180" t="str">
        <f>IF(NOT(ISBLANK(TransactionsTable[[#This Row],[Date]])),TEXT(TransactionsTable[[#This Row],[Date]],"mmmm-yy"),"")</f>
        <v>May-23</v>
      </c>
      <c r="M98" s="181" t="s">
        <v>193</v>
      </c>
      <c r="N98" s="180">
        <f>MONTH(TransactionsTable[[#This Row],[Date]])</f>
        <v>5</v>
      </c>
    </row>
    <row r="99" spans="3:14" ht="13.2" x14ac:dyDescent="0.25">
      <c r="C99" s="43">
        <v>45063</v>
      </c>
      <c r="D99" s="42" t="s">
        <v>217</v>
      </c>
      <c r="I99" s="178">
        <v>880</v>
      </c>
      <c r="J99" s="92" t="s">
        <v>201</v>
      </c>
      <c r="K99" s="179" t="s">
        <v>159</v>
      </c>
      <c r="L99" s="180" t="str">
        <f>IF(NOT(ISBLANK(TransactionsTable[[#This Row],[Date]])),TEXT(TransactionsTable[[#This Row],[Date]],"mmmm-yy"),"")</f>
        <v>May-23</v>
      </c>
      <c r="M99" s="181" t="s">
        <v>193</v>
      </c>
      <c r="N99" s="180">
        <f>MONTH(TransactionsTable[[#This Row],[Date]])</f>
        <v>5</v>
      </c>
    </row>
    <row r="100" spans="3:14" ht="13.2" x14ac:dyDescent="0.25">
      <c r="C100" s="43">
        <v>45063</v>
      </c>
      <c r="D100" s="42" t="s">
        <v>318</v>
      </c>
      <c r="I100" s="183">
        <v>41.83</v>
      </c>
      <c r="J100" s="42" t="s">
        <v>201</v>
      </c>
      <c r="K100" s="179" t="s">
        <v>161</v>
      </c>
      <c r="L100" s="180" t="str">
        <f>IF(NOT(ISBLANK(TransactionsTable[[#This Row],[Date]])),TEXT(TransactionsTable[[#This Row],[Date]],"mmmm-yy"),"")</f>
        <v>May-23</v>
      </c>
      <c r="M100" s="181" t="s">
        <v>193</v>
      </c>
      <c r="N100" s="180">
        <f>MONTH(TransactionsTable[[#This Row],[Date]])</f>
        <v>5</v>
      </c>
    </row>
    <row r="101" spans="3:14" ht="13.2" x14ac:dyDescent="0.25">
      <c r="C101" s="43">
        <v>45063</v>
      </c>
      <c r="D101" s="42" t="s">
        <v>319</v>
      </c>
      <c r="I101" s="178">
        <v>1984.23</v>
      </c>
      <c r="J101" s="92" t="s">
        <v>201</v>
      </c>
      <c r="K101" s="179" t="s">
        <v>161</v>
      </c>
      <c r="L101" s="180" t="str">
        <f>IF(NOT(ISBLANK(TransactionsTable[[#This Row],[Date]])),TEXT(TransactionsTable[[#This Row],[Date]],"mmmm-yy"),"")</f>
        <v>May-23</v>
      </c>
      <c r="M101" s="181" t="s">
        <v>193</v>
      </c>
      <c r="N101" s="180">
        <f>MONTH(TransactionsTable[[#This Row],[Date]])</f>
        <v>5</v>
      </c>
    </row>
    <row r="102" spans="3:14" ht="13.2" x14ac:dyDescent="0.25">
      <c r="C102" s="43">
        <v>45069</v>
      </c>
      <c r="D102" s="42" t="s">
        <v>217</v>
      </c>
      <c r="I102" s="178">
        <v>535</v>
      </c>
      <c r="J102" s="92" t="s">
        <v>201</v>
      </c>
      <c r="K102" s="179" t="s">
        <v>159</v>
      </c>
      <c r="L102" s="180" t="str">
        <f>IF(NOT(ISBLANK(TransactionsTable[[#This Row],[Date]])),TEXT(TransactionsTable[[#This Row],[Date]],"mmmm-yy"),"")</f>
        <v>May-23</v>
      </c>
      <c r="M102" s="181" t="s">
        <v>193</v>
      </c>
      <c r="N102" s="180">
        <f>MONTH(TransactionsTable[[#This Row],[Date]])</f>
        <v>5</v>
      </c>
    </row>
    <row r="103" spans="3:14" ht="13.2" x14ac:dyDescent="0.25">
      <c r="C103" s="43">
        <v>45072</v>
      </c>
      <c r="D103" s="42" t="s">
        <v>320</v>
      </c>
      <c r="I103" s="178">
        <v>420.92</v>
      </c>
      <c r="J103" s="92" t="s">
        <v>201</v>
      </c>
      <c r="K103" s="179" t="s">
        <v>161</v>
      </c>
      <c r="L103" s="180" t="str">
        <f>IF(NOT(ISBLANK(TransactionsTable[[#This Row],[Date]])),TEXT(TransactionsTable[[#This Row],[Date]],"mmmm-yy"),"")</f>
        <v>May-23</v>
      </c>
      <c r="M103" s="181" t="s">
        <v>193</v>
      </c>
      <c r="N103" s="180">
        <f>MONTH(TransactionsTable[[#This Row],[Date]])</f>
        <v>5</v>
      </c>
    </row>
    <row r="104" spans="3:14" ht="13.2" x14ac:dyDescent="0.25">
      <c r="C104" s="43">
        <v>45077</v>
      </c>
      <c r="D104" s="42" t="s">
        <v>321</v>
      </c>
      <c r="I104" s="178">
        <v>646</v>
      </c>
      <c r="J104" s="92" t="s">
        <v>201</v>
      </c>
      <c r="K104" s="179" t="s">
        <v>161</v>
      </c>
      <c r="L104" s="180" t="str">
        <f>IF(NOT(ISBLANK(TransactionsTable[[#This Row],[Date]])),TEXT(TransactionsTable[[#This Row],[Date]],"mmmm-yy"),"")</f>
        <v>May-23</v>
      </c>
      <c r="M104" s="181" t="s">
        <v>193</v>
      </c>
      <c r="N104" s="180">
        <f>MONTH(TransactionsTable[[#This Row],[Date]])</f>
        <v>5</v>
      </c>
    </row>
    <row r="105" spans="3:14" ht="13.2" x14ac:dyDescent="0.25">
      <c r="C105" s="43">
        <v>45078</v>
      </c>
      <c r="D105" s="42" t="s">
        <v>443</v>
      </c>
      <c r="I105" s="178" t="s">
        <v>201</v>
      </c>
      <c r="J105" s="92">
        <v>7454.7</v>
      </c>
      <c r="K105" s="179" t="s">
        <v>161</v>
      </c>
      <c r="L105" s="180" t="str">
        <f>IF(NOT(ISBLANK(TransactionsTable[[#This Row],[Date]])),TEXT(TransactionsTable[[#This Row],[Date]],"mmmm-yy"),"")</f>
        <v>June-23</v>
      </c>
      <c r="M105" s="181" t="s">
        <v>193</v>
      </c>
      <c r="N105" s="180">
        <f>MONTH(TransactionsTable[[#This Row],[Date]])</f>
        <v>6</v>
      </c>
    </row>
    <row r="106" spans="3:14" ht="13.2" x14ac:dyDescent="0.25">
      <c r="C106" s="43">
        <v>45078</v>
      </c>
      <c r="D106" s="42" t="s">
        <v>444</v>
      </c>
      <c r="I106" s="178">
        <v>18708.78</v>
      </c>
      <c r="J106" s="92" t="s">
        <v>201</v>
      </c>
      <c r="K106" s="179" t="s">
        <v>160</v>
      </c>
      <c r="L106" s="180" t="str">
        <f>IF(NOT(ISBLANK(TransactionsTable[[#This Row],[Date]])),TEXT(TransactionsTable[[#This Row],[Date]],"mmmm-yy"),"")</f>
        <v>June-23</v>
      </c>
      <c r="M106" s="181" t="s">
        <v>193</v>
      </c>
      <c r="N106" s="180">
        <f>MONTH(TransactionsTable[[#This Row],[Date]])</f>
        <v>6</v>
      </c>
    </row>
    <row r="107" spans="3:14" ht="13.2" x14ac:dyDescent="0.25">
      <c r="C107" s="43">
        <v>45079</v>
      </c>
      <c r="D107" s="42" t="s">
        <v>217</v>
      </c>
      <c r="I107" s="178">
        <v>2500</v>
      </c>
      <c r="J107" s="92" t="s">
        <v>201</v>
      </c>
      <c r="K107" s="179" t="s">
        <v>159</v>
      </c>
      <c r="L107" s="180" t="str">
        <f>IF(NOT(ISBLANK(TransactionsTable[[#This Row],[Date]])),TEXT(TransactionsTable[[#This Row],[Date]],"mmmm-yy"),"")</f>
        <v>June-23</v>
      </c>
      <c r="M107" s="181" t="s">
        <v>193</v>
      </c>
      <c r="N107" s="180">
        <f>MONTH(TransactionsTable[[#This Row],[Date]])</f>
        <v>6</v>
      </c>
    </row>
    <row r="108" spans="3:14" ht="13.2" x14ac:dyDescent="0.25">
      <c r="C108" s="43">
        <v>45079</v>
      </c>
      <c r="D108" s="42" t="s">
        <v>445</v>
      </c>
      <c r="I108" s="178">
        <v>599.99</v>
      </c>
      <c r="J108" s="92" t="s">
        <v>201</v>
      </c>
      <c r="K108" s="179" t="s">
        <v>161</v>
      </c>
      <c r="L108" s="180" t="str">
        <f>IF(NOT(ISBLANK(TransactionsTable[[#This Row],[Date]])),TEXT(TransactionsTable[[#This Row],[Date]],"mmmm-yy"),"")</f>
        <v>June-23</v>
      </c>
      <c r="M108" s="181" t="s">
        <v>193</v>
      </c>
      <c r="N108" s="180">
        <f>MONTH(TransactionsTable[[#This Row],[Date]])</f>
        <v>6</v>
      </c>
    </row>
    <row r="109" spans="3:14" ht="13.2" x14ac:dyDescent="0.25">
      <c r="C109" s="43">
        <v>45082</v>
      </c>
      <c r="D109" s="42" t="s">
        <v>216</v>
      </c>
      <c r="I109" s="183" t="s">
        <v>201</v>
      </c>
      <c r="J109" s="42">
        <v>20836.59</v>
      </c>
      <c r="K109" s="179" t="s">
        <v>162</v>
      </c>
      <c r="L109" s="180" t="str">
        <f>IF(NOT(ISBLANK(TransactionsTable[[#This Row],[Date]])),TEXT(TransactionsTable[[#This Row],[Date]],"mmmm-yy"),"")</f>
        <v>June-23</v>
      </c>
      <c r="M109" s="181" t="s">
        <v>193</v>
      </c>
      <c r="N109" s="180">
        <f>MONTH(TransactionsTable[[#This Row],[Date]])</f>
        <v>6</v>
      </c>
    </row>
    <row r="110" spans="3:14" ht="13.2" x14ac:dyDescent="0.25">
      <c r="C110" s="43">
        <v>45082</v>
      </c>
      <c r="D110" s="42" t="s">
        <v>217</v>
      </c>
      <c r="I110" s="178">
        <v>1100.44</v>
      </c>
      <c r="J110" s="92" t="s">
        <v>201</v>
      </c>
      <c r="K110" s="179" t="s">
        <v>159</v>
      </c>
      <c r="L110" s="180" t="str">
        <f>IF(NOT(ISBLANK(TransactionsTable[[#This Row],[Date]])),TEXT(TransactionsTable[[#This Row],[Date]],"mmmm-yy"),"")</f>
        <v>June-23</v>
      </c>
      <c r="M110" s="181" t="s">
        <v>193</v>
      </c>
      <c r="N110" s="180">
        <f>MONTH(TransactionsTable[[#This Row],[Date]])</f>
        <v>6</v>
      </c>
    </row>
    <row r="111" spans="3:14" ht="13.2" x14ac:dyDescent="0.25">
      <c r="C111" s="43">
        <v>45083</v>
      </c>
      <c r="D111" s="42" t="s">
        <v>330</v>
      </c>
      <c r="I111" s="178" t="s">
        <v>201</v>
      </c>
      <c r="J111" s="92">
        <v>0.4</v>
      </c>
      <c r="K111" s="179" t="s">
        <v>161</v>
      </c>
      <c r="L111" s="180" t="str">
        <f>IF(NOT(ISBLANK(TransactionsTable[[#This Row],[Date]])),TEXT(TransactionsTable[[#This Row],[Date]],"mmmm-yy"),"")</f>
        <v>June-23</v>
      </c>
      <c r="M111" s="181" t="s">
        <v>193</v>
      </c>
      <c r="N111" s="180">
        <f>MONTH(TransactionsTable[[#This Row],[Date]])</f>
        <v>6</v>
      </c>
    </row>
    <row r="112" spans="3:14" ht="13.2" x14ac:dyDescent="0.25">
      <c r="C112" s="43">
        <v>45083</v>
      </c>
      <c r="D112" s="42" t="s">
        <v>446</v>
      </c>
      <c r="I112" s="178">
        <v>780</v>
      </c>
      <c r="J112" s="92" t="s">
        <v>201</v>
      </c>
      <c r="K112" s="179" t="s">
        <v>161</v>
      </c>
      <c r="L112" s="180" t="str">
        <f>IF(NOT(ISBLANK(TransactionsTable[[#This Row],[Date]])),TEXT(TransactionsTable[[#This Row],[Date]],"mmmm-yy"),"")</f>
        <v>June-23</v>
      </c>
      <c r="M112" s="181" t="s">
        <v>193</v>
      </c>
      <c r="N112" s="180">
        <f>MONTH(TransactionsTable[[#This Row],[Date]])</f>
        <v>6</v>
      </c>
    </row>
    <row r="113" spans="3:14" ht="13.2" x14ac:dyDescent="0.25">
      <c r="C113" s="43">
        <v>45085</v>
      </c>
      <c r="D113" s="42" t="s">
        <v>216</v>
      </c>
      <c r="I113" s="178" t="s">
        <v>201</v>
      </c>
      <c r="J113" s="92">
        <v>42961.279999999999</v>
      </c>
      <c r="K113" s="179" t="s">
        <v>162</v>
      </c>
      <c r="L113" s="180" t="str">
        <f>IF(NOT(ISBLANK(TransactionsTable[[#This Row],[Date]])),TEXT(TransactionsTable[[#This Row],[Date]],"mmmm-yy"),"")</f>
        <v>June-23</v>
      </c>
      <c r="M113" s="181" t="s">
        <v>193</v>
      </c>
      <c r="N113" s="180">
        <f>MONTH(TransactionsTable[[#This Row],[Date]])</f>
        <v>6</v>
      </c>
    </row>
    <row r="114" spans="3:14" ht="13.2" x14ac:dyDescent="0.25">
      <c r="C114" s="43">
        <v>45085</v>
      </c>
      <c r="D114" s="42" t="s">
        <v>217</v>
      </c>
      <c r="I114" s="178">
        <v>1200</v>
      </c>
      <c r="J114" s="92" t="s">
        <v>201</v>
      </c>
      <c r="K114" s="179" t="s">
        <v>159</v>
      </c>
      <c r="L114" s="180" t="str">
        <f>IF(NOT(ISBLANK(TransactionsTable[[#This Row],[Date]])),TEXT(TransactionsTable[[#This Row],[Date]],"mmmm-yy"),"")</f>
        <v>June-23</v>
      </c>
      <c r="M114" s="181" t="s">
        <v>193</v>
      </c>
      <c r="N114" s="180">
        <f>MONTH(TransactionsTable[[#This Row],[Date]])</f>
        <v>6</v>
      </c>
    </row>
    <row r="115" spans="3:14" ht="13.2" x14ac:dyDescent="0.25">
      <c r="C115" s="43">
        <v>45086</v>
      </c>
      <c r="D115" s="42" t="s">
        <v>214</v>
      </c>
      <c r="I115" s="178">
        <v>2537.64</v>
      </c>
      <c r="J115" s="92" t="s">
        <v>201</v>
      </c>
      <c r="K115" s="179" t="s">
        <v>159</v>
      </c>
      <c r="L115" s="180" t="str">
        <f>IF(NOT(ISBLANK(TransactionsTable[[#This Row],[Date]])),TEXT(TransactionsTable[[#This Row],[Date]],"mmmm-yy"),"")</f>
        <v>June-23</v>
      </c>
      <c r="M115" s="181" t="s">
        <v>193</v>
      </c>
      <c r="N115" s="180">
        <f>MONTH(TransactionsTable[[#This Row],[Date]])</f>
        <v>6</v>
      </c>
    </row>
    <row r="116" spans="3:14" ht="13.2" x14ac:dyDescent="0.25">
      <c r="C116" s="43">
        <v>45091</v>
      </c>
      <c r="D116" s="42" t="s">
        <v>216</v>
      </c>
      <c r="I116" s="178" t="s">
        <v>201</v>
      </c>
      <c r="J116" s="92">
        <v>2944.63</v>
      </c>
      <c r="K116" s="179" t="s">
        <v>162</v>
      </c>
      <c r="L116" s="180" t="str">
        <f>IF(NOT(ISBLANK(TransactionsTable[[#This Row],[Date]])),TEXT(TransactionsTable[[#This Row],[Date]],"mmmm-yy"),"")</f>
        <v>June-23</v>
      </c>
      <c r="M116" s="181" t="s">
        <v>193</v>
      </c>
      <c r="N116" s="180">
        <f>MONTH(TransactionsTable[[#This Row],[Date]])</f>
        <v>6</v>
      </c>
    </row>
    <row r="117" spans="3:14" ht="13.2" x14ac:dyDescent="0.25">
      <c r="C117" s="43">
        <v>45092</v>
      </c>
      <c r="D117" s="42" t="s">
        <v>214</v>
      </c>
      <c r="I117" s="178">
        <v>3148.64</v>
      </c>
      <c r="J117" s="92" t="s">
        <v>201</v>
      </c>
      <c r="K117" s="179" t="s">
        <v>159</v>
      </c>
      <c r="L117" s="180" t="str">
        <f>IF(NOT(ISBLANK(TransactionsTable[[#This Row],[Date]])),TEXT(TransactionsTable[[#This Row],[Date]],"mmmm-yy"),"")</f>
        <v>June-23</v>
      </c>
      <c r="M117" s="181" t="s">
        <v>193</v>
      </c>
      <c r="N117" s="180">
        <f>MONTH(TransactionsTable[[#This Row],[Date]])</f>
        <v>6</v>
      </c>
    </row>
    <row r="118" spans="3:14" ht="13.2" x14ac:dyDescent="0.25">
      <c r="C118" s="43">
        <v>45093</v>
      </c>
      <c r="D118" s="42" t="s">
        <v>447</v>
      </c>
      <c r="I118" s="178">
        <v>32.85</v>
      </c>
      <c r="J118" s="92" t="s">
        <v>201</v>
      </c>
      <c r="K118" s="179" t="s">
        <v>161</v>
      </c>
      <c r="L118" s="180" t="str">
        <f>IF(NOT(ISBLANK(TransactionsTable[[#This Row],[Date]])),TEXT(TransactionsTable[[#This Row],[Date]],"mmmm-yy"),"")</f>
        <v>June-23</v>
      </c>
      <c r="M118" s="181" t="s">
        <v>193</v>
      </c>
      <c r="N118" s="180">
        <f>MONTH(TransactionsTable[[#This Row],[Date]])</f>
        <v>6</v>
      </c>
    </row>
    <row r="119" spans="3:14" ht="13.2" x14ac:dyDescent="0.25">
      <c r="C119" s="43">
        <v>45093</v>
      </c>
      <c r="D119" s="42" t="s">
        <v>238</v>
      </c>
      <c r="I119" s="178">
        <v>264.68</v>
      </c>
      <c r="J119" s="92" t="s">
        <v>201</v>
      </c>
      <c r="K119" s="179" t="s">
        <v>161</v>
      </c>
      <c r="L119" s="180" t="str">
        <f>IF(NOT(ISBLANK(TransactionsTable[[#This Row],[Date]])),TEXT(TransactionsTable[[#This Row],[Date]],"mmmm-yy"),"")</f>
        <v>June-23</v>
      </c>
      <c r="M119" s="181" t="s">
        <v>193</v>
      </c>
      <c r="N119" s="180">
        <f>MONTH(TransactionsTable[[#This Row],[Date]])</f>
        <v>6</v>
      </c>
    </row>
    <row r="120" spans="3:14" ht="13.2" x14ac:dyDescent="0.25">
      <c r="C120" s="43">
        <v>45093</v>
      </c>
      <c r="D120" s="42" t="s">
        <v>448</v>
      </c>
      <c r="I120" s="178">
        <v>1793.7</v>
      </c>
      <c r="J120" s="92" t="s">
        <v>201</v>
      </c>
      <c r="K120" s="179" t="s">
        <v>161</v>
      </c>
      <c r="L120" s="180" t="str">
        <f>IF(NOT(ISBLANK(TransactionsTable[[#This Row],[Date]])),TEXT(TransactionsTable[[#This Row],[Date]],"mmmm-yy"),"")</f>
        <v>June-23</v>
      </c>
      <c r="M120" s="181" t="s">
        <v>193</v>
      </c>
      <c r="N120" s="180">
        <f>MONTH(TransactionsTable[[#This Row],[Date]])</f>
        <v>6</v>
      </c>
    </row>
    <row r="121" spans="3:14" ht="13.2" x14ac:dyDescent="0.25">
      <c r="C121" s="43">
        <v>45098</v>
      </c>
      <c r="D121" s="42" t="s">
        <v>217</v>
      </c>
      <c r="I121" s="183">
        <v>2468.77</v>
      </c>
      <c r="J121" s="42" t="s">
        <v>201</v>
      </c>
      <c r="K121" s="179" t="s">
        <v>159</v>
      </c>
      <c r="L121" s="180" t="str">
        <f>IF(NOT(ISBLANK(TransactionsTable[[#This Row],[Date]])),TEXT(TransactionsTable[[#This Row],[Date]],"mmmm-yy"),"")</f>
        <v>June-23</v>
      </c>
      <c r="M121" s="181" t="s">
        <v>193</v>
      </c>
      <c r="N121" s="180">
        <f>MONTH(TransactionsTable[[#This Row],[Date]])</f>
        <v>6</v>
      </c>
    </row>
    <row r="122" spans="3:14" ht="13.2" x14ac:dyDescent="0.25">
      <c r="C122" s="43">
        <v>45103</v>
      </c>
      <c r="D122" s="42" t="s">
        <v>449</v>
      </c>
      <c r="I122" s="183">
        <v>175.93</v>
      </c>
      <c r="J122" s="42" t="s">
        <v>201</v>
      </c>
      <c r="K122" s="179" t="s">
        <v>161</v>
      </c>
      <c r="L122" s="180" t="str">
        <f>IF(NOT(ISBLANK(TransactionsTable[[#This Row],[Date]])),TEXT(TransactionsTable[[#This Row],[Date]],"mmmm-yy"),"")</f>
        <v>June-23</v>
      </c>
      <c r="M122" s="181" t="s">
        <v>193</v>
      </c>
      <c r="N122" s="180">
        <f>MONTH(TransactionsTable[[#This Row],[Date]])</f>
        <v>6</v>
      </c>
    </row>
    <row r="123" spans="3:14" ht="13.2" x14ac:dyDescent="0.25">
      <c r="C123" s="43">
        <v>45104</v>
      </c>
      <c r="D123" s="42" t="s">
        <v>214</v>
      </c>
      <c r="I123" s="178">
        <v>5600</v>
      </c>
      <c r="J123" s="92" t="s">
        <v>201</v>
      </c>
      <c r="K123" s="179" t="s">
        <v>159</v>
      </c>
      <c r="L123" s="180" t="str">
        <f>IF(NOT(ISBLANK(TransactionsTable[[#This Row],[Date]])),TEXT(TransactionsTable[[#This Row],[Date]],"mmmm-yy"),"")</f>
        <v>June-23</v>
      </c>
      <c r="M123" s="181" t="s">
        <v>193</v>
      </c>
      <c r="N123" s="180">
        <f>MONTH(TransactionsTable[[#This Row],[Date]])</f>
        <v>6</v>
      </c>
    </row>
    <row r="124" spans="3:14" ht="13.2" x14ac:dyDescent="0.25">
      <c r="C124" s="43">
        <v>45106</v>
      </c>
      <c r="D124" s="42" t="s">
        <v>450</v>
      </c>
      <c r="I124" s="178">
        <v>646</v>
      </c>
      <c r="J124" s="92" t="s">
        <v>201</v>
      </c>
      <c r="K124" s="179" t="s">
        <v>161</v>
      </c>
      <c r="L124" s="180" t="str">
        <f>IF(NOT(ISBLANK(TransactionsTable[[#This Row],[Date]])),TEXT(TransactionsTable[[#This Row],[Date]],"mmmm-yy"),"")</f>
        <v>June-23</v>
      </c>
      <c r="M124" s="181" t="s">
        <v>193</v>
      </c>
      <c r="N124" s="180">
        <f>MONTH(TransactionsTable[[#This Row],[Date]])</f>
        <v>6</v>
      </c>
    </row>
    <row r="125" spans="3:14" ht="13.2" x14ac:dyDescent="0.25">
      <c r="C125" s="43">
        <v>45107</v>
      </c>
      <c r="D125" s="42" t="s">
        <v>451</v>
      </c>
      <c r="I125" s="178" t="s">
        <v>201</v>
      </c>
      <c r="J125" s="92">
        <v>7454.7</v>
      </c>
      <c r="K125" s="179" t="s">
        <v>161</v>
      </c>
      <c r="L125" s="180" t="str">
        <f>IF(NOT(ISBLANK(TransactionsTable[[#This Row],[Date]])),TEXT(TransactionsTable[[#This Row],[Date]],"mmmm-yy"),"")</f>
        <v>June-23</v>
      </c>
      <c r="M125" s="181" t="s">
        <v>193</v>
      </c>
      <c r="N125" s="180">
        <f>MONTH(TransactionsTable[[#This Row],[Date]])</f>
        <v>6</v>
      </c>
    </row>
    <row r="126" spans="3:14" ht="13.2" x14ac:dyDescent="0.25">
      <c r="C126" s="185">
        <v>45110</v>
      </c>
      <c r="D126" s="42" t="s">
        <v>444</v>
      </c>
      <c r="I126" s="178">
        <v>18708.78</v>
      </c>
      <c r="J126" s="41" t="s">
        <v>201</v>
      </c>
      <c r="K126" s="179" t="s">
        <v>160</v>
      </c>
      <c r="L126" s="180" t="str">
        <f>IF(NOT(ISBLANK(TransactionsTable[[#This Row],[Date]])),TEXT(TransactionsTable[[#This Row],[Date]],"mmmm-yy"),"")</f>
        <v>July-23</v>
      </c>
      <c r="M126" s="181"/>
      <c r="N126" s="180">
        <f>MONTH(TransactionsTable[[#This Row],[Date]])</f>
        <v>7</v>
      </c>
    </row>
    <row r="127" spans="3:14" ht="13.2" x14ac:dyDescent="0.25">
      <c r="C127" s="185">
        <v>45120</v>
      </c>
      <c r="D127" s="42" t="s">
        <v>238</v>
      </c>
      <c r="I127" s="178">
        <v>250.75</v>
      </c>
      <c r="J127" s="41" t="s">
        <v>201</v>
      </c>
      <c r="K127" s="179" t="s">
        <v>161</v>
      </c>
      <c r="L127" s="180" t="str">
        <f>IF(NOT(ISBLANK(TransactionsTable[[#This Row],[Date]])),TEXT(TransactionsTable[[#This Row],[Date]],"mmmm-yy"),"")</f>
        <v>July-23</v>
      </c>
      <c r="M127" s="181"/>
      <c r="N127" s="180">
        <f>MONTH(TransactionsTable[[#This Row],[Date]])</f>
        <v>7</v>
      </c>
    </row>
    <row r="128" spans="3:14" ht="13.2" x14ac:dyDescent="0.25">
      <c r="C128" s="185">
        <v>45124</v>
      </c>
      <c r="D128" s="42" t="s">
        <v>216</v>
      </c>
      <c r="I128" s="178" t="s">
        <v>201</v>
      </c>
      <c r="J128" s="41">
        <v>14572.2</v>
      </c>
      <c r="K128" s="179" t="s">
        <v>162</v>
      </c>
      <c r="L128" s="180" t="str">
        <f>IF(NOT(ISBLANK(TransactionsTable[[#This Row],[Date]])),TEXT(TransactionsTable[[#This Row],[Date]],"mmmm-yy"),"")</f>
        <v>July-23</v>
      </c>
      <c r="M128" s="181"/>
      <c r="N128" s="180">
        <f>MONTH(TransactionsTable[[#This Row],[Date]])</f>
        <v>7</v>
      </c>
    </row>
    <row r="129" spans="3:14" ht="13.2" x14ac:dyDescent="0.25">
      <c r="C129" s="185">
        <v>45124</v>
      </c>
      <c r="D129" s="42" t="s">
        <v>495</v>
      </c>
      <c r="I129" s="178">
        <v>46.21</v>
      </c>
      <c r="J129" s="41" t="s">
        <v>201</v>
      </c>
      <c r="K129" s="179" t="s">
        <v>161</v>
      </c>
      <c r="L129" s="180" t="str">
        <f>IF(NOT(ISBLANK(TransactionsTable[[#This Row],[Date]])),TEXT(TransactionsTable[[#This Row],[Date]],"mmmm-yy"),"")</f>
        <v>July-23</v>
      </c>
      <c r="M129" s="181"/>
      <c r="N129" s="180">
        <f>MONTH(TransactionsTable[[#This Row],[Date]])</f>
        <v>7</v>
      </c>
    </row>
    <row r="130" spans="3:14" ht="13.2" x14ac:dyDescent="0.25">
      <c r="C130" s="185">
        <v>45131</v>
      </c>
      <c r="D130" s="42" t="s">
        <v>496</v>
      </c>
      <c r="I130" s="178">
        <v>71.989999999999995</v>
      </c>
      <c r="J130" s="41" t="s">
        <v>201</v>
      </c>
      <c r="K130" s="179" t="s">
        <v>161</v>
      </c>
      <c r="L130" s="180" t="str">
        <f>IF(NOT(ISBLANK(TransactionsTable[[#This Row],[Date]])),TEXT(TransactionsTable[[#This Row],[Date]],"mmmm-yy"),"")</f>
        <v>July-23</v>
      </c>
      <c r="M130" s="181"/>
      <c r="N130" s="180">
        <f>MONTH(TransactionsTable[[#This Row],[Date]])</f>
        <v>7</v>
      </c>
    </row>
    <row r="131" spans="3:14" ht="13.2" x14ac:dyDescent="0.25">
      <c r="C131" s="185">
        <v>45131</v>
      </c>
      <c r="D131" s="42" t="s">
        <v>497</v>
      </c>
      <c r="I131" s="178">
        <v>351.86</v>
      </c>
      <c r="J131" s="41" t="s">
        <v>201</v>
      </c>
      <c r="K131" s="179" t="s">
        <v>161</v>
      </c>
      <c r="L131" s="180" t="str">
        <f>IF(NOT(ISBLANK(TransactionsTable[[#This Row],[Date]])),TEXT(TransactionsTable[[#This Row],[Date]],"mmmm-yy"),"")</f>
        <v>July-23</v>
      </c>
      <c r="M131" s="181"/>
      <c r="N131" s="180">
        <f>MONTH(TransactionsTable[[#This Row],[Date]])</f>
        <v>7</v>
      </c>
    </row>
    <row r="132" spans="3:14" ht="13.2" x14ac:dyDescent="0.25">
      <c r="C132" s="185">
        <v>45131</v>
      </c>
      <c r="D132" s="42" t="s">
        <v>498</v>
      </c>
      <c r="I132" s="178">
        <v>635.32000000000005</v>
      </c>
      <c r="J132" s="41" t="s">
        <v>201</v>
      </c>
      <c r="K132" s="179" t="s">
        <v>161</v>
      </c>
      <c r="L132" s="180" t="str">
        <f>IF(NOT(ISBLANK(TransactionsTable[[#This Row],[Date]])),TEXT(TransactionsTable[[#This Row],[Date]],"mmmm-yy"),"")</f>
        <v>July-23</v>
      </c>
      <c r="M132" s="181"/>
      <c r="N132" s="180">
        <f>MONTH(TransactionsTable[[#This Row],[Date]])</f>
        <v>7</v>
      </c>
    </row>
    <row r="133" spans="3:14" ht="13.2" x14ac:dyDescent="0.25">
      <c r="C133" s="185">
        <v>45131</v>
      </c>
      <c r="D133" s="42" t="s">
        <v>499</v>
      </c>
      <c r="I133" s="178">
        <v>1199.98</v>
      </c>
      <c r="J133" s="41" t="s">
        <v>201</v>
      </c>
      <c r="K133" s="179" t="s">
        <v>161</v>
      </c>
      <c r="L133" s="180" t="str">
        <f>IF(NOT(ISBLANK(TransactionsTable[[#This Row],[Date]])),TEXT(TransactionsTable[[#This Row],[Date]],"mmmm-yy"),"")</f>
        <v>July-23</v>
      </c>
      <c r="M133" s="181"/>
      <c r="N133" s="180">
        <f>MONTH(TransactionsTable[[#This Row],[Date]])</f>
        <v>7</v>
      </c>
    </row>
    <row r="134" spans="3:14" ht="13.2" x14ac:dyDescent="0.25">
      <c r="C134" s="185">
        <v>45133</v>
      </c>
      <c r="D134" s="42" t="s">
        <v>217</v>
      </c>
      <c r="I134" s="178">
        <v>2200</v>
      </c>
      <c r="J134" s="41" t="s">
        <v>201</v>
      </c>
      <c r="K134" s="179" t="s">
        <v>159</v>
      </c>
      <c r="L134" s="180" t="str">
        <f>IF(NOT(ISBLANK(TransactionsTable[[#This Row],[Date]])),TEXT(TransactionsTable[[#This Row],[Date]],"mmmm-yy"),"")</f>
        <v>July-23</v>
      </c>
      <c r="M134" s="181"/>
      <c r="N134" s="180">
        <f>MONTH(TransactionsTable[[#This Row],[Date]])</f>
        <v>7</v>
      </c>
    </row>
    <row r="135" spans="3:14" ht="13.2" x14ac:dyDescent="0.25">
      <c r="C135" s="185">
        <v>45133</v>
      </c>
      <c r="D135" s="42" t="s">
        <v>500</v>
      </c>
      <c r="I135" s="178">
        <v>2096.87</v>
      </c>
      <c r="J135" s="41" t="s">
        <v>201</v>
      </c>
      <c r="K135" s="179" t="s">
        <v>161</v>
      </c>
      <c r="L135" s="180" t="str">
        <f>IF(NOT(ISBLANK(TransactionsTable[[#This Row],[Date]])),TEXT(TransactionsTable[[#This Row],[Date]],"mmmm-yy"),"")</f>
        <v>July-23</v>
      </c>
      <c r="M135" s="181"/>
      <c r="N135" s="180">
        <f>MONTH(TransactionsTable[[#This Row],[Date]])</f>
        <v>7</v>
      </c>
    </row>
    <row r="136" spans="3:14" ht="13.2" x14ac:dyDescent="0.25">
      <c r="C136" s="185">
        <v>45134</v>
      </c>
      <c r="D136" s="42" t="s">
        <v>501</v>
      </c>
      <c r="I136" s="178">
        <v>610</v>
      </c>
      <c r="J136" s="41" t="s">
        <v>201</v>
      </c>
      <c r="K136" s="179" t="s">
        <v>161</v>
      </c>
      <c r="L136" s="180" t="str">
        <f>IF(NOT(ISBLANK(TransactionsTable[[#This Row],[Date]])),TEXT(TransactionsTable[[#This Row],[Date]],"mmmm-yy"),"")</f>
        <v>July-23</v>
      </c>
      <c r="M136" s="181"/>
      <c r="N136" s="180">
        <f>MONTH(TransactionsTable[[#This Row],[Date]])</f>
        <v>7</v>
      </c>
    </row>
    <row r="137" spans="3:14" ht="13.2" x14ac:dyDescent="0.25">
      <c r="C137" s="185">
        <v>45135</v>
      </c>
      <c r="D137" s="42" t="s">
        <v>214</v>
      </c>
      <c r="I137" s="178">
        <v>7648.64</v>
      </c>
      <c r="J137" s="41" t="s">
        <v>201</v>
      </c>
      <c r="K137" s="179" t="s">
        <v>159</v>
      </c>
      <c r="L137" s="180" t="str">
        <f>IF(NOT(ISBLANK(TransactionsTable[[#This Row],[Date]])),TEXT(TransactionsTable[[#This Row],[Date]],"mmmm-yy"),"")</f>
        <v>July-23</v>
      </c>
      <c r="M137" s="181"/>
      <c r="N137" s="180">
        <f>MONTH(TransactionsTable[[#This Row],[Date]])</f>
        <v>7</v>
      </c>
    </row>
    <row r="138" spans="3:14" ht="13.2" x14ac:dyDescent="0.25">
      <c r="C138" s="185">
        <v>45138</v>
      </c>
      <c r="D138" s="42" t="s">
        <v>216</v>
      </c>
      <c r="I138" s="178" t="s">
        <v>201</v>
      </c>
      <c r="J138" s="41">
        <v>5374.63</v>
      </c>
      <c r="K138" s="179" t="s">
        <v>162</v>
      </c>
      <c r="L138" s="180" t="str">
        <f>IF(NOT(ISBLANK(TransactionsTable[[#This Row],[Date]])),TEXT(TransactionsTable[[#This Row],[Date]],"mmmm-yy"),"")</f>
        <v>July-23</v>
      </c>
      <c r="M138" s="181"/>
      <c r="N138" s="180">
        <f>MONTH(TransactionsTable[[#This Row],[Date]])</f>
        <v>7</v>
      </c>
    </row>
    <row r="139" spans="3:14" ht="13.2" x14ac:dyDescent="0.25">
      <c r="C139" s="185">
        <v>45138</v>
      </c>
      <c r="D139" s="42" t="s">
        <v>502</v>
      </c>
      <c r="I139" s="178">
        <v>635</v>
      </c>
      <c r="K139" s="179" t="s">
        <v>161</v>
      </c>
      <c r="L139" s="180" t="str">
        <f>IF(NOT(ISBLANK(TransactionsTable[[#This Row],[Date]])),TEXT(TransactionsTable[[#This Row],[Date]],"mmmm-yy"),"")</f>
        <v>July-23</v>
      </c>
      <c r="M139" s="181"/>
      <c r="N139" s="180">
        <f>MONTH(TransactionsTable[[#This Row],[Date]])</f>
        <v>7</v>
      </c>
    </row>
    <row r="140" spans="3:14" ht="13.2" x14ac:dyDescent="0.25">
      <c r="C140" s="43">
        <v>45139</v>
      </c>
      <c r="D140" s="42" t="s">
        <v>452</v>
      </c>
      <c r="I140" s="178"/>
      <c r="J140" s="183">
        <v>7454.7</v>
      </c>
      <c r="K140" s="179" t="s">
        <v>161</v>
      </c>
      <c r="L140" s="180" t="str">
        <f>IF(NOT(ISBLANK(TransactionsTable[[#This Row],[Date]])),TEXT(TransactionsTable[[#This Row],[Date]],"mmmm-yy"),"")</f>
        <v>August-23</v>
      </c>
      <c r="M140" s="181" t="s">
        <v>193</v>
      </c>
      <c r="N140" s="180">
        <f>MONTH(TransactionsTable[[#This Row],[Date]])</f>
        <v>8</v>
      </c>
    </row>
    <row r="141" spans="3:14" ht="13.2" x14ac:dyDescent="0.25">
      <c r="C141" s="43">
        <v>45139</v>
      </c>
      <c r="D141" s="42" t="s">
        <v>217</v>
      </c>
      <c r="I141" s="178">
        <v>4500</v>
      </c>
      <c r="J141" s="92" t="s">
        <v>201</v>
      </c>
      <c r="K141" s="179" t="s">
        <v>159</v>
      </c>
      <c r="L141" s="180" t="str">
        <f>IF(NOT(ISBLANK(TransactionsTable[[#This Row],[Date]])),TEXT(TransactionsTable[[#This Row],[Date]],"mmmm-yy"),"")</f>
        <v>August-23</v>
      </c>
      <c r="M141" s="181" t="s">
        <v>193</v>
      </c>
      <c r="N141" s="180">
        <f>MONTH(TransactionsTable[[#This Row],[Date]])</f>
        <v>8</v>
      </c>
    </row>
    <row r="142" spans="3:14" ht="13.2" x14ac:dyDescent="0.25">
      <c r="C142" s="43">
        <v>45139</v>
      </c>
      <c r="D142" s="42" t="s">
        <v>444</v>
      </c>
      <c r="I142" s="178">
        <v>18708.78</v>
      </c>
      <c r="J142" s="92" t="s">
        <v>201</v>
      </c>
      <c r="K142" s="179" t="s">
        <v>160</v>
      </c>
      <c r="L142" s="180" t="str">
        <f>IF(NOT(ISBLANK(TransactionsTable[[#This Row],[Date]])),TEXT(TransactionsTable[[#This Row],[Date]],"mmmm-yy"),"")</f>
        <v>August-23</v>
      </c>
      <c r="M142" s="181" t="s">
        <v>193</v>
      </c>
      <c r="N142" s="180">
        <f>MONTH(TransactionsTable[[#This Row],[Date]])</f>
        <v>8</v>
      </c>
    </row>
    <row r="143" spans="3:14" ht="13.2" x14ac:dyDescent="0.25">
      <c r="C143" s="43">
        <v>45140</v>
      </c>
      <c r="D143" s="42" t="s">
        <v>216</v>
      </c>
      <c r="I143" s="178" t="s">
        <v>201</v>
      </c>
      <c r="J143" s="92">
        <v>6252.94</v>
      </c>
      <c r="K143" s="179" t="s">
        <v>162</v>
      </c>
      <c r="L143" s="180" t="str">
        <f>IF(NOT(ISBLANK(TransactionsTable[[#This Row],[Date]])),TEXT(TransactionsTable[[#This Row],[Date]],"mmmm-yy"),"")</f>
        <v>August-23</v>
      </c>
      <c r="M143" s="181" t="s">
        <v>193</v>
      </c>
      <c r="N143" s="180">
        <f>MONTH(TransactionsTable[[#This Row],[Date]])</f>
        <v>8</v>
      </c>
    </row>
    <row r="144" spans="3:14" ht="13.2" x14ac:dyDescent="0.25">
      <c r="C144" s="43">
        <v>45140</v>
      </c>
      <c r="D144" s="42" t="s">
        <v>217</v>
      </c>
      <c r="I144" s="178">
        <v>680.41</v>
      </c>
      <c r="J144" s="92" t="s">
        <v>201</v>
      </c>
      <c r="K144" s="179" t="s">
        <v>159</v>
      </c>
      <c r="L144" s="180" t="str">
        <f>IF(NOT(ISBLANK(TransactionsTable[[#This Row],[Date]])),TEXT(TransactionsTable[[#This Row],[Date]],"mmmm-yy"),"")</f>
        <v>August-23</v>
      </c>
      <c r="M144" s="181" t="s">
        <v>193</v>
      </c>
      <c r="N144" s="180">
        <f>MONTH(TransactionsTable[[#This Row],[Date]])</f>
        <v>8</v>
      </c>
    </row>
    <row r="145" spans="3:14" ht="13.2" x14ac:dyDescent="0.25">
      <c r="C145" s="43">
        <v>45140</v>
      </c>
      <c r="D145" s="42" t="s">
        <v>453</v>
      </c>
      <c r="I145" s="178">
        <v>175.93</v>
      </c>
      <c r="J145" s="92" t="s">
        <v>201</v>
      </c>
      <c r="K145" s="179" t="s">
        <v>161</v>
      </c>
      <c r="L145" s="180" t="str">
        <f>IF(NOT(ISBLANK(TransactionsTable[[#This Row],[Date]])),TEXT(TransactionsTable[[#This Row],[Date]],"mmmm-yy"),"")</f>
        <v>August-23</v>
      </c>
      <c r="M145" s="181" t="s">
        <v>193</v>
      </c>
      <c r="N145" s="180">
        <f>MONTH(TransactionsTable[[#This Row],[Date]])</f>
        <v>8</v>
      </c>
    </row>
    <row r="146" spans="3:14" ht="13.2" x14ac:dyDescent="0.25">
      <c r="C146" s="43">
        <v>45140</v>
      </c>
      <c r="D146" s="42" t="s">
        <v>454</v>
      </c>
      <c r="I146" s="178">
        <v>599.99</v>
      </c>
      <c r="J146" s="92" t="s">
        <v>201</v>
      </c>
      <c r="K146" s="179" t="s">
        <v>161</v>
      </c>
      <c r="L146" s="180" t="str">
        <f>IF(NOT(ISBLANK(TransactionsTable[[#This Row],[Date]])),TEXT(TransactionsTable[[#This Row],[Date]],"mmmm-yy"),"")</f>
        <v>August-23</v>
      </c>
      <c r="M146" s="181" t="s">
        <v>193</v>
      </c>
      <c r="N146" s="180">
        <f>MONTH(TransactionsTable[[#This Row],[Date]])</f>
        <v>8</v>
      </c>
    </row>
    <row r="147" spans="3:14" ht="13.2" x14ac:dyDescent="0.25">
      <c r="C147" s="43">
        <v>45141</v>
      </c>
      <c r="D147" s="42" t="s">
        <v>217</v>
      </c>
      <c r="I147" s="178">
        <v>710.12</v>
      </c>
      <c r="J147" s="92" t="s">
        <v>201</v>
      </c>
      <c r="K147" s="179" t="s">
        <v>159</v>
      </c>
      <c r="L147" s="180" t="str">
        <f>IF(NOT(ISBLANK(TransactionsTable[[#This Row],[Date]])),TEXT(TransactionsTable[[#This Row],[Date]],"mmmm-yy"),"")</f>
        <v>August-23</v>
      </c>
      <c r="M147" s="181" t="s">
        <v>193</v>
      </c>
      <c r="N147" s="180">
        <f>MONTH(TransactionsTable[[#This Row],[Date]])</f>
        <v>8</v>
      </c>
    </row>
    <row r="148" spans="3:14" ht="13.2" x14ac:dyDescent="0.25">
      <c r="C148" s="43">
        <v>45145</v>
      </c>
      <c r="D148" s="42" t="s">
        <v>297</v>
      </c>
      <c r="I148" s="178">
        <v>5810.34</v>
      </c>
      <c r="J148" s="92" t="s">
        <v>201</v>
      </c>
      <c r="K148" s="179" t="s">
        <v>159</v>
      </c>
      <c r="L148" s="180" t="str">
        <f>IF(NOT(ISBLANK(TransactionsTable[[#This Row],[Date]])),TEXT(TransactionsTable[[#This Row],[Date]],"mmmm-yy"),"")</f>
        <v>August-23</v>
      </c>
      <c r="M148" s="181" t="s">
        <v>193</v>
      </c>
      <c r="N148" s="180">
        <f>MONTH(TransactionsTable[[#This Row],[Date]])</f>
        <v>8</v>
      </c>
    </row>
    <row r="149" spans="3:14" ht="13.2" x14ac:dyDescent="0.25">
      <c r="C149" s="43">
        <v>45145</v>
      </c>
      <c r="D149" s="42" t="s">
        <v>455</v>
      </c>
      <c r="I149" s="178">
        <v>104.36</v>
      </c>
      <c r="J149" s="92" t="s">
        <v>201</v>
      </c>
      <c r="K149" s="179" t="s">
        <v>161</v>
      </c>
      <c r="L149" s="180" t="str">
        <f>IF(NOT(ISBLANK(TransactionsTable[[#This Row],[Date]])),TEXT(TransactionsTable[[#This Row],[Date]],"mmmm-yy"),"")</f>
        <v>August-23</v>
      </c>
      <c r="M149" s="181" t="s">
        <v>193</v>
      </c>
      <c r="N149" s="180">
        <f>MONTH(TransactionsTable[[#This Row],[Date]])</f>
        <v>8</v>
      </c>
    </row>
    <row r="150" spans="3:14" ht="13.2" x14ac:dyDescent="0.25">
      <c r="C150" s="43">
        <v>45152</v>
      </c>
      <c r="D150" s="42" t="s">
        <v>238</v>
      </c>
      <c r="I150" s="178">
        <v>362.14</v>
      </c>
      <c r="J150" s="92" t="s">
        <v>201</v>
      </c>
      <c r="K150" s="179" t="s">
        <v>161</v>
      </c>
      <c r="L150" s="180" t="str">
        <f>IF(NOT(ISBLANK(TransactionsTable[[#This Row],[Date]])),TEXT(TransactionsTable[[#This Row],[Date]],"mmmm-yy"),"")</f>
        <v>August-23</v>
      </c>
      <c r="M150" s="181" t="s">
        <v>193</v>
      </c>
      <c r="N150" s="180">
        <f>MONTH(TransactionsTable[[#This Row],[Date]])</f>
        <v>8</v>
      </c>
    </row>
    <row r="151" spans="3:14" ht="13.2" x14ac:dyDescent="0.25">
      <c r="C151" s="43">
        <v>45154</v>
      </c>
      <c r="D151" s="42" t="s">
        <v>456</v>
      </c>
      <c r="I151" s="178">
        <v>63.16</v>
      </c>
      <c r="J151" s="92" t="s">
        <v>201</v>
      </c>
      <c r="K151" s="179" t="s">
        <v>161</v>
      </c>
      <c r="L151" s="180" t="str">
        <f>IF(NOT(ISBLANK(TransactionsTable[[#This Row],[Date]])),TEXT(TransactionsTable[[#This Row],[Date]],"mmmm-yy"),"")</f>
        <v>August-23</v>
      </c>
      <c r="M151" s="181" t="s">
        <v>193</v>
      </c>
      <c r="N151" s="180">
        <f>MONTH(TransactionsTable[[#This Row],[Date]])</f>
        <v>8</v>
      </c>
    </row>
    <row r="152" spans="3:14" ht="13.2" x14ac:dyDescent="0.25">
      <c r="C152" s="43">
        <v>45154</v>
      </c>
      <c r="D152" s="42" t="s">
        <v>457</v>
      </c>
      <c r="I152" s="178">
        <v>2769.13</v>
      </c>
      <c r="J152" s="92" t="s">
        <v>201</v>
      </c>
      <c r="K152" s="179" t="s">
        <v>161</v>
      </c>
      <c r="L152" s="180" t="str">
        <f>IF(NOT(ISBLANK(TransactionsTable[[#This Row],[Date]])),TEXT(TransactionsTable[[#This Row],[Date]],"mmmm-yy"),"")</f>
        <v>August-23</v>
      </c>
      <c r="M152" s="181" t="s">
        <v>193</v>
      </c>
      <c r="N152" s="180">
        <f>MONTH(TransactionsTable[[#This Row],[Date]])</f>
        <v>8</v>
      </c>
    </row>
    <row r="153" spans="3:14" ht="13.2" x14ac:dyDescent="0.25">
      <c r="C153" s="43">
        <v>45160</v>
      </c>
      <c r="D153" s="42" t="s">
        <v>217</v>
      </c>
      <c r="I153" s="183">
        <v>900</v>
      </c>
      <c r="J153" s="42" t="s">
        <v>201</v>
      </c>
      <c r="K153" s="179" t="s">
        <v>159</v>
      </c>
      <c r="L153" s="180" t="str">
        <f>IF(NOT(ISBLANK(TransactionsTable[[#This Row],[Date]])),TEXT(TransactionsTable[[#This Row],[Date]],"mmmm-yy"),"")</f>
        <v>August-23</v>
      </c>
      <c r="M153" s="181" t="s">
        <v>193</v>
      </c>
      <c r="N153" s="180">
        <f>MONTH(TransactionsTable[[#This Row],[Date]])</f>
        <v>8</v>
      </c>
    </row>
    <row r="154" spans="3:14" ht="13.2" x14ac:dyDescent="0.25">
      <c r="C154" s="43">
        <v>45162</v>
      </c>
      <c r="D154" s="42" t="s">
        <v>458</v>
      </c>
      <c r="I154" s="178">
        <v>29.91</v>
      </c>
      <c r="J154" s="92" t="s">
        <v>201</v>
      </c>
      <c r="K154" s="179" t="s">
        <v>161</v>
      </c>
      <c r="L154" s="180" t="str">
        <f>IF(NOT(ISBLANK(TransactionsTable[[#This Row],[Date]])),TEXT(TransactionsTable[[#This Row],[Date]],"mmmm-yy"),"")</f>
        <v>August-23</v>
      </c>
      <c r="M154" s="181" t="s">
        <v>193</v>
      </c>
      <c r="N154" s="180">
        <f>MONTH(TransactionsTable[[#This Row],[Date]])</f>
        <v>8</v>
      </c>
    </row>
    <row r="155" spans="3:14" ht="13.2" x14ac:dyDescent="0.25">
      <c r="C155" s="43">
        <v>45162</v>
      </c>
      <c r="D155" s="42" t="s">
        <v>459</v>
      </c>
      <c r="I155" s="178">
        <v>35.78</v>
      </c>
      <c r="J155" s="92" t="s">
        <v>201</v>
      </c>
      <c r="K155" s="179" t="s">
        <v>161</v>
      </c>
      <c r="L155" s="180" t="str">
        <f>IF(NOT(ISBLANK(TransactionsTable[[#This Row],[Date]])),TEXT(TransactionsTable[[#This Row],[Date]],"mmmm-yy"),"")</f>
        <v>August-23</v>
      </c>
      <c r="M155" s="181" t="s">
        <v>193</v>
      </c>
      <c r="N155" s="180">
        <f>MONTH(TransactionsTable[[#This Row],[Date]])</f>
        <v>8</v>
      </c>
    </row>
    <row r="156" spans="3:14" ht="13.2" x14ac:dyDescent="0.25">
      <c r="C156" s="43">
        <v>45162</v>
      </c>
      <c r="D156" s="42" t="s">
        <v>460</v>
      </c>
      <c r="I156" s="178">
        <v>92.34</v>
      </c>
      <c r="J156" s="92" t="s">
        <v>201</v>
      </c>
      <c r="K156" s="179" t="s">
        <v>161</v>
      </c>
      <c r="L156" s="180" t="str">
        <f>IF(NOT(ISBLANK(TransactionsTable[[#This Row],[Date]])),TEXT(TransactionsTable[[#This Row],[Date]],"mmmm-yy"),"")</f>
        <v>August-23</v>
      </c>
      <c r="M156" s="181" t="s">
        <v>193</v>
      </c>
      <c r="N156" s="180">
        <f>MONTH(TransactionsTable[[#This Row],[Date]])</f>
        <v>8</v>
      </c>
    </row>
    <row r="157" spans="3:14" ht="13.2" x14ac:dyDescent="0.25">
      <c r="C157" s="43">
        <v>45166</v>
      </c>
      <c r="D157" s="42" t="s">
        <v>216</v>
      </c>
      <c r="I157" s="178" t="s">
        <v>201</v>
      </c>
      <c r="J157" s="92">
        <v>2944.63</v>
      </c>
      <c r="K157" s="179" t="s">
        <v>162</v>
      </c>
      <c r="L157" s="180" t="str">
        <f>IF(NOT(ISBLANK(TransactionsTable[[#This Row],[Date]])),TEXT(TransactionsTable[[#This Row],[Date]],"mmmm-yy"),"")</f>
        <v>August-23</v>
      </c>
      <c r="M157" s="181" t="s">
        <v>193</v>
      </c>
      <c r="N157" s="180">
        <f>MONTH(TransactionsTable[[#This Row],[Date]])</f>
        <v>8</v>
      </c>
    </row>
    <row r="158" spans="3:14" ht="13.2" x14ac:dyDescent="0.25">
      <c r="C158" s="43">
        <v>45167</v>
      </c>
      <c r="D158" s="42" t="s">
        <v>461</v>
      </c>
      <c r="I158" s="178">
        <v>729</v>
      </c>
      <c r="J158" s="92" t="s">
        <v>201</v>
      </c>
      <c r="K158" s="179" t="s">
        <v>161</v>
      </c>
      <c r="L158" s="180" t="str">
        <f>IF(NOT(ISBLANK(TransactionsTable[[#This Row],[Date]])),TEXT(TransactionsTable[[#This Row],[Date]],"mmmm-yy"),"")</f>
        <v>August-23</v>
      </c>
      <c r="M158" s="181" t="s">
        <v>193</v>
      </c>
      <c r="N158" s="180">
        <f>MONTH(TransactionsTable[[#This Row],[Date]])</f>
        <v>8</v>
      </c>
    </row>
    <row r="159" spans="3:14" ht="13.2" x14ac:dyDescent="0.25">
      <c r="C159" s="43">
        <v>45170</v>
      </c>
      <c r="D159" s="42" t="s">
        <v>462</v>
      </c>
      <c r="I159" s="178" t="s">
        <v>201</v>
      </c>
      <c r="J159" s="92">
        <v>7454.7</v>
      </c>
      <c r="K159" s="179" t="s">
        <v>161</v>
      </c>
      <c r="L159" s="180" t="str">
        <f>IF(NOT(ISBLANK(TransactionsTable[[#This Row],[Date]])),TEXT(TransactionsTable[[#This Row],[Date]],"mmmm-yy"),"")</f>
        <v>September-23</v>
      </c>
      <c r="M159" s="181" t="s">
        <v>193</v>
      </c>
      <c r="N159" s="180">
        <f>MONTH(TransactionsTable[[#This Row],[Date]])</f>
        <v>9</v>
      </c>
    </row>
    <row r="160" spans="3:14" ht="13.2" x14ac:dyDescent="0.25">
      <c r="C160" s="43">
        <v>45170</v>
      </c>
      <c r="D160" s="41" t="s">
        <v>475</v>
      </c>
      <c r="I160" s="178">
        <v>400</v>
      </c>
      <c r="J160" s="92"/>
      <c r="K160" s="179" t="s">
        <v>159</v>
      </c>
      <c r="L160" s="180" t="str">
        <f>IF(NOT(ISBLANK(TransactionsTable[[#This Row],[Date]])),TEXT(TransactionsTable[[#This Row],[Date]],"mmmm-yy"),"")</f>
        <v>September-23</v>
      </c>
      <c r="M160" s="181" t="s">
        <v>193</v>
      </c>
      <c r="N160" s="180">
        <f>MONTH(TransactionsTable[[#This Row],[Date]])</f>
        <v>9</v>
      </c>
    </row>
    <row r="161" spans="3:14" ht="13.2" x14ac:dyDescent="0.25">
      <c r="C161" s="43">
        <v>45170</v>
      </c>
      <c r="D161" s="41" t="s">
        <v>476</v>
      </c>
      <c r="I161" s="178">
        <v>18708.78</v>
      </c>
      <c r="J161" s="92" t="s">
        <v>201</v>
      </c>
      <c r="K161" s="179" t="s">
        <v>160</v>
      </c>
      <c r="L161" s="180" t="str">
        <f>IF(NOT(ISBLANK(TransactionsTable[[#This Row],[Date]])),TEXT(TransactionsTable[[#This Row],[Date]],"mmmm-yy"),"")</f>
        <v>September-23</v>
      </c>
      <c r="M161" s="181" t="s">
        <v>193</v>
      </c>
      <c r="N161" s="180">
        <f>MONTH(TransactionsTable[[#This Row],[Date]])</f>
        <v>9</v>
      </c>
    </row>
    <row r="162" spans="3:14" ht="13.2" x14ac:dyDescent="0.25">
      <c r="C162" s="43">
        <v>45180</v>
      </c>
      <c r="D162" s="41" t="s">
        <v>475</v>
      </c>
      <c r="I162" s="178">
        <v>1100</v>
      </c>
      <c r="J162" s="92" t="s">
        <v>201</v>
      </c>
      <c r="K162" s="179" t="s">
        <v>159</v>
      </c>
      <c r="L162" s="180" t="str">
        <f>IF(NOT(ISBLANK(TransactionsTable[[#This Row],[Date]])),TEXT(TransactionsTable[[#This Row],[Date]],"mmmm-yy"),"")</f>
        <v>September-23</v>
      </c>
      <c r="M162" s="181" t="s">
        <v>193</v>
      </c>
      <c r="N162" s="180">
        <f>MONTH(TransactionsTable[[#This Row],[Date]])</f>
        <v>9</v>
      </c>
    </row>
    <row r="163" spans="3:14" ht="13.2" x14ac:dyDescent="0.25">
      <c r="C163" s="43">
        <v>45181</v>
      </c>
      <c r="D163" s="41" t="s">
        <v>475</v>
      </c>
      <c r="I163" s="178">
        <v>1200</v>
      </c>
      <c r="J163" s="92" t="s">
        <v>201</v>
      </c>
      <c r="K163" s="179" t="s">
        <v>159</v>
      </c>
      <c r="L163" s="180" t="str">
        <f>IF(NOT(ISBLANK(TransactionsTable[[#This Row],[Date]])),TEXT(TransactionsTable[[#This Row],[Date]],"mmmm-yy"),"")</f>
        <v>September-23</v>
      </c>
      <c r="M163" s="181" t="s">
        <v>193</v>
      </c>
      <c r="N163" s="180">
        <f>MONTH(TransactionsTable[[#This Row],[Date]])</f>
        <v>9</v>
      </c>
    </row>
    <row r="164" spans="3:14" ht="13.2" x14ac:dyDescent="0.25">
      <c r="C164" s="43">
        <v>45183</v>
      </c>
      <c r="D164" s="41" t="s">
        <v>475</v>
      </c>
      <c r="I164" s="178">
        <v>2500</v>
      </c>
      <c r="J164" s="92" t="s">
        <v>201</v>
      </c>
      <c r="K164" s="179" t="s">
        <v>159</v>
      </c>
      <c r="L164" s="180" t="str">
        <f>IF(NOT(ISBLANK(TransactionsTable[[#This Row],[Date]])),TEXT(TransactionsTable[[#This Row],[Date]],"mmmm-yy"),"")</f>
        <v>September-23</v>
      </c>
      <c r="M164" s="181" t="s">
        <v>193</v>
      </c>
      <c r="N164" s="180">
        <f>MONTH(TransactionsTable[[#This Row],[Date]])</f>
        <v>9</v>
      </c>
    </row>
    <row r="165" spans="3:14" ht="13.2" x14ac:dyDescent="0.25">
      <c r="C165" s="43">
        <v>45183</v>
      </c>
      <c r="D165" s="41" t="s">
        <v>477</v>
      </c>
      <c r="I165" s="183">
        <v>95.45</v>
      </c>
      <c r="K165" s="179" t="s">
        <v>161</v>
      </c>
      <c r="L165" s="180" t="str">
        <f>IF(NOT(ISBLANK(TransactionsTable[[#This Row],[Date]])),TEXT(TransactionsTable[[#This Row],[Date]],"mmmm-yy"),"")</f>
        <v>September-23</v>
      </c>
      <c r="M165" s="181" t="s">
        <v>193</v>
      </c>
      <c r="N165" s="180">
        <f>MONTH(TransactionsTable[[#This Row],[Date]])</f>
        <v>9</v>
      </c>
    </row>
    <row r="166" spans="3:14" ht="13.2" x14ac:dyDescent="0.25">
      <c r="C166" s="43">
        <v>45183</v>
      </c>
      <c r="D166" s="41" t="s">
        <v>478</v>
      </c>
      <c r="I166" s="92">
        <v>415.64</v>
      </c>
      <c r="K166" s="179" t="s">
        <v>161</v>
      </c>
      <c r="L166" s="180" t="str">
        <f>IF(NOT(ISBLANK(TransactionsTable[[#This Row],[Date]])),TEXT(TransactionsTable[[#This Row],[Date]],"mmmm-yy"),"")</f>
        <v>September-23</v>
      </c>
      <c r="M166" s="181" t="s">
        <v>193</v>
      </c>
      <c r="N166" s="180">
        <f>MONTH(TransactionsTable[[#This Row],[Date]])</f>
        <v>9</v>
      </c>
    </row>
    <row r="167" spans="3:14" ht="13.2" x14ac:dyDescent="0.25">
      <c r="C167" s="43">
        <v>45183</v>
      </c>
      <c r="D167" s="41" t="s">
        <v>479</v>
      </c>
      <c r="I167" s="92">
        <v>631.75</v>
      </c>
      <c r="K167" s="179" t="s">
        <v>161</v>
      </c>
      <c r="L167" s="180" t="str">
        <f>IF(NOT(ISBLANK(TransactionsTable[[#This Row],[Date]])),TEXT(TransactionsTable[[#This Row],[Date]],"mmmm-yy"),"")</f>
        <v>September-23</v>
      </c>
      <c r="M167" s="181" t="s">
        <v>193</v>
      </c>
      <c r="N167" s="180">
        <f>MONTH(TransactionsTable[[#This Row],[Date]])</f>
        <v>9</v>
      </c>
    </row>
    <row r="168" spans="3:14" ht="13.2" x14ac:dyDescent="0.25">
      <c r="C168" s="43">
        <v>45183</v>
      </c>
      <c r="D168" s="41" t="s">
        <v>480</v>
      </c>
      <c r="I168" s="183">
        <v>2614.9499999999998</v>
      </c>
      <c r="J168" s="42" t="s">
        <v>201</v>
      </c>
      <c r="K168" s="179" t="s">
        <v>161</v>
      </c>
      <c r="L168" s="180" t="str">
        <f>IF(NOT(ISBLANK(TransactionsTable[[#This Row],[Date]])),TEXT(TransactionsTable[[#This Row],[Date]],"mmmm-yy"),"")</f>
        <v>September-23</v>
      </c>
      <c r="M168" s="181" t="s">
        <v>193</v>
      </c>
      <c r="N168" s="180">
        <f>MONTH(TransactionsTable[[#This Row],[Date]])</f>
        <v>9</v>
      </c>
    </row>
    <row r="169" spans="3:14" ht="13.2" x14ac:dyDescent="0.25">
      <c r="C169" s="43">
        <v>45187</v>
      </c>
      <c r="D169" s="41" t="s">
        <v>481</v>
      </c>
      <c r="I169" s="92">
        <v>415.64</v>
      </c>
      <c r="K169" s="179" t="s">
        <v>161</v>
      </c>
      <c r="L169" s="180" t="str">
        <f>IF(NOT(ISBLANK(TransactionsTable[[#This Row],[Date]])),TEXT(TransactionsTable[[#This Row],[Date]],"mmmm-yy"),"")</f>
        <v>September-23</v>
      </c>
      <c r="M169" s="181" t="s">
        <v>193</v>
      </c>
      <c r="N169" s="180">
        <f>MONTH(TransactionsTable[[#This Row],[Date]])</f>
        <v>9</v>
      </c>
    </row>
    <row r="170" spans="3:14" ht="13.2" x14ac:dyDescent="0.25">
      <c r="C170" s="43">
        <v>45189</v>
      </c>
      <c r="D170" s="41" t="s">
        <v>463</v>
      </c>
      <c r="I170" s="178" t="s">
        <v>201</v>
      </c>
      <c r="J170" s="92">
        <v>14572.2</v>
      </c>
      <c r="K170" s="179" t="s">
        <v>162</v>
      </c>
      <c r="L170" s="180" t="str">
        <f>IF(NOT(ISBLANK(TransactionsTable[[#This Row],[Date]])),TEXT(TransactionsTable[[#This Row],[Date]],"mmmm-yy"),"")</f>
        <v>September-23</v>
      </c>
      <c r="M170" s="181" t="s">
        <v>193</v>
      </c>
      <c r="N170" s="180">
        <f>MONTH(TransactionsTable[[#This Row],[Date]])</f>
        <v>9</v>
      </c>
    </row>
    <row r="171" spans="3:14" ht="13.2" x14ac:dyDescent="0.25">
      <c r="C171" s="43">
        <v>45189</v>
      </c>
      <c r="D171" s="41" t="s">
        <v>482</v>
      </c>
      <c r="I171" s="178">
        <v>175.93</v>
      </c>
      <c r="J171" s="92"/>
      <c r="K171" s="179" t="s">
        <v>161</v>
      </c>
      <c r="L171" s="180" t="str">
        <f>IF(NOT(ISBLANK(TransactionsTable[[#This Row],[Date]])),TEXT(TransactionsTable[[#This Row],[Date]],"mmmm-yy"),"")</f>
        <v>September-23</v>
      </c>
      <c r="M171" s="181" t="s">
        <v>193</v>
      </c>
      <c r="N171" s="180">
        <f>MONTH(TransactionsTable[[#This Row],[Date]])</f>
        <v>9</v>
      </c>
    </row>
    <row r="172" spans="3:14" ht="13.2" x14ac:dyDescent="0.25">
      <c r="C172" s="43">
        <v>45190</v>
      </c>
      <c r="D172" s="41" t="s">
        <v>483</v>
      </c>
      <c r="I172" s="178">
        <v>255</v>
      </c>
      <c r="J172" s="92"/>
      <c r="K172" s="179" t="s">
        <v>161</v>
      </c>
      <c r="L172" s="180" t="str">
        <f>IF(NOT(ISBLANK(TransactionsTable[[#This Row],[Date]])),TEXT(TransactionsTable[[#This Row],[Date]],"mmmm-yy"),"")</f>
        <v>September-23</v>
      </c>
      <c r="M172" s="181" t="s">
        <v>193</v>
      </c>
      <c r="N172" s="180">
        <f>MONTH(TransactionsTable[[#This Row],[Date]])</f>
        <v>9</v>
      </c>
    </row>
    <row r="173" spans="3:14" ht="13.2" x14ac:dyDescent="0.25">
      <c r="C173" s="43">
        <v>45191</v>
      </c>
      <c r="D173" s="41" t="s">
        <v>484</v>
      </c>
      <c r="I173" s="178">
        <v>192.86</v>
      </c>
      <c r="J173" s="92"/>
      <c r="K173" s="179" t="s">
        <v>161</v>
      </c>
      <c r="L173" s="180" t="str">
        <f>IF(NOT(ISBLANK(TransactionsTable[[#This Row],[Date]])),TEXT(TransactionsTable[[#This Row],[Date]],"mmmm-yy"),"")</f>
        <v>September-23</v>
      </c>
      <c r="M173" s="181" t="s">
        <v>193</v>
      </c>
      <c r="N173" s="180">
        <f>MONTH(TransactionsTable[[#This Row],[Date]])</f>
        <v>9</v>
      </c>
    </row>
    <row r="174" spans="3:14" ht="13.2" x14ac:dyDescent="0.25">
      <c r="C174" s="43">
        <v>45198</v>
      </c>
      <c r="D174" s="41" t="s">
        <v>485</v>
      </c>
      <c r="I174" s="178" t="s">
        <v>201</v>
      </c>
      <c r="J174" s="92">
        <v>7454.7</v>
      </c>
      <c r="K174" s="179" t="s">
        <v>161</v>
      </c>
      <c r="L174" s="180" t="str">
        <f>IF(NOT(ISBLANK(TransactionsTable[[#This Row],[Date]])),TEXT(TransactionsTable[[#This Row],[Date]],"mmmm-yy"),"")</f>
        <v>September-23</v>
      </c>
      <c r="M174" s="181" t="s">
        <v>193</v>
      </c>
      <c r="N174" s="180">
        <f>MONTH(TransactionsTable[[#This Row],[Date]])</f>
        <v>9</v>
      </c>
    </row>
    <row r="175" spans="3:14" ht="13.2" x14ac:dyDescent="0.25">
      <c r="C175" s="43">
        <v>45198</v>
      </c>
      <c r="D175" s="41" t="s">
        <v>486</v>
      </c>
      <c r="I175" s="183">
        <v>729</v>
      </c>
      <c r="K175" s="179" t="s">
        <v>161</v>
      </c>
      <c r="L175" s="180" t="str">
        <f>IF(NOT(ISBLANK(TransactionsTable[[#This Row],[Date]])),TEXT(TransactionsTable[[#This Row],[Date]],"mmmm-yy"),"")</f>
        <v>September-23</v>
      </c>
      <c r="M175" s="181" t="s">
        <v>193</v>
      </c>
      <c r="N175" s="180">
        <f>MONTH(TransactionsTable[[#This Row],[Date]])</f>
        <v>9</v>
      </c>
    </row>
    <row r="176" spans="3:14" ht="13.2" x14ac:dyDescent="0.25">
      <c r="C176" s="43">
        <v>45201</v>
      </c>
      <c r="D176" s="41" t="s">
        <v>476</v>
      </c>
      <c r="I176" s="178">
        <v>18708.78</v>
      </c>
      <c r="J176" s="92" t="s">
        <v>201</v>
      </c>
      <c r="K176" s="179" t="s">
        <v>160</v>
      </c>
      <c r="L176" s="180" t="str">
        <f>IF(NOT(ISBLANK(TransactionsTable[[#This Row],[Date]])),TEXT(TransactionsTable[[#This Row],[Date]],"mmmm-yy"),"")</f>
        <v>October-23</v>
      </c>
      <c r="M176" s="181" t="s">
        <v>193</v>
      </c>
      <c r="N176" s="180">
        <f>MONTH(TransactionsTable[[#This Row],[Date]])</f>
        <v>10</v>
      </c>
    </row>
    <row r="177" spans="3:22" ht="13.2" x14ac:dyDescent="0.25">
      <c r="C177" s="43">
        <v>45205</v>
      </c>
      <c r="D177" s="41" t="s">
        <v>475</v>
      </c>
      <c r="I177" s="178">
        <v>1555.76</v>
      </c>
      <c r="J177" s="92" t="s">
        <v>201</v>
      </c>
      <c r="K177" s="179" t="s">
        <v>159</v>
      </c>
      <c r="L177" s="180" t="str">
        <f>IF(NOT(ISBLANK(TransactionsTable[[#This Row],[Date]])),TEXT(TransactionsTable[[#This Row],[Date]],"mmmm-yy"),"")</f>
        <v>October-23</v>
      </c>
      <c r="M177" s="181" t="s">
        <v>193</v>
      </c>
      <c r="N177" s="180">
        <f>MONTH(TransactionsTable[[#This Row],[Date]])</f>
        <v>10</v>
      </c>
    </row>
    <row r="178" spans="3:22" ht="13.2" x14ac:dyDescent="0.25">
      <c r="C178" s="43">
        <v>45209</v>
      </c>
      <c r="D178" s="41" t="s">
        <v>463</v>
      </c>
      <c r="I178" s="183" t="s">
        <v>201</v>
      </c>
      <c r="J178" s="42">
        <v>8492.2900000000009</v>
      </c>
      <c r="K178" s="179" t="s">
        <v>162</v>
      </c>
      <c r="L178" s="180" t="str">
        <f>IF(NOT(ISBLANK(TransactionsTable[[#This Row],[Date]])),TEXT(TransactionsTable[[#This Row],[Date]],"mmmm-yy"),"")</f>
        <v>October-23</v>
      </c>
      <c r="M178" s="181" t="s">
        <v>193</v>
      </c>
      <c r="N178" s="180">
        <f>MONTH(TransactionsTable[[#This Row],[Date]])</f>
        <v>10</v>
      </c>
    </row>
    <row r="179" spans="3:22" ht="13.2" x14ac:dyDescent="0.25">
      <c r="C179" s="43">
        <v>45209</v>
      </c>
      <c r="D179" s="41" t="s">
        <v>475</v>
      </c>
      <c r="I179" s="178">
        <v>2500</v>
      </c>
      <c r="K179" s="179" t="s">
        <v>159</v>
      </c>
      <c r="L179" s="180" t="str">
        <f>IF(NOT(ISBLANK(TransactionsTable[[#This Row],[Date]])),TEXT(TransactionsTable[[#This Row],[Date]],"mmmm-yy"),"")</f>
        <v>October-23</v>
      </c>
      <c r="M179" s="181" t="s">
        <v>193</v>
      </c>
      <c r="N179" s="180">
        <f>MONTH(TransactionsTable[[#This Row],[Date]])</f>
        <v>10</v>
      </c>
    </row>
    <row r="180" spans="3:22" ht="13.2" x14ac:dyDescent="0.25">
      <c r="C180" s="43">
        <v>45211</v>
      </c>
      <c r="D180" s="41" t="s">
        <v>475</v>
      </c>
      <c r="I180" s="186">
        <v>900</v>
      </c>
      <c r="K180" s="179" t="s">
        <v>159</v>
      </c>
      <c r="L180" s="180" t="str">
        <f>IF(NOT(ISBLANK(TransactionsTable[[#This Row],[Date]])),TEXT(TransactionsTable[[#This Row],[Date]],"mmmm-yy"),"")</f>
        <v>October-23</v>
      </c>
      <c r="M180" s="181" t="s">
        <v>193</v>
      </c>
      <c r="N180" s="180">
        <f>MONTH(TransactionsTable[[#This Row],[Date]])</f>
        <v>10</v>
      </c>
    </row>
    <row r="181" spans="3:22" ht="13.2" x14ac:dyDescent="0.25">
      <c r="C181" s="43">
        <v>45212</v>
      </c>
      <c r="D181" s="41" t="s">
        <v>481</v>
      </c>
      <c r="I181" s="178">
        <v>263.99</v>
      </c>
      <c r="J181" s="92"/>
      <c r="K181" s="179" t="s">
        <v>161</v>
      </c>
      <c r="L181" s="180" t="str">
        <f>IF(NOT(ISBLANK(TransactionsTable[[#This Row],[Date]])),TEXT(TransactionsTable[[#This Row],[Date]],"mmmm-yy"),"")</f>
        <v>October-23</v>
      </c>
      <c r="M181" s="181" t="s">
        <v>193</v>
      </c>
      <c r="N181" s="180">
        <f>MONTH(TransactionsTable[[#This Row],[Date]])</f>
        <v>10</v>
      </c>
    </row>
    <row r="182" spans="3:22" ht="13.2" x14ac:dyDescent="0.25">
      <c r="C182" s="43">
        <v>45215</v>
      </c>
      <c r="D182" s="41" t="s">
        <v>463</v>
      </c>
      <c r="I182" s="178" t="s">
        <v>201</v>
      </c>
      <c r="J182" s="92">
        <v>6229.91</v>
      </c>
      <c r="K182" s="179" t="s">
        <v>162</v>
      </c>
      <c r="L182" s="180" t="str">
        <f>IF(NOT(ISBLANK(TransactionsTable[[#This Row],[Date]])),TEXT(TransactionsTable[[#This Row],[Date]],"mmmm-yy"),"")</f>
        <v>October-23</v>
      </c>
      <c r="M182" s="181" t="s">
        <v>193</v>
      </c>
      <c r="N182" s="180">
        <f>MONTH(TransactionsTable[[#This Row],[Date]])</f>
        <v>10</v>
      </c>
      <c r="V182"/>
    </row>
    <row r="183" spans="3:22" ht="13.2" x14ac:dyDescent="0.25">
      <c r="C183" s="43">
        <v>45215</v>
      </c>
      <c r="D183" s="41" t="s">
        <v>503</v>
      </c>
      <c r="I183" s="178">
        <v>63.89</v>
      </c>
      <c r="J183" s="92"/>
      <c r="K183" s="179" t="s">
        <v>161</v>
      </c>
      <c r="L183" s="180" t="str">
        <f>IF(NOT(ISBLANK(TransactionsTable[[#This Row],[Date]])),TEXT(TransactionsTable[[#This Row],[Date]],"mmmm-yy"),"")</f>
        <v>October-23</v>
      </c>
      <c r="M183" s="181" t="s">
        <v>193</v>
      </c>
      <c r="N183" s="180">
        <f>MONTH(TransactionsTable[[#This Row],[Date]])</f>
        <v>10</v>
      </c>
      <c r="V183"/>
    </row>
    <row r="184" spans="3:22" ht="13.2" x14ac:dyDescent="0.25">
      <c r="C184" s="43">
        <v>45215</v>
      </c>
      <c r="D184" s="41" t="s">
        <v>504</v>
      </c>
      <c r="I184" s="178">
        <v>72.73</v>
      </c>
      <c r="J184" s="92"/>
      <c r="K184" s="179" t="s">
        <v>161</v>
      </c>
      <c r="L184" s="180" t="str">
        <f>IF(NOT(ISBLANK(TransactionsTable[[#This Row],[Date]])),TEXT(TransactionsTable[[#This Row],[Date]],"mmmm-yy"),"")</f>
        <v>October-23</v>
      </c>
      <c r="M184" s="181" t="s">
        <v>193</v>
      </c>
      <c r="N184" s="180">
        <f>MONTH(TransactionsTable[[#This Row],[Date]])</f>
        <v>10</v>
      </c>
      <c r="V184"/>
    </row>
    <row r="185" spans="3:22" ht="13.2" x14ac:dyDescent="0.25">
      <c r="C185" s="43">
        <v>45215</v>
      </c>
      <c r="D185" s="41" t="s">
        <v>505</v>
      </c>
      <c r="I185" s="178">
        <v>243.95</v>
      </c>
      <c r="J185" s="92"/>
      <c r="K185" s="179" t="s">
        <v>161</v>
      </c>
      <c r="L185" s="180" t="str">
        <f>IF(NOT(ISBLANK(TransactionsTable[[#This Row],[Date]])),TEXT(TransactionsTable[[#This Row],[Date]],"mmmm-yy"),"")</f>
        <v>October-23</v>
      </c>
      <c r="M185" s="181" t="s">
        <v>193</v>
      </c>
      <c r="N185" s="180">
        <f>MONTH(TransactionsTable[[#This Row],[Date]])</f>
        <v>10</v>
      </c>
      <c r="S185"/>
      <c r="T185"/>
      <c r="U185"/>
      <c r="V185"/>
    </row>
    <row r="186" spans="3:22" ht="13.2" x14ac:dyDescent="0.25">
      <c r="C186" s="43">
        <v>45215</v>
      </c>
      <c r="D186" s="41" t="s">
        <v>506</v>
      </c>
      <c r="I186" s="183">
        <v>269.89</v>
      </c>
      <c r="K186" s="179" t="s">
        <v>161</v>
      </c>
      <c r="L186" s="180" t="str">
        <f>IF(NOT(ISBLANK(TransactionsTable[[#This Row],[Date]])),TEXT(TransactionsTable[[#This Row],[Date]],"mmmm-yy"),"")</f>
        <v>October-23</v>
      </c>
      <c r="M186" s="181" t="s">
        <v>193</v>
      </c>
      <c r="N186" s="180">
        <f>MONTH(TransactionsTable[[#This Row],[Date]])</f>
        <v>10</v>
      </c>
      <c r="S186"/>
      <c r="T186"/>
      <c r="U186"/>
      <c r="V186"/>
    </row>
    <row r="187" spans="3:22" ht="13.2" x14ac:dyDescent="0.25">
      <c r="C187" s="43">
        <v>45215</v>
      </c>
      <c r="D187" s="41" t="s">
        <v>507</v>
      </c>
      <c r="I187" s="178">
        <v>2616.13</v>
      </c>
      <c r="J187" s="92" t="s">
        <v>201</v>
      </c>
      <c r="K187" s="179" t="s">
        <v>161</v>
      </c>
      <c r="L187" s="180" t="str">
        <f>IF(NOT(ISBLANK(TransactionsTable[[#This Row],[Date]])),TEXT(TransactionsTable[[#This Row],[Date]],"mmmm-yy"),"")</f>
        <v>October-23</v>
      </c>
      <c r="M187" s="181" t="s">
        <v>193</v>
      </c>
      <c r="N187" s="180">
        <f>MONTH(TransactionsTable[[#This Row],[Date]])</f>
        <v>10</v>
      </c>
      <c r="S187"/>
      <c r="T187"/>
      <c r="U187"/>
      <c r="V187"/>
    </row>
    <row r="188" spans="3:22" ht="13.2" x14ac:dyDescent="0.25">
      <c r="C188" s="43">
        <v>45216</v>
      </c>
      <c r="D188" s="41" t="s">
        <v>475</v>
      </c>
      <c r="I188" s="178">
        <v>4000</v>
      </c>
      <c r="J188" s="92"/>
      <c r="K188" s="179" t="s">
        <v>159</v>
      </c>
      <c r="L188" s="180" t="str">
        <f>IF(NOT(ISBLANK(TransactionsTable[[#This Row],[Date]])),TEXT(TransactionsTable[[#This Row],[Date]],"mmmm-yy"),"")</f>
        <v>October-23</v>
      </c>
      <c r="M188" s="181"/>
      <c r="N188" s="180">
        <f>MONTH(TransactionsTable[[#This Row],[Date]])</f>
        <v>10</v>
      </c>
      <c r="S188"/>
      <c r="T188"/>
      <c r="U188"/>
      <c r="V188"/>
    </row>
    <row r="189" spans="3:22" ht="13.2" x14ac:dyDescent="0.25">
      <c r="C189" s="43">
        <v>45222</v>
      </c>
      <c r="D189" s="41" t="s">
        <v>463</v>
      </c>
      <c r="I189" s="178" t="s">
        <v>201</v>
      </c>
      <c r="J189" s="92">
        <v>46762.75</v>
      </c>
      <c r="K189" s="179" t="s">
        <v>162</v>
      </c>
      <c r="L189" s="180" t="str">
        <f>IF(NOT(ISBLANK(TransactionsTable[[#This Row],[Date]])),TEXT(TransactionsTable[[#This Row],[Date]],"mmmm-yy"),"")</f>
        <v>October-23</v>
      </c>
      <c r="M189" s="181" t="s">
        <v>193</v>
      </c>
      <c r="N189" s="180">
        <f>MONTH(TransactionsTable[[#This Row],[Date]])</f>
        <v>10</v>
      </c>
      <c r="S189"/>
      <c r="T189"/>
      <c r="U189"/>
      <c r="V189"/>
    </row>
    <row r="190" spans="3:22" ht="13.2" x14ac:dyDescent="0.25">
      <c r="C190" s="43">
        <v>45223</v>
      </c>
      <c r="D190" s="41" t="s">
        <v>475</v>
      </c>
      <c r="I190" s="178">
        <v>1100</v>
      </c>
      <c r="K190" s="179" t="s">
        <v>159</v>
      </c>
      <c r="L190" s="180" t="str">
        <f>IF(NOT(ISBLANK(TransactionsTable[[#This Row],[Date]])),TEXT(TransactionsTable[[#This Row],[Date]],"mmmm-yy"),"")</f>
        <v>October-23</v>
      </c>
      <c r="M190" s="181" t="s">
        <v>193</v>
      </c>
      <c r="N190" s="180">
        <f>MONTH(TransactionsTable[[#This Row],[Date]])</f>
        <v>10</v>
      </c>
      <c r="S190"/>
      <c r="T190"/>
      <c r="U190"/>
      <c r="V190"/>
    </row>
    <row r="191" spans="3:22" ht="13.2" x14ac:dyDescent="0.25">
      <c r="C191" s="43">
        <v>45223</v>
      </c>
      <c r="D191" s="41" t="s">
        <v>484</v>
      </c>
      <c r="I191" s="178">
        <v>278.91000000000003</v>
      </c>
      <c r="J191" s="92"/>
      <c r="K191" s="179" t="s">
        <v>161</v>
      </c>
      <c r="L191" s="180" t="str">
        <f>IF(NOT(ISBLANK(TransactionsTable[[#This Row],[Date]])),TEXT(TransactionsTable[[#This Row],[Date]],"mmmm-yy"),"")</f>
        <v>October-23</v>
      </c>
      <c r="M191" s="181" t="s">
        <v>193</v>
      </c>
      <c r="N191" s="180">
        <f>MONTH(TransactionsTable[[#This Row],[Date]])</f>
        <v>10</v>
      </c>
      <c r="S191"/>
      <c r="T191"/>
      <c r="U191"/>
      <c r="V191"/>
    </row>
    <row r="192" spans="3:22" ht="13.2" x14ac:dyDescent="0.25">
      <c r="C192" s="43">
        <v>45230</v>
      </c>
      <c r="D192" s="41" t="s">
        <v>486</v>
      </c>
      <c r="I192" s="178">
        <v>729</v>
      </c>
      <c r="J192" s="92"/>
      <c r="K192" s="179" t="s">
        <v>161</v>
      </c>
      <c r="L192" s="180" t="str">
        <f>IF(NOT(ISBLANK(TransactionsTable[[#This Row],[Date]])),TEXT(TransactionsTable[[#This Row],[Date]],"mmmm-yy"),"")</f>
        <v>October-23</v>
      </c>
      <c r="M192" s="181" t="s">
        <v>193</v>
      </c>
      <c r="N192" s="180">
        <f>MONTH(TransactionsTable[[#This Row],[Date]])</f>
        <v>10</v>
      </c>
      <c r="S192"/>
      <c r="T192"/>
      <c r="U192"/>
      <c r="V192"/>
    </row>
    <row r="193" spans="3:16" ht="13.2" x14ac:dyDescent="0.25">
      <c r="C193" s="43">
        <v>45231</v>
      </c>
      <c r="D193" s="41" t="s">
        <v>516</v>
      </c>
      <c r="I193" s="178" t="s">
        <v>201</v>
      </c>
      <c r="J193" s="92">
        <v>7454.7</v>
      </c>
      <c r="K193" s="179" t="s">
        <v>161</v>
      </c>
      <c r="L193" s="180" t="str">
        <f>IF(NOT(ISBLANK(TransactionsTable[[#This Row],[Date]])),TEXT(TransactionsTable[[#This Row],[Date]],"mmmm-yy"),"")</f>
        <v>November-23</v>
      </c>
      <c r="M193" s="181" t="s">
        <v>193</v>
      </c>
      <c r="N193" s="180">
        <f>MONTH(TransactionsTable[[#This Row],[Date]])</f>
        <v>11</v>
      </c>
      <c r="O193"/>
      <c r="P193"/>
    </row>
    <row r="194" spans="3:16" ht="13.2" x14ac:dyDescent="0.25">
      <c r="C194" s="43">
        <v>45231</v>
      </c>
      <c r="D194" s="41" t="s">
        <v>476</v>
      </c>
      <c r="I194" s="178">
        <v>18537.59</v>
      </c>
      <c r="J194" s="92" t="s">
        <v>201</v>
      </c>
      <c r="K194" s="179" t="s">
        <v>160</v>
      </c>
      <c r="L194" s="180" t="str">
        <f>IF(NOT(ISBLANK(TransactionsTable[[#This Row],[Date]])),TEXT(TransactionsTable[[#This Row],[Date]],"mmmm-yy"),"")</f>
        <v>November-23</v>
      </c>
      <c r="M194" s="181" t="s">
        <v>193</v>
      </c>
      <c r="N194" s="180">
        <f>MONTH(TransactionsTable[[#This Row],[Date]])</f>
        <v>11</v>
      </c>
      <c r="O194"/>
      <c r="P194"/>
    </row>
    <row r="195" spans="3:16" ht="13.2" x14ac:dyDescent="0.25">
      <c r="C195" s="43">
        <v>45236</v>
      </c>
      <c r="D195" s="41" t="s">
        <v>463</v>
      </c>
      <c r="I195" s="178" t="s">
        <v>201</v>
      </c>
      <c r="J195" s="92">
        <v>12057.42</v>
      </c>
      <c r="K195" s="179" t="s">
        <v>162</v>
      </c>
      <c r="L195" s="180" t="str">
        <f>IF(NOT(ISBLANK(TransactionsTable[[#This Row],[Date]])),TEXT(TransactionsTable[[#This Row],[Date]],"mmmm-yy"),"")</f>
        <v>November-23</v>
      </c>
      <c r="M195" s="181" t="s">
        <v>193</v>
      </c>
      <c r="N195" s="180">
        <f>MONTH(TransactionsTable[[#This Row],[Date]])</f>
        <v>11</v>
      </c>
      <c r="O195"/>
      <c r="P195"/>
    </row>
    <row r="196" spans="3:16" ht="13.2" x14ac:dyDescent="0.25">
      <c r="C196" s="43">
        <v>45237</v>
      </c>
      <c r="D196" s="41" t="s">
        <v>463</v>
      </c>
      <c r="I196" s="178" t="s">
        <v>201</v>
      </c>
      <c r="J196" s="92">
        <v>8898.6200000000008</v>
      </c>
      <c r="K196" s="179" t="s">
        <v>162</v>
      </c>
      <c r="L196" s="180" t="str">
        <f>IF(NOT(ISBLANK(TransactionsTable[[#This Row],[Date]])),TEXT(TransactionsTable[[#This Row],[Date]],"mmmm-yy"),"")</f>
        <v>November-23</v>
      </c>
      <c r="M196" s="181" t="s">
        <v>193</v>
      </c>
      <c r="N196" s="180">
        <f>MONTH(TransactionsTable[[#This Row],[Date]])</f>
        <v>11</v>
      </c>
      <c r="O196"/>
      <c r="P196"/>
    </row>
    <row r="197" spans="3:16" ht="13.2" x14ac:dyDescent="0.25">
      <c r="C197" s="43">
        <v>45237</v>
      </c>
      <c r="D197" s="41" t="s">
        <v>508</v>
      </c>
      <c r="I197" s="178">
        <v>5420.57</v>
      </c>
      <c r="J197" s="92" t="s">
        <v>201</v>
      </c>
      <c r="K197" s="179" t="s">
        <v>159</v>
      </c>
      <c r="L197" s="180" t="str">
        <f>IF(NOT(ISBLANK(TransactionsTable[[#This Row],[Date]])),TEXT(TransactionsTable[[#This Row],[Date]],"mmmm-yy"),"")</f>
        <v>November-23</v>
      </c>
      <c r="M197" s="181" t="s">
        <v>193</v>
      </c>
      <c r="N197" s="180">
        <f>MONTH(TransactionsTable[[#This Row],[Date]])</f>
        <v>11</v>
      </c>
      <c r="O197"/>
      <c r="P197"/>
    </row>
    <row r="198" spans="3:16" ht="13.2" x14ac:dyDescent="0.25">
      <c r="C198" s="43">
        <v>45238</v>
      </c>
      <c r="D198" s="41" t="s">
        <v>475</v>
      </c>
      <c r="I198" s="178">
        <v>1100</v>
      </c>
      <c r="J198" s="92" t="s">
        <v>201</v>
      </c>
      <c r="K198" s="179" t="s">
        <v>159</v>
      </c>
      <c r="L198" s="180" t="str">
        <f>IF(NOT(ISBLANK(TransactionsTable[[#This Row],[Date]])),TEXT(TransactionsTable[[#This Row],[Date]],"mmmm-yy"),"")</f>
        <v>November-23</v>
      </c>
      <c r="M198" s="181" t="s">
        <v>193</v>
      </c>
      <c r="N198" s="180">
        <f>MONTH(TransactionsTable[[#This Row],[Date]])</f>
        <v>11</v>
      </c>
      <c r="O198"/>
      <c r="P198"/>
    </row>
    <row r="199" spans="3:16" ht="13.2" x14ac:dyDescent="0.25">
      <c r="C199" s="43">
        <v>45240</v>
      </c>
      <c r="D199" s="41" t="s">
        <v>475</v>
      </c>
      <c r="I199" s="183">
        <v>945.6</v>
      </c>
      <c r="K199" s="179" t="s">
        <v>159</v>
      </c>
      <c r="L199" s="180" t="str">
        <f>IF(NOT(ISBLANK(TransactionsTable[[#This Row],[Date]])),TEXT(TransactionsTable[[#This Row],[Date]],"mmmm-yy"),"")</f>
        <v>November-23</v>
      </c>
      <c r="M199" s="181" t="s">
        <v>193</v>
      </c>
      <c r="N199" s="180">
        <f>MONTH(TransactionsTable[[#This Row],[Date]])</f>
        <v>11</v>
      </c>
      <c r="O199"/>
      <c r="P199"/>
    </row>
    <row r="200" spans="3:16" ht="13.2" x14ac:dyDescent="0.25">
      <c r="C200" s="43">
        <v>45243</v>
      </c>
      <c r="D200" s="41" t="s">
        <v>475</v>
      </c>
      <c r="I200" s="178">
        <v>20444.02</v>
      </c>
      <c r="J200" s="92" t="s">
        <v>201</v>
      </c>
      <c r="K200" s="179" t="s">
        <v>159</v>
      </c>
      <c r="L200" s="180" t="str">
        <f>IF(NOT(ISBLANK(TransactionsTable[[#This Row],[Date]])),TEXT(TransactionsTable[[#This Row],[Date]],"mmmm-yy"),"")</f>
        <v>November-23</v>
      </c>
      <c r="M200" s="181" t="s">
        <v>193</v>
      </c>
      <c r="N200" s="180">
        <f>MONTH(TransactionsTable[[#This Row],[Date]])</f>
        <v>11</v>
      </c>
      <c r="O200"/>
      <c r="P200"/>
    </row>
    <row r="201" spans="3:16" ht="13.2" x14ac:dyDescent="0.25">
      <c r="C201" s="43">
        <v>45243</v>
      </c>
      <c r="D201" s="41" t="s">
        <v>481</v>
      </c>
      <c r="I201" s="178">
        <v>284.20999999999998</v>
      </c>
      <c r="J201" s="92"/>
      <c r="K201" s="179" t="s">
        <v>161</v>
      </c>
      <c r="L201" s="180" t="str">
        <f>IF(NOT(ISBLANK(TransactionsTable[[#This Row],[Date]])),TEXT(TransactionsTable[[#This Row],[Date]],"mmmm-yy"),"")</f>
        <v>November-23</v>
      </c>
      <c r="M201" s="181" t="s">
        <v>193</v>
      </c>
      <c r="N201" s="180">
        <f>MONTH(TransactionsTable[[#This Row],[Date]])</f>
        <v>11</v>
      </c>
      <c r="O201"/>
      <c r="P201"/>
    </row>
    <row r="202" spans="3:16" ht="13.2" x14ac:dyDescent="0.25">
      <c r="C202" s="43">
        <v>45243</v>
      </c>
      <c r="D202" s="41" t="s">
        <v>481</v>
      </c>
      <c r="I202" s="183">
        <v>312.88</v>
      </c>
      <c r="K202" s="179" t="s">
        <v>161</v>
      </c>
      <c r="L202" s="180" t="str">
        <f>IF(NOT(ISBLANK(TransactionsTable[[#This Row],[Date]])),TEXT(TransactionsTable[[#This Row],[Date]],"mmmm-yy"),"")</f>
        <v>November-23</v>
      </c>
      <c r="M202" s="181" t="s">
        <v>193</v>
      </c>
      <c r="N202" s="180">
        <f>MONTH(TransactionsTable[[#This Row],[Date]])</f>
        <v>11</v>
      </c>
      <c r="O202"/>
      <c r="P202"/>
    </row>
    <row r="203" spans="3:16" ht="13.2" x14ac:dyDescent="0.25">
      <c r="C203" s="43">
        <v>45244</v>
      </c>
      <c r="D203" s="41" t="s">
        <v>463</v>
      </c>
      <c r="I203" s="178" t="s">
        <v>201</v>
      </c>
      <c r="J203" s="92">
        <v>2944.63</v>
      </c>
      <c r="K203" s="179" t="s">
        <v>162</v>
      </c>
      <c r="L203" s="180" t="str">
        <f>IF(NOT(ISBLANK(TransactionsTable[[#This Row],[Date]])),TEXT(TransactionsTable[[#This Row],[Date]],"mmmm-yy"),"")</f>
        <v>November-23</v>
      </c>
      <c r="M203" s="181" t="s">
        <v>193</v>
      </c>
      <c r="N203" s="180">
        <f>MONTH(TransactionsTable[[#This Row],[Date]])</f>
        <v>11</v>
      </c>
      <c r="O203"/>
      <c r="P203"/>
    </row>
    <row r="204" spans="3:16" ht="13.2" x14ac:dyDescent="0.25">
      <c r="C204" s="43">
        <v>45244</v>
      </c>
      <c r="D204" s="41" t="s">
        <v>509</v>
      </c>
      <c r="I204" s="178">
        <v>25.39</v>
      </c>
      <c r="J204" s="92"/>
      <c r="K204" s="179" t="s">
        <v>161</v>
      </c>
      <c r="L204" s="180" t="str">
        <f>IF(NOT(ISBLANK(TransactionsTable[[#This Row],[Date]])),TEXT(TransactionsTable[[#This Row],[Date]],"mmmm-yy"),"")</f>
        <v>November-23</v>
      </c>
      <c r="M204" s="181" t="s">
        <v>193</v>
      </c>
      <c r="N204" s="180">
        <f>MONTH(TransactionsTable[[#This Row],[Date]])</f>
        <v>11</v>
      </c>
      <c r="O204"/>
      <c r="P204"/>
    </row>
    <row r="205" spans="3:16" ht="13.2" x14ac:dyDescent="0.25">
      <c r="C205" s="43">
        <v>45244</v>
      </c>
      <c r="D205" s="41" t="s">
        <v>510</v>
      </c>
      <c r="I205" s="178">
        <v>1720</v>
      </c>
      <c r="J205" s="92" t="s">
        <v>201</v>
      </c>
      <c r="K205" s="179" t="s">
        <v>161</v>
      </c>
      <c r="L205" s="180" t="str">
        <f>IF(NOT(ISBLANK(TransactionsTable[[#This Row],[Date]])),TEXT(TransactionsTable[[#This Row],[Date]],"mmmm-yy"),"")</f>
        <v>November-23</v>
      </c>
      <c r="M205" s="181" t="s">
        <v>193</v>
      </c>
      <c r="N205" s="180">
        <f>MONTH(TransactionsTable[[#This Row],[Date]])</f>
        <v>11</v>
      </c>
      <c r="O205"/>
      <c r="P205"/>
    </row>
    <row r="206" spans="3:16" ht="13.2" x14ac:dyDescent="0.25">
      <c r="C206" s="43">
        <v>45247</v>
      </c>
      <c r="D206" s="41" t="s">
        <v>511</v>
      </c>
      <c r="I206" s="178">
        <v>2944.63</v>
      </c>
      <c r="J206" s="92" t="s">
        <v>201</v>
      </c>
      <c r="K206" s="179" t="s">
        <v>161</v>
      </c>
      <c r="L206" s="180" t="str">
        <f>IF(NOT(ISBLANK(TransactionsTable[[#This Row],[Date]])),TEXT(TransactionsTable[[#This Row],[Date]],"mmmm-yy"),"")</f>
        <v>November-23</v>
      </c>
      <c r="M206" s="181" t="s">
        <v>193</v>
      </c>
      <c r="N206" s="180">
        <f>MONTH(TransactionsTable[[#This Row],[Date]])</f>
        <v>11</v>
      </c>
      <c r="O206"/>
      <c r="P206"/>
    </row>
    <row r="207" spans="3:16" ht="13.2" x14ac:dyDescent="0.25">
      <c r="C207" s="43">
        <v>45247</v>
      </c>
      <c r="D207" s="41" t="s">
        <v>512</v>
      </c>
      <c r="I207" s="178">
        <v>20</v>
      </c>
      <c r="J207" s="92"/>
      <c r="K207" s="179" t="s">
        <v>161</v>
      </c>
      <c r="L207" s="180" t="str">
        <f>IF(NOT(ISBLANK(TransactionsTable[[#This Row],[Date]])),TEXT(TransactionsTable[[#This Row],[Date]],"mmmm-yy"),"")</f>
        <v>November-23</v>
      </c>
      <c r="M207" s="181" t="s">
        <v>193</v>
      </c>
      <c r="N207" s="180">
        <f>MONTH(TransactionsTable[[#This Row],[Date]])</f>
        <v>11</v>
      </c>
      <c r="O207"/>
      <c r="P207"/>
    </row>
    <row r="208" spans="3:16" ht="13.2" x14ac:dyDescent="0.25">
      <c r="C208" s="43">
        <v>45250</v>
      </c>
      <c r="D208" s="41" t="s">
        <v>508</v>
      </c>
      <c r="I208" s="178">
        <v>2500</v>
      </c>
      <c r="J208" s="92" t="s">
        <v>201</v>
      </c>
      <c r="K208" s="179" t="s">
        <v>159</v>
      </c>
      <c r="L208" s="180" t="str">
        <f>IF(NOT(ISBLANK(TransactionsTable[[#This Row],[Date]])),TEXT(TransactionsTable[[#This Row],[Date]],"mmmm-yy"),"")</f>
        <v>November-23</v>
      </c>
      <c r="M208" s="181" t="s">
        <v>193</v>
      </c>
      <c r="N208" s="180">
        <f>MONTH(TransactionsTable[[#This Row],[Date]])</f>
        <v>11</v>
      </c>
      <c r="O208"/>
      <c r="P208"/>
    </row>
    <row r="209" spans="3:16" ht="13.2" x14ac:dyDescent="0.25">
      <c r="C209" s="43">
        <v>45252</v>
      </c>
      <c r="D209" s="41" t="s">
        <v>475</v>
      </c>
      <c r="I209" s="178">
        <v>1857.68</v>
      </c>
      <c r="J209" s="92" t="s">
        <v>201</v>
      </c>
      <c r="K209" s="179" t="s">
        <v>159</v>
      </c>
      <c r="L209" s="180" t="str">
        <f>IF(NOT(ISBLANK(TransactionsTable[[#This Row],[Date]])),TEXT(TransactionsTable[[#This Row],[Date]],"mmmm-yy"),"")</f>
        <v>November-23</v>
      </c>
      <c r="M209" s="181" t="s">
        <v>193</v>
      </c>
      <c r="N209" s="180">
        <f>MONTH(TransactionsTable[[#This Row],[Date]])</f>
        <v>11</v>
      </c>
      <c r="O209"/>
      <c r="P209"/>
    </row>
    <row r="210" spans="3:16" ht="13.2" x14ac:dyDescent="0.25">
      <c r="C210" s="43">
        <v>45252</v>
      </c>
      <c r="D210" s="41" t="s">
        <v>484</v>
      </c>
      <c r="I210" s="178">
        <v>277.45</v>
      </c>
      <c r="J210" s="92"/>
      <c r="K210" s="179" t="s">
        <v>161</v>
      </c>
      <c r="L210" s="180" t="str">
        <f>IF(NOT(ISBLANK(TransactionsTable[[#This Row],[Date]])),TEXT(TransactionsTable[[#This Row],[Date]],"mmmm-yy"),"")</f>
        <v>November-23</v>
      </c>
      <c r="M210" s="181" t="s">
        <v>193</v>
      </c>
      <c r="N210" s="180">
        <f>MONTH(TransactionsTable[[#This Row],[Date]])</f>
        <v>11</v>
      </c>
      <c r="O210"/>
      <c r="P210"/>
    </row>
    <row r="211" spans="3:16" ht="13.2" x14ac:dyDescent="0.25">
      <c r="C211" s="43">
        <v>45252</v>
      </c>
      <c r="D211" s="41" t="s">
        <v>513</v>
      </c>
      <c r="I211" s="183">
        <v>446.49</v>
      </c>
      <c r="K211" s="179" t="s">
        <v>161</v>
      </c>
      <c r="L211" s="180" t="str">
        <f>IF(NOT(ISBLANK(TransactionsTable[[#This Row],[Date]])),TEXT(TransactionsTable[[#This Row],[Date]],"mmmm-yy"),"")</f>
        <v>November-23</v>
      </c>
      <c r="M211" s="181" t="s">
        <v>193</v>
      </c>
      <c r="N211" s="180">
        <f>MONTH(TransactionsTable[[#This Row],[Date]])</f>
        <v>11</v>
      </c>
      <c r="O211"/>
      <c r="P211"/>
    </row>
    <row r="212" spans="3:16" ht="13.2" x14ac:dyDescent="0.25">
      <c r="C212" s="43">
        <v>45252</v>
      </c>
      <c r="D212" s="41" t="s">
        <v>514</v>
      </c>
      <c r="I212" s="178">
        <v>1199.98</v>
      </c>
      <c r="J212" s="92" t="s">
        <v>201</v>
      </c>
      <c r="K212" s="179" t="s">
        <v>161</v>
      </c>
      <c r="L212" s="180" t="str">
        <f>IF(NOT(ISBLANK(TransactionsTable[[#This Row],[Date]])),TEXT(TransactionsTable[[#This Row],[Date]],"mmmm-yy"),"")</f>
        <v>November-23</v>
      </c>
      <c r="M212" s="181" t="s">
        <v>193</v>
      </c>
      <c r="N212" s="180">
        <f>MONTH(TransactionsTable[[#This Row],[Date]])</f>
        <v>11</v>
      </c>
      <c r="O212"/>
      <c r="P212"/>
    </row>
    <row r="213" spans="3:16" ht="13.2" x14ac:dyDescent="0.25">
      <c r="C213" s="43">
        <v>45252</v>
      </c>
      <c r="D213" s="41" t="s">
        <v>515</v>
      </c>
      <c r="I213" s="183">
        <v>1422</v>
      </c>
      <c r="J213" s="42" t="s">
        <v>201</v>
      </c>
      <c r="K213" s="179" t="s">
        <v>161</v>
      </c>
      <c r="L213" s="180" t="str">
        <f>IF(NOT(ISBLANK(TransactionsTable[[#This Row],[Date]])),TEXT(TransactionsTable[[#This Row],[Date]],"mmmm-yy"),"")</f>
        <v>November-23</v>
      </c>
      <c r="M213" s="181" t="s">
        <v>193</v>
      </c>
      <c r="N213" s="180">
        <f>MONTH(TransactionsTable[[#This Row],[Date]])</f>
        <v>11</v>
      </c>
      <c r="O213"/>
      <c r="P213"/>
    </row>
    <row r="214" spans="3:16" ht="13.2" x14ac:dyDescent="0.25">
      <c r="C214" s="43">
        <v>45259</v>
      </c>
      <c r="D214" s="41" t="s">
        <v>486</v>
      </c>
      <c r="I214" s="183">
        <v>729</v>
      </c>
      <c r="K214" s="179" t="s">
        <v>161</v>
      </c>
      <c r="L214" s="180" t="str">
        <f>IF(NOT(ISBLANK(TransactionsTable[[#This Row],[Date]])),TEXT(TransactionsTable[[#This Row],[Date]],"mmmm-yy"),"")</f>
        <v>November-23</v>
      </c>
      <c r="M214" s="181" t="s">
        <v>193</v>
      </c>
      <c r="N214" s="180">
        <f>MONTH(TransactionsTable[[#This Row],[Date]])</f>
        <v>11</v>
      </c>
      <c r="O214"/>
      <c r="P214"/>
    </row>
    <row r="215" spans="3:16" ht="13.2" x14ac:dyDescent="0.25">
      <c r="C215" s="43">
        <v>45261</v>
      </c>
      <c r="D215" s="41" t="s">
        <v>476</v>
      </c>
      <c r="I215" s="178">
        <v>18537.59</v>
      </c>
      <c r="J215" s="92" t="s">
        <v>201</v>
      </c>
      <c r="K215" s="179" t="s">
        <v>160</v>
      </c>
      <c r="L215" s="180" t="str">
        <f>IF(NOT(ISBLANK(TransactionsTable[[#This Row],[Date]])),TEXT(TransactionsTable[[#This Row],[Date]],"mmmm-yy"),"")</f>
        <v>December-23</v>
      </c>
      <c r="M215" s="181" t="s">
        <v>193</v>
      </c>
      <c r="N215" s="180">
        <f>MONTH(TransactionsTable[[#This Row],[Date]])</f>
        <v>12</v>
      </c>
      <c r="O215"/>
      <c r="P215"/>
    </row>
    <row r="216" spans="3:16" ht="13.2" x14ac:dyDescent="0.25">
      <c r="C216" s="43">
        <v>45264</v>
      </c>
      <c r="D216" s="41" t="s">
        <v>463</v>
      </c>
      <c r="I216" s="178" t="s">
        <v>201</v>
      </c>
      <c r="J216" s="92">
        <v>11837.38</v>
      </c>
      <c r="K216" s="179" t="s">
        <v>162</v>
      </c>
      <c r="L216" s="180" t="str">
        <f>IF(NOT(ISBLANK(TransactionsTable[[#This Row],[Date]])),TEXT(TransactionsTable[[#This Row],[Date]],"mmmm-yy"),"")</f>
        <v>December-23</v>
      </c>
      <c r="M216" s="181" t="s">
        <v>193</v>
      </c>
      <c r="N216" s="180">
        <f>MONTH(TransactionsTable[[#This Row],[Date]])</f>
        <v>12</v>
      </c>
      <c r="O216"/>
      <c r="P216"/>
    </row>
    <row r="217" spans="3:16" ht="13.2" x14ac:dyDescent="0.25">
      <c r="C217" s="43">
        <v>45264</v>
      </c>
      <c r="D217" s="41" t="s">
        <v>517</v>
      </c>
      <c r="I217" s="178">
        <v>2468</v>
      </c>
      <c r="J217" s="92" t="s">
        <v>201</v>
      </c>
      <c r="K217" s="179" t="s">
        <v>159</v>
      </c>
      <c r="L217" s="180" t="str">
        <f>IF(NOT(ISBLANK(TransactionsTable[[#This Row],[Date]])),TEXT(TransactionsTable[[#This Row],[Date]],"mmmm-yy"),"")</f>
        <v>December-23</v>
      </c>
      <c r="M217" s="181" t="s">
        <v>193</v>
      </c>
      <c r="N217" s="180">
        <f>MONTH(TransactionsTable[[#This Row],[Date]])</f>
        <v>12</v>
      </c>
      <c r="O217"/>
      <c r="P217"/>
    </row>
    <row r="218" spans="3:16" ht="13.2" x14ac:dyDescent="0.25">
      <c r="C218" s="43">
        <v>45266</v>
      </c>
      <c r="D218" s="41" t="s">
        <v>463</v>
      </c>
      <c r="I218" s="178" t="s">
        <v>201</v>
      </c>
      <c r="J218" s="92">
        <v>6295.63</v>
      </c>
      <c r="K218" s="179" t="s">
        <v>162</v>
      </c>
      <c r="L218" s="180" t="str">
        <f>IF(NOT(ISBLANK(TransactionsTable[[#This Row],[Date]])),TEXT(TransactionsTable[[#This Row],[Date]],"mmmm-yy"),"")</f>
        <v>December-23</v>
      </c>
      <c r="M218" s="181" t="s">
        <v>193</v>
      </c>
      <c r="N218" s="180">
        <f>MONTH(TransactionsTable[[#This Row],[Date]])</f>
        <v>12</v>
      </c>
      <c r="O218"/>
      <c r="P218"/>
    </row>
    <row r="219" spans="3:16" ht="13.2" x14ac:dyDescent="0.25">
      <c r="C219" s="43">
        <v>45266</v>
      </c>
      <c r="D219" s="41" t="s">
        <v>475</v>
      </c>
      <c r="I219" s="178">
        <v>47.51</v>
      </c>
      <c r="J219" s="92"/>
      <c r="K219" s="179" t="s">
        <v>159</v>
      </c>
      <c r="L219" s="180" t="str">
        <f>IF(NOT(ISBLANK(TransactionsTable[[#This Row],[Date]])),TEXT(TransactionsTable[[#This Row],[Date]],"mmmm-yy"),"")</f>
        <v>December-23</v>
      </c>
      <c r="M219" s="181" t="s">
        <v>193</v>
      </c>
      <c r="N219" s="180">
        <f>MONTH(TransactionsTable[[#This Row],[Date]])</f>
        <v>12</v>
      </c>
      <c r="O219"/>
      <c r="P219"/>
    </row>
    <row r="220" spans="3:16" ht="13.2" x14ac:dyDescent="0.25">
      <c r="C220" s="43">
        <v>45266</v>
      </c>
      <c r="D220" s="41" t="s">
        <v>518</v>
      </c>
      <c r="I220" s="178">
        <v>175.93</v>
      </c>
      <c r="J220" s="92"/>
      <c r="K220" s="179" t="s">
        <v>161</v>
      </c>
      <c r="L220" s="180" t="str">
        <f>IF(NOT(ISBLANK(TransactionsTable[[#This Row],[Date]])),TEXT(TransactionsTable[[#This Row],[Date]],"mmmm-yy"),"")</f>
        <v>December-23</v>
      </c>
      <c r="M220" s="181" t="s">
        <v>193</v>
      </c>
      <c r="N220" s="180">
        <f>MONTH(TransactionsTable[[#This Row],[Date]])</f>
        <v>12</v>
      </c>
      <c r="O220"/>
      <c r="P220"/>
    </row>
    <row r="221" spans="3:16" ht="13.2" x14ac:dyDescent="0.25">
      <c r="C221" s="43">
        <v>45266</v>
      </c>
      <c r="D221" s="41" t="s">
        <v>519</v>
      </c>
      <c r="I221" s="178">
        <v>599.99</v>
      </c>
      <c r="J221" s="92"/>
      <c r="K221" s="179" t="s">
        <v>161</v>
      </c>
      <c r="L221" s="180" t="str">
        <f>IF(NOT(ISBLANK(TransactionsTable[[#This Row],[Date]])),TEXT(TransactionsTable[[#This Row],[Date]],"mmmm-yy"),"")</f>
        <v>December-23</v>
      </c>
      <c r="M221" s="181" t="s">
        <v>193</v>
      </c>
      <c r="N221" s="180">
        <f>MONTH(TransactionsTable[[#This Row],[Date]])</f>
        <v>12</v>
      </c>
      <c r="O221"/>
      <c r="P221"/>
    </row>
    <row r="222" spans="3:16" ht="13.2" x14ac:dyDescent="0.25">
      <c r="C222" s="43">
        <v>45267</v>
      </c>
      <c r="D222" s="41" t="s">
        <v>517</v>
      </c>
      <c r="I222" s="178">
        <v>4246.0600000000004</v>
      </c>
      <c r="J222" s="92" t="s">
        <v>201</v>
      </c>
      <c r="K222" s="179" t="s">
        <v>159</v>
      </c>
      <c r="L222" s="180" t="str">
        <f>IF(NOT(ISBLANK(TransactionsTable[[#This Row],[Date]])),TEXT(TransactionsTable[[#This Row],[Date]],"mmmm-yy"),"")</f>
        <v>December-23</v>
      </c>
      <c r="M222" s="181" t="s">
        <v>193</v>
      </c>
      <c r="N222" s="180">
        <f>MONTH(TransactionsTable[[#This Row],[Date]])</f>
        <v>12</v>
      </c>
      <c r="O222"/>
      <c r="P222"/>
    </row>
    <row r="223" spans="3:16" ht="13.2" x14ac:dyDescent="0.25">
      <c r="C223" s="43">
        <v>45271</v>
      </c>
      <c r="D223" s="41" t="s">
        <v>463</v>
      </c>
      <c r="I223" s="178" t="s">
        <v>201</v>
      </c>
      <c r="J223" s="92">
        <v>5912.29</v>
      </c>
      <c r="K223" s="179" t="s">
        <v>162</v>
      </c>
      <c r="L223" s="180" t="str">
        <f>IF(NOT(ISBLANK(TransactionsTable[[#This Row],[Date]])),TEXT(TransactionsTable[[#This Row],[Date]],"mmmm-yy"),"")</f>
        <v>December-23</v>
      </c>
      <c r="M223" s="181" t="s">
        <v>193</v>
      </c>
      <c r="N223" s="180">
        <f>MONTH(TransactionsTable[[#This Row],[Date]])</f>
        <v>12</v>
      </c>
      <c r="O223"/>
      <c r="P223"/>
    </row>
    <row r="224" spans="3:16" ht="13.2" x14ac:dyDescent="0.25">
      <c r="C224" s="43">
        <v>45271</v>
      </c>
      <c r="D224" s="41" t="s">
        <v>520</v>
      </c>
      <c r="I224" s="178">
        <v>239.08</v>
      </c>
      <c r="J224" s="92"/>
      <c r="K224" s="179" t="s">
        <v>161</v>
      </c>
      <c r="L224" s="180" t="str">
        <f>IF(NOT(ISBLANK(TransactionsTable[[#This Row],[Date]])),TEXT(TransactionsTable[[#This Row],[Date]],"mmmm-yy"),"")</f>
        <v>December-23</v>
      </c>
      <c r="M224" s="181" t="s">
        <v>193</v>
      </c>
      <c r="N224" s="180">
        <f>MONTH(TransactionsTable[[#This Row],[Date]])</f>
        <v>12</v>
      </c>
      <c r="O224"/>
      <c r="P224"/>
    </row>
    <row r="225" spans="3:16" ht="13.2" x14ac:dyDescent="0.25">
      <c r="C225" s="43">
        <v>45271</v>
      </c>
      <c r="D225" s="41" t="s">
        <v>521</v>
      </c>
      <c r="I225" s="178">
        <v>244.86</v>
      </c>
      <c r="J225" s="92"/>
      <c r="K225" s="179" t="s">
        <v>161</v>
      </c>
      <c r="L225" s="180" t="str">
        <f>IF(NOT(ISBLANK(TransactionsTable[[#This Row],[Date]])),TEXT(TransactionsTable[[#This Row],[Date]],"mmmm-yy"),"")</f>
        <v>December-23</v>
      </c>
      <c r="M225" s="181" t="s">
        <v>193</v>
      </c>
      <c r="N225" s="180">
        <f>MONTH(TransactionsTable[[#This Row],[Date]])</f>
        <v>12</v>
      </c>
      <c r="O225"/>
      <c r="P225"/>
    </row>
    <row r="226" spans="3:16" ht="13.2" x14ac:dyDescent="0.25">
      <c r="C226" s="43">
        <v>45274</v>
      </c>
      <c r="D226" s="41" t="s">
        <v>475</v>
      </c>
      <c r="I226" s="178">
        <v>569.37</v>
      </c>
      <c r="J226" s="92"/>
      <c r="K226" s="179" t="s">
        <v>159</v>
      </c>
      <c r="L226" s="180" t="str">
        <f>IF(NOT(ISBLANK(TransactionsTable[[#This Row],[Date]])),TEXT(TransactionsTable[[#This Row],[Date]],"mmmm-yy"),"")</f>
        <v>December-23</v>
      </c>
      <c r="M226" s="181" t="s">
        <v>193</v>
      </c>
      <c r="N226" s="180">
        <f>MONTH(TransactionsTable[[#This Row],[Date]])</f>
        <v>12</v>
      </c>
      <c r="O226"/>
      <c r="P226"/>
    </row>
    <row r="227" spans="3:16" ht="13.2" x14ac:dyDescent="0.25">
      <c r="C227" s="43">
        <v>45274</v>
      </c>
      <c r="D227" s="41" t="s">
        <v>522</v>
      </c>
      <c r="I227" s="178">
        <v>36.79</v>
      </c>
      <c r="J227" s="92"/>
      <c r="K227" s="179" t="s">
        <v>161</v>
      </c>
      <c r="L227" s="180" t="str">
        <f>IF(NOT(ISBLANK(TransactionsTable[[#This Row],[Date]])),TEXT(TransactionsTable[[#This Row],[Date]],"mmmm-yy"),"")</f>
        <v>December-23</v>
      </c>
      <c r="M227" s="181" t="s">
        <v>193</v>
      </c>
      <c r="N227" s="180">
        <f>MONTH(TransactionsTable[[#This Row],[Date]])</f>
        <v>12</v>
      </c>
      <c r="O227"/>
      <c r="P227"/>
    </row>
    <row r="228" spans="3:16" ht="13.2" x14ac:dyDescent="0.25">
      <c r="C228" s="185">
        <v>45274</v>
      </c>
      <c r="D228" s="41" t="s">
        <v>481</v>
      </c>
      <c r="I228" s="178">
        <v>293.33</v>
      </c>
      <c r="K228" s="179" t="s">
        <v>161</v>
      </c>
      <c r="L228" s="180" t="str">
        <f>IF(NOT(ISBLANK(TransactionsTable[[#This Row],[Date]])),TEXT(TransactionsTable[[#This Row],[Date]],"mmmm-yy"),"")</f>
        <v>December-23</v>
      </c>
      <c r="M228" s="181"/>
      <c r="N228" s="182">
        <f>MONTH(TransactionsTable[[#This Row],[Date]])</f>
        <v>12</v>
      </c>
      <c r="O228"/>
      <c r="P228"/>
    </row>
    <row r="229" spans="3:16" ht="13.2" x14ac:dyDescent="0.25">
      <c r="C229" s="185">
        <v>45274</v>
      </c>
      <c r="D229" s="41" t="s">
        <v>523</v>
      </c>
      <c r="I229" s="178">
        <v>456.17</v>
      </c>
      <c r="K229" s="179" t="s">
        <v>161</v>
      </c>
      <c r="L229" s="180" t="str">
        <f>IF(NOT(ISBLANK(TransactionsTable[[#This Row],[Date]])),TEXT(TransactionsTable[[#This Row],[Date]],"mmmm-yy"),"")</f>
        <v>December-23</v>
      </c>
      <c r="M229" s="181"/>
      <c r="N229" s="182">
        <f>MONTH(TransactionsTable[[#This Row],[Date]])</f>
        <v>12</v>
      </c>
      <c r="O229"/>
      <c r="P229"/>
    </row>
    <row r="230" spans="3:16" ht="13.2" x14ac:dyDescent="0.25">
      <c r="C230" s="185">
        <v>45275</v>
      </c>
      <c r="D230" s="41" t="s">
        <v>528</v>
      </c>
      <c r="I230" s="178" t="s">
        <v>201</v>
      </c>
      <c r="J230" s="42">
        <v>7454.7</v>
      </c>
      <c r="K230" s="179" t="s">
        <v>161</v>
      </c>
      <c r="L230" s="180" t="str">
        <f>IF(NOT(ISBLANK(TransactionsTable[[#This Row],[Date]])),TEXT(TransactionsTable[[#This Row],[Date]],"mmmm-yy"),"")</f>
        <v>December-23</v>
      </c>
      <c r="M230" s="181"/>
      <c r="N230" s="182">
        <f>MONTH(TransactionsTable[[#This Row],[Date]])</f>
        <v>12</v>
      </c>
      <c r="O230"/>
      <c r="P230"/>
    </row>
    <row r="231" spans="3:16" ht="13.2" x14ac:dyDescent="0.25">
      <c r="C231" s="185">
        <v>45275</v>
      </c>
      <c r="D231" s="41" t="s">
        <v>524</v>
      </c>
      <c r="I231" s="178">
        <v>62.66</v>
      </c>
      <c r="K231" s="179" t="s">
        <v>161</v>
      </c>
      <c r="L231" s="180" t="str">
        <f>IF(NOT(ISBLANK(TransactionsTable[[#This Row],[Date]])),TEXT(TransactionsTable[[#This Row],[Date]],"mmmm-yy"),"")</f>
        <v>December-23</v>
      </c>
      <c r="M231" s="181"/>
      <c r="N231" s="182">
        <f>MONTH(TransactionsTable[[#This Row],[Date]])</f>
        <v>12</v>
      </c>
      <c r="O231"/>
      <c r="P231"/>
    </row>
    <row r="232" spans="3:16" ht="13.2" x14ac:dyDescent="0.25">
      <c r="C232" s="185">
        <v>45275</v>
      </c>
      <c r="D232" s="41" t="s">
        <v>525</v>
      </c>
      <c r="I232" s="178">
        <v>2200.65</v>
      </c>
      <c r="J232" s="42" t="s">
        <v>201</v>
      </c>
      <c r="K232" s="179" t="s">
        <v>161</v>
      </c>
      <c r="L232" s="180" t="str">
        <f>IF(NOT(ISBLANK(TransactionsTable[[#This Row],[Date]])),TEXT(TransactionsTable[[#This Row],[Date]],"mmmm-yy"),"")</f>
        <v>December-23</v>
      </c>
      <c r="M232" s="181"/>
      <c r="N232" s="182">
        <f>MONTH(TransactionsTable[[#This Row],[Date]])</f>
        <v>12</v>
      </c>
    </row>
    <row r="233" spans="3:16" ht="13.2" x14ac:dyDescent="0.25">
      <c r="C233" s="185">
        <v>45281</v>
      </c>
      <c r="D233" s="41" t="s">
        <v>526</v>
      </c>
      <c r="I233" s="178">
        <v>73.88</v>
      </c>
      <c r="K233" s="179" t="s">
        <v>161</v>
      </c>
      <c r="L233" s="180" t="str">
        <f>IF(NOT(ISBLANK(TransactionsTable[[#This Row],[Date]])),TEXT(TransactionsTable[[#This Row],[Date]],"mmmm-yy"),"")</f>
        <v>December-23</v>
      </c>
      <c r="M233" s="181"/>
      <c r="N233" s="182">
        <f>MONTH(TransactionsTable[[#This Row],[Date]])</f>
        <v>12</v>
      </c>
    </row>
    <row r="234" spans="3:16" ht="13.2" x14ac:dyDescent="0.25">
      <c r="C234" s="185">
        <v>45282</v>
      </c>
      <c r="D234" s="41" t="s">
        <v>463</v>
      </c>
      <c r="I234" s="178" t="s">
        <v>201</v>
      </c>
      <c r="J234" s="42">
        <v>42032.41</v>
      </c>
      <c r="K234" s="179" t="s">
        <v>162</v>
      </c>
      <c r="L234" s="180" t="str">
        <f>IF(NOT(ISBLANK(TransactionsTable[[#This Row],[Date]])),TEXT(TransactionsTable[[#This Row],[Date]],"mmmm-yy"),"")</f>
        <v>December-23</v>
      </c>
      <c r="M234" s="181"/>
      <c r="N234" s="182">
        <f>MONTH(TransactionsTable[[#This Row],[Date]])</f>
        <v>12</v>
      </c>
    </row>
    <row r="235" spans="3:16" ht="13.2" x14ac:dyDescent="0.25">
      <c r="C235" s="185">
        <v>45282</v>
      </c>
      <c r="D235" s="41" t="s">
        <v>484</v>
      </c>
      <c r="I235" s="178">
        <v>275.77</v>
      </c>
      <c r="K235" s="179" t="s">
        <v>161</v>
      </c>
      <c r="L235" s="180" t="str">
        <f>IF(NOT(ISBLANK(TransactionsTable[[#This Row],[Date]])),TEXT(TransactionsTable[[#This Row],[Date]],"mmmm-yy"),"")</f>
        <v>December-23</v>
      </c>
      <c r="M235" s="181"/>
      <c r="N235" s="182">
        <f>MONTH(TransactionsTable[[#This Row],[Date]])</f>
        <v>12</v>
      </c>
    </row>
    <row r="236" spans="3:16" ht="13.2" x14ac:dyDescent="0.25">
      <c r="C236" s="185">
        <v>45286</v>
      </c>
      <c r="D236" s="41" t="s">
        <v>527</v>
      </c>
      <c r="I236" s="178">
        <v>7681.97</v>
      </c>
      <c r="J236" s="42" t="s">
        <v>201</v>
      </c>
      <c r="K236" s="179" t="s">
        <v>159</v>
      </c>
      <c r="L236" s="180" t="str">
        <f>IF(NOT(ISBLANK(TransactionsTable[[#This Row],[Date]])),TEXT(TransactionsTable[[#This Row],[Date]],"mmmm-yy"),"")</f>
        <v>December-23</v>
      </c>
      <c r="M236" s="181"/>
      <c r="N236" s="182">
        <f>MONTH(TransactionsTable[[#This Row],[Date]])</f>
        <v>12</v>
      </c>
    </row>
    <row r="237" spans="3:16" ht="13.2" x14ac:dyDescent="0.25">
      <c r="C237" s="185">
        <v>45289</v>
      </c>
      <c r="D237" s="41" t="s">
        <v>486</v>
      </c>
      <c r="I237" s="178">
        <v>729</v>
      </c>
      <c r="K237" s="179" t="s">
        <v>161</v>
      </c>
      <c r="L237" s="180" t="str">
        <f>IF(NOT(ISBLANK(TransactionsTable[[#This Row],[Date]])),TEXT(TransactionsTable[[#This Row],[Date]],"mmmm-yy"),"")</f>
        <v>December-23</v>
      </c>
      <c r="M237" s="181"/>
      <c r="N237" s="182">
        <f>MONTH(TransactionsTable[[#This Row],[Date]])</f>
        <v>12</v>
      </c>
    </row>
    <row r="238" spans="3:16" x14ac:dyDescent="0.2">
      <c r="C238" s="42" t="s">
        <v>1</v>
      </c>
      <c r="I238" s="182">
        <f>SUBTOTAL(109,TransactionsTable[Debit])</f>
        <v>484321.06000000011</v>
      </c>
      <c r="J238" s="182">
        <f>SUBTOTAL(109,TransactionsTable[Credit])</f>
        <v>518054.88000000012</v>
      </c>
      <c r="K238" s="184"/>
      <c r="L238" s="179"/>
      <c r="M238" s="179"/>
    </row>
    <row r="239" spans="3:16" x14ac:dyDescent="0.2">
      <c r="C239"/>
      <c r="D239"/>
      <c r="E239"/>
      <c r="F239"/>
      <c r="G239"/>
      <c r="H239"/>
      <c r="I239"/>
      <c r="J239"/>
      <c r="L239"/>
      <c r="M239"/>
      <c r="N239"/>
    </row>
    <row r="240" spans="3:16" x14ac:dyDescent="0.2">
      <c r="C240"/>
      <c r="D240"/>
      <c r="E240"/>
      <c r="F240"/>
      <c r="G240"/>
      <c r="H240"/>
      <c r="I240"/>
      <c r="J240"/>
      <c r="L240"/>
      <c r="M240"/>
      <c r="N240"/>
    </row>
    <row r="241" spans="3:14" x14ac:dyDescent="0.2">
      <c r="C241"/>
      <c r="D241"/>
      <c r="E241"/>
      <c r="F241"/>
      <c r="G241"/>
      <c r="H241"/>
      <c r="I241"/>
      <c r="J241"/>
      <c r="L241"/>
      <c r="M241"/>
      <c r="N241"/>
    </row>
    <row r="242" spans="3:14" x14ac:dyDescent="0.2">
      <c r="C242"/>
      <c r="D242"/>
      <c r="E242"/>
      <c r="F242"/>
      <c r="G242"/>
      <c r="H242"/>
      <c r="I242"/>
      <c r="J242"/>
      <c r="L242"/>
      <c r="M242"/>
      <c r="N242"/>
    </row>
    <row r="243" spans="3:14" x14ac:dyDescent="0.2">
      <c r="C243"/>
      <c r="D243"/>
      <c r="E243"/>
      <c r="F243"/>
      <c r="G243"/>
      <c r="H243"/>
      <c r="I243"/>
      <c r="J243"/>
      <c r="L243"/>
      <c r="M243"/>
      <c r="N243"/>
    </row>
    <row r="244" spans="3:14" x14ac:dyDescent="0.2">
      <c r="C244"/>
      <c r="D244"/>
      <c r="E244"/>
      <c r="F244"/>
      <c r="G244"/>
      <c r="H244"/>
      <c r="I244"/>
      <c r="J244"/>
      <c r="L244"/>
      <c r="M244"/>
      <c r="N244"/>
    </row>
    <row r="245" spans="3:14" x14ac:dyDescent="0.2">
      <c r="C245"/>
      <c r="D245"/>
      <c r="E245"/>
      <c r="F245"/>
      <c r="G245"/>
      <c r="H245"/>
      <c r="I245"/>
      <c r="J245"/>
      <c r="L245"/>
      <c r="M245"/>
      <c r="N245"/>
    </row>
    <row r="246" spans="3:14" x14ac:dyDescent="0.2">
      <c r="C246"/>
      <c r="D246"/>
      <c r="E246"/>
      <c r="F246"/>
      <c r="G246"/>
      <c r="H246"/>
      <c r="I246"/>
      <c r="J246"/>
      <c r="L246"/>
      <c r="M246"/>
      <c r="N246"/>
    </row>
    <row r="247" spans="3:14" x14ac:dyDescent="0.2">
      <c r="C247"/>
      <c r="D247"/>
      <c r="E247"/>
      <c r="F247"/>
      <c r="G247"/>
      <c r="H247"/>
      <c r="I247"/>
      <c r="J247"/>
      <c r="L247"/>
      <c r="M247"/>
      <c r="N247"/>
    </row>
    <row r="248" spans="3:14" x14ac:dyDescent="0.2">
      <c r="C248"/>
      <c r="D248"/>
      <c r="E248"/>
      <c r="F248"/>
      <c r="G248"/>
      <c r="H248"/>
      <c r="I248"/>
      <c r="J248"/>
      <c r="L248"/>
      <c r="M248"/>
      <c r="N248"/>
    </row>
    <row r="249" spans="3:14" x14ac:dyDescent="0.2">
      <c r="C249"/>
      <c r="D249"/>
      <c r="E249"/>
      <c r="F249"/>
      <c r="G249"/>
      <c r="H249"/>
      <c r="I249"/>
      <c r="J249"/>
      <c r="L249"/>
      <c r="M249"/>
      <c r="N249"/>
    </row>
    <row r="250" spans="3:14" x14ac:dyDescent="0.2">
      <c r="L250"/>
      <c r="M250"/>
      <c r="N250"/>
    </row>
    <row r="251" spans="3:14" x14ac:dyDescent="0.2">
      <c r="L251"/>
      <c r="M251"/>
      <c r="N251"/>
    </row>
    <row r="252" spans="3:14" x14ac:dyDescent="0.2">
      <c r="L252"/>
      <c r="M252"/>
      <c r="N252"/>
    </row>
    <row r="253" spans="3:14" x14ac:dyDescent="0.2">
      <c r="L253"/>
      <c r="M253"/>
      <c r="N253"/>
    </row>
    <row r="254" spans="3:14" x14ac:dyDescent="0.2">
      <c r="L254"/>
      <c r="M254"/>
      <c r="N254"/>
    </row>
    <row r="255" spans="3:14" x14ac:dyDescent="0.2">
      <c r="L255"/>
      <c r="M255"/>
      <c r="N255"/>
    </row>
    <row r="256" spans="3:14" x14ac:dyDescent="0.2">
      <c r="L256"/>
      <c r="M256"/>
      <c r="N256"/>
    </row>
    <row r="257" spans="12:14" x14ac:dyDescent="0.2">
      <c r="L257"/>
      <c r="M257"/>
      <c r="N257"/>
    </row>
    <row r="258" spans="12:14" x14ac:dyDescent="0.2">
      <c r="L258"/>
      <c r="M258"/>
      <c r="N258"/>
    </row>
    <row r="259" spans="12:14" x14ac:dyDescent="0.2">
      <c r="L259"/>
      <c r="M259"/>
      <c r="N259"/>
    </row>
    <row r="260" spans="12:14" x14ac:dyDescent="0.2">
      <c r="L260"/>
      <c r="M260"/>
      <c r="N260"/>
    </row>
    <row r="261" spans="12:14" x14ac:dyDescent="0.2">
      <c r="L261"/>
      <c r="M261"/>
      <c r="N261"/>
    </row>
    <row r="262" spans="12:14" x14ac:dyDescent="0.2">
      <c r="L262"/>
      <c r="M262"/>
      <c r="N262"/>
    </row>
    <row r="263" spans="12:14" x14ac:dyDescent="0.2">
      <c r="L263"/>
      <c r="M263"/>
      <c r="N263"/>
    </row>
    <row r="264" spans="12:14" x14ac:dyDescent="0.2">
      <c r="L264"/>
      <c r="M264"/>
      <c r="N264"/>
    </row>
    <row r="265" spans="12:14" x14ac:dyDescent="0.2">
      <c r="L265"/>
      <c r="M265"/>
      <c r="N265"/>
    </row>
    <row r="266" spans="12:14" x14ac:dyDescent="0.2">
      <c r="L266"/>
      <c r="M266"/>
      <c r="N266"/>
    </row>
    <row r="267" spans="12:14" x14ac:dyDescent="0.2">
      <c r="L267"/>
      <c r="M267"/>
      <c r="N267"/>
    </row>
  </sheetData>
  <phoneticPr fontId="0" type="noConversion"/>
  <conditionalFormatting sqref="I238:J238">
    <cfRule type="duplicateValues" dxfId="0" priority="1"/>
  </conditionalFormatting>
  <pageMargins left="0.7" right="0.7" top="0.75" bottom="0.75" header="0.3" footer="0.3"/>
  <pageSetup orientation="portrait" r:id="rId1"/>
  <tableParts count="1">
    <tablePart r:id="rId2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00D8AB-C46B-4628-9B18-8655E3CFC915}">
  <dimension ref="A1:O9"/>
  <sheetViews>
    <sheetView showGridLines="0" zoomScale="150" zoomScaleNormal="150" workbookViewId="0">
      <selection activeCell="O7" sqref="O7"/>
    </sheetView>
  </sheetViews>
  <sheetFormatPr defaultRowHeight="10.199999999999999" x14ac:dyDescent="0.2"/>
  <cols>
    <col min="1" max="1" width="17.42578125" customWidth="1"/>
    <col min="2" max="2" width="11.140625" customWidth="1"/>
    <col min="3" max="12" width="11.140625" bestFit="1" customWidth="1"/>
    <col min="13" max="13" width="10.42578125" customWidth="1"/>
    <col min="14" max="14" width="11.140625" bestFit="1" customWidth="1"/>
    <col min="15" max="15" width="10.140625" bestFit="1" customWidth="1"/>
  </cols>
  <sheetData>
    <row r="1" spans="1:15" x14ac:dyDescent="0.2">
      <c r="A1" s="266" t="s">
        <v>22</v>
      </c>
      <c r="B1" s="266"/>
      <c r="C1" s="267"/>
      <c r="D1" s="267"/>
      <c r="E1" s="267"/>
      <c r="F1" s="267"/>
      <c r="G1" s="267"/>
      <c r="H1" s="267"/>
      <c r="I1" s="267"/>
      <c r="J1" s="267"/>
    </row>
    <row r="2" spans="1:15" s="13" customFormat="1" ht="10.8" x14ac:dyDescent="0.25">
      <c r="A2" s="13" t="s">
        <v>23</v>
      </c>
      <c r="B2" s="17"/>
      <c r="C2" s="15">
        <v>44228</v>
      </c>
      <c r="D2" s="15">
        <v>44256</v>
      </c>
      <c r="E2" s="15">
        <v>44287</v>
      </c>
      <c r="F2" s="15">
        <v>44317</v>
      </c>
      <c r="G2" s="15">
        <v>44348</v>
      </c>
      <c r="H2" s="15">
        <v>44378</v>
      </c>
      <c r="I2" s="15">
        <v>44409</v>
      </c>
      <c r="J2" s="15">
        <v>44440</v>
      </c>
      <c r="K2" s="15">
        <v>44470</v>
      </c>
      <c r="L2" s="15">
        <v>44501</v>
      </c>
      <c r="M2" s="15">
        <v>44531</v>
      </c>
      <c r="N2" s="15">
        <v>44562</v>
      </c>
      <c r="O2" s="17"/>
    </row>
    <row r="3" spans="1:15" x14ac:dyDescent="0.2">
      <c r="A3" s="6" t="s">
        <v>24</v>
      </c>
      <c r="B3" s="16" t="s">
        <v>25</v>
      </c>
      <c r="C3" s="10" t="s">
        <v>26</v>
      </c>
      <c r="D3" s="10" t="s">
        <v>41</v>
      </c>
      <c r="E3" s="10" t="s">
        <v>27</v>
      </c>
      <c r="F3" s="10" t="s">
        <v>28</v>
      </c>
      <c r="G3" s="10" t="s">
        <v>29</v>
      </c>
      <c r="H3" s="11" t="s">
        <v>40</v>
      </c>
      <c r="I3" s="10" t="s">
        <v>30</v>
      </c>
      <c r="J3" s="10" t="s">
        <v>31</v>
      </c>
      <c r="K3" s="10" t="s">
        <v>32</v>
      </c>
      <c r="L3" s="10" t="s">
        <v>33</v>
      </c>
      <c r="M3" s="14" t="s">
        <v>34</v>
      </c>
      <c r="N3" s="10" t="s">
        <v>35</v>
      </c>
      <c r="O3" s="11" t="s">
        <v>1</v>
      </c>
    </row>
    <row r="4" spans="1:15" ht="10.8" x14ac:dyDescent="0.25">
      <c r="A4" s="6" t="s">
        <v>36</v>
      </c>
      <c r="B4" s="4"/>
      <c r="C4">
        <v>3754.28</v>
      </c>
      <c r="D4">
        <v>4670.46</v>
      </c>
      <c r="E4">
        <v>3783.3</v>
      </c>
      <c r="F4">
        <v>4096.47</v>
      </c>
      <c r="G4">
        <v>3810.44</v>
      </c>
      <c r="H4">
        <v>4122.83</v>
      </c>
      <c r="I4">
        <v>3837.76</v>
      </c>
      <c r="J4">
        <v>3850.98</v>
      </c>
      <c r="K4">
        <v>4162.2</v>
      </c>
      <c r="L4">
        <v>3878.58</v>
      </c>
      <c r="M4">
        <v>4189</v>
      </c>
      <c r="N4">
        <v>3906.37</v>
      </c>
      <c r="O4" s="4"/>
    </row>
    <row r="5" spans="1:15" ht="10.8" x14ac:dyDescent="0.25">
      <c r="A5" s="6" t="s">
        <v>37</v>
      </c>
      <c r="B5" s="4"/>
      <c r="C5">
        <v>9346.5400000000009</v>
      </c>
      <c r="D5">
        <v>8430.36</v>
      </c>
      <c r="E5">
        <v>9317.52</v>
      </c>
      <c r="F5">
        <v>9004.35</v>
      </c>
      <c r="G5">
        <v>9290.3799999999992</v>
      </c>
      <c r="H5">
        <v>8977.99</v>
      </c>
      <c r="I5">
        <v>9263.06</v>
      </c>
      <c r="J5">
        <v>9249.84</v>
      </c>
      <c r="K5">
        <v>8938.6200000000008</v>
      </c>
      <c r="L5">
        <v>9222.24</v>
      </c>
      <c r="M5">
        <v>8911.82</v>
      </c>
      <c r="N5">
        <v>9194.4500000000007</v>
      </c>
      <c r="O5" s="4"/>
    </row>
    <row r="6" spans="1:15" ht="10.8" x14ac:dyDescent="0.25">
      <c r="A6" s="6" t="s">
        <v>38</v>
      </c>
      <c r="B6" s="4"/>
      <c r="C6">
        <v>5524.58</v>
      </c>
      <c r="D6">
        <v>5524.58</v>
      </c>
      <c r="E6">
        <v>5524.58</v>
      </c>
      <c r="F6">
        <v>5524.58</v>
      </c>
      <c r="G6">
        <v>5524.58</v>
      </c>
      <c r="H6">
        <v>5524.58</v>
      </c>
      <c r="I6">
        <v>5524.58</v>
      </c>
      <c r="J6">
        <v>5524.58</v>
      </c>
      <c r="K6">
        <v>5524.58</v>
      </c>
      <c r="L6">
        <v>5377.97</v>
      </c>
      <c r="M6">
        <v>5377.97</v>
      </c>
      <c r="N6">
        <v>5377.97</v>
      </c>
      <c r="O6" s="4"/>
    </row>
    <row r="7" spans="1:15" ht="10.8" thickBot="1" x14ac:dyDescent="0.25">
      <c r="A7" s="6" t="s">
        <v>39</v>
      </c>
      <c r="B7" s="6">
        <v>18625.400000000001</v>
      </c>
      <c r="C7" s="6">
        <f t="shared" ref="C7:L7" si="0">SUM(C4:C6)</f>
        <v>18625.400000000001</v>
      </c>
      <c r="D7" s="6">
        <f t="shared" si="0"/>
        <v>18625.400000000001</v>
      </c>
      <c r="E7" s="6">
        <f t="shared" si="0"/>
        <v>18625.400000000001</v>
      </c>
      <c r="F7" s="6">
        <f t="shared" si="0"/>
        <v>18625.400000000001</v>
      </c>
      <c r="G7" s="6">
        <f t="shared" si="0"/>
        <v>18625.400000000001</v>
      </c>
      <c r="H7" s="6">
        <f t="shared" si="0"/>
        <v>18625.400000000001</v>
      </c>
      <c r="I7" s="6">
        <f t="shared" si="0"/>
        <v>18625.400000000001</v>
      </c>
      <c r="J7" s="6">
        <f t="shared" si="0"/>
        <v>18625.400000000001</v>
      </c>
      <c r="K7" s="6">
        <f t="shared" si="0"/>
        <v>18625.400000000001</v>
      </c>
      <c r="L7" s="6">
        <f t="shared" si="0"/>
        <v>18478.79</v>
      </c>
      <c r="M7" s="6">
        <v>18478.79</v>
      </c>
      <c r="N7" s="6">
        <f>SUM(N4:N6)</f>
        <v>18478.79</v>
      </c>
      <c r="O7" s="18">
        <f>SUM(Table11[[#This Row],[1-Dec-20]:[01-Dec]])</f>
        <v>241690.37</v>
      </c>
    </row>
    <row r="8" spans="1:15" ht="10.8" thickTop="1" x14ac:dyDescent="0.2"/>
    <row r="9" spans="1:15" x14ac:dyDescent="0.2">
      <c r="A9" s="6"/>
      <c r="B9" s="6"/>
    </row>
  </sheetData>
  <mergeCells count="1">
    <mergeCell ref="A1:J1"/>
  </mergeCells>
  <pageMargins left="0.7" right="0.7" top="0.75" bottom="0.75" header="0.3" footer="0.3"/>
  <pageSetup paperSize="3" scale="145" orientation="landscape" r:id="rId1"/>
  <ignoredErrors>
    <ignoredError sqref="B3" twoDigitTextYear="1"/>
    <ignoredError sqref="O7" calculatedColumn="1"/>
  </ignoredErrors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_rels/item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6.xml"/></Relationships>
</file>

<file path=customXml/_rels/item7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7.xml"/></Relationships>
</file>

<file path=customXml/_rels/item8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8.xml"/></Relationships>
</file>

<file path=customXml/_rels/item9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9.xml"/></Relationships>
</file>

<file path=customXml/_rels/item10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0.xml"/></Relationships>
</file>

<file path=customXml/_rels/item1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1.xml"/></Relationships>
</file>

<file path=customXml/_rels/item1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2.xml"/></Relationships>
</file>

<file path=customXml/_rels/item1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3.xml"/></Relationships>
</file>

<file path=customXml/_rels/item1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4.xml"/></Relationships>
</file>

<file path=customXml/_rels/item1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5.xml"/></Relationships>
</file>

<file path=customXml/_rels/item1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6.xml"/></Relationships>
</file>

<file path=customXml/_rels/item17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7.xml"/></Relationships>
</file>

<file path=customXml/_rels/item18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8.xml"/></Relationships>
</file>

<file path=customXml/_rels/item19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9.xml"/></Relationships>
</file>

<file path=customXml/_rels/item20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0.xml"/></Relationships>
</file>

<file path=customXml/_rels/item2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1.xml"/></Relationships>
</file>

<file path=customXml/_rels/item2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2.xml"/></Relationships>
</file>

<file path=customXml/_rels/item2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3.xml"/></Relationships>
</file>

<file path=customXml/_rels/item2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4.xml"/></Relationships>
</file>

<file path=customXml/_rels/item2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5.xml"/></Relationships>
</file>

<file path=customXml/_rels/item2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6.xml"/></Relationships>
</file>

<file path=customXml/item1.xml>��
</file>

<file path=customXml/item2.xml>��
</file>

<file path=customXml/item3.xml>��
</file>

<file path=customXml/item4.xml>��
</file>

<file path=customXml/item5.xml>��
</file>

<file path=customXml/item6.xml>��
</file>

<file path=customXml/item7.xml>��
</file>

<file path=customXml/item8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9F111ED35F8CC479449609E8A0923A6" ma:contentTypeVersion="11" ma:contentTypeDescription="Create a new document." ma:contentTypeScope="" ma:versionID="9677210f24a1be23c92c90fd886aa0aa">
  <xsd:schema xmlns:xsd="http://www.w3.org/2001/XMLSchema" xmlns:xs="http://www.w3.org/2001/XMLSchema" xmlns:p="http://schemas.microsoft.com/office/2006/metadata/properties" xmlns:ns2="71af3243-3dd4-4a8d-8c0d-dd76da1f02a5" xmlns:ns3="16c05727-aa75-4e4a-9b5f-8a80a1165891" targetNamespace="http://schemas.microsoft.com/office/2006/metadata/properties" ma:root="true" ma:fieldsID="60e05723c5c1908df1a1a4ebf11d344e" ns2:_="" ns3:_="">
    <xsd:import namespace="71af3243-3dd4-4a8d-8c0d-dd76da1f02a5"/>
    <xsd:import namespace="16c05727-aa75-4e4a-9b5f-8a80a116589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CR" minOccurs="0"/>
                <xsd:element ref="ns2:MediaServiceAutoTags" minOccurs="0"/>
                <xsd:element ref="ns2:MediaServiceEventHashCode" minOccurs="0"/>
                <xsd:element ref="ns2:MediaServiceGenerationTime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1af3243-3dd4-4a8d-8c0d-dd76da1f02a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CR" ma:index="10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AutoTags" ma:index="11" nillable="true" ma:displayName="MediaServiceAutoTags" ma:internalName="MediaServiceAutoTags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false">
      <xsd:simpleType>
        <xsd:restriction base="dms:Note">
          <xsd:maxLength value="255"/>
        </xsd:restriction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6c05727-aa75-4e4a-9b5f-8a80a1165891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9.xml>��
</file>

<file path=customXml/item10.xml>��
</file>

<file path=customXml/item11.xml>��
</file>

<file path=customXml/item12.xml>��
</file>

<file path=customXml/item13.xml>��
</file>

<file path=customXml/item14.xml>��
</file>

<file path=customXml/item15.xml>��
</file>

<file path=customXml/item16.xml>��
</file>

<file path=customXml/item17.xml>��
</file>

<file path=customXml/item18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19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MediaServiceKeyPoints xmlns="71af3243-3dd4-4a8d-8c0d-dd76da1f02a5" xsi:nil="true"/>
  </documentManagement>
</p:properties>
</file>

<file path=customXml/item20.xml>��
</file>

<file path=customXml/item21.xml>��
</file>

<file path=customXml/item22.xml>��
</file>

<file path=customXml/item23.xml>��
</file>

<file path=customXml/item24.xml>��
</file>

<file path=customXml/item25.xml>��
</file>

<file path=customXml/item26.xml>��
</file>

<file path=customXml/itemProps1.xml><?xml version="1.0" encoding="utf-8"?>
<ds:datastoreItem xmlns:ds="http://schemas.openxmlformats.org/officeDocument/2006/customXml" ds:itemID="{F118859A-CA0C-413E-80B7-2727353B1673}">
  <ds:schemaRefs/>
</ds:datastoreItem>
</file>

<file path=customXml/itemProps2.xml><?xml version="1.0" encoding="utf-8"?>
<ds:datastoreItem xmlns:ds="http://schemas.openxmlformats.org/officeDocument/2006/customXml" ds:itemID="{0D75192D-294F-46B4-A603-20C06734E7CA}">
  <ds:schemaRefs/>
</ds:datastoreItem>
</file>

<file path=customXml/itemProps3.xml><?xml version="1.0" encoding="utf-8"?>
<ds:datastoreItem xmlns:ds="http://schemas.openxmlformats.org/officeDocument/2006/customXml" ds:itemID="{F22F1BB4-4B28-4B21-A013-825F313DE3C8}">
  <ds:schemaRefs/>
</ds:datastoreItem>
</file>

<file path=customXml/itemProps4.xml><?xml version="1.0" encoding="utf-8"?>
<ds:datastoreItem xmlns:ds="http://schemas.openxmlformats.org/officeDocument/2006/customXml" ds:itemID="{2285CE25-CCF2-4C19-A5C4-DA38B29D10F3}">
  <ds:schemaRefs/>
</ds:datastoreItem>
</file>

<file path=customXml/itemProps5.xml><?xml version="1.0" encoding="utf-8"?>
<ds:datastoreItem xmlns:ds="http://schemas.openxmlformats.org/officeDocument/2006/customXml" ds:itemID="{539D5CE3-70BD-4F76-B852-5D076716C8E9}">
  <ds:schemaRefs/>
</ds:datastoreItem>
</file>

<file path=customXml/itemProps6.xml><?xml version="1.0" encoding="utf-8"?>
<ds:datastoreItem xmlns:ds="http://schemas.openxmlformats.org/officeDocument/2006/customXml" ds:itemID="{2AB281EE-3779-4A24-9303-FE9EFF7EA904}">
  <ds:schemaRefs/>
</ds:datastoreItem>
</file>

<file path=customXml/itemProps7.xml><?xml version="1.0" encoding="utf-8"?>
<ds:datastoreItem xmlns:ds="http://schemas.openxmlformats.org/officeDocument/2006/customXml" ds:itemID="{3CDB19DA-1FDC-4FE4-9E0B-13372885B812}">
  <ds:schemaRefs/>
</ds:datastoreItem>
</file>

<file path=customXml/itemProps8.xml><?xml version="1.0" encoding="utf-8"?>
<ds:datastoreItem xmlns:ds="http://schemas.openxmlformats.org/officeDocument/2006/customXml" ds:itemID="{CF1D1465-AA96-4DA0-95E9-0CEA48C7233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1af3243-3dd4-4a8d-8c0d-dd76da1f02a5"/>
    <ds:schemaRef ds:uri="16c05727-aa75-4e4a-9b5f-8a80a116589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9.xml><?xml version="1.0" encoding="utf-8"?>
<ds:datastoreItem xmlns:ds="http://schemas.openxmlformats.org/officeDocument/2006/customXml" ds:itemID="{2613B4DB-378A-40EA-8422-F245ACFDD8B3}">
  <ds:schemaRefs/>
</ds:datastoreItem>
</file>

<file path=customXml/itemProps10.xml><?xml version="1.0" encoding="utf-8"?>
<ds:datastoreItem xmlns:ds="http://schemas.openxmlformats.org/officeDocument/2006/customXml" ds:itemID="{DBB92A43-7A46-491D-ADA7-B3D7FC4D8F94}">
  <ds:schemaRefs/>
</ds:datastoreItem>
</file>

<file path=customXml/itemProps11.xml><?xml version="1.0" encoding="utf-8"?>
<ds:datastoreItem xmlns:ds="http://schemas.openxmlformats.org/officeDocument/2006/customXml" ds:itemID="{67325970-4B36-453A-A10D-A0F8FC5F4490}">
  <ds:schemaRefs/>
</ds:datastoreItem>
</file>

<file path=customXml/itemProps12.xml><?xml version="1.0" encoding="utf-8"?>
<ds:datastoreItem xmlns:ds="http://schemas.openxmlformats.org/officeDocument/2006/customXml" ds:itemID="{AE8AF60D-1EEE-4CFB-A613-2D3FB556ACBA}">
  <ds:schemaRefs/>
</ds:datastoreItem>
</file>

<file path=customXml/itemProps13.xml><?xml version="1.0" encoding="utf-8"?>
<ds:datastoreItem xmlns:ds="http://schemas.openxmlformats.org/officeDocument/2006/customXml" ds:itemID="{DBE1CF0A-F9A0-415C-8B82-1E1B1B4C1A27}">
  <ds:schemaRefs/>
</ds:datastoreItem>
</file>

<file path=customXml/itemProps14.xml><?xml version="1.0" encoding="utf-8"?>
<ds:datastoreItem xmlns:ds="http://schemas.openxmlformats.org/officeDocument/2006/customXml" ds:itemID="{FA820564-C07D-4B04-A388-54F438790820}">
  <ds:schemaRefs/>
</ds:datastoreItem>
</file>

<file path=customXml/itemProps15.xml><?xml version="1.0" encoding="utf-8"?>
<ds:datastoreItem xmlns:ds="http://schemas.openxmlformats.org/officeDocument/2006/customXml" ds:itemID="{64C74519-5A56-4B8D-A832-EF0A74D41BBE}">
  <ds:schemaRefs/>
</ds:datastoreItem>
</file>

<file path=customXml/itemProps16.xml><?xml version="1.0" encoding="utf-8"?>
<ds:datastoreItem xmlns:ds="http://schemas.openxmlformats.org/officeDocument/2006/customXml" ds:itemID="{1D46A216-F7CD-41B1-834B-918E10F8E67D}">
  <ds:schemaRefs>
    <ds:schemaRef ds:uri="http://schemas.microsoft.com/DataMashup"/>
  </ds:schemaRefs>
</ds:datastoreItem>
</file>

<file path=customXml/itemProps17.xml><?xml version="1.0" encoding="utf-8"?>
<ds:datastoreItem xmlns:ds="http://schemas.openxmlformats.org/officeDocument/2006/customXml" ds:itemID="{1E1496A0-204F-4D8C-B665-E5E05F64EF4C}">
  <ds:schemaRefs/>
</ds:datastoreItem>
</file>

<file path=customXml/itemProps18.xml><?xml version="1.0" encoding="utf-8"?>
<ds:datastoreItem xmlns:ds="http://schemas.openxmlformats.org/officeDocument/2006/customXml" ds:itemID="{133DD424-FC02-4E74-83F6-36F4774EEDDF}">
  <ds:schemaRefs>
    <ds:schemaRef ds:uri="http://schemas.microsoft.com/sharepoint/v3/contenttype/forms"/>
  </ds:schemaRefs>
</ds:datastoreItem>
</file>

<file path=customXml/itemProps19.xml><?xml version="1.0" encoding="utf-8"?>
<ds:datastoreItem xmlns:ds="http://schemas.openxmlformats.org/officeDocument/2006/customXml" ds:itemID="{D8111029-9263-48A0-82FD-95F7C86A15B2}">
  <ds:schemaRefs>
    <ds:schemaRef ds:uri="http://schemas.microsoft.com/office/2006/metadata/properties"/>
    <ds:schemaRef ds:uri="http://schemas.microsoft.com/office/infopath/2007/PartnerControls"/>
    <ds:schemaRef ds:uri="71af3243-3dd4-4a8d-8c0d-dd76da1f02a5"/>
  </ds:schemaRefs>
</ds:datastoreItem>
</file>

<file path=customXml/itemProps20.xml><?xml version="1.0" encoding="utf-8"?>
<ds:datastoreItem xmlns:ds="http://schemas.openxmlformats.org/officeDocument/2006/customXml" ds:itemID="{6B4A69E2-9BCB-4556-845C-919F0FFE77CD}">
  <ds:schemaRefs/>
</ds:datastoreItem>
</file>

<file path=customXml/itemProps21.xml><?xml version="1.0" encoding="utf-8"?>
<ds:datastoreItem xmlns:ds="http://schemas.openxmlformats.org/officeDocument/2006/customXml" ds:itemID="{7C3CDBBB-5A49-4D37-BB19-9C9457FBE852}">
  <ds:schemaRefs/>
</ds:datastoreItem>
</file>

<file path=customXml/itemProps22.xml><?xml version="1.0" encoding="utf-8"?>
<ds:datastoreItem xmlns:ds="http://schemas.openxmlformats.org/officeDocument/2006/customXml" ds:itemID="{9222C6E7-F4C7-4BC8-ABFC-2F8F9E2B3961}">
  <ds:schemaRefs/>
</ds:datastoreItem>
</file>

<file path=customXml/itemProps23.xml><?xml version="1.0" encoding="utf-8"?>
<ds:datastoreItem xmlns:ds="http://schemas.openxmlformats.org/officeDocument/2006/customXml" ds:itemID="{3236DDB8-3F49-4A94-94E2-A4E73BF6F24F}">
  <ds:schemaRefs/>
</ds:datastoreItem>
</file>

<file path=customXml/itemProps24.xml><?xml version="1.0" encoding="utf-8"?>
<ds:datastoreItem xmlns:ds="http://schemas.openxmlformats.org/officeDocument/2006/customXml" ds:itemID="{67C07B44-2602-4ABD-B8B4-D5790F299570}">
  <ds:schemaRefs/>
</ds:datastoreItem>
</file>

<file path=customXml/itemProps25.xml><?xml version="1.0" encoding="utf-8"?>
<ds:datastoreItem xmlns:ds="http://schemas.openxmlformats.org/officeDocument/2006/customXml" ds:itemID="{9DE68CE2-6022-4FEE-9DE2-238CA46FD0E4}">
  <ds:schemaRefs/>
</ds:datastoreItem>
</file>

<file path=customXml/itemProps26.xml><?xml version="1.0" encoding="utf-8"?>
<ds:datastoreItem xmlns:ds="http://schemas.openxmlformats.org/officeDocument/2006/customXml" ds:itemID="{68E32092-9444-4C63-AD88-97BF8052D58C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Template>TM16410107</Templat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10</vt:i4>
      </vt:variant>
      <vt:variant>
        <vt:lpstr>Named Ranges</vt:lpstr>
      </vt:variant>
      <vt:variant>
        <vt:i4>4</vt:i4>
      </vt:variant>
    </vt:vector>
  </HeadingPairs>
  <TitlesOfParts>
    <vt:vector size="14" baseType="lpstr">
      <vt:lpstr>Monthly(redundant)</vt:lpstr>
      <vt:lpstr>Overview</vt:lpstr>
      <vt:lpstr>Monthly Summary</vt:lpstr>
      <vt:lpstr>Online Transactions</vt:lpstr>
      <vt:lpstr>RDC</vt:lpstr>
      <vt:lpstr>Check Register</vt:lpstr>
      <vt:lpstr>Transfer to Loan Account</vt:lpstr>
      <vt:lpstr>Data Extraction &amp; Cleaning</vt:lpstr>
      <vt:lpstr>Processed Database</vt:lpstr>
      <vt:lpstr>Mortgage</vt:lpstr>
      <vt:lpstr>Credit</vt:lpstr>
      <vt:lpstr>Debit</vt:lpstr>
      <vt:lpstr>Month</vt:lpstr>
      <vt:lpstr>Transaction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2019-07-07T23:32:22Z</dcterms:created>
  <dcterms:modified xsi:type="dcterms:W3CDTF">2024-02-27T15:47:59Z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0x01010079F111ED35F8CC479449609E8A0923A6</vt:lpwstr>
  </property>
</Properties>
</file>