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mc:AlternateContent xmlns:mc="http://schemas.openxmlformats.org/markup-compatibility/2006">
    <mc:Choice Requires="x15">
      <x15ac:absPath xmlns:x15ac="http://schemas.microsoft.com/office/spreadsheetml/2010/11/ac" url="C:\Users\georg\Desktop\"/>
    </mc:Choice>
  </mc:AlternateContent>
  <xr:revisionPtr revIDLastSave="0" documentId="13_ncr:1_{AAFA1E11-BD8D-44B7-A2C8-0263A7B28D0A}" xr6:coauthVersionLast="47" xr6:coauthVersionMax="47" xr10:uidLastSave="{00000000-0000-0000-0000-000000000000}"/>
  <bookViews>
    <workbookView xWindow="-108" yWindow="-108" windowWidth="23256" windowHeight="13176" tabRatio="607" xr2:uid="{A0383B3C-355A-49AF-85C5-723CA75E607A}"/>
  </bookViews>
  <sheets>
    <sheet name="Checking Account" sheetId="6" r:id="rId1"/>
    <sheet name="Individual Accounts" sheetId="16" r:id="rId2"/>
    <sheet name="Description Slicer" sheetId="15" state="hidden" r:id="rId3"/>
    <sheet name="data processing" sheetId="14" state="hidden" r:id="rId4"/>
    <sheet name="W - Checking account" sheetId="1" state="hidden" r:id="rId5"/>
    <sheet name="Check Register" sheetId="7" r:id="rId6"/>
    <sheet name="Print" sheetId="17" state="hidden" r:id="rId7"/>
  </sheets>
  <definedNames>
    <definedName name="accountList">OFFSET(#REF!,1,0,SUMPRODUCT(MAX((#REF!&lt;&gt;"")*(ROW(#REF!))))-1,1)</definedName>
    <definedName name="categoryList">OFFSET(#REF!,1,0,SUMPRODUCT(MAX((#REF!&lt;&gt;"")*(ROW(#REF!))))-1,1)</definedName>
    <definedName name="dateList">OFFSET(#REF!,1,0,SUMPRODUCT(MAX((#REF!&lt;&gt;"")*(ROW(#REF!)))),1)</definedName>
    <definedName name="payeeList">OFFSET(#REF!,1,0,SUMPRODUCT(MAX((#REF!&lt;&gt;"")*(ROW(#REF!))))-1,1)</definedName>
    <definedName name="reconcileList">OFFSET(#REF!,1,0,SUMPRODUCT(MAX((#REF!&lt;&gt;"")*(ROW(#REF!)))),1)</definedName>
    <definedName name="Slicer_Month1">#N/A</definedName>
    <definedName name="valuevx">42.314159</definedName>
    <definedName name="vertex42_copyright" hidden="1">"© 2017-2019 Vertex42 LLC"</definedName>
    <definedName name="vertex42_id" hidden="1">"income-expense-worksheet.xlsx"</definedName>
    <definedName name="vertex42_title" hidden="1">"Income and Expense Worksheet"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 i="16" l="1"/>
  <c r="S7" i="16"/>
  <c r="S8" i="16"/>
  <c r="S9" i="16"/>
  <c r="S10" i="16"/>
  <c r="S11" i="16"/>
  <c r="S12" i="16"/>
  <c r="S13" i="16"/>
  <c r="S14" i="16"/>
  <c r="S15" i="16"/>
  <c r="S16" i="16"/>
  <c r="S17" i="16"/>
  <c r="S18" i="16"/>
  <c r="S19" i="16"/>
  <c r="S20" i="16"/>
  <c r="S21" i="16"/>
  <c r="S22" i="16"/>
  <c r="S23" i="16"/>
  <c r="S24" i="16"/>
  <c r="S25" i="16"/>
  <c r="S26" i="16"/>
  <c r="S27" i="16"/>
  <c r="S28" i="16"/>
  <c r="S29" i="16"/>
  <c r="S30" i="16"/>
  <c r="S5" i="16"/>
  <c r="N4" i="15" l="1" a="1"/>
  <c r="N4" i="15" s="1"/>
  <c r="L14" i="6"/>
  <c r="L15" i="6"/>
  <c r="L16" i="6"/>
  <c r="L17" i="6"/>
  <c r="L18" i="6"/>
  <c r="L19" i="6"/>
  <c r="L20" i="6"/>
  <c r="M20" i="6" s="1"/>
  <c r="L21" i="6"/>
  <c r="L22" i="6"/>
  <c r="L23" i="6"/>
  <c r="M23" i="6" s="1"/>
  <c r="L24" i="6"/>
  <c r="M24" i="6" s="1"/>
  <c r="L25" i="6"/>
  <c r="L26" i="6"/>
  <c r="L27" i="6"/>
  <c r="L28" i="6"/>
  <c r="M28" i="6" s="1"/>
  <c r="L29" i="6"/>
  <c r="L30" i="6"/>
  <c r="L31" i="6"/>
  <c r="L32" i="6"/>
  <c r="M32" i="6" s="1"/>
  <c r="L33" i="6"/>
  <c r="M33" i="6" s="1"/>
  <c r="L34" i="6"/>
  <c r="M34" i="6" s="1"/>
  <c r="L35" i="6"/>
  <c r="L36" i="6"/>
  <c r="M36" i="6" s="1"/>
  <c r="L37" i="6"/>
  <c r="L38" i="6"/>
  <c r="L39" i="6"/>
  <c r="L40" i="6"/>
  <c r="L41" i="6"/>
  <c r="L42" i="6"/>
  <c r="L43" i="6"/>
  <c r="L44" i="6"/>
  <c r="M44" i="6" s="1"/>
  <c r="L45" i="6"/>
  <c r="M45" i="6" s="1"/>
  <c r="L46" i="6"/>
  <c r="L47" i="6"/>
  <c r="L48" i="6"/>
  <c r="M48" i="6" s="1"/>
  <c r="L49" i="6"/>
  <c r="L50" i="6"/>
  <c r="L51" i="6"/>
  <c r="L52" i="6"/>
  <c r="M52" i="6" s="1"/>
  <c r="L53" i="6"/>
  <c r="L54" i="6"/>
  <c r="L55" i="6"/>
  <c r="L56" i="6"/>
  <c r="L57" i="6"/>
  <c r="L58" i="6"/>
  <c r="L59" i="6"/>
  <c r="L60" i="6"/>
  <c r="M60" i="6" s="1"/>
  <c r="L61" i="6"/>
  <c r="L62" i="6"/>
  <c r="M62" i="6" s="1"/>
  <c r="L63" i="6"/>
  <c r="M63" i="6" s="1"/>
  <c r="L64" i="6"/>
  <c r="M64" i="6" s="1"/>
  <c r="L65" i="6"/>
  <c r="L66" i="6"/>
  <c r="L67" i="6"/>
  <c r="L68" i="6"/>
  <c r="M68" i="6" s="1"/>
  <c r="L69" i="6"/>
  <c r="L70" i="6"/>
  <c r="L71" i="6"/>
  <c r="L72" i="6"/>
  <c r="M72" i="6" s="1"/>
  <c r="L73" i="6"/>
  <c r="L74" i="6"/>
  <c r="L75" i="6"/>
  <c r="L76" i="6"/>
  <c r="M76" i="6" s="1"/>
  <c r="L77" i="6"/>
  <c r="M77" i="6" s="1"/>
  <c r="L78" i="6"/>
  <c r="L79" i="6"/>
  <c r="L80" i="6"/>
  <c r="L81" i="6"/>
  <c r="L82" i="6"/>
  <c r="L83" i="6"/>
  <c r="L84" i="6"/>
  <c r="M84" i="6" s="1"/>
  <c r="L85" i="6"/>
  <c r="M85" i="6" s="1"/>
  <c r="L86" i="6"/>
  <c r="L87" i="6"/>
  <c r="L88" i="6"/>
  <c r="M88" i="6" s="1"/>
  <c r="L89" i="6"/>
  <c r="M89" i="6" s="1"/>
  <c r="L90" i="6"/>
  <c r="M90" i="6" s="1"/>
  <c r="L91" i="6"/>
  <c r="L92" i="6"/>
  <c r="M92" i="6" s="1"/>
  <c r="L93" i="6"/>
  <c r="L94" i="6"/>
  <c r="L95" i="6"/>
  <c r="L96" i="6"/>
  <c r="L97" i="6"/>
  <c r="L98" i="6"/>
  <c r="L99" i="6"/>
  <c r="L100" i="6"/>
  <c r="M100" i="6" s="1"/>
  <c r="L101" i="6"/>
  <c r="M101" i="6" s="1"/>
  <c r="L102" i="6"/>
  <c r="L103" i="6"/>
  <c r="L104" i="6"/>
  <c r="M104" i="6" s="1"/>
  <c r="L105" i="6"/>
  <c r="L106" i="6"/>
  <c r="L107" i="6"/>
  <c r="M107" i="6" s="1"/>
  <c r="L108" i="6"/>
  <c r="M108" i="6" s="1"/>
  <c r="L109" i="6"/>
  <c r="L110" i="6"/>
  <c r="L111" i="6"/>
  <c r="M111" i="6" s="1"/>
  <c r="L112" i="6"/>
  <c r="M112" i="6" s="1"/>
  <c r="L113" i="6"/>
  <c r="L114" i="6"/>
  <c r="L115" i="6"/>
  <c r="L116" i="6"/>
  <c r="L117" i="6"/>
  <c r="L118" i="6"/>
  <c r="L119" i="6"/>
  <c r="L120" i="6"/>
  <c r="M120" i="6" s="1"/>
  <c r="L121" i="6"/>
  <c r="L122" i="6"/>
  <c r="L123" i="6"/>
  <c r="L124" i="6"/>
  <c r="L125" i="6"/>
  <c r="L126" i="6"/>
  <c r="L127" i="6"/>
  <c r="L128" i="6"/>
  <c r="M128" i="6" s="1"/>
  <c r="L129" i="6"/>
  <c r="M129" i="6" s="1"/>
  <c r="L130" i="6"/>
  <c r="M130" i="6" s="1"/>
  <c r="L131" i="6"/>
  <c r="L132" i="6"/>
  <c r="M132" i="6" s="1"/>
  <c r="L133" i="6"/>
  <c r="L134" i="6"/>
  <c r="L135" i="6"/>
  <c r="L136" i="6"/>
  <c r="L137" i="6"/>
  <c r="L138" i="6"/>
  <c r="L139" i="6"/>
  <c r="L140" i="6"/>
  <c r="M140" i="6" s="1"/>
  <c r="L141" i="6"/>
  <c r="M141" i="6" s="1"/>
  <c r="L142" i="6"/>
  <c r="L143" i="6"/>
  <c r="L144" i="6"/>
  <c r="M144" i="6" s="1"/>
  <c r="L145" i="6"/>
  <c r="L146" i="6"/>
  <c r="L147" i="6"/>
  <c r="L148" i="6"/>
  <c r="M148" i="6" s="1"/>
  <c r="L149" i="6"/>
  <c r="L150" i="6"/>
  <c r="L151" i="6"/>
  <c r="M151" i="6" s="1"/>
  <c r="L152" i="6"/>
  <c r="L153" i="6"/>
  <c r="L154" i="6"/>
  <c r="L155" i="6"/>
  <c r="L156" i="6"/>
  <c r="L157" i="6"/>
  <c r="L158" i="6"/>
  <c r="L159" i="6"/>
  <c r="L160" i="6"/>
  <c r="M160" i="6" s="1"/>
  <c r="L161" i="6"/>
  <c r="L162" i="6"/>
  <c r="M162" i="6" s="1"/>
  <c r="L163" i="6"/>
  <c r="L164" i="6"/>
  <c r="M164" i="6" s="1"/>
  <c r="L165" i="6"/>
  <c r="L166" i="6"/>
  <c r="L167" i="6"/>
  <c r="L168" i="6"/>
  <c r="M168" i="6" s="1"/>
  <c r="L169" i="6"/>
  <c r="M169" i="6" s="1"/>
  <c r="L170" i="6"/>
  <c r="L171" i="6"/>
  <c r="L172" i="6"/>
  <c r="M172" i="6" s="1"/>
  <c r="L173" i="6"/>
  <c r="M173" i="6" s="1"/>
  <c r="L174" i="6"/>
  <c r="L175" i="6"/>
  <c r="M175" i="6" s="1"/>
  <c r="L176" i="6"/>
  <c r="M176" i="6" s="1"/>
  <c r="L177" i="6"/>
  <c r="L178" i="6"/>
  <c r="L179" i="6"/>
  <c r="M179" i="6" s="1"/>
  <c r="L180" i="6"/>
  <c r="L181" i="6"/>
  <c r="L182" i="6"/>
  <c r="L183" i="6"/>
  <c r="M183" i="6" s="1"/>
  <c r="L184" i="6"/>
  <c r="M184" i="6" s="1"/>
  <c r="L185" i="6"/>
  <c r="L186" i="6"/>
  <c r="L187" i="6"/>
  <c r="L188" i="6"/>
  <c r="M188" i="6" s="1"/>
  <c r="L189" i="6"/>
  <c r="M189" i="6" s="1"/>
  <c r="L190" i="6"/>
  <c r="M190" i="6" s="1"/>
  <c r="L191" i="6"/>
  <c r="L192" i="6"/>
  <c r="M192" i="6" s="1"/>
  <c r="L193" i="6"/>
  <c r="M193" i="6" s="1"/>
  <c r="L194" i="6"/>
  <c r="M194" i="6" s="1"/>
  <c r="L195" i="6"/>
  <c r="L196" i="6"/>
  <c r="M196" i="6" s="1"/>
  <c r="L197" i="6"/>
  <c r="L198" i="6"/>
  <c r="L199" i="6"/>
  <c r="L200" i="6"/>
  <c r="M200" i="6" s="1"/>
  <c r="L201" i="6"/>
  <c r="M201" i="6" s="1"/>
  <c r="L202" i="6"/>
  <c r="L203" i="6"/>
  <c r="L204" i="6"/>
  <c r="M204" i="6" s="1"/>
  <c r="L205" i="6"/>
  <c r="L206" i="6"/>
  <c r="L207" i="6"/>
  <c r="M207" i="6" s="1"/>
  <c r="L208" i="6"/>
  <c r="M208" i="6" s="1"/>
  <c r="L209" i="6"/>
  <c r="M209" i="6" s="1"/>
  <c r="L210" i="6"/>
  <c r="M210" i="6" s="1"/>
  <c r="L211" i="6"/>
  <c r="L212" i="6"/>
  <c r="L213" i="6"/>
  <c r="L214" i="6"/>
  <c r="L215" i="6"/>
  <c r="M215" i="6" s="1"/>
  <c r="L216" i="6"/>
  <c r="M216" i="6" s="1"/>
  <c r="L217" i="6"/>
  <c r="L218" i="6"/>
  <c r="L219" i="6"/>
  <c r="L220" i="6"/>
  <c r="M220" i="6" s="1"/>
  <c r="L221" i="6"/>
  <c r="L222" i="6"/>
  <c r="M222" i="6" s="1"/>
  <c r="L223" i="6"/>
  <c r="L224" i="6"/>
  <c r="M224" i="6" s="1"/>
  <c r="L225" i="6"/>
  <c r="M225" i="6" s="1"/>
  <c r="L226" i="6"/>
  <c r="M226" i="6" s="1"/>
  <c r="L227" i="6"/>
  <c r="L228" i="6"/>
  <c r="M228" i="6" s="1"/>
  <c r="L229" i="6"/>
  <c r="M229" i="6" s="1"/>
  <c r="L230" i="6"/>
  <c r="L231" i="6"/>
  <c r="L232" i="6"/>
  <c r="M232" i="6" s="1"/>
  <c r="L233" i="6"/>
  <c r="L234" i="6"/>
  <c r="L235" i="6"/>
  <c r="L236" i="6"/>
  <c r="L237" i="6"/>
  <c r="L238" i="6"/>
  <c r="L239" i="6"/>
  <c r="L240" i="6"/>
  <c r="M240" i="6" s="1"/>
  <c r="L241" i="6"/>
  <c r="L242" i="6"/>
  <c r="L243" i="6"/>
  <c r="L244" i="6"/>
  <c r="M244" i="6" s="1"/>
  <c r="L245" i="6"/>
  <c r="L13" i="6"/>
  <c r="I8"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I5" i="15"/>
  <c r="J5" i="15" s="1"/>
  <c r="I6" i="15"/>
  <c r="J6" i="15" s="1"/>
  <c r="I7" i="15"/>
  <c r="J7" i="15" s="1"/>
  <c r="I9" i="15"/>
  <c r="J9" i="15" s="1"/>
  <c r="I10" i="15"/>
  <c r="J10" i="15" s="1"/>
  <c r="I11" i="15"/>
  <c r="J11" i="15" s="1"/>
  <c r="I12" i="15"/>
  <c r="J12" i="15" s="1"/>
  <c r="I13" i="15"/>
  <c r="J13" i="15" s="1"/>
  <c r="I14" i="15"/>
  <c r="J14" i="15" s="1"/>
  <c r="I15" i="15"/>
  <c r="J15" i="15" s="1"/>
  <c r="I16" i="15"/>
  <c r="J16" i="15" s="1"/>
  <c r="I17" i="15"/>
  <c r="J17" i="15" s="1"/>
  <c r="I18" i="15"/>
  <c r="J18" i="15" s="1"/>
  <c r="I19" i="15"/>
  <c r="J19" i="15" s="1"/>
  <c r="I20" i="15"/>
  <c r="J20" i="15" s="1"/>
  <c r="I21" i="15"/>
  <c r="J21" i="15" s="1"/>
  <c r="I22" i="15"/>
  <c r="J22" i="15" s="1"/>
  <c r="I23" i="15"/>
  <c r="J23" i="15" s="1"/>
  <c r="I24" i="15"/>
  <c r="I25" i="15"/>
  <c r="J25" i="15" s="1"/>
  <c r="I26" i="15"/>
  <c r="J26" i="15" s="1"/>
  <c r="I27" i="15"/>
  <c r="J27" i="15" s="1"/>
  <c r="I28" i="15"/>
  <c r="J28" i="15" s="1"/>
  <c r="I29" i="15"/>
  <c r="J29" i="15" s="1"/>
  <c r="I30" i="15"/>
  <c r="J30" i="15" s="1"/>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4" i="15"/>
  <c r="J4" i="15" s="1"/>
  <c r="F4" i="15" a="1"/>
  <c r="F4" i="15" s="1"/>
  <c r="E7" i="7"/>
  <c r="G43" i="7"/>
  <c r="H43" i="7"/>
  <c r="Q41" i="7"/>
  <c r="Q42" i="7"/>
  <c r="Q43" i="7"/>
  <c r="P7" i="7"/>
  <c r="P8" i="7"/>
  <c r="P9" i="7"/>
  <c r="P10" i="7"/>
  <c r="P12" i="7"/>
  <c r="P13" i="7"/>
  <c r="P11" i="7"/>
  <c r="P15" i="7"/>
  <c r="P16" i="7"/>
  <c r="P14" i="7"/>
  <c r="P17" i="7"/>
  <c r="P18" i="7"/>
  <c r="P19" i="7"/>
  <c r="P20" i="7"/>
  <c r="P21" i="7"/>
  <c r="P22" i="7"/>
  <c r="P24" i="7"/>
  <c r="P25" i="7"/>
  <c r="P23" i="7"/>
  <c r="P26" i="7"/>
  <c r="P27" i="7"/>
  <c r="P28" i="7"/>
  <c r="P30" i="7"/>
  <c r="P29" i="7"/>
  <c r="P33" i="7"/>
  <c r="P32" i="7"/>
  <c r="P31" i="7"/>
  <c r="Q31" i="7" s="1"/>
  <c r="P36" i="7"/>
  <c r="P34" i="7"/>
  <c r="P35" i="7"/>
  <c r="P37" i="7"/>
  <c r="P38" i="7"/>
  <c r="P39" i="7"/>
  <c r="Q40" i="7" s="1"/>
  <c r="P6"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6" i="7"/>
  <c r="E37" i="7"/>
  <c r="E38" i="7"/>
  <c r="E39" i="7"/>
  <c r="E40" i="7"/>
  <c r="E41" i="7"/>
  <c r="E42" i="7"/>
  <c r="M212" i="6" l="1"/>
  <c r="M180" i="6"/>
  <c r="M156" i="6"/>
  <c r="M243" i="6"/>
  <c r="M239" i="6"/>
  <c r="M235" i="6"/>
  <c r="M231" i="6"/>
  <c r="M227" i="6"/>
  <c r="M223" i="6"/>
  <c r="M219" i="6"/>
  <c r="M211" i="6"/>
  <c r="M203" i="6"/>
  <c r="M199" i="6"/>
  <c r="M195" i="6"/>
  <c r="M191" i="6"/>
  <c r="M187" i="6"/>
  <c r="M171" i="6"/>
  <c r="M167" i="6"/>
  <c r="M163" i="6"/>
  <c r="M159" i="6"/>
  <c r="M155" i="6"/>
  <c r="M147" i="6"/>
  <c r="M143" i="6"/>
  <c r="M139" i="6"/>
  <c r="M135" i="6"/>
  <c r="M131" i="6"/>
  <c r="M127" i="6"/>
  <c r="M123" i="6"/>
  <c r="M119" i="6"/>
  <c r="M115" i="6"/>
  <c r="M103" i="6"/>
  <c r="M99" i="6"/>
  <c r="M95" i="6"/>
  <c r="M91" i="6"/>
  <c r="M87" i="6"/>
  <c r="M83" i="6"/>
  <c r="M79" i="6"/>
  <c r="M75" i="6"/>
  <c r="M71" i="6"/>
  <c r="M67" i="6"/>
  <c r="M59" i="6"/>
  <c r="M55" i="6"/>
  <c r="M51" i="6"/>
  <c r="M47" i="6"/>
  <c r="M43" i="6"/>
  <c r="M39" i="6"/>
  <c r="M35" i="6"/>
  <c r="M31" i="6"/>
  <c r="M27" i="6"/>
  <c r="M19" i="6"/>
  <c r="M15" i="6"/>
  <c r="M152" i="6"/>
  <c r="M136" i="6"/>
  <c r="M124" i="6"/>
  <c r="M116" i="6"/>
  <c r="M96" i="6"/>
  <c r="M80" i="6"/>
  <c r="M56" i="6"/>
  <c r="M40" i="6"/>
  <c r="M16" i="6"/>
  <c r="M13" i="6"/>
  <c r="M242" i="6"/>
  <c r="M238" i="6"/>
  <c r="M234" i="6"/>
  <c r="M230" i="6"/>
  <c r="M218" i="6"/>
  <c r="M214" i="6"/>
  <c r="M206" i="6"/>
  <c r="M202" i="6"/>
  <c r="M198" i="6"/>
  <c r="M186" i="6"/>
  <c r="M182" i="6"/>
  <c r="M178" i="6"/>
  <c r="M174" i="6"/>
  <c r="M170" i="6"/>
  <c r="M166" i="6"/>
  <c r="M158" i="6"/>
  <c r="M154" i="6"/>
  <c r="M150" i="6"/>
  <c r="M146" i="6"/>
  <c r="M142" i="6"/>
  <c r="M138" i="6"/>
  <c r="M134" i="6"/>
  <c r="M126" i="6"/>
  <c r="M122" i="6"/>
  <c r="M118" i="6"/>
  <c r="M114" i="6"/>
  <c r="M110" i="6"/>
  <c r="M106" i="6"/>
  <c r="M102" i="6"/>
  <c r="M98" i="6"/>
  <c r="M94" i="6"/>
  <c r="M86" i="6"/>
  <c r="M82" i="6"/>
  <c r="M78" i="6"/>
  <c r="M74" i="6"/>
  <c r="M70" i="6"/>
  <c r="M66" i="6"/>
  <c r="M58" i="6"/>
  <c r="M54" i="6"/>
  <c r="M50" i="6"/>
  <c r="M46" i="6"/>
  <c r="M42" i="6"/>
  <c r="M38" i="6"/>
  <c r="M30" i="6"/>
  <c r="M26" i="6"/>
  <c r="M22" i="6"/>
  <c r="M18" i="6"/>
  <c r="M14" i="6"/>
  <c r="M236" i="6"/>
  <c r="M245" i="6"/>
  <c r="M241" i="6"/>
  <c r="M237" i="6"/>
  <c r="M233" i="6"/>
  <c r="M221" i="6"/>
  <c r="M217" i="6"/>
  <c r="M213" i="6"/>
  <c r="M205" i="6"/>
  <c r="M197" i="6"/>
  <c r="M185" i="6"/>
  <c r="M181" i="6"/>
  <c r="M177" i="6"/>
  <c r="M165" i="6"/>
  <c r="M161" i="6"/>
  <c r="M157" i="6"/>
  <c r="M153" i="6"/>
  <c r="M149" i="6"/>
  <c r="M145" i="6"/>
  <c r="M137" i="6"/>
  <c r="M133" i="6"/>
  <c r="M125" i="6"/>
  <c r="M121" i="6"/>
  <c r="M117" i="6"/>
  <c r="M113" i="6"/>
  <c r="M109" i="6"/>
  <c r="M105" i="6"/>
  <c r="M97" i="6"/>
  <c r="M93" i="6"/>
  <c r="M81" i="6"/>
  <c r="M73" i="6"/>
  <c r="M69" i="6"/>
  <c r="M65" i="6"/>
  <c r="M61" i="6"/>
  <c r="M57" i="6"/>
  <c r="M53" i="6"/>
  <c r="M49" i="6"/>
  <c r="M41" i="6"/>
  <c r="M37" i="6"/>
  <c r="M29" i="6"/>
  <c r="M25" i="6"/>
  <c r="M21" i="6"/>
  <c r="M17" i="6"/>
  <c r="Q27" i="7"/>
  <c r="Q19" i="7"/>
  <c r="Q16" i="7"/>
  <c r="Q34" i="7"/>
  <c r="Q14" i="7"/>
  <c r="Q33" i="7"/>
  <c r="Q22" i="7"/>
  <c r="Q18" i="7"/>
  <c r="Q10" i="7"/>
  <c r="Q37" i="7"/>
  <c r="Q30" i="7"/>
  <c r="Q23" i="7"/>
  <c r="Q21" i="7"/>
  <c r="Q17" i="7"/>
  <c r="Q11" i="7"/>
  <c r="Q9" i="7"/>
  <c r="Q20" i="7"/>
  <c r="Q38" i="7"/>
  <c r="Q35" i="7"/>
  <c r="Q32" i="7"/>
  <c r="Q28" i="7"/>
  <c r="Q25" i="7"/>
  <c r="Q13" i="7"/>
  <c r="Q8" i="7"/>
  <c r="Q24" i="7"/>
  <c r="Q12" i="7"/>
  <c r="Q7" i="7"/>
  <c r="Q36" i="7"/>
  <c r="Q29" i="7"/>
  <c r="Q39" i="7"/>
  <c r="Q15" i="7"/>
  <c r="Q26" i="7"/>
  <c r="G245" i="6"/>
  <c r="F245" i="6"/>
  <c r="H224" i="6"/>
  <c r="H171" i="6"/>
  <c r="H148" i="6"/>
  <c r="H132" i="6"/>
  <c r="H114" i="6"/>
  <c r="H92" i="6"/>
  <c r="H79" i="6"/>
  <c r="H65" i="6"/>
  <c r="H47" i="6"/>
  <c r="H26"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200" i="6"/>
  <c r="K199"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1" i="6"/>
  <c r="J107" i="6"/>
  <c r="J102" i="6"/>
  <c r="J103" i="6"/>
  <c r="J104" i="6"/>
  <c r="J105" i="6"/>
  <c r="J106" i="6"/>
  <c r="J100"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51" i="6"/>
  <c r="J139" i="6"/>
  <c r="J140" i="6"/>
  <c r="J142" i="6"/>
  <c r="J143" i="6"/>
  <c r="J144" i="6"/>
  <c r="J145" i="6"/>
  <c r="J146" i="6"/>
  <c r="J147" i="6"/>
  <c r="J148" i="6"/>
  <c r="J149" i="6"/>
  <c r="J150" i="6"/>
  <c r="J152" i="6"/>
  <c r="J160" i="6"/>
  <c r="J153" i="6"/>
  <c r="J154" i="6"/>
  <c r="J155" i="6"/>
  <c r="J156" i="6"/>
  <c r="J157" i="6"/>
  <c r="J158" i="6"/>
  <c r="J159" i="6"/>
  <c r="J141" i="6"/>
  <c r="J161" i="6"/>
  <c r="J162" i="6"/>
  <c r="J163" i="6"/>
  <c r="J164" i="6"/>
  <c r="J165" i="6"/>
  <c r="J166" i="6"/>
  <c r="J167" i="6"/>
  <c r="J168" i="6"/>
  <c r="J169" i="6"/>
  <c r="J170" i="6"/>
  <c r="J171" i="6"/>
  <c r="J172" i="6"/>
  <c r="J173" i="6"/>
  <c r="J174" i="6"/>
  <c r="J175" i="6"/>
  <c r="J176" i="6"/>
  <c r="J177" i="6"/>
  <c r="J178" i="6"/>
  <c r="J179" i="6"/>
  <c r="J180" i="6"/>
  <c r="J181" i="6"/>
  <c r="J189" i="6"/>
  <c r="J182" i="6"/>
  <c r="J184" i="6"/>
  <c r="J185" i="6"/>
  <c r="J186" i="6"/>
  <c r="J187" i="6"/>
  <c r="J188" i="6"/>
  <c r="J190" i="6"/>
  <c r="J191" i="6"/>
  <c r="J192" i="6"/>
  <c r="J183" i="6"/>
  <c r="J193" i="6"/>
  <c r="J195" i="6"/>
  <c r="J196" i="6"/>
  <c r="J197" i="6"/>
  <c r="J200" i="6"/>
  <c r="J198" i="6"/>
  <c r="J199" i="6"/>
  <c r="J194" i="6"/>
  <c r="J210" i="6"/>
  <c r="J202" i="6"/>
  <c r="J203" i="6"/>
  <c r="J204" i="6"/>
  <c r="J205" i="6"/>
  <c r="J208" i="6"/>
  <c r="J206" i="6"/>
  <c r="J201" i="6"/>
  <c r="J209" i="6"/>
  <c r="J207" i="6"/>
  <c r="J211" i="6"/>
  <c r="J212" i="6"/>
  <c r="J213" i="6"/>
  <c r="J214" i="6"/>
  <c r="J222" i="6"/>
  <c r="J215" i="6"/>
  <c r="J217" i="6"/>
  <c r="J218" i="6"/>
  <c r="J219" i="6"/>
  <c r="J220" i="6"/>
  <c r="J221" i="6"/>
  <c r="J216" i="6"/>
  <c r="J223" i="6"/>
  <c r="J224" i="6"/>
  <c r="J225" i="6"/>
  <c r="J226" i="6"/>
  <c r="J227" i="6"/>
  <c r="J228" i="6"/>
  <c r="J229" i="6"/>
  <c r="J230" i="6"/>
  <c r="J231" i="6"/>
  <c r="J232" i="6"/>
  <c r="J233" i="6"/>
  <c r="J234" i="6"/>
  <c r="J235" i="6"/>
  <c r="J236" i="6"/>
  <c r="J237" i="6"/>
  <c r="J238" i="6"/>
  <c r="J239" i="6"/>
  <c r="J240" i="6"/>
  <c r="J241" i="6"/>
  <c r="J242" i="6"/>
  <c r="J243" i="6"/>
  <c r="J244" i="6"/>
  <c r="J245" i="6"/>
  <c r="B5" i="16" l="1" a="1"/>
  <c r="B5" i="16" s="1"/>
  <c r="I245" i="6"/>
  <c r="G223" i="6"/>
  <c r="G198" i="6" s="1"/>
  <c r="H199" i="6"/>
  <c r="G147" i="6"/>
  <c r="G170" i="6" s="1"/>
  <c r="F147" i="6"/>
  <c r="F131" i="6"/>
  <c r="F113" i="6" s="1"/>
  <c r="G131" i="6"/>
  <c r="G113" i="6" s="1"/>
  <c r="G91" i="6"/>
  <c r="G78" i="6" s="1"/>
  <c r="G64" i="6" s="1"/>
  <c r="G46" i="6" s="1"/>
  <c r="F91" i="6"/>
  <c r="F78" i="6"/>
  <c r="J13" i="6"/>
  <c r="F25" i="6"/>
  <c r="G25" i="6"/>
  <c r="E24" i="16" l="1"/>
  <c r="F24" i="16"/>
  <c r="I25" i="6"/>
  <c r="I113" i="6"/>
  <c r="I131" i="6"/>
  <c r="F64" i="6"/>
  <c r="I78" i="6"/>
  <c r="I91" i="6"/>
  <c r="F170" i="6"/>
  <c r="I170" i="6" s="1"/>
  <c r="I147" i="6"/>
  <c r="E7" i="1"/>
  <c r="I7" i="1"/>
  <c r="M7" i="1"/>
  <c r="H7" i="1"/>
  <c r="F7" i="1"/>
  <c r="J7" i="1"/>
  <c r="N7" i="1"/>
  <c r="L7" i="1"/>
  <c r="G7" i="1"/>
  <c r="K7" i="1"/>
  <c r="O7" i="1"/>
  <c r="D7" i="1"/>
  <c r="E8" i="1"/>
  <c r="I8" i="1"/>
  <c r="M8" i="1"/>
  <c r="E6" i="1"/>
  <c r="I6" i="1"/>
  <c r="M6" i="1"/>
  <c r="N6" i="1"/>
  <c r="L8" i="1"/>
  <c r="L6" i="1"/>
  <c r="F8" i="1"/>
  <c r="J8" i="1"/>
  <c r="N8" i="1"/>
  <c r="F6" i="1"/>
  <c r="J6" i="1"/>
  <c r="H8" i="1"/>
  <c r="H6" i="1"/>
  <c r="G8" i="1"/>
  <c r="K8" i="1"/>
  <c r="O8" i="1"/>
  <c r="G6" i="1"/>
  <c r="K6" i="1"/>
  <c r="O6" i="1"/>
  <c r="D8" i="1"/>
  <c r="D6" i="1"/>
  <c r="J166" i="14"/>
  <c r="J165" i="14"/>
  <c r="J52" i="14"/>
  <c r="J15" i="14"/>
  <c r="I193" i="14"/>
  <c r="J193" i="14" s="1"/>
  <c r="I192" i="14"/>
  <c r="J192" i="14" s="1"/>
  <c r="I166" i="14"/>
  <c r="I165" i="14"/>
  <c r="I132" i="14"/>
  <c r="J132" i="14" s="1"/>
  <c r="I131" i="14"/>
  <c r="J131" i="14" s="1"/>
  <c r="I107" i="14"/>
  <c r="J107" i="14" s="1"/>
  <c r="I106" i="14"/>
  <c r="J106" i="14" s="1"/>
  <c r="I84" i="14"/>
  <c r="J84" i="14" s="1"/>
  <c r="I83" i="14"/>
  <c r="J83" i="14" s="1"/>
  <c r="I52" i="14"/>
  <c r="I51" i="14"/>
  <c r="J51" i="14" s="1"/>
  <c r="I20" i="14"/>
  <c r="J20" i="14" s="1"/>
  <c r="I19" i="14"/>
  <c r="J19" i="14" s="1"/>
  <c r="G376" i="14"/>
  <c r="F376" i="14"/>
  <c r="G375" i="14"/>
  <c r="F375" i="14"/>
  <c r="H375" i="14" s="1"/>
  <c r="J375" i="14" s="1"/>
  <c r="G374" i="14"/>
  <c r="F374" i="14"/>
  <c r="G373" i="14"/>
  <c r="F373" i="14"/>
  <c r="G372" i="14"/>
  <c r="F372" i="14"/>
  <c r="G371" i="14"/>
  <c r="F371" i="14"/>
  <c r="H371" i="14" s="1"/>
  <c r="J371" i="14" s="1"/>
  <c r="G370" i="14"/>
  <c r="F370" i="14"/>
  <c r="G366" i="14"/>
  <c r="F366" i="14"/>
  <c r="G365" i="14"/>
  <c r="F365" i="14"/>
  <c r="G364" i="14"/>
  <c r="F364" i="14"/>
  <c r="H364" i="14" s="1"/>
  <c r="J364" i="14" s="1"/>
  <c r="G363" i="14"/>
  <c r="F363" i="14"/>
  <c r="G362" i="14"/>
  <c r="F362" i="14"/>
  <c r="G358" i="14"/>
  <c r="F358" i="14"/>
  <c r="G353" i="14"/>
  <c r="F353" i="14"/>
  <c r="H353" i="14" s="1"/>
  <c r="J353" i="14" s="1"/>
  <c r="G352" i="14"/>
  <c r="F352" i="14"/>
  <c r="G351" i="14"/>
  <c r="F351" i="14"/>
  <c r="G350" i="14"/>
  <c r="F350" i="14"/>
  <c r="G344" i="14"/>
  <c r="F344" i="14"/>
  <c r="H344" i="14" s="1"/>
  <c r="J344" i="14" s="1"/>
  <c r="G342" i="14"/>
  <c r="F342" i="14"/>
  <c r="G341" i="14"/>
  <c r="F341" i="14"/>
  <c r="G340" i="14"/>
  <c r="F340" i="14"/>
  <c r="G339" i="14"/>
  <c r="F339" i="14"/>
  <c r="H339" i="14" s="1"/>
  <c r="J339" i="14" s="1"/>
  <c r="G338" i="14"/>
  <c r="F338" i="14"/>
  <c r="G334" i="14"/>
  <c r="F334" i="14"/>
  <c r="G333" i="14"/>
  <c r="F333" i="14"/>
  <c r="G332" i="14"/>
  <c r="F332" i="14"/>
  <c r="H332" i="14" s="1"/>
  <c r="J332" i="14" s="1"/>
  <c r="G331" i="14"/>
  <c r="F331" i="14"/>
  <c r="G330" i="14"/>
  <c r="F330" i="14"/>
  <c r="G320" i="14"/>
  <c r="F320" i="14"/>
  <c r="G319" i="14"/>
  <c r="F319" i="14"/>
  <c r="H319" i="14" s="1"/>
  <c r="J319" i="14" s="1"/>
  <c r="G318" i="14"/>
  <c r="F318" i="14"/>
  <c r="G308" i="14"/>
  <c r="F308" i="14"/>
  <c r="G307" i="14"/>
  <c r="F307" i="14"/>
  <c r="G303" i="14"/>
  <c r="F303" i="14"/>
  <c r="H303" i="14" s="1"/>
  <c r="J303" i="14" s="1"/>
  <c r="G287" i="14"/>
  <c r="F287" i="14"/>
  <c r="G286" i="14"/>
  <c r="F286" i="14"/>
  <c r="G285" i="14"/>
  <c r="F285" i="14"/>
  <c r="G284" i="14"/>
  <c r="F284" i="14"/>
  <c r="H284" i="14" s="1"/>
  <c r="J284" i="14" s="1"/>
  <c r="G283" i="14"/>
  <c r="F283" i="14"/>
  <c r="G282" i="14"/>
  <c r="F282" i="14"/>
  <c r="G281" i="14"/>
  <c r="F281" i="14"/>
  <c r="G280" i="14"/>
  <c r="F280" i="14"/>
  <c r="H280" i="14" s="1"/>
  <c r="J280" i="14" s="1"/>
  <c r="G279" i="14"/>
  <c r="F279" i="14"/>
  <c r="G278" i="14"/>
  <c r="F278" i="14"/>
  <c r="G277" i="14"/>
  <c r="F277" i="14"/>
  <c r="G267" i="14"/>
  <c r="F267" i="14"/>
  <c r="H267" i="14" s="1"/>
  <c r="J267" i="14" s="1"/>
  <c r="G266" i="14"/>
  <c r="F266" i="14"/>
  <c r="G264" i="14"/>
  <c r="F264" i="14"/>
  <c r="H264" i="14" s="1"/>
  <c r="J264" i="14" s="1"/>
  <c r="G263" i="14"/>
  <c r="F263" i="14"/>
  <c r="G262" i="14"/>
  <c r="F262" i="14"/>
  <c r="H262" i="14" s="1"/>
  <c r="J262" i="14" s="1"/>
  <c r="G261" i="14"/>
  <c r="F261" i="14"/>
  <c r="G255" i="14"/>
  <c r="F255" i="14"/>
  <c r="G253" i="14"/>
  <c r="F253" i="14"/>
  <c r="G252" i="14"/>
  <c r="F252" i="14"/>
  <c r="H252" i="14" s="1"/>
  <c r="J252" i="14" s="1"/>
  <c r="G251" i="14"/>
  <c r="F251" i="14"/>
  <c r="G250" i="14"/>
  <c r="F250" i="14"/>
  <c r="G249" i="14"/>
  <c r="F249" i="14"/>
  <c r="G248" i="14"/>
  <c r="F248" i="14"/>
  <c r="H248" i="14" s="1"/>
  <c r="J248" i="14" s="1"/>
  <c r="G247" i="14"/>
  <c r="F247" i="14"/>
  <c r="G243" i="14"/>
  <c r="F243" i="14"/>
  <c r="G242" i="14"/>
  <c r="F242" i="14"/>
  <c r="G241" i="14"/>
  <c r="F241" i="14"/>
  <c r="H241" i="14" s="1"/>
  <c r="J241" i="14" s="1"/>
  <c r="G240" i="14"/>
  <c r="F240" i="14"/>
  <c r="G231" i="14"/>
  <c r="F231" i="14"/>
  <c r="G230" i="14"/>
  <c r="F230" i="14"/>
  <c r="G229" i="14"/>
  <c r="F229" i="14"/>
  <c r="H229" i="14" s="1"/>
  <c r="J229" i="14" s="1"/>
  <c r="G228" i="14"/>
  <c r="F228" i="14"/>
  <c r="G227" i="14"/>
  <c r="F227" i="14"/>
  <c r="G221" i="14"/>
  <c r="F221" i="14"/>
  <c r="G220" i="14"/>
  <c r="F220" i="14"/>
  <c r="H220" i="14" s="1"/>
  <c r="J220" i="14" s="1"/>
  <c r="G219" i="14"/>
  <c r="F219" i="14"/>
  <c r="G215" i="14"/>
  <c r="F215" i="14"/>
  <c r="G214" i="14"/>
  <c r="F214" i="14"/>
  <c r="G213" i="14"/>
  <c r="F213" i="14"/>
  <c r="H213" i="14" s="1"/>
  <c r="J213" i="14" s="1"/>
  <c r="G212" i="14"/>
  <c r="F212" i="14"/>
  <c r="G211" i="14"/>
  <c r="F211" i="14"/>
  <c r="G210" i="14"/>
  <c r="F210" i="14"/>
  <c r="G209" i="14"/>
  <c r="F209" i="14"/>
  <c r="H209" i="14" s="1"/>
  <c r="J209" i="14" s="1"/>
  <c r="G208" i="14"/>
  <c r="F208" i="14"/>
  <c r="G200" i="14"/>
  <c r="F200" i="14"/>
  <c r="G199" i="14"/>
  <c r="F199" i="14"/>
  <c r="G193" i="14"/>
  <c r="F193" i="14"/>
  <c r="H193" i="14" s="1"/>
  <c r="G192" i="14"/>
  <c r="F192" i="14"/>
  <c r="G187" i="14"/>
  <c r="F187" i="14"/>
  <c r="G186" i="14"/>
  <c r="F186" i="14"/>
  <c r="G185" i="14"/>
  <c r="F185" i="14"/>
  <c r="H185" i="14" s="1"/>
  <c r="J185" i="14" s="1"/>
  <c r="G184" i="14"/>
  <c r="F184" i="14"/>
  <c r="G183" i="14"/>
  <c r="F183" i="14"/>
  <c r="G182" i="14"/>
  <c r="F182" i="14"/>
  <c r="G181" i="14"/>
  <c r="F181" i="14"/>
  <c r="H181" i="14" s="1"/>
  <c r="J181" i="14" s="1"/>
  <c r="G180" i="14"/>
  <c r="F180" i="14"/>
  <c r="G179" i="14"/>
  <c r="F179" i="14"/>
  <c r="G178" i="14"/>
  <c r="F178" i="14"/>
  <c r="G174" i="14"/>
  <c r="F174" i="14"/>
  <c r="H174" i="14" s="1"/>
  <c r="J174" i="14" s="1"/>
  <c r="G173" i="14"/>
  <c r="F173" i="14"/>
  <c r="G172" i="14"/>
  <c r="F172" i="14"/>
  <c r="G171" i="14"/>
  <c r="F171" i="14"/>
  <c r="G166" i="14"/>
  <c r="F166" i="14"/>
  <c r="H166" i="14" s="1"/>
  <c r="G165" i="14"/>
  <c r="F165" i="14"/>
  <c r="G161" i="14"/>
  <c r="F161" i="14"/>
  <c r="G160" i="14"/>
  <c r="F160" i="14"/>
  <c r="G159" i="14"/>
  <c r="F159" i="14"/>
  <c r="H159" i="14" s="1"/>
  <c r="J159" i="14" s="1"/>
  <c r="G158" i="14"/>
  <c r="F158" i="14"/>
  <c r="G157" i="14"/>
  <c r="F157" i="14"/>
  <c r="G153" i="14"/>
  <c r="F153" i="14"/>
  <c r="G152" i="14"/>
  <c r="F152" i="14"/>
  <c r="H152" i="14" s="1"/>
  <c r="J152" i="14" s="1"/>
  <c r="G151" i="14"/>
  <c r="F151" i="14"/>
  <c r="G150" i="14"/>
  <c r="F150" i="14"/>
  <c r="G149" i="14"/>
  <c r="F149" i="14"/>
  <c r="G148" i="14"/>
  <c r="F148" i="14"/>
  <c r="H148" i="14" s="1"/>
  <c r="J148" i="14" s="1"/>
  <c r="G140" i="14"/>
  <c r="F140" i="14"/>
  <c r="G139" i="14"/>
  <c r="F139" i="14"/>
  <c r="H139" i="14" s="1"/>
  <c r="J139" i="14" s="1"/>
  <c r="G138" i="14"/>
  <c r="F138" i="14"/>
  <c r="G137" i="14"/>
  <c r="F137" i="14"/>
  <c r="H137" i="14" s="1"/>
  <c r="J137" i="14" s="1"/>
  <c r="G132" i="14"/>
  <c r="F132" i="14"/>
  <c r="G131" i="14"/>
  <c r="F131" i="14"/>
  <c r="G127" i="14"/>
  <c r="F127" i="14"/>
  <c r="G126" i="14"/>
  <c r="F126" i="14"/>
  <c r="H126" i="14" s="1"/>
  <c r="J126" i="14" s="1"/>
  <c r="G125" i="14"/>
  <c r="F125" i="14"/>
  <c r="G124" i="14"/>
  <c r="F124" i="14"/>
  <c r="G123" i="14"/>
  <c r="F123" i="14"/>
  <c r="G122" i="14"/>
  <c r="F122" i="14"/>
  <c r="H122" i="14" s="1"/>
  <c r="J122" i="14" s="1"/>
  <c r="G121" i="14"/>
  <c r="F121" i="14"/>
  <c r="G113" i="14"/>
  <c r="F113" i="14"/>
  <c r="G107" i="14"/>
  <c r="F107" i="14"/>
  <c r="G106" i="14"/>
  <c r="F106" i="14"/>
  <c r="H106" i="14" s="1"/>
  <c r="G102" i="14"/>
  <c r="F102" i="14"/>
  <c r="G101" i="14"/>
  <c r="F101" i="14"/>
  <c r="G100" i="14"/>
  <c r="F100" i="14"/>
  <c r="G99" i="14"/>
  <c r="F99" i="14"/>
  <c r="H99" i="14" s="1"/>
  <c r="J99" i="14" s="1"/>
  <c r="G98" i="14"/>
  <c r="F98" i="14"/>
  <c r="G97" i="14"/>
  <c r="F97" i="14"/>
  <c r="G96" i="14"/>
  <c r="F96" i="14"/>
  <c r="G92" i="14"/>
  <c r="F92" i="14"/>
  <c r="H92" i="14" s="1"/>
  <c r="J92" i="14" s="1"/>
  <c r="G91" i="14"/>
  <c r="F91" i="14"/>
  <c r="G90" i="14"/>
  <c r="F90" i="14"/>
  <c r="G84" i="14"/>
  <c r="F84" i="14"/>
  <c r="G83" i="14"/>
  <c r="F83" i="14"/>
  <c r="H83" i="14" s="1"/>
  <c r="G79" i="14"/>
  <c r="F79" i="14"/>
  <c r="G78" i="14"/>
  <c r="F78" i="14"/>
  <c r="G77" i="14"/>
  <c r="F77" i="14"/>
  <c r="G73" i="14"/>
  <c r="F73" i="14"/>
  <c r="H73" i="14" s="1"/>
  <c r="J73" i="14" s="1"/>
  <c r="G72" i="14"/>
  <c r="F72" i="14"/>
  <c r="G71" i="14"/>
  <c r="F71" i="14"/>
  <c r="G70" i="14"/>
  <c r="F70" i="14"/>
  <c r="G69" i="14"/>
  <c r="F69" i="14"/>
  <c r="H69" i="14" s="1"/>
  <c r="J69" i="14" s="1"/>
  <c r="G61" i="14"/>
  <c r="F61" i="14"/>
  <c r="G60" i="14"/>
  <c r="F60" i="14"/>
  <c r="G59" i="14"/>
  <c r="F59" i="14"/>
  <c r="G58" i="14"/>
  <c r="F58" i="14"/>
  <c r="H58" i="14" s="1"/>
  <c r="J58" i="14" s="1"/>
  <c r="G57" i="14"/>
  <c r="F57" i="14"/>
  <c r="G52" i="14"/>
  <c r="F52" i="14"/>
  <c r="G51" i="14"/>
  <c r="F51" i="14"/>
  <c r="G47" i="14"/>
  <c r="F47" i="14"/>
  <c r="H47" i="14" s="1"/>
  <c r="J47" i="14" s="1"/>
  <c r="G46" i="14"/>
  <c r="F46" i="14"/>
  <c r="G45" i="14"/>
  <c r="F45" i="14"/>
  <c r="G44" i="14"/>
  <c r="F44" i="14"/>
  <c r="G42" i="14"/>
  <c r="F42" i="14"/>
  <c r="H42" i="14" s="1"/>
  <c r="J42" i="14" s="1"/>
  <c r="G41" i="14"/>
  <c r="F41" i="14"/>
  <c r="G40" i="14"/>
  <c r="F40" i="14"/>
  <c r="G32" i="14"/>
  <c r="F32" i="14"/>
  <c r="G31" i="14"/>
  <c r="F31" i="14"/>
  <c r="H31" i="14" s="1"/>
  <c r="J31" i="14" s="1"/>
  <c r="G30" i="14"/>
  <c r="F30" i="14"/>
  <c r="G29" i="14"/>
  <c r="F29" i="14"/>
  <c r="G28" i="14"/>
  <c r="F28" i="14"/>
  <c r="G27" i="14"/>
  <c r="F27" i="14"/>
  <c r="G26" i="14"/>
  <c r="F26" i="14"/>
  <c r="G20" i="14"/>
  <c r="F20" i="14"/>
  <c r="G19" i="14"/>
  <c r="F19" i="14"/>
  <c r="G15" i="14"/>
  <c r="F15" i="14"/>
  <c r="H15" i="14" s="1"/>
  <c r="G14" i="14"/>
  <c r="F14" i="14"/>
  <c r="G13" i="14"/>
  <c r="F13" i="14"/>
  <c r="H13" i="14" s="1"/>
  <c r="J13" i="14" s="1"/>
  <c r="G12" i="14"/>
  <c r="F12" i="14"/>
  <c r="G11" i="14"/>
  <c r="F11" i="14"/>
  <c r="G10" i="14"/>
  <c r="F10" i="14"/>
  <c r="G9" i="14"/>
  <c r="F9" i="14"/>
  <c r="G8" i="14"/>
  <c r="F8" i="14"/>
  <c r="G7" i="14"/>
  <c r="F7" i="14"/>
  <c r="H7" i="14" s="1"/>
  <c r="J7" i="14" s="1"/>
  <c r="O15" i="14"/>
  <c r="N15" i="14"/>
  <c r="N5" i="14"/>
  <c r="K5" i="14"/>
  <c r="L5" i="14"/>
  <c r="K6" i="14"/>
  <c r="E25" i="16" l="1"/>
  <c r="F46" i="6"/>
  <c r="I46" i="6" s="1"/>
  <c r="I64" i="6"/>
  <c r="D9" i="1"/>
  <c r="K9" i="1"/>
  <c r="F9" i="1"/>
  <c r="I9" i="1"/>
  <c r="E9" i="1"/>
  <c r="G9" i="1"/>
  <c r="H9" i="1"/>
  <c r="O9" i="1"/>
  <c r="J9" i="1"/>
  <c r="M9" i="1"/>
  <c r="N9" i="1"/>
  <c r="L9" i="1"/>
  <c r="H101" i="14"/>
  <c r="J101" i="14" s="1"/>
  <c r="H231" i="14"/>
  <c r="J231" i="14" s="1"/>
  <c r="H14" i="14"/>
  <c r="J14" i="14" s="1"/>
  <c r="H26" i="14"/>
  <c r="J26" i="14" s="1"/>
  <c r="H30" i="14"/>
  <c r="J30" i="14" s="1"/>
  <c r="H46" i="14"/>
  <c r="J46" i="14" s="1"/>
  <c r="H61" i="14"/>
  <c r="J61" i="14" s="1"/>
  <c r="H79" i="14"/>
  <c r="J79" i="14" s="1"/>
  <c r="H98" i="14"/>
  <c r="J98" i="14" s="1"/>
  <c r="H121" i="14"/>
  <c r="J121" i="14" s="1"/>
  <c r="H132" i="14"/>
  <c r="H151" i="14"/>
  <c r="J151" i="14" s="1"/>
  <c r="H165" i="14"/>
  <c r="H180" i="14"/>
  <c r="J180" i="14" s="1"/>
  <c r="H192" i="14"/>
  <c r="H212" i="14"/>
  <c r="J212" i="14" s="1"/>
  <c r="H228" i="14"/>
  <c r="J228" i="14" s="1"/>
  <c r="H247" i="14"/>
  <c r="J247" i="14" s="1"/>
  <c r="H261" i="14"/>
  <c r="J261" i="14" s="1"/>
  <c r="H279" i="14"/>
  <c r="J279" i="14" s="1"/>
  <c r="H287" i="14"/>
  <c r="J287" i="14" s="1"/>
  <c r="H331" i="14"/>
  <c r="J331" i="14" s="1"/>
  <c r="H342" i="14"/>
  <c r="J342" i="14" s="1"/>
  <c r="H363" i="14"/>
  <c r="J363" i="14" s="1"/>
  <c r="H374" i="14"/>
  <c r="J374" i="14" s="1"/>
  <c r="H40" i="14"/>
  <c r="J40" i="14" s="1"/>
  <c r="H71" i="14"/>
  <c r="J71" i="14" s="1"/>
  <c r="H172" i="14"/>
  <c r="J172" i="14" s="1"/>
  <c r="H200" i="14"/>
  <c r="J200" i="14" s="1"/>
  <c r="H308" i="14"/>
  <c r="J308" i="14" s="1"/>
  <c r="H351" i="14"/>
  <c r="J351" i="14" s="1"/>
  <c r="H9" i="14"/>
  <c r="J9" i="14" s="1"/>
  <c r="H11" i="14"/>
  <c r="J11" i="14" s="1"/>
  <c r="H20" i="14"/>
  <c r="H27" i="14"/>
  <c r="J27" i="14" s="1"/>
  <c r="H29" i="14"/>
  <c r="J29" i="14" s="1"/>
  <c r="H45" i="14"/>
  <c r="J45" i="14" s="1"/>
  <c r="H52" i="14"/>
  <c r="H60" i="14"/>
  <c r="J60" i="14" s="1"/>
  <c r="H78" i="14"/>
  <c r="J78" i="14" s="1"/>
  <c r="H90" i="14"/>
  <c r="J90" i="14" s="1"/>
  <c r="H97" i="14"/>
  <c r="J97" i="14" s="1"/>
  <c r="H113" i="14"/>
  <c r="J113" i="14" s="1"/>
  <c r="H124" i="14"/>
  <c r="J124" i="14" s="1"/>
  <c r="H131" i="14"/>
  <c r="H150" i="14"/>
  <c r="J150" i="14" s="1"/>
  <c r="H157" i="14"/>
  <c r="J157" i="14" s="1"/>
  <c r="H161" i="14"/>
  <c r="J161" i="14" s="1"/>
  <c r="H179" i="14"/>
  <c r="J179" i="14" s="1"/>
  <c r="H183" i="14"/>
  <c r="J183" i="14" s="1"/>
  <c r="H187" i="14"/>
  <c r="J187" i="14" s="1"/>
  <c r="H211" i="14"/>
  <c r="J211" i="14" s="1"/>
  <c r="H215" i="14"/>
  <c r="J215" i="14" s="1"/>
  <c r="H227" i="14"/>
  <c r="J227" i="14" s="1"/>
  <c r="H243" i="14"/>
  <c r="J243" i="14" s="1"/>
  <c r="H250" i="14"/>
  <c r="J250" i="14" s="1"/>
  <c r="H255" i="14"/>
  <c r="J255" i="14" s="1"/>
  <c r="H278" i="14"/>
  <c r="J278" i="14" s="1"/>
  <c r="H282" i="14"/>
  <c r="J282" i="14" s="1"/>
  <c r="H286" i="14"/>
  <c r="J286" i="14" s="1"/>
  <c r="H330" i="14"/>
  <c r="J330" i="14" s="1"/>
  <c r="H334" i="14"/>
  <c r="J334" i="14" s="1"/>
  <c r="H341" i="14"/>
  <c r="J341" i="14" s="1"/>
  <c r="H362" i="14"/>
  <c r="J362" i="14" s="1"/>
  <c r="H366" i="14"/>
  <c r="J366" i="14" s="1"/>
  <c r="H373" i="14"/>
  <c r="J373" i="14" s="1"/>
  <c r="H10" i="14"/>
  <c r="J10" i="14" s="1"/>
  <c r="H41" i="14"/>
  <c r="J41" i="14" s="1"/>
  <c r="H57" i="14"/>
  <c r="J57" i="14" s="1"/>
  <c r="H72" i="14"/>
  <c r="J72" i="14" s="1"/>
  <c r="H91" i="14"/>
  <c r="J91" i="14" s="1"/>
  <c r="H102" i="14"/>
  <c r="J102" i="14" s="1"/>
  <c r="H125" i="14"/>
  <c r="J125" i="14" s="1"/>
  <c r="H140" i="14"/>
  <c r="J140" i="14" s="1"/>
  <c r="H158" i="14"/>
  <c r="J158" i="14" s="1"/>
  <c r="H173" i="14"/>
  <c r="J173" i="14" s="1"/>
  <c r="H184" i="14"/>
  <c r="J184" i="14" s="1"/>
  <c r="H208" i="14"/>
  <c r="J208" i="14" s="1"/>
  <c r="H219" i="14"/>
  <c r="J219" i="14" s="1"/>
  <c r="H240" i="14"/>
  <c r="J240" i="14" s="1"/>
  <c r="H251" i="14"/>
  <c r="J251" i="14" s="1"/>
  <c r="H266" i="14"/>
  <c r="J266" i="14" s="1"/>
  <c r="H283" i="14"/>
  <c r="J283" i="14" s="1"/>
  <c r="H318" i="14"/>
  <c r="J318" i="14" s="1"/>
  <c r="H338" i="14"/>
  <c r="J338" i="14" s="1"/>
  <c r="H352" i="14"/>
  <c r="J352" i="14" s="1"/>
  <c r="H370" i="14"/>
  <c r="J370" i="14" s="1"/>
  <c r="H8" i="14"/>
  <c r="J8" i="14" s="1"/>
  <c r="H12" i="14"/>
  <c r="J12" i="14" s="1"/>
  <c r="H19" i="14"/>
  <c r="H28" i="14"/>
  <c r="J28" i="14" s="1"/>
  <c r="H32" i="14"/>
  <c r="J32" i="14" s="1"/>
  <c r="H44" i="14"/>
  <c r="J44" i="14" s="1"/>
  <c r="H51" i="14"/>
  <c r="H59" i="14"/>
  <c r="J59" i="14" s="1"/>
  <c r="H70" i="14"/>
  <c r="J70" i="14" s="1"/>
  <c r="H77" i="14"/>
  <c r="J77" i="14" s="1"/>
  <c r="H84" i="14"/>
  <c r="H96" i="14"/>
  <c r="J96" i="14" s="1"/>
  <c r="H100" i="14"/>
  <c r="J100" i="14" s="1"/>
  <c r="H107" i="14"/>
  <c r="H123" i="14"/>
  <c r="J123" i="14" s="1"/>
  <c r="H127" i="14"/>
  <c r="J127" i="14" s="1"/>
  <c r="H138" i="14"/>
  <c r="J138" i="14" s="1"/>
  <c r="H149" i="14"/>
  <c r="J149" i="14" s="1"/>
  <c r="H153" i="14"/>
  <c r="J153" i="14" s="1"/>
  <c r="H160" i="14"/>
  <c r="J160" i="14" s="1"/>
  <c r="H171" i="14"/>
  <c r="J171" i="14" s="1"/>
  <c r="H178" i="14"/>
  <c r="J178" i="14" s="1"/>
  <c r="H182" i="14"/>
  <c r="J182" i="14" s="1"/>
  <c r="H186" i="14"/>
  <c r="J186" i="14" s="1"/>
  <c r="H199" i="14"/>
  <c r="J199" i="14" s="1"/>
  <c r="H210" i="14"/>
  <c r="J210" i="14" s="1"/>
  <c r="H214" i="14"/>
  <c r="J214" i="14" s="1"/>
  <c r="H221" i="14"/>
  <c r="J221" i="14" s="1"/>
  <c r="H230" i="14"/>
  <c r="J230" i="14" s="1"/>
  <c r="H242" i="14"/>
  <c r="J242" i="14" s="1"/>
  <c r="H249" i="14"/>
  <c r="J249" i="14" s="1"/>
  <c r="H253" i="14"/>
  <c r="J253" i="14" s="1"/>
  <c r="H263" i="14"/>
  <c r="J263" i="14" s="1"/>
  <c r="H277" i="14"/>
  <c r="J277" i="14" s="1"/>
  <c r="H281" i="14"/>
  <c r="J281" i="14" s="1"/>
  <c r="H285" i="14"/>
  <c r="J285" i="14" s="1"/>
  <c r="H307" i="14"/>
  <c r="J307" i="14" s="1"/>
  <c r="H320" i="14"/>
  <c r="J320" i="14" s="1"/>
  <c r="H333" i="14"/>
  <c r="J333" i="14" s="1"/>
  <c r="H340" i="14"/>
  <c r="J340" i="14" s="1"/>
  <c r="H350" i="14"/>
  <c r="J350" i="14" s="1"/>
  <c r="H358" i="14"/>
  <c r="J358" i="14" s="1"/>
  <c r="H365" i="14"/>
  <c r="J365" i="14" s="1"/>
  <c r="H372" i="14"/>
  <c r="J372" i="14" s="1"/>
  <c r="H376" i="14"/>
  <c r="J376" i="14" s="1"/>
  <c r="D3" i="6" l="1"/>
  <c r="F223" i="6" l="1"/>
  <c r="I223" i="6" s="1"/>
  <c r="F198" i="6"/>
  <c r="I19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M12" authorId="0" shapeId="0" xr:uid="{9282210D-41BC-4C81-9F65-1653D62245DE}">
      <text>
        <r>
          <rPr>
            <b/>
            <sz val="9"/>
            <color indexed="81"/>
            <rFont val="Tahoma"/>
            <family val="2"/>
          </rPr>
          <t xml:space="preserve">Index for the 'Individual Totals'! Dropdown.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H3" authorId="0" shapeId="0" xr:uid="{B92C50EC-4CAC-44DA-B30C-4E0B88EDFB6B}">
      <text>
        <r>
          <rPr>
            <b/>
            <sz val="9"/>
            <color indexed="81"/>
            <rFont val="Tahoma"/>
            <family val="2"/>
          </rPr>
          <t>Copy from =unique from outside the table</t>
        </r>
      </text>
    </comment>
    <comment ref="J3" authorId="0" shapeId="0" xr:uid="{CA94EAB4-A315-4E1E-9590-C17E2E119AE1}">
      <text>
        <r>
          <rPr>
            <b/>
            <sz val="9"/>
            <color indexed="81"/>
            <rFont val="Tahoma"/>
            <family val="2"/>
          </rPr>
          <t>If count &gt; 1, Individual accounts
If not, Misc
Manually delete the ones you don't want in 'Individual Totals'! Dropdown list.</t>
        </r>
      </text>
    </comment>
    <comment ref="L3" authorId="0" shapeId="0" xr:uid="{05E68C59-F906-4DB8-A348-998D75C4F38A}">
      <text>
        <r>
          <rPr>
            <b/>
            <sz val="9"/>
            <color indexed="81"/>
            <rFont val="Tahoma"/>
            <family val="2"/>
          </rPr>
          <t>Copy and Manually remove blanks and duplicates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<sst xmlns="http://schemas.openxmlformats.org/spreadsheetml/2006/main" count="2401" uniqueCount="582">
  <si>
    <t>Starting date</t>
  </si>
  <si>
    <t>Total</t>
  </si>
  <si>
    <t>Opening Balance</t>
  </si>
  <si>
    <t>Income/expense report</t>
  </si>
  <si>
    <t xml:space="preserve">ABRAHAM PROPERTIES NY INC  </t>
  </si>
  <si>
    <t>Date</t>
  </si>
  <si>
    <t>Description</t>
  </si>
  <si>
    <t>Debit (-)</t>
  </si>
  <si>
    <t>Credit (+)</t>
  </si>
  <si>
    <t>Month</t>
  </si>
  <si>
    <t>Balance</t>
  </si>
  <si>
    <t>Type</t>
  </si>
  <si>
    <t>Check</t>
  </si>
  <si>
    <t>Column1</t>
  </si>
  <si>
    <t xml:space="preserve">Number </t>
  </si>
  <si>
    <t/>
  </si>
  <si>
    <t>Check Register</t>
  </si>
  <si>
    <t>Subtractions</t>
  </si>
  <si>
    <t>Withdrawals</t>
  </si>
  <si>
    <t>Location</t>
  </si>
  <si>
    <t>1-3</t>
  </si>
  <si>
    <t>$205.51</t>
  </si>
  <si>
    <t>1-4</t>
  </si>
  <si>
    <t>472.00</t>
  </si>
  <si>
    <t>1-9</t>
  </si>
  <si>
    <t>52.68</t>
  </si>
  <si>
    <t>83.25</t>
  </si>
  <si>
    <t>Crcardpmt</t>
  </si>
  <si>
    <t>4,729.88</t>
  </si>
  <si>
    <t>1-11</t>
  </si>
  <si>
    <t>45.00</t>
  </si>
  <si>
    <t>45.84</t>
  </si>
  <si>
    <t>1-12</t>
  </si>
  <si>
    <t>880.00</t>
  </si>
  <si>
    <t>1-27</t>
  </si>
  <si>
    <t>89.99</t>
  </si>
  <si>
    <t>subtractions</t>
  </si>
  <si>
    <t>$6,604.15</t>
  </si>
  <si>
    <t>Fees</t>
  </si>
  <si>
    <t>and</t>
  </si>
  <si>
    <t>charges</t>
  </si>
  <si>
    <t>Charge</t>
  </si>
  <si>
    <t>1-31-23</t>
  </si>
  <si>
    <t>Paper</t>
  </si>
  <si>
    <t>1</t>
  </si>
  <si>
    <t>-$3.00</t>
  </si>
  <si>
    <t>+3.00</t>
  </si>
  <si>
    <t>period</t>
  </si>
  <si>
    <t>$0.0</t>
  </si>
  <si>
    <t>Additions</t>
  </si>
  <si>
    <t>Deposits</t>
  </si>
  <si>
    <t>Source</t>
  </si>
  <si>
    <t>2-2</t>
  </si>
  <si>
    <t>$2,500.00</t>
  </si>
  <si>
    <t>4,000.00</t>
  </si>
  <si>
    <t>2-3</t>
  </si>
  <si>
    <t>5,000.00</t>
  </si>
  <si>
    <t>2-7</t>
  </si>
  <si>
    <t>500.00</t>
  </si>
  <si>
    <t>2,800.00</t>
  </si>
  <si>
    <t>2-9</t>
  </si>
  <si>
    <t>2,500.00</t>
  </si>
  <si>
    <t>2-14</t>
  </si>
  <si>
    <t>1,008.04</t>
  </si>
  <si>
    <t>additions</t>
  </si>
  <si>
    <t>$18,308.04</t>
  </si>
  <si>
    <t>sequence</t>
  </si>
  <si>
    <t>Amount</t>
  </si>
  <si>
    <t>2-6</t>
  </si>
  <si>
    <t>$15,356.65</t>
  </si>
  <si>
    <t>$66.28</t>
  </si>
  <si>
    <t>2-13</t>
  </si>
  <si>
    <t>219.03</t>
  </si>
  <si>
    <t>2-24</t>
  </si>
  <si>
    <t>312.14</t>
  </si>
  <si>
    <t>2-28</t>
  </si>
  <si>
    <t>$20,513.53</t>
  </si>
  <si>
    <t>2-28-23</t>
  </si>
  <si>
    <t>3-14</t>
  </si>
  <si>
    <t>$5,000.00</t>
  </si>
  <si>
    <t>3-20</t>
  </si>
  <si>
    <t>6,500.00</t>
  </si>
  <si>
    <t>3-28</t>
  </si>
  <si>
    <t>1,151.96</t>
  </si>
  <si>
    <t>3-30</t>
  </si>
  <si>
    <t>Credit</t>
  </si>
  <si>
    <t>360.00</t>
  </si>
  <si>
    <t>11,829.60</t>
  </si>
  <si>
    <t>$24,841.56</t>
  </si>
  <si>
    <t>3-6</t>
  </si>
  <si>
    <t>$500.00</t>
  </si>
  <si>
    <t>$472.00</t>
  </si>
  <si>
    <t>3-7</t>
  </si>
  <si>
    <t>1,525.54</t>
  </si>
  <si>
    <t>3-10</t>
  </si>
  <si>
    <t>50.00</t>
  </si>
  <si>
    <t>3-13</t>
  </si>
  <si>
    <t>68.29</t>
  </si>
  <si>
    <t>(con't)</t>
  </si>
  <si>
    <t>3-21</t>
  </si>
  <si>
    <t>147.14</t>
  </si>
  <si>
    <t>3-23</t>
  </si>
  <si>
    <t>$3,778.80</t>
  </si>
  <si>
    <t>3-31-23</t>
  </si>
  <si>
    <t>$0.00</t>
  </si>
  <si>
    <t>4-11</t>
  </si>
  <si>
    <t>4-24</t>
  </si>
  <si>
    <t>4,848.25</t>
  </si>
  <si>
    <t>10,000.00</t>
  </si>
  <si>
    <t>$19,848.25</t>
  </si>
  <si>
    <t>4-3</t>
  </si>
  <si>
    <t>$44.82</t>
  </si>
  <si>
    <t>4-4</t>
  </si>
  <si>
    <t>494.92</t>
  </si>
  <si>
    <t>4-7</t>
  </si>
  <si>
    <t>13,663.19</t>
  </si>
  <si>
    <t>4-12</t>
  </si>
  <si>
    <t>449.05</t>
  </si>
  <si>
    <t>4-27</t>
  </si>
  <si>
    <t>$25,621.97</t>
  </si>
  <si>
    <t>4-28-23</t>
  </si>
  <si>
    <t>5-4</t>
  </si>
  <si>
    <t>5-9</t>
  </si>
  <si>
    <t>$150.00</t>
  </si>
  <si>
    <t>$494.92</t>
  </si>
  <si>
    <t>10,053.22</t>
  </si>
  <si>
    <t>5-8</t>
  </si>
  <si>
    <t>46.75</t>
  </si>
  <si>
    <t>163.26</t>
  </si>
  <si>
    <t>5-12</t>
  </si>
  <si>
    <t>5-23</t>
  </si>
  <si>
    <t>335.18</t>
  </si>
  <si>
    <t>5-30</t>
  </si>
  <si>
    <t>72.08</t>
  </si>
  <si>
    <t>$12,195.41</t>
  </si>
  <si>
    <t>5-31-23</t>
  </si>
  <si>
    <t>6-1</t>
  </si>
  <si>
    <t>6-8</t>
  </si>
  <si>
    <t>810.64</t>
  </si>
  <si>
    <t>6-16</t>
  </si>
  <si>
    <t>4,600.00</t>
  </si>
  <si>
    <t>6-20</t>
  </si>
  <si>
    <t>2,468.77</t>
  </si>
  <si>
    <t>$10,379.41</t>
  </si>
  <si>
    <t>6-12</t>
  </si>
  <si>
    <t>$1,325.00</t>
  </si>
  <si>
    <t>6-6</t>
  </si>
  <si>
    <t>1,239.00</t>
  </si>
  <si>
    <t>6-7</t>
  </si>
  <si>
    <t>168.21</t>
  </si>
  <si>
    <t>6-9</t>
  </si>
  <si>
    <t>54.70</t>
  </si>
  <si>
    <t>133.00</t>
  </si>
  <si>
    <t>153.00</t>
  </si>
  <si>
    <t>2,000.00</t>
  </si>
  <si>
    <t>6-23</t>
  </si>
  <si>
    <t>199.52</t>
  </si>
  <si>
    <t>6-26</t>
  </si>
  <si>
    <t>372.04</t>
  </si>
  <si>
    <t>6-27</t>
  </si>
  <si>
    <t>102.08</t>
  </si>
  <si>
    <t>$7,121.47</t>
  </si>
  <si>
    <t>6-30-23</t>
  </si>
  <si>
    <t>7-14</t>
  </si>
  <si>
    <t>$18,030.00</t>
  </si>
  <si>
    <t>7-27</t>
  </si>
  <si>
    <t>2,648.64</t>
  </si>
  <si>
    <t>7-31</t>
  </si>
  <si>
    <t>15,100.00</t>
  </si>
  <si>
    <t>$40,778.64</t>
  </si>
  <si>
    <t>7-5</t>
  </si>
  <si>
    <t>7-7</t>
  </si>
  <si>
    <t>2,318.71</t>
  </si>
  <si>
    <t>7-12</t>
  </si>
  <si>
    <t>58.75</t>
  </si>
  <si>
    <t>297.02</t>
  </si>
  <si>
    <t>7-17</t>
  </si>
  <si>
    <t>125.00</t>
  </si>
  <si>
    <t>7-18</t>
  </si>
  <si>
    <t>6,097.99</t>
  </si>
  <si>
    <t>7-25</t>
  </si>
  <si>
    <t>290.16</t>
  </si>
  <si>
    <t>$11,036.67</t>
  </si>
  <si>
    <t>7-31-23</t>
  </si>
  <si>
    <t>8-1</t>
  </si>
  <si>
    <t>$10,787.50</t>
  </si>
  <si>
    <t>8-30</t>
  </si>
  <si>
    <t>9,457.50</t>
  </si>
  <si>
    <t>$20,245.00</t>
  </si>
  <si>
    <t>8-18</t>
  </si>
  <si>
    <t>8-4</t>
  </si>
  <si>
    <t>8-8</t>
  </si>
  <si>
    <t>3,774.61</t>
  </si>
  <si>
    <t>6,717.37</t>
  </si>
  <si>
    <t>8-14</t>
  </si>
  <si>
    <t>8-15</t>
  </si>
  <si>
    <t>121.00</t>
  </si>
  <si>
    <t>56.56</t>
  </si>
  <si>
    <t>30,000.00</t>
  </si>
  <si>
    <t>8-22</t>
  </si>
  <si>
    <t>1,393.00</t>
  </si>
  <si>
    <t>8-23</t>
  </si>
  <si>
    <t>911.18</t>
  </si>
  <si>
    <t>8-24</t>
  </si>
  <si>
    <t>8-29</t>
  </si>
  <si>
    <t>$45,322.76</t>
  </si>
  <si>
    <t>9-8</t>
  </si>
  <si>
    <t>$11,300.00</t>
  </si>
  <si>
    <t>9-13</t>
  </si>
  <si>
    <t>783.75</t>
  </si>
  <si>
    <t>9-26</t>
  </si>
  <si>
    <t>$29,583.75</t>
  </si>
  <si>
    <t>9-19</t>
  </si>
  <si>
    <t>1,500.00</t>
  </si>
  <si>
    <t>9-18</t>
  </si>
  <si>
    <t>$5,655.00</t>
  </si>
  <si>
    <t>9-6</t>
  </si>
  <si>
    <t>9-7</t>
  </si>
  <si>
    <t>4,509.19</t>
  </si>
  <si>
    <t>9-12</t>
  </si>
  <si>
    <t>42.07</t>
  </si>
  <si>
    <t>118.00</t>
  </si>
  <si>
    <t>52.64</t>
  </si>
  <si>
    <t>9-20</t>
  </si>
  <si>
    <t>9-22</t>
  </si>
  <si>
    <t>1,619.17</t>
  </si>
  <si>
    <t>3,950.98</t>
  </si>
  <si>
    <t>9-27</t>
  </si>
  <si>
    <t>Transfers</t>
  </si>
  <si>
    <t>Destination</t>
  </si>
  <si>
    <t>9-11</t>
  </si>
  <si>
    <t>Payment</t>
  </si>
  <si>
    <t>$1.83</t>
  </si>
  <si>
    <t>$21,572.53</t>
  </si>
  <si>
    <t>10-6</t>
  </si>
  <si>
    <t>$8,000.00</t>
  </si>
  <si>
    <t>15,000.00</t>
  </si>
  <si>
    <t>10-12</t>
  </si>
  <si>
    <t>10-13</t>
  </si>
  <si>
    <t>40,500.00</t>
  </si>
  <si>
    <t>10-11</t>
  </si>
  <si>
    <t>Cash</t>
  </si>
  <si>
    <t>$1,043.43</t>
  </si>
  <si>
    <t>6.57</t>
  </si>
  <si>
    <t>$74,550.00</t>
  </si>
  <si>
    <t>3,000.00</t>
  </si>
  <si>
    <t>10-5</t>
  </si>
  <si>
    <t>$27,719.42</t>
  </si>
  <si>
    <t>10-4</t>
  </si>
  <si>
    <t>10-10</t>
  </si>
  <si>
    <t>27,624.76</t>
  </si>
  <si>
    <t>46.69</t>
  </si>
  <si>
    <t>1,050.00</t>
  </si>
  <si>
    <t>10-25</t>
  </si>
  <si>
    <t>2,179.46</t>
  </si>
  <si>
    <t>10-26</t>
  </si>
  <si>
    <t>10-30</t>
  </si>
  <si>
    <t>1,342.00</t>
  </si>
  <si>
    <t>10-31</t>
  </si>
  <si>
    <t>3,812.29</t>
  </si>
  <si>
    <t>$74,251.62</t>
  </si>
  <si>
    <t>7900880522</t>
  </si>
  <si>
    <t>ABRAHAM</t>
  </si>
  <si>
    <t>other</t>
  </si>
  <si>
    <t>-1,050.00</t>
  </si>
  <si>
    <t>2</t>
  </si>
  <si>
    <t>Advances</t>
  </si>
  <si>
    <t>+1,050.00</t>
  </si>
  <si>
    <t>Interest</t>
  </si>
  <si>
    <t>charged</t>
  </si>
  <si>
    <t>+0.51</t>
  </si>
  <si>
    <t>Outstanding</t>
  </si>
  <si>
    <t>$0.51</t>
  </si>
  <si>
    <t>Minimum</t>
  </si>
  <si>
    <t>11-27-23</t>
  </si>
  <si>
    <t>available</t>
  </si>
  <si>
    <t>7,999.49</t>
  </si>
  <si>
    <t>limit</t>
  </si>
  <si>
    <t>8,000.00</t>
  </si>
  <si>
    <t>Payments</t>
  </si>
  <si>
    <t>$1,050.00</t>
  </si>
  <si>
    <t>PERCENTAGE</t>
  </si>
  <si>
    <t>CHARGED</t>
  </si>
  <si>
    <t>18.00000%</t>
  </si>
  <si>
    <t>11-6</t>
  </si>
  <si>
    <t>$5,420.57</t>
  </si>
  <si>
    <t>11-21</t>
  </si>
  <si>
    <t>4,475.13</t>
  </si>
  <si>
    <t>11-28</t>
  </si>
  <si>
    <t>6,750.00</t>
  </si>
  <si>
    <t>$16,645.70</t>
  </si>
  <si>
    <t>*318</t>
  </si>
  <si>
    <t>11-13</t>
  </si>
  <si>
    <t>135.67</t>
  </si>
  <si>
    <t>11-7</t>
  </si>
  <si>
    <t>$11,089.67</t>
  </si>
  <si>
    <t>11-2</t>
  </si>
  <si>
    <t>1,263.80</t>
  </si>
  <si>
    <t>11-14</t>
  </si>
  <si>
    <t>44.75</t>
  </si>
  <si>
    <t>316.69</t>
  </si>
  <si>
    <t>2,075.99</t>
  </si>
  <si>
    <t>11-27</t>
  </si>
  <si>
    <t>$30,268.41</t>
  </si>
  <si>
    <t>12-6</t>
  </si>
  <si>
    <t>$3,046.06</t>
  </si>
  <si>
    <t>12-18</t>
  </si>
  <si>
    <t>31,120.00</t>
  </si>
  <si>
    <t>12-22</t>
  </si>
  <si>
    <t>11,331.97</t>
  </si>
  <si>
    <t>12-29</t>
  </si>
  <si>
    <t>4,678.96</t>
  </si>
  <si>
    <t>$50,176.99</t>
  </si>
  <si>
    <t>12-26</t>
  </si>
  <si>
    <t>12-5</t>
  </si>
  <si>
    <t>*326</t>
  </si>
  <si>
    <t>12-1</t>
  </si>
  <si>
    <t>200.00</t>
  </si>
  <si>
    <t>$6,150.00</t>
  </si>
  <si>
    <t>542.99</t>
  </si>
  <si>
    <t>922.82</t>
  </si>
  <si>
    <t>12-7</t>
  </si>
  <si>
    <t>4,770.18</t>
  </si>
  <si>
    <t>12-12</t>
  </si>
  <si>
    <t>34.66</t>
  </si>
  <si>
    <t>657.72</t>
  </si>
  <si>
    <t>12-27</t>
  </si>
  <si>
    <t>12-28</t>
  </si>
  <si>
    <t>788.02</t>
  </si>
  <si>
    <t>$34,343.39</t>
  </si>
  <si>
    <t>Date Serial #</t>
  </si>
  <si>
    <t>Bill Pay:Chase Mastercard &amp; 438857 2Bzcdo3Y</t>
  </si>
  <si>
    <t>Direct Withdrawal, Pl*Wilkinmanagemweb Pmts</t>
  </si>
  <si>
    <t>Bill Pay:Orange &amp; Rockland 959782 Dbcclu4A</t>
  </si>
  <si>
    <t>Bill Pay:Lowes 821 31 Uboclu4A</t>
  </si>
  <si>
    <t>Direct Withdrawal, Capital One Crcardpmt</t>
  </si>
  <si>
    <t>Bill Pay:American Express 376739 8B9Cxo6N</t>
  </si>
  <si>
    <t>Bill Pay:US Small Business 400386 3Bfc1Oih</t>
  </si>
  <si>
    <t>Direct Withdrawal, Verizon Paymentrec</t>
  </si>
  <si>
    <t>Date Quantity Unit</t>
  </si>
  <si>
    <t>Paper Statement Fee 1 3.00</t>
  </si>
  <si>
    <t>Refund Paper Statement Fee 1 3.00</t>
  </si>
  <si>
    <t>Fees and charges this period</t>
  </si>
  <si>
    <t>Mobile Check Deposit</t>
  </si>
  <si>
    <t>Internet Trf Fr DDA 0000000476720427 3290</t>
  </si>
  <si>
    <t>Deposit Branch 0447 New York</t>
  </si>
  <si>
    <t>Checks * check missing from</t>
  </si>
  <si>
    <t>Date Amount Check Date Amount Check Date</t>
  </si>
  <si>
    <t>294 2-6 $6,770.23 295 2-6 2,628.73 296 2-6</t>
  </si>
  <si>
    <t>5,957.69</t>
  </si>
  <si>
    <t>Checks Paid</t>
  </si>
  <si>
    <t>Bill Pay:Orange &amp; Rockland 959782 Ybncpunj</t>
  </si>
  <si>
    <t>Direct Withdrawal, Capital One</t>
  </si>
  <si>
    <t>Bill Pay:US Small Business 400386 7Blcouwc</t>
  </si>
  <si>
    <t>Bill Pay:Lowes 821 31 Vbpcjuin</t>
  </si>
  <si>
    <t>Bill Pay:Home Depot 6035 3 3B4Cpuls</t>
  </si>
  <si>
    <t>Fees and charges this</t>
  </si>
  <si>
    <t>Credit Adjustment</t>
  </si>
  <si>
    <t>297 3-6</t>
  </si>
  <si>
    <t>Direct Withdrawal, Nys Dtf CT Tax Paymnt</t>
  </si>
  <si>
    <t>Bill Pay:US Small Business 400386 8Bncru4N</t>
  </si>
  <si>
    <t>Bill Pay:Orange &amp; Rockland 959782 Eb3Copeh</t>
  </si>
  <si>
    <t>Bill Pay:Home Depot 6035 3 3Bnccprz</t>
  </si>
  <si>
    <t>Bill Pay:Orange &amp; Rockland 959782 Ybccjp3U</t>
  </si>
  <si>
    <t>Internet Trf To DDA 0000000476720427 3290</t>
  </si>
  <si>
    <t>Bill Pay:US Small Business 400386 Sblcrpp6</t>
  </si>
  <si>
    <t>Bill Pay:Home Depot 6035 3 Ibic1Ttf</t>
  </si>
  <si>
    <t>Service Charge Waive To Relationship Pricing 1 3.00</t>
  </si>
  <si>
    <t>298 5-9</t>
  </si>
  <si>
    <t>Direct Withdrawal, Capital One Mobile Pmt</t>
  </si>
  <si>
    <t>Bill Pay:Orange &amp; Rockland 959782 Zb1Cqtik</t>
  </si>
  <si>
    <t>Bill Pay:Lowes 821 31 Abhcft5Y</t>
  </si>
  <si>
    <t>Bill Pay:US Small Business 400386 Mbuczt8C</t>
  </si>
  <si>
    <t>Bill Pay:Home Depot 6035 3 Ob4C5Txu</t>
  </si>
  <si>
    <t>Deposit Branch 0441 New York</t>
  </si>
  <si>
    <t>299 6-13 $225.00 300 6-21 950.00 301 6-12</t>
  </si>
  <si>
    <t>150.00</t>
  </si>
  <si>
    <t>Bill Pay:Utica First Insura Art300 Kb8Cuq22</t>
  </si>
  <si>
    <t>Bill Pay:Orange &amp; Rockland 959782 Cbjckqe3</t>
  </si>
  <si>
    <t>Bill Pay:US Small Business 400386 Vb2Cmtzx</t>
  </si>
  <si>
    <t>Direct Withdrawal, Dell Preferred Sssnent</t>
  </si>
  <si>
    <t>Direct Withdrawal, Dfsdirectpaymentdfspayment</t>
  </si>
  <si>
    <t>Direct Withdrawal, Western Union Capture</t>
  </si>
  <si>
    <t>Bill Pay:Lowes 821 31 9B5C9Q8D</t>
  </si>
  <si>
    <t>Bill Pay:US Small Business 400386 4Bpcxq14</t>
  </si>
  <si>
    <t>Bill Pay:Orange &amp; Rockland 959782 Sbgcpqnu</t>
  </si>
  <si>
    <t>Bill Pay:Lowes 821 31 Ab6Cpqnu</t>
  </si>
  <si>
    <t>Bill Pay:Home Depot 6035 3 Rbwclsx1</t>
  </si>
  <si>
    <t>305 8-18</t>
  </si>
  <si>
    <t>Bill Pay:Flagstar Bank 472157 9Bgcfq2I</t>
  </si>
  <si>
    <t>Bill Pay:US Small Business 400386 3Bmchqyo</t>
  </si>
  <si>
    <t>Bill Pay:Orange &amp; Rockland 959782 Hb4Ccswj</t>
  </si>
  <si>
    <t>Bill Pay:Sterling Insurance Lp2205 5B8Cmsmg</t>
  </si>
  <si>
    <t>Bill Pay:Home Depot 6035 3 Vb1Cts8Y</t>
  </si>
  <si>
    <t>303 9-8 $1,500.00 *306 9-19 1,500.00 307 9-29</t>
  </si>
  <si>
    <t>155.00</t>
  </si>
  <si>
    <t>304 9-18</t>
  </si>
  <si>
    <t>Bill Pay:US Small Business 400386 Ibtcrsei</t>
  </si>
  <si>
    <t>Bill Pay:Lowes 821 31 2Bp1Jaw9</t>
  </si>
  <si>
    <t>Bill Pay:Flagstar Bank 472157 Ab61Taj9</t>
  </si>
  <si>
    <t>Bill Pay:Orange &amp; Rockland 959782 Xb31Oa82</t>
  </si>
  <si>
    <t>Direct Withdrawal, Home Depot Comm Online Pmt</t>
  </si>
  <si>
    <t>Commercial Loan Payment</t>
  </si>
  <si>
    <t>Automatic Advance From Cash Reserve</t>
  </si>
  <si>
    <t>Cash Reserve Credit Overpayment</t>
  </si>
  <si>
    <t>308 10-2 $4,219.42 311 10-6 3,650.00 314 10-11</t>
  </si>
  <si>
    <t>4,700.00</t>
  </si>
  <si>
    <t>309 10-2 3,000.00 312 10-16 4,000.00 315 10-27</t>
  </si>
  <si>
    <t>310 10-5 3,000.00 313 10-23 2,000.00 *317 10-27</t>
  </si>
  <si>
    <t>Bill Pay:Flagstar Bank 472157 Mb51Saj9</t>
  </si>
  <si>
    <t>Bill Pay:Orange &amp; Rockland 959782 1Bn15A3K</t>
  </si>
  <si>
    <t>Bill Pay:US Small Business 400386 Gbi1Ja49</t>
  </si>
  <si>
    <t>Internet Trf To Loc 0000007900880522 3290</t>
  </si>
  <si>
    <t>Bill Pay:Lowes 821 31 Hbf1GA3K</t>
  </si>
  <si>
    <t>Bill Pay:Home Depot 6035 3 Wb716Apt</t>
  </si>
  <si>
    <t>Direct Withdrawal, Comenity Pay IO Phone Pymt</t>
  </si>
  <si>
    <t>Reserve Credit</t>
  </si>
  <si>
    <t>PROPERTIES NY INC Beginning balance 9-30-23</t>
  </si>
  <si>
    <t>Payment and other credit</t>
  </si>
  <si>
    <t>Advances and other charges</t>
  </si>
  <si>
    <t>balance 10-31-23</t>
  </si>
  <si>
    <t>amount due</t>
  </si>
  <si>
    <t>due date</t>
  </si>
  <si>
    <t>credits Date</t>
  </si>
  <si>
    <t>Internet Trf Fr DDA 0000007900880522 3290</t>
  </si>
  <si>
    <t>debits Date</t>
  </si>
  <si>
    <t>Automatic Cash Reserve Credit Advance</t>
  </si>
  <si>
    <t>ANNUAL Daily X Days in X Average =</t>
  </si>
  <si>
    <t>INTEREST</t>
  </si>
  <si>
    <t>RATE periodic rate billing cycle daily balance</t>
  </si>
  <si>
    <t>0.04932% 31 $33.65</t>
  </si>
  <si>
    <t>316 11-1 $2,500.00 320 11-1 250.00 323 11-29</t>
  </si>
  <si>
    <t>11-13 500.00 321 11-10 500.00 324 11-17</t>
  </si>
  <si>
    <t>319 11-8 204.00 322 11-7 2,000.00 325 11-20</t>
  </si>
  <si>
    <t>3,500.00</t>
  </si>
  <si>
    <t>Bill Pay:Flagstar Bank 472157 Jbw1Jae8</t>
  </si>
  <si>
    <t>Bill Pay:US Small Business 400386 Fb31Gavy</t>
  </si>
  <si>
    <t>Bill Pay:Orange &amp; Rockland 959782 Ub81G974</t>
  </si>
  <si>
    <t>Bill Pay:Lowes 821 31 Cb416974</t>
  </si>
  <si>
    <t>Bill Pay:Home Depot 6035 3 Zbw1L97J</t>
  </si>
  <si>
    <t>Automatic Payment To Cash Reserve Credit</t>
  </si>
  <si>
    <t>$4,100.00 327 12-5 350.00 328 12-6</t>
  </si>
  <si>
    <t>Bill Pay:Flagstar Bank 472157 8By1P9Vr</t>
  </si>
  <si>
    <t>Direct Withdrawal, Mountainview Conownerdraft</t>
  </si>
  <si>
    <t>Bill Pay:Marangi Disposal-P 476446 Wbu1O9Vm</t>
  </si>
  <si>
    <t>Bill Pay:US Small Business 400386 2B6189F4</t>
  </si>
  <si>
    <t>Bill Pay:Orange &amp; Rockland 959782 5Bu1W9Ds</t>
  </si>
  <si>
    <t>Bill Pay:Lowes 821 31 5Bk1291O</t>
  </si>
  <si>
    <t>Fees and charges</t>
  </si>
  <si>
    <t xml:space="preserve">Paper Statement Fee </t>
  </si>
  <si>
    <t xml:space="preserve">Refund Paper Statement Fee </t>
  </si>
  <si>
    <t>Opening</t>
  </si>
  <si>
    <t>Desciption</t>
  </si>
  <si>
    <t>Extract:</t>
  </si>
  <si>
    <t>Insert Year</t>
  </si>
  <si>
    <t>day</t>
  </si>
  <si>
    <t>month</t>
  </si>
  <si>
    <t xml:space="preserve">Day </t>
  </si>
  <si>
    <t>Full Date</t>
  </si>
  <si>
    <t>Errors rectified</t>
  </si>
  <si>
    <t>Date1</t>
  </si>
  <si>
    <t>Closing</t>
  </si>
  <si>
    <t>Check #297</t>
  </si>
  <si>
    <t>Check #298</t>
  </si>
  <si>
    <t>Check #299</t>
  </si>
  <si>
    <t>Check #300</t>
  </si>
  <si>
    <t>Check #301</t>
  </si>
  <si>
    <t>Check #305</t>
  </si>
  <si>
    <t>Check #303</t>
  </si>
  <si>
    <t>Check #304</t>
  </si>
  <si>
    <t>Check #306</t>
  </si>
  <si>
    <t>Check #307</t>
  </si>
  <si>
    <t>Check #308</t>
  </si>
  <si>
    <t>Check #309</t>
  </si>
  <si>
    <t>Check #310</t>
  </si>
  <si>
    <t>Check #311</t>
  </si>
  <si>
    <t>Check #312</t>
  </si>
  <si>
    <t>Check #313</t>
  </si>
  <si>
    <t>Check #314</t>
  </si>
  <si>
    <t>Check #315</t>
  </si>
  <si>
    <t>Check #317</t>
  </si>
  <si>
    <t>Check #316</t>
  </si>
  <si>
    <t>Check #320</t>
  </si>
  <si>
    <t>Check #318</t>
  </si>
  <si>
    <t>Check #319</t>
  </si>
  <si>
    <t>Check #321</t>
  </si>
  <si>
    <t>Check #322</t>
  </si>
  <si>
    <t>Check #323</t>
  </si>
  <si>
    <t>Check #324</t>
  </si>
  <si>
    <t>Check #325</t>
  </si>
  <si>
    <t>Check #326</t>
  </si>
  <si>
    <t>Check #327</t>
  </si>
  <si>
    <t>Check #328</t>
  </si>
  <si>
    <t>Jan-2023</t>
  </si>
  <si>
    <t>Feb-2023</t>
  </si>
  <si>
    <t>Mar-2023</t>
  </si>
  <si>
    <t>Apr-2023</t>
  </si>
  <si>
    <t>May-2023</t>
  </si>
  <si>
    <t>Jun-2023</t>
  </si>
  <si>
    <t>Jul-2023</t>
  </si>
  <si>
    <t>Aug-2023</t>
  </si>
  <si>
    <t>Sep-2023</t>
  </si>
  <si>
    <t>Oct-2023</t>
  </si>
  <si>
    <t>Nov-2023</t>
  </si>
  <si>
    <t>Dec-2023</t>
  </si>
  <si>
    <t>January</t>
  </si>
  <si>
    <t>February</t>
  </si>
  <si>
    <t>March</t>
  </si>
  <si>
    <t>April</t>
  </si>
  <si>
    <t>May</t>
  </si>
  <si>
    <t>June</t>
  </si>
  <si>
    <t>July</t>
  </si>
  <si>
    <t>August</t>
  </si>
  <si>
    <t>September</t>
  </si>
  <si>
    <t>October</t>
  </si>
  <si>
    <t>November</t>
  </si>
  <si>
    <t>December</t>
  </si>
  <si>
    <t>Total Debits</t>
  </si>
  <si>
    <t>Total Credits</t>
  </si>
  <si>
    <t>Closing Balance</t>
  </si>
  <si>
    <t>`</t>
  </si>
  <si>
    <t>Abraham Properties NY Inc</t>
  </si>
  <si>
    <t xml:space="preserve">Check #294 </t>
  </si>
  <si>
    <t xml:space="preserve">Check #295 </t>
  </si>
  <si>
    <t xml:space="preserve">Check #296 </t>
  </si>
  <si>
    <t>Year</t>
  </si>
  <si>
    <t>Justin Sweet Town Clerk</t>
  </si>
  <si>
    <t>US Tax Service</t>
  </si>
  <si>
    <t>Carlos Caceres Landscaping</t>
  </si>
  <si>
    <t>RC Commissioner of Finance</t>
  </si>
  <si>
    <t>Iron Age Construction</t>
  </si>
  <si>
    <t>Sitar Palace</t>
  </si>
  <si>
    <t>Prada &amp; Sons</t>
  </si>
  <si>
    <t>Town of Clarkstown</t>
  </si>
  <si>
    <t>MCK Engineering</t>
  </si>
  <si>
    <t>Panda Kitchen</t>
  </si>
  <si>
    <t>Binu Thomas</t>
  </si>
  <si>
    <t>Swanson Consulting</t>
  </si>
  <si>
    <t>Tunnel Electric</t>
  </si>
  <si>
    <t>Check Dates</t>
  </si>
  <si>
    <t>Missing Check</t>
  </si>
  <si>
    <t>*Check numbers not found in bank statement are highlighted yellow</t>
  </si>
  <si>
    <t>Capital One Creditcard</t>
  </si>
  <si>
    <t>Verizon Payment</t>
  </si>
  <si>
    <t xml:space="preserve">Orange &amp; Rockland </t>
  </si>
  <si>
    <t xml:space="preserve">Lowes </t>
  </si>
  <si>
    <t xml:space="preserve">American Express </t>
  </si>
  <si>
    <t xml:space="preserve">US Small Business </t>
  </si>
  <si>
    <t xml:space="preserve">Home Depot </t>
  </si>
  <si>
    <t>Utica First Insura Art</t>
  </si>
  <si>
    <t xml:space="preserve">Flagstar Bank </t>
  </si>
  <si>
    <t>Marangi Disposal</t>
  </si>
  <si>
    <t xml:space="preserve">Sterling Insurance </t>
  </si>
  <si>
    <t xml:space="preserve">Chase Mastercard </t>
  </si>
  <si>
    <t>Nys Dtf CT Tax Paymnt</t>
  </si>
  <si>
    <t>Dell Preferred Sssnent</t>
  </si>
  <si>
    <t>Dfsdirectpaymentdfspayment</t>
  </si>
  <si>
    <t>Western Union Capture</t>
  </si>
  <si>
    <t>Mountainview Conownerdraft</t>
  </si>
  <si>
    <t>Wilkinmanagemweb Pmts</t>
  </si>
  <si>
    <t>Internet Trf 0000000476720427 3290</t>
  </si>
  <si>
    <t>Comenity Pay</t>
  </si>
  <si>
    <t>Paper Statement Fee</t>
  </si>
  <si>
    <t>Adjustments</t>
  </si>
  <si>
    <t>Description Index</t>
  </si>
  <si>
    <t>Unique Types</t>
  </si>
  <si>
    <t>Net</t>
  </si>
  <si>
    <t>Filter By:</t>
  </si>
  <si>
    <t>Miscellaneous</t>
  </si>
  <si>
    <t>Unique Type</t>
  </si>
  <si>
    <t>Count unique types</t>
  </si>
  <si>
    <t>Opening/Closing</t>
  </si>
  <si>
    <t>Individual accounts or Misc or ignore?</t>
  </si>
  <si>
    <t>Entire Description Column Copied</t>
  </si>
  <si>
    <t>Add Opening/Closing to blanks</t>
  </si>
  <si>
    <t xml:space="preserve">Manually Extract Type </t>
  </si>
  <si>
    <t>Individual Index</t>
  </si>
  <si>
    <t>Individual Totals'! Data Validation</t>
  </si>
  <si>
    <t>Copy</t>
  </si>
  <si>
    <t>Individual Totals</t>
  </si>
  <si>
    <t>Checks</t>
  </si>
  <si>
    <t>Individual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</si>
</sst>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0.00_);[Red]\(&quot;$&quot;#,##0.00\)"/>
    <numFmt numFmtId="44" formatCode="_(&quot;$&quot;* #,##0.00_);_(&quot;$&quot;* \(#,##0.00\);_(&quot;$&quot;* &quot;-&quot;??_);_(@_)"/>
    <numFmt numFmtId="43" formatCode="_(* #,##0.00_);_(* \(#,##0.00\);_(* &quot;-&quot;??_);_(@_)"/>
    <numFmt numFmtId="164" formatCode="[$-409]d/mmm;@"/>
    <numFmt numFmtId="165" formatCode="&quot;$&quot;#,##0.00"/>
    <numFmt numFmtId="166" formatCode="mmm/yyyy"/>
    <numFmt numFmtId="167" formatCode="[$-409]d/mmm/yy;@"/>
    <numFmt numFmtId="168" formatCode="_(&quot;$&quot;* #,##0_);_(&quot;$&quot;* \(#,##0\);_(&quot;$&quot;* &quot;-&quot;??_);_(@_)"/>
    <numFmt numFmtId="169" formatCode="_(* #,##0_);_(* \(#,##0\);_(* &quot;-&quot;??_);_(@_)"/>
  </numFmts>
  <fonts count="33" x14ac:knownFonts="1">
    <font>
      <sz val="11"/>
      <color theme="1"/>
      <name val="Gill Sans MT"/>
      <family val="2"/>
      <scheme val="minor"/>
    </font>
    <font>
      <sz val="11"/>
      <color theme="0"/>
      <name val="Gill Sans MT"/>
      <family val="2"/>
      <scheme val="minor"/>
    </font>
    <font>
      <u/>
      <sz val="11"/>
      <color theme="10"/>
      <name val="Gill Sans MT"/>
      <family val="2"/>
      <scheme val="minor"/>
    </font>
    <font>
      <sz val="8"/>
      <name val="Gill Sans MT"/>
      <family val="2"/>
      <scheme val="minor"/>
    </font>
    <font>
      <sz val="11"/>
      <name val="Arial"/>
      <family val="2"/>
    </font>
    <font>
      <u/>
      <sz val="10"/>
      <color indexed="12"/>
      <name val="Arial"/>
      <family val="2"/>
    </font>
    <font>
      <sz val="11"/>
      <name val="Gill Sans MT"/>
      <family val="2"/>
      <scheme val="minor"/>
    </font>
    <font>
      <sz val="8"/>
      <color theme="1"/>
      <name val="Arial"/>
      <family val="2"/>
    </font>
    <font>
      <sz val="11"/>
      <color theme="1"/>
      <name val="Gill Sans MT"/>
      <family val="2"/>
      <scheme val="minor"/>
    </font>
    <font>
      <sz val="10"/>
      <name val="Arial"/>
      <family val="2"/>
    </font>
    <font>
      <b/>
      <sz val="11"/>
      <name val="Gill Sans MT"/>
      <family val="2"/>
      <scheme val="minor"/>
    </font>
    <font>
      <sz val="11"/>
      <color theme="1"/>
      <name val="Calibri"/>
      <family val="2"/>
    </font>
    <font>
      <b/>
      <u/>
      <sz val="12"/>
      <color theme="1" tint="0.249977111117893"/>
      <name val="Gill Sans MT"/>
      <family val="2"/>
      <scheme val="major"/>
    </font>
    <font>
      <b/>
      <u/>
      <sz val="20"/>
      <color theme="1" tint="0.249977111117893"/>
      <name val="Gill Sans MT"/>
      <family val="2"/>
      <scheme val="major"/>
    </font>
    <font>
      <sz val="12"/>
      <color theme="1" tint="0.249977111117893"/>
      <name val="Gill Sans MT"/>
      <family val="2"/>
      <scheme val="major"/>
    </font>
    <font>
      <b/>
      <sz val="11"/>
      <color theme="1"/>
      <name val="Calibri"/>
      <family val="2"/>
    </font>
    <font>
      <b/>
      <sz val="8"/>
      <color theme="0"/>
      <name val="Arial"/>
      <family val="2"/>
    </font>
    <font>
      <b/>
      <u/>
      <sz val="20"/>
      <color theme="0"/>
      <name val="Gill Sans MT"/>
      <family val="2"/>
      <scheme val="major"/>
    </font>
    <font>
      <b/>
      <sz val="11"/>
      <color theme="1"/>
      <name val="Gill Sans MT"/>
      <family val="2"/>
      <scheme val="minor"/>
    </font>
    <font>
      <b/>
      <sz val="11"/>
      <color rgb="FF0070C0"/>
      <name val="Calibri"/>
      <family val="2"/>
    </font>
    <font>
      <b/>
      <sz val="11"/>
      <name val="Calibri"/>
      <family val="2"/>
    </font>
    <font>
      <sz val="11"/>
      <color theme="4"/>
      <name val="Gill Sans MT"/>
      <family val="2"/>
      <scheme val="minor"/>
    </font>
    <font>
      <b/>
      <sz val="12"/>
      <color theme="4"/>
      <name val="Calibri"/>
      <family val="2"/>
    </font>
    <font>
      <b/>
      <sz val="10"/>
      <color theme="4"/>
      <name val="Calibri"/>
      <family val="2"/>
    </font>
    <font>
      <u val="double"/>
      <sz val="14"/>
      <color theme="1" tint="0.249977111117893"/>
      <name val="Gill Sans MT"/>
      <family val="2"/>
      <scheme val="major"/>
    </font>
    <font>
      <b/>
      <u val="double"/>
      <sz val="12"/>
      <color theme="0"/>
      <name val="Aharoni"/>
      <charset val="177"/>
    </font>
    <font>
      <b/>
      <sz val="9"/>
      <color indexed="81"/>
      <name val="Tahoma"/>
      <family val="2"/>
    </font>
    <font>
      <i/>
      <sz val="9"/>
      <color theme="1"/>
      <name val="Gill Sans MT"/>
      <family val="2"/>
      <scheme val="minor"/>
    </font>
    <font>
      <b/>
      <sz val="11"/>
      <color theme="0"/>
      <name val="Gill Sans MT"/>
      <family val="2"/>
      <scheme val="minor"/>
    </font>
    <font>
      <b/>
      <u/>
      <sz val="14"/>
      <color theme="1"/>
      <name val="Gill Sans MT"/>
      <family val="2"/>
      <scheme val="minor"/>
    </font>
    <font>
      <b/>
      <sz val="14"/>
      <color theme="0"/>
      <name val="Calibri"/>
      <family val="2"/>
    </font>
    <font>
      <u val="double"/>
      <sz val="14"/>
      <color theme="1"/>
      <name val="Gill Sans MT"/>
      <family val="2"/>
      <scheme val="minor"/>
    </font>
    <font>
      <u val="double"/>
      <sz val="16"/>
      <color theme="1"/>
      <name val="Gill Sans MT"/>
      <family val="2"/>
      <scheme val="minor"/>
    </font>
  </fonts>
  <fills count="13">
    <fill>
      <patternFill patternType="none"/>
    </fill>
    <fill>
      <patternFill patternType="gray125"/>
    </fill>
    <fill>
      <patternFill patternType="solid">
        <fgColor theme="8" tint="0.79998168889431442"/>
        <bgColor theme="8" tint="0.79998168889431442"/>
      </patternFill>
    </fill>
    <fill>
      <patternFill patternType="solid">
        <fgColor theme="1"/>
        <bgColor indexed="64"/>
      </patternFill>
    </fill>
    <fill>
      <patternFill patternType="solid">
        <fgColor rgb="FFFFFF00"/>
        <bgColor indexed="64"/>
      </patternFill>
    </fill>
    <fill>
      <patternFill patternType="lightTrellis"/>
    </fill>
    <fill>
      <patternFill patternType="solid">
        <fgColor rgb="FF002060"/>
        <bgColor indexed="64"/>
      </patternFill>
    </fill>
    <fill>
      <patternFill patternType="solid">
        <fgColor rgb="FF002060"/>
        <b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4" tint="-0.499984740745262"/>
        <bgColor indexed="64"/>
      </patternFill>
    </fill>
    <fill>
      <patternFill patternType="solid">
        <fgColor theme="0"/>
        <bgColor theme="4" tint="0.79998168889431442"/>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top/>
      <bottom style="double">
        <color indexed="64"/>
      </bottom>
      <diagonal/>
    </border>
    <border>
      <left style="thin">
        <color indexed="64"/>
      </left>
      <right/>
      <top/>
      <bottom style="double">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alignment vertical="top"/>
      <protection locked="0"/>
    </xf>
    <xf numFmtId="43" fontId="4" fillId="0" borderId="0" applyFont="0" applyFill="0" applyBorder="0" applyAlignment="0" applyProtection="0"/>
    <xf numFmtId="0" fontId="6" fillId="0" borderId="0"/>
    <xf numFmtId="44" fontId="9" fillId="0" borderId="0" applyFont="0" applyFill="0" applyBorder="0" applyAlignment="0" applyProtection="0"/>
    <xf numFmtId="9" fontId="4"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18" fillId="0" borderId="11" applyNumberFormat="0" applyFill="0" applyAlignment="0" applyProtection="0"/>
  </cellStyleXfs>
  <cellXfs count="149">
    <xf numFmtId="0" fontId="0" fillId="0" borderId="0" xfId="0"/>
    <xf numFmtId="0" fontId="1" fillId="0" borderId="0" xfId="0" applyFont="1"/>
    <xf numFmtId="0" fontId="6" fillId="0" borderId="0" xfId="0" applyFont="1"/>
    <xf numFmtId="0" fontId="6" fillId="0" borderId="0" xfId="0" applyFont="1" applyAlignment="1">
      <alignment wrapText="1"/>
    </xf>
    <xf numFmtId="0" fontId="6" fillId="0" borderId="2" xfId="0" applyFont="1" applyBorder="1" applyAlignment="1">
      <alignment wrapText="1"/>
    </xf>
    <xf numFmtId="2" fontId="6" fillId="0" borderId="0" xfId="0" applyNumberFormat="1" applyFont="1" applyAlignment="1">
      <alignment wrapText="1"/>
    </xf>
    <xf numFmtId="166" fontId="6" fillId="0" borderId="1" xfId="0" applyNumberFormat="1" applyFont="1" applyBorder="1" applyAlignment="1" applyProtection="1">
      <alignment horizontal="right" wrapText="1"/>
      <protection locked="0"/>
    </xf>
    <xf numFmtId="0" fontId="2" fillId="0" borderId="0" xfId="1" applyBorder="1" applyAlignment="1">
      <alignment wrapText="1"/>
    </xf>
    <xf numFmtId="0" fontId="7" fillId="2" borderId="5" xfId="0" applyFont="1" applyFill="1" applyBorder="1" applyAlignment="1">
      <alignment vertical="center" wrapText="1"/>
    </xf>
    <xf numFmtId="165" fontId="7" fillId="2" borderId="5" xfId="0" applyNumberFormat="1" applyFont="1" applyFill="1" applyBorder="1" applyAlignment="1">
      <alignment vertical="center" wrapText="1"/>
    </xf>
    <xf numFmtId="14" fontId="0" fillId="0" borderId="0" xfId="0" applyNumberFormat="1"/>
    <xf numFmtId="0" fontId="0" fillId="0" borderId="0" xfId="0" applyAlignment="1">
      <alignment horizontal="center" vertical="center"/>
    </xf>
    <xf numFmtId="164" fontId="0" fillId="0" borderId="0" xfId="0" applyNumberFormat="1"/>
    <xf numFmtId="0" fontId="0" fillId="0" borderId="0" xfId="0" applyAlignment="1">
      <alignment horizontal="center" vertical="center" wrapText="1"/>
    </xf>
    <xf numFmtId="0" fontId="0" fillId="0" borderId="0" xfId="0" applyAlignment="1">
      <alignment wrapText="1"/>
    </xf>
    <xf numFmtId="0" fontId="0" fillId="0" borderId="0" xfId="0" quotePrefix="1"/>
    <xf numFmtId="0" fontId="0" fillId="3" borderId="0" xfId="0" applyFill="1"/>
    <xf numFmtId="0" fontId="6" fillId="3" borderId="0" xfId="0" applyFont="1" applyFill="1" applyAlignment="1">
      <alignment horizontal="center" vertical="center"/>
    </xf>
    <xf numFmtId="0" fontId="0" fillId="0" borderId="4" xfId="0" applyBorder="1"/>
    <xf numFmtId="0" fontId="11" fillId="0" borderId="0" xfId="0" applyFont="1" applyAlignment="1">
      <alignment vertical="center"/>
    </xf>
    <xf numFmtId="16" fontId="11" fillId="0" borderId="0" xfId="0" applyNumberFormat="1" applyFont="1" applyAlignment="1">
      <alignment vertical="center"/>
    </xf>
    <xf numFmtId="0" fontId="11" fillId="0" borderId="0" xfId="0" applyFont="1" applyAlignment="1">
      <alignment wrapText="1"/>
    </xf>
    <xf numFmtId="164" fontId="11" fillId="0" borderId="0" xfId="0" applyNumberFormat="1" applyFont="1" applyAlignment="1">
      <alignment horizontal="center" vertical="center"/>
    </xf>
    <xf numFmtId="0" fontId="15" fillId="0" borderId="0" xfId="0" applyFont="1" applyAlignment="1">
      <alignment wrapText="1"/>
    </xf>
    <xf numFmtId="8" fontId="11" fillId="0" borderId="0" xfId="0" applyNumberFormat="1" applyFont="1" applyAlignment="1">
      <alignment vertical="center"/>
    </xf>
    <xf numFmtId="167" fontId="20" fillId="5" borderId="0" xfId="0" applyNumberFormat="1" applyFont="1" applyFill="1" applyAlignment="1">
      <alignment vertical="center"/>
    </xf>
    <xf numFmtId="0" fontId="15" fillId="5" borderId="0" xfId="0" applyFont="1" applyFill="1" applyAlignment="1">
      <alignment wrapText="1"/>
    </xf>
    <xf numFmtId="44" fontId="15" fillId="0" borderId="0" xfId="9" applyFont="1" applyFill="1" applyBorder="1" applyAlignment="1">
      <alignment vertical="center"/>
    </xf>
    <xf numFmtId="44" fontId="0" fillId="0" borderId="0" xfId="9" applyFont="1" applyBorder="1"/>
    <xf numFmtId="0" fontId="10" fillId="0" borderId="0" xfId="0" applyFont="1" applyAlignment="1">
      <alignment wrapText="1"/>
    </xf>
    <xf numFmtId="0" fontId="21" fillId="0" borderId="0" xfId="0" applyFont="1" applyAlignment="1">
      <alignment horizontal="center" vertical="center"/>
    </xf>
    <xf numFmtId="169" fontId="8" fillId="0" borderId="4" xfId="8" applyNumberFormat="1" applyFont="1" applyBorder="1"/>
    <xf numFmtId="169" fontId="8" fillId="0" borderId="0" xfId="8" applyNumberFormat="1" applyFont="1" applyBorder="1"/>
    <xf numFmtId="168" fontId="18" fillId="0" borderId="0" xfId="9" applyNumberFormat="1" applyFont="1" applyBorder="1"/>
    <xf numFmtId="169" fontId="8" fillId="0" borderId="8" xfId="8" applyNumberFormat="1" applyFont="1" applyBorder="1"/>
    <xf numFmtId="0" fontId="0" fillId="0" borderId="8" xfId="0" applyBorder="1"/>
    <xf numFmtId="164" fontId="0" fillId="0" borderId="8" xfId="0" applyNumberFormat="1" applyBorder="1"/>
    <xf numFmtId="0" fontId="11" fillId="0" borderId="8" xfId="0" applyFont="1" applyBorder="1" applyAlignment="1">
      <alignment vertical="center"/>
    </xf>
    <xf numFmtId="0" fontId="15" fillId="5" borderId="8" xfId="0" applyFont="1" applyFill="1" applyBorder="1" applyAlignment="1">
      <alignment vertical="center"/>
    </xf>
    <xf numFmtId="0" fontId="15" fillId="5" borderId="8" xfId="0" applyFont="1" applyFill="1" applyBorder="1" applyAlignment="1">
      <alignment wrapText="1"/>
    </xf>
    <xf numFmtId="0" fontId="22" fillId="0" borderId="4" xfId="0" applyFont="1" applyBorder="1" applyAlignment="1">
      <alignment horizontal="left" vertical="top" wrapText="1"/>
    </xf>
    <xf numFmtId="0" fontId="23" fillId="0" borderId="4" xfId="0" applyFont="1" applyBorder="1" applyAlignment="1">
      <alignment horizontal="left" vertical="top" wrapText="1"/>
    </xf>
    <xf numFmtId="44" fontId="15" fillId="5" borderId="8" xfId="0" applyNumberFormat="1" applyFont="1" applyFill="1" applyBorder="1" applyAlignment="1">
      <alignment vertical="center"/>
    </xf>
    <xf numFmtId="14" fontId="7" fillId="2" borderId="5" xfId="0" applyNumberFormat="1"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xf>
    <xf numFmtId="0" fontId="16" fillId="7" borderId="0" xfId="0" applyFont="1" applyFill="1" applyAlignment="1">
      <alignment vertical="center" wrapText="1"/>
    </xf>
    <xf numFmtId="0" fontId="16" fillId="7" borderId="0" xfId="0" applyFont="1" applyFill="1" applyAlignment="1">
      <alignment horizontal="center" vertical="center" wrapText="1"/>
    </xf>
    <xf numFmtId="167" fontId="7" fillId="0" borderId="0" xfId="0" applyNumberFormat="1" applyFont="1" applyAlignment="1">
      <alignment horizontal="center" vertical="center" wrapText="1"/>
    </xf>
    <xf numFmtId="165" fontId="7" fillId="0" borderId="0" xfId="0" applyNumberFormat="1" applyFont="1" applyAlignment="1">
      <alignment vertical="center" wrapText="1"/>
    </xf>
    <xf numFmtId="0" fontId="7" fillId="0" borderId="0" xfId="0" applyFont="1" applyAlignment="1">
      <alignment vertical="center" wrapText="1"/>
    </xf>
    <xf numFmtId="14" fontId="7" fillId="0" borderId="0" xfId="0" applyNumberFormat="1" applyFont="1" applyAlignment="1">
      <alignment vertical="center"/>
    </xf>
    <xf numFmtId="0" fontId="7" fillId="4" borderId="0" xfId="0" applyFont="1" applyFill="1" applyAlignment="1">
      <alignment horizontal="center" vertical="center" wrapText="1"/>
    </xf>
    <xf numFmtId="0" fontId="0" fillId="0" borderId="0" xfId="0" applyAlignment="1">
      <alignment horizontal="left"/>
    </xf>
    <xf numFmtId="0" fontId="27" fillId="0" borderId="0" xfId="0" applyFont="1"/>
    <xf numFmtId="0" fontId="22" fillId="0" borderId="7" xfId="0" applyFont="1" applyBorder="1" applyAlignment="1">
      <alignment horizontal="left" vertical="top" wrapText="1"/>
    </xf>
    <xf numFmtId="44" fontId="19" fillId="0" borderId="6" xfId="9" applyFont="1" applyFill="1" applyBorder="1" applyAlignment="1">
      <alignment vertical="center"/>
    </xf>
    <xf numFmtId="44" fontId="15" fillId="0" borderId="6" xfId="9" applyFont="1" applyFill="1" applyBorder="1" applyAlignment="1">
      <alignment vertical="center"/>
    </xf>
    <xf numFmtId="44" fontId="11" fillId="0" borderId="6" xfId="9" applyFont="1" applyFill="1" applyBorder="1" applyAlignment="1">
      <alignment vertical="center"/>
    </xf>
    <xf numFmtId="44" fontId="19" fillId="0" borderId="9" xfId="9" applyFont="1" applyFill="1" applyBorder="1" applyAlignment="1">
      <alignment vertical="center"/>
    </xf>
    <xf numFmtId="44" fontId="20" fillId="5" borderId="6" xfId="9" applyFont="1" applyFill="1" applyBorder="1" applyAlignment="1">
      <alignment vertical="center"/>
    </xf>
    <xf numFmtId="44" fontId="15" fillId="0" borderId="6" xfId="9" applyFont="1" applyBorder="1" applyAlignment="1">
      <alignment vertical="center"/>
    </xf>
    <xf numFmtId="44" fontId="0" fillId="0" borderId="6" xfId="9" applyFont="1" applyBorder="1"/>
    <xf numFmtId="2" fontId="6" fillId="0" borderId="0" xfId="0" applyNumberFormat="1" applyFont="1"/>
    <xf numFmtId="0" fontId="0" fillId="10" borderId="0" xfId="0" applyFill="1"/>
    <xf numFmtId="0" fontId="22" fillId="10" borderId="0" xfId="0" applyFont="1" applyFill="1" applyAlignment="1">
      <alignment horizontal="left" vertical="top" wrapText="1"/>
    </xf>
    <xf numFmtId="44" fontId="11" fillId="10" borderId="13" xfId="9" applyFont="1" applyFill="1" applyBorder="1" applyAlignment="1">
      <alignment vertical="center"/>
    </xf>
    <xf numFmtId="44" fontId="11" fillId="10" borderId="14" xfId="9" applyFont="1" applyFill="1" applyBorder="1" applyAlignment="1">
      <alignment vertical="center"/>
    </xf>
    <xf numFmtId="164" fontId="0" fillId="10" borderId="0" xfId="0" applyNumberFormat="1" applyFill="1"/>
    <xf numFmtId="0" fontId="11" fillId="10" borderId="0" xfId="0" applyFont="1" applyFill="1" applyAlignment="1">
      <alignment vertical="center"/>
    </xf>
    <xf numFmtId="44" fontId="11" fillId="10" borderId="0" xfId="9" applyFont="1" applyFill="1" applyBorder="1" applyAlignment="1">
      <alignment vertical="center"/>
    </xf>
    <xf numFmtId="44" fontId="11" fillId="10" borderId="15" xfId="9" applyFont="1" applyFill="1" applyBorder="1" applyAlignment="1">
      <alignment vertical="center"/>
    </xf>
    <xf numFmtId="164" fontId="0" fillId="10" borderId="16" xfId="0" applyNumberFormat="1" applyFill="1" applyBorder="1"/>
    <xf numFmtId="164" fontId="0" fillId="10" borderId="4" xfId="0" applyNumberFormat="1" applyFill="1" applyBorder="1"/>
    <xf numFmtId="44" fontId="11" fillId="10" borderId="4" xfId="9" applyFont="1" applyFill="1" applyBorder="1" applyAlignment="1">
      <alignment vertical="center"/>
    </xf>
    <xf numFmtId="44" fontId="11" fillId="10" borderId="17" xfId="9" applyFont="1" applyFill="1" applyBorder="1" applyAlignment="1">
      <alignment vertical="center"/>
    </xf>
    <xf numFmtId="0" fontId="15" fillId="10" borderId="0" xfId="0" applyFont="1" applyFill="1" applyAlignment="1">
      <alignment vertical="center"/>
    </xf>
    <xf numFmtId="44" fontId="18" fillId="10" borderId="11" xfId="10" applyNumberFormat="1" applyFill="1" applyAlignment="1">
      <alignment vertical="center"/>
    </xf>
    <xf numFmtId="0" fontId="15" fillId="10" borderId="0" xfId="0" applyFont="1" applyFill="1" applyAlignment="1">
      <alignment horizontal="right" vertical="center"/>
    </xf>
    <xf numFmtId="44" fontId="15" fillId="10" borderId="0" xfId="0" applyNumberFormat="1" applyFont="1" applyFill="1" applyAlignment="1">
      <alignment vertical="center"/>
    </xf>
    <xf numFmtId="164" fontId="0" fillId="10" borderId="13" xfId="0" applyNumberFormat="1" applyFill="1" applyBorder="1" applyAlignment="1">
      <alignment horizontal="center" vertical="center"/>
    </xf>
    <xf numFmtId="164" fontId="0" fillId="10" borderId="0" xfId="0" applyNumberFormat="1" applyFill="1" applyAlignment="1">
      <alignment horizontal="center" vertical="center"/>
    </xf>
    <xf numFmtId="164" fontId="0" fillId="10" borderId="0" xfId="0" applyNumberFormat="1" applyFill="1" applyAlignment="1">
      <alignment horizontal="center"/>
    </xf>
    <xf numFmtId="0" fontId="6" fillId="0" borderId="10" xfId="0" applyFont="1" applyBorder="1"/>
    <xf numFmtId="0" fontId="0" fillId="0" borderId="10" xfId="0" applyBorder="1"/>
    <xf numFmtId="0" fontId="11" fillId="0" borderId="10" xfId="0" applyFont="1" applyBorder="1" applyAlignment="1">
      <alignment vertical="center"/>
    </xf>
    <xf numFmtId="0" fontId="0" fillId="8" borderId="22" xfId="0" applyFill="1" applyBorder="1" applyAlignment="1">
      <alignment horizontal="center" vertical="center"/>
    </xf>
    <xf numFmtId="0" fontId="0" fillId="8" borderId="22" xfId="0" applyFill="1" applyBorder="1" applyAlignment="1">
      <alignment horizontal="left" vertical="center"/>
    </xf>
    <xf numFmtId="0" fontId="0" fillId="0" borderId="22" xfId="0" applyBorder="1" applyAlignment="1">
      <alignment horizontal="left" vertical="center"/>
    </xf>
    <xf numFmtId="0" fontId="0" fillId="8" borderId="20" xfId="0" applyFill="1" applyBorder="1" applyAlignment="1">
      <alignment horizontal="left" vertical="center"/>
    </xf>
    <xf numFmtId="0" fontId="23" fillId="0" borderId="4" xfId="0" applyFont="1" applyBorder="1" applyAlignment="1">
      <alignment horizontal="left" vertical="top"/>
    </xf>
    <xf numFmtId="0" fontId="11" fillId="0" borderId="0" xfId="0" applyFont="1"/>
    <xf numFmtId="0" fontId="0" fillId="8" borderId="19" xfId="0" applyFill="1" applyBorder="1" applyAlignment="1">
      <alignment horizontal="left" vertical="center"/>
    </xf>
    <xf numFmtId="0" fontId="0" fillId="0" borderId="19" xfId="0" applyBorder="1"/>
    <xf numFmtId="0" fontId="0" fillId="8" borderId="23" xfId="0" applyFill="1" applyBorder="1" applyAlignment="1">
      <alignment horizontal="left" vertical="center"/>
    </xf>
    <xf numFmtId="0" fontId="29" fillId="0" borderId="0" xfId="0" applyFont="1" applyAlignment="1">
      <alignment horizontal="center" vertical="center" wrapText="1"/>
    </xf>
    <xf numFmtId="0" fontId="28" fillId="9" borderId="21" xfId="0" applyFont="1" applyFill="1" applyBorder="1" applyAlignment="1">
      <alignment horizontal="center" vertical="center" wrapText="1"/>
    </xf>
    <xf numFmtId="0" fontId="0" fillId="0" borderId="0" xfId="0" quotePrefix="1" applyAlignment="1">
      <alignment horizontal="left" vertical="center"/>
    </xf>
    <xf numFmtId="0" fontId="11" fillId="10" borderId="13" xfId="0" applyFont="1" applyFill="1" applyBorder="1" applyAlignment="1">
      <alignment horizontal="left" vertical="center"/>
    </xf>
    <xf numFmtId="0" fontId="11" fillId="10" borderId="0" xfId="0" applyFont="1" applyFill="1" applyAlignment="1">
      <alignment horizontal="left" vertical="center"/>
    </xf>
    <xf numFmtId="0" fontId="11" fillId="10" borderId="4" xfId="0" applyFont="1" applyFill="1" applyBorder="1" applyAlignment="1">
      <alignment horizontal="left" vertical="center"/>
    </xf>
    <xf numFmtId="167" fontId="30" fillId="11" borderId="18" xfId="0" applyNumberFormat="1" applyFont="1" applyFill="1" applyBorder="1" applyAlignment="1">
      <alignment horizontal="center" vertical="center"/>
    </xf>
    <xf numFmtId="164" fontId="11" fillId="10" borderId="12" xfId="0" applyNumberFormat="1" applyFont="1" applyFill="1" applyBorder="1" applyAlignment="1">
      <alignment horizontal="right" vertical="center"/>
    </xf>
    <xf numFmtId="164" fontId="11" fillId="10" borderId="3" xfId="0" applyNumberFormat="1" applyFont="1" applyFill="1" applyBorder="1" applyAlignment="1">
      <alignment horizontal="right" vertical="center"/>
    </xf>
    <xf numFmtId="164" fontId="11" fillId="10" borderId="3" xfId="0" applyNumberFormat="1" applyFont="1" applyFill="1" applyBorder="1" applyAlignment="1">
      <alignment horizontal="right"/>
    </xf>
    <xf numFmtId="0" fontId="31" fillId="10" borderId="0" xfId="0" applyFont="1" applyFill="1"/>
    <xf numFmtId="0" fontId="22" fillId="10" borderId="24" xfId="0" applyFont="1" applyFill="1" applyBorder="1" applyAlignment="1">
      <alignment horizontal="left" vertical="top" wrapText="1"/>
    </xf>
    <xf numFmtId="0" fontId="22" fillId="10" borderId="24" xfId="0" applyFont="1" applyFill="1" applyBorder="1" applyAlignment="1">
      <alignment horizontal="right" vertical="top" wrapText="1"/>
    </xf>
    <xf numFmtId="0" fontId="6" fillId="12" borderId="12" xfId="0" applyFont="1" applyFill="1" applyBorder="1"/>
    <xf numFmtId="0" fontId="6" fillId="10" borderId="3" xfId="0" applyFont="1" applyFill="1" applyBorder="1"/>
    <xf numFmtId="0" fontId="6" fillId="12" borderId="3" xfId="0" applyFont="1" applyFill="1" applyBorder="1"/>
    <xf numFmtId="0" fontId="6" fillId="12" borderId="16" xfId="0" applyFont="1" applyFill="1" applyBorder="1"/>
    <xf numFmtId="43" fontId="6" fillId="12" borderId="13" xfId="8" applyFont="1" applyFill="1" applyBorder="1"/>
    <xf numFmtId="43" fontId="6" fillId="10" borderId="0" xfId="8" applyFont="1" applyFill="1" applyBorder="1"/>
    <xf numFmtId="43" fontId="6" fillId="12" borderId="0" xfId="8" applyFont="1" applyFill="1" applyBorder="1"/>
    <xf numFmtId="43" fontId="6" fillId="12" borderId="4" xfId="8" applyFont="1" applyFill="1" applyBorder="1"/>
    <xf numFmtId="0" fontId="16" fillId="7" borderId="13" xfId="0" applyFont="1" applyFill="1" applyBorder="1" applyAlignment="1">
      <alignment vertical="center" wrapText="1"/>
    </xf>
    <xf numFmtId="44" fontId="0" fillId="0" borderId="0" xfId="9" applyFont="1"/>
    <xf numFmtId="44" fontId="18" fillId="0" borderId="11" xfId="10" applyNumberFormat="1"/>
    <xf numFmtId="0" fontId="16" fillId="7" borderId="13" xfId="0" applyFont="1" applyFill="1" applyBorder="1" applyAlignment="1">
      <alignment horizontal="center" vertical="center" wrapText="1"/>
    </xf>
    <xf numFmtId="0" fontId="6" fillId="8" borderId="12" xfId="0" applyFont="1" applyFill="1" applyBorder="1"/>
    <xf numFmtId="43" fontId="6" fillId="8" borderId="13" xfId="8" applyFont="1" applyFill="1" applyBorder="1"/>
    <xf numFmtId="44" fontId="6" fillId="8" borderId="25" xfId="9" applyFont="1" applyFill="1" applyBorder="1"/>
    <xf numFmtId="0" fontId="6" fillId="0" borderId="3" xfId="0" applyFont="1" applyBorder="1"/>
    <xf numFmtId="43" fontId="6" fillId="0" borderId="0" xfId="8" applyFont="1" applyBorder="1"/>
    <xf numFmtId="44" fontId="6" fillId="0" borderId="26" xfId="9" applyFont="1" applyBorder="1"/>
    <xf numFmtId="0" fontId="6" fillId="8" borderId="3" xfId="0" applyFont="1" applyFill="1" applyBorder="1"/>
    <xf numFmtId="43" fontId="6" fillId="8" borderId="0" xfId="8" applyFont="1" applyFill="1" applyBorder="1"/>
    <xf numFmtId="44" fontId="6" fillId="8" borderId="26" xfId="9" applyFont="1" applyFill="1" applyBorder="1"/>
    <xf numFmtId="0" fontId="6" fillId="0" borderId="16" xfId="0" applyFont="1" applyBorder="1"/>
    <xf numFmtId="43" fontId="6" fillId="0" borderId="4" xfId="8" applyFont="1" applyBorder="1"/>
    <xf numFmtId="44" fontId="6" fillId="0" borderId="27" xfId="9" applyFont="1" applyBorder="1"/>
    <xf numFmtId="0" fontId="32" fillId="10" borderId="0" xfId="0" applyFont="1" applyFill="1" applyAlignment="1">
      <alignment vertical="center"/>
    </xf>
    <xf numFmtId="43" fontId="6" fillId="12" borderId="14" xfId="8" applyFont="1" applyFill="1" applyBorder="1"/>
    <xf numFmtId="43" fontId="6" fillId="10" borderId="15" xfId="8" applyFont="1" applyFill="1" applyBorder="1"/>
    <xf numFmtId="43" fontId="6" fillId="12" borderId="15" xfId="8" applyFont="1" applyFill="1" applyBorder="1"/>
    <xf numFmtId="43" fontId="6" fillId="12" borderId="17" xfId="8" applyFont="1" applyFill="1" applyBorder="1"/>
    <xf numFmtId="44" fontId="6" fillId="12" borderId="14" xfId="9" applyFont="1" applyFill="1" applyBorder="1"/>
    <xf numFmtId="44" fontId="6" fillId="10" borderId="15" xfId="9" applyFont="1" applyFill="1" applyBorder="1"/>
    <xf numFmtId="44" fontId="6" fillId="12" borderId="15" xfId="9" applyFont="1" applyFill="1" applyBorder="1"/>
    <xf numFmtId="44" fontId="6" fillId="12" borderId="17" xfId="9" applyFont="1" applyFill="1" applyBorder="1"/>
    <xf numFmtId="0" fontId="17" fillId="6" borderId="0" xfId="0" applyFont="1" applyFill="1" applyAlignment="1">
      <alignment horizontal="center" vertical="center" wrapText="1"/>
    </xf>
    <xf numFmtId="0" fontId="24" fillId="0" borderId="0" xfId="0" applyFont="1" applyAlignment="1">
      <alignment horizontal="center" vertical="top" wrapText="1"/>
    </xf>
    <xf numFmtId="0" fontId="13" fillId="0" borderId="0" xfId="0" applyFont="1" applyAlignment="1">
      <alignment horizontal="center" wrapText="1"/>
    </xf>
    <xf numFmtId="0" fontId="14" fillId="0" borderId="0" xfId="0" applyFont="1" applyAlignment="1">
      <alignment horizontal="center" wrapText="1"/>
    </xf>
    <xf numFmtId="0" fontId="12" fillId="0" borderId="0" xfId="0" applyFont="1" applyAlignment="1">
      <alignment horizontal="center" wrapText="1"/>
    </xf>
    <xf numFmtId="0" fontId="25" fillId="6" borderId="3" xfId="0" applyFont="1" applyFill="1" applyBorder="1" applyAlignment="1">
      <alignment horizontal="center" vertical="center" wrapText="1"/>
    </xf>
    <xf numFmtId="0" fontId="25" fillId="6" borderId="0" xfId="0" applyFont="1" applyFill="1" applyAlignment="1">
      <alignment horizontal="center" vertical="center" wrapText="1"/>
    </xf>
    <xf numFmtId="0" fontId="32" fillId="10" borderId="0" xfId="0" applyFont="1" applyFill="1" applyAlignment="1">
      <alignment horizontal="left" vertical="center"/>
    </xf>
  </cellXfs>
  <cellStyles count="11">
    <cellStyle name="Comma" xfId="8" builtinId="3"/>
    <cellStyle name="Comma 2" xfId="4" xr:uid="{37D05FEA-331B-4FE0-B9BF-0FD9ED9D3125}"/>
    <cellStyle name="Currency" xfId="9" builtinId="4"/>
    <cellStyle name="Currency 2" xfId="6" xr:uid="{3FBBEF82-57DE-4510-967F-697A9B362875}"/>
    <cellStyle name="Hyperlink" xfId="1" builtinId="8"/>
    <cellStyle name="Hyperlink 2" xfId="3" xr:uid="{EFA8E18E-2E15-44D2-B0CB-625ADEDBCC88}"/>
    <cellStyle name="Normal" xfId="0" builtinId="0"/>
    <cellStyle name="Normal 2" xfId="5" xr:uid="{3B2946AD-53E7-4759-97BC-CC65AF5A0A73}"/>
    <cellStyle name="Normal 3" xfId="2" xr:uid="{90CBC0BC-A939-4AA4-A82C-2D5732CD6392}"/>
    <cellStyle name="Percent 2" xfId="7" xr:uid="{5827DBA2-DE2A-4978-9917-2CF892FA92DE}"/>
    <cellStyle name="Total" xfId="10" builtinId="25"/>
  </cellStyles>
  <dxfs count="112">
    <dxf>
      <fill>
        <patternFill>
          <bgColor rgb="FFFFFF00"/>
        </patternFill>
      </fill>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5" formatCode="&quot;$&quot;#,##0.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7" formatCode="[$-409]d/mmm/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9" formatCode="dd/mm/yy"/>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21" formatCode="dd/mmm"/>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center" textRotation="0" wrapText="1" indent="0" justifyLastLine="0" shrinkToFit="0" readingOrder="0"/>
    </dxf>
    <dxf>
      <border>
        <top style="thin">
          <color indexed="64"/>
        </top>
      </border>
    </dxf>
    <dxf>
      <alignment vertical="center"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border>
        <bottom style="medium">
          <color indexed="64"/>
        </bottom>
      </border>
    </dxf>
    <dxf>
      <font>
        <b/>
        <i val="0"/>
        <strike val="0"/>
        <condense val="0"/>
        <extend val="0"/>
        <outline val="0"/>
        <shadow val="0"/>
        <u val="none"/>
        <vertAlign val="baseline"/>
        <sz val="8"/>
        <color theme="0"/>
        <name val="Arial"/>
        <family val="2"/>
        <scheme val="none"/>
      </font>
      <fill>
        <patternFill patternType="solid">
          <fgColor theme="8"/>
          <bgColor rgb="FF002060"/>
        </patternFill>
      </fill>
      <alignment horizontal="general" vertical="center" textRotation="0" wrapText="1" indent="0" justifyLastLine="0" shrinkToFit="0" readingOrder="0"/>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border outline="0">
        <bottom style="thin">
          <color indexed="64"/>
        </bottom>
      </border>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ill>
        <patternFill>
          <fgColor indexed="64"/>
          <bgColor theme="1"/>
        </patternFill>
      </fill>
    </dxf>
    <dxf>
      <numFmt numFmtId="0" formatCode="General"/>
    </dxf>
    <dxf>
      <numFmt numFmtId="0" formatCode="General"/>
    </dxf>
    <dxf>
      <numFmt numFmtId="0" formatCode="General"/>
    </dxf>
    <dxf>
      <alignment horizontal="center" vertical="center" textRotation="0"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Gill Sans MT"/>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ill>
        <patternFill patternType="none">
          <bgColor auto="1"/>
        </patternFill>
      </fill>
    </dxf>
    <dxf>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none"/>
      </font>
      <fill>
        <patternFill patternType="solid">
          <fgColor theme="8" tint="0.79998168889431442"/>
          <bgColor theme="8" tint="0.79998168889431442"/>
        </patternFill>
      </fill>
      <alignment horizontal="general" vertical="bottom" textRotation="0" wrapText="1" indent="0" justifyLastLine="0" shrinkToFit="0" readingOrder="0"/>
      <border diagonalUp="0" diagonalDown="0" outline="0">
        <left/>
        <right style="thin">
          <color theme="8" tint="0.39997558519241921"/>
        </right>
        <top style="double">
          <color theme="9"/>
        </top>
        <bottom style="thin">
          <color theme="8" tint="0.39997558519241921"/>
        </bottom>
      </border>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vertical/>
      </border>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numFmt numFmtId="21" formatCode="dd/mmm"/>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409]d/mmm;@"/>
      <fill>
        <patternFill patternType="none">
          <fgColor theme="8" tint="0.79998168889431442"/>
          <bgColor auto="1"/>
        </patternFill>
      </fill>
      <alignment horizontal="center" vertical="center" textRotation="0" wrapText="0" indent="0" justifyLastLine="0" shrinkToFit="0" readingOrder="0"/>
    </dxf>
    <dxf>
      <border outline="0">
        <top style="thin">
          <color theme="8" tint="0.39997558519241921"/>
        </top>
      </border>
    </dxf>
    <dxf>
      <font>
        <strike val="0"/>
        <outline val="0"/>
        <shadow val="0"/>
        <u val="none"/>
        <vertAlign val="baseline"/>
        <name val="Calibri"/>
        <family val="2"/>
        <scheme val="none"/>
      </font>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border>
        <bottom style="medium">
          <color indexed="64"/>
        </bottom>
      </border>
    </dxf>
    <dxf>
      <font>
        <b/>
        <i val="0"/>
        <strike val="0"/>
        <condense val="0"/>
        <extend val="0"/>
        <outline val="0"/>
        <shadow val="0"/>
        <u val="none"/>
        <vertAlign val="baseline"/>
        <sz val="10"/>
        <color theme="4"/>
        <name val="Calibri"/>
        <family val="2"/>
        <scheme val="none"/>
      </font>
      <fill>
        <patternFill patternType="none">
          <fgColor indexed="64"/>
          <bgColor auto="1"/>
        </patternFill>
      </fill>
      <alignment horizontal="left" vertical="top" textRotation="0" wrapText="1" indent="0" justifyLastLine="0" shrinkToFit="0" readingOrder="0"/>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TableStyleMedium2" defaultPivotStyle="PivotStyleLight16">
    <tableStyle name="v42_RegisterTable" pivot="0" count="7" xr9:uid="{DC8843D6-5B88-4D32-9822-E24BE8611365}">
      <tableStyleElement type="wholeTable" dxfId="111"/>
      <tableStyleElement type="headerRow" dxfId="110"/>
      <tableStyleElement type="totalRow" dxfId="109"/>
      <tableStyleElement type="firstColumn" dxfId="108"/>
      <tableStyleElement type="lastColumn" dxfId="107"/>
      <tableStyleElement type="firstRowStripe" dxfId="106"/>
      <tableStyleElement type="firstColumnStripe" dxfId="105"/>
    </tableStyle>
    <tableStyle name="v42_RegisterTable 2" pivot="0" count="7" xr9:uid="{3DC2E35E-58B1-4304-911F-E5C2D175CEEE}">
      <tableStyleElement type="wholeTable" dxfId="104"/>
      <tableStyleElement type="headerRow" dxfId="103"/>
      <tableStyleElement type="totalRow" dxfId="102"/>
      <tableStyleElement type="firstColumn" dxfId="101"/>
      <tableStyleElement type="lastColumn" dxfId="100"/>
      <tableStyleElement type="firstRowStripe" dxfId="99"/>
      <tableStyleElement type="firstColumnStripe" dxfId="9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14</xdr:col>
      <xdr:colOff>162198</xdr:colOff>
      <xdr:row>10</xdr:row>
      <xdr:rowOff>225334</xdr:rowOff>
    </xdr:from>
    <xdr:to>
      <xdr:col>16</xdr:col>
      <xdr:colOff>11333</xdr:colOff>
      <xdr:row>23</xdr:row>
      <xdr:rowOff>55789</xdr:rowOff>
    </xdr:to>
    <mc:AlternateContent xmlns:mc="http://schemas.openxmlformats.org/markup-compatibility/2006" xmlns:sle15="http://schemas.microsoft.com/office/drawing/2012/slicer">
      <mc:Choice Requires="sle15">
        <xdr:graphicFrame macro="">
          <xdr:nvGraphicFramePr>
            <xdr:cNvPr id="3" name="Month 1">
              <a:extLst>
                <a:ext uri="{FF2B5EF4-FFF2-40B4-BE49-F238E27FC236}">
                  <a16:creationId xmlns:a16="http://schemas.microsoft.com/office/drawing/2014/main" id="{97FAD488-D9F9-8F8C-70F8-97910B2C256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780418" y="2671354"/>
              <a:ext cx="1829887" cy="2809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xdr:col>
      <xdr:colOff>0</xdr:colOff>
      <xdr:row>4</xdr:row>
      <xdr:rowOff>0</xdr:rowOff>
    </xdr:from>
    <xdr:to>
      <xdr:col>16</xdr:col>
      <xdr:colOff>15688</xdr:colOff>
      <xdr:row>10</xdr:row>
      <xdr:rowOff>30480</xdr:rowOff>
    </xdr:to>
    <xdr:pic>
      <xdr:nvPicPr>
        <xdr:cNvPr id="5" name="Picture 4">
          <a:extLst>
            <a:ext uri="{FF2B5EF4-FFF2-40B4-BE49-F238E27FC236}">
              <a16:creationId xmlns:a16="http://schemas.microsoft.com/office/drawing/2014/main" id="{D4AD9531-ED1D-D3B6-266A-3DB7B8265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074420"/>
          <a:ext cx="1030986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1C30154A-3E2B-4DDD-8DB5-94E2FC88CF77}" sourceName="Month">
  <extLst>
    <x:ext xmlns:x15="http://schemas.microsoft.com/office/spreadsheetml/2010/11/main" uri="{2F2917AC-EB37-4324-AD4E-5DD8C200BD13}">
      <x15:tableSlicerCache tableId="15"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23AB16B-0CD7-43F8-90FD-7D9B2934A5A9}" cache="Slicer_Month1" caption="Filter by Month"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686BC94-7A4F-42DC-A0FF-14A0A5F947C0}" name="Table_CheckAcct" displayName="Table_CheckAcct" ref="C12:M245" headerRowDxfId="84" dataDxfId="82" totalsRowDxfId="81" headerRowBorderDxfId="83" totalsRowBorderDxfId="80">
  <autoFilter ref="C12:M245" xr:uid="{6686BC94-7A4F-42DC-A0FF-14A0A5F947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C13:J257">
    <sortCondition ref="C12:C257"/>
  </sortState>
  <tableColumns count="11">
    <tableColumn id="2" xr3:uid="{B621F443-4838-4104-A3AB-93D6982251F1}" name="Date" dataDxfId="79"/>
    <tableColumn id="7" xr3:uid="{D3939B69-B010-49D1-90A9-BC60B84FDD89}" name="Type" dataDxfId="78" totalsRowDxfId="77"/>
    <tableColumn id="3" xr3:uid="{14EF0629-C575-4DCA-9462-B5921513B271}" name="Description" dataDxfId="76" totalsRowDxfId="75"/>
    <tableColumn id="4" xr3:uid="{D793A15C-5F0A-432F-B39C-DC5C105FC4A6}" name="Debit (-)" totalsRowFunction="sum" dataDxfId="74" totalsRowDxfId="73"/>
    <tableColumn id="5" xr3:uid="{6AC8A526-D2E5-4031-B815-5649FB623706}" name="Credit (+)" totalsRowFunction="sum" dataDxfId="72" totalsRowDxfId="71"/>
    <tableColumn id="6" xr3:uid="{54D82A9D-BF56-44EF-BA5F-C5E4B59C796D}" name="Balance" totalsRowFunction="sum" dataDxfId="70" totalsRowDxfId="69" dataCellStyle="Currency"/>
    <tableColumn id="1" xr3:uid="{7C0D1FFD-BE42-4AC9-8817-468B2D7EF335}" name="Check" dataDxfId="68" totalsRowDxfId="67" dataCellStyle="Currency"/>
    <tableColumn id="10" xr3:uid="{853A36E7-9CF8-4E3C-A640-4A51564D5F30}" name="Month" dataDxfId="66" totalsRowDxfId="65" dataCellStyle="Currency">
      <calculatedColumnFormula>IF(NOT(ISBLANK(Table_CheckAcct[[#This Row],[Date]])),TEXT(Table_CheckAcct[[#This Row],[Date]],"mmmm"),"")</calculatedColumnFormula>
    </tableColumn>
    <tableColumn id="8" xr3:uid="{2367DAD5-AD81-4318-8DEA-70F268C6961B}" name="Year" dataDxfId="64">
      <calculatedColumnFormula>YEAR(Table_CheckAcct[[#This Row],[Date]])</calculatedColumnFormula>
    </tableColumn>
    <tableColumn id="9" xr3:uid="{4F5D9414-9151-46AC-BEAB-631A60E2FF1A}" name="Description Index" dataDxfId="63" totalsRowDxfId="62">
      <calculatedColumnFormula>IF(ISBLANK(Table_CheckAcct[[#This Row],[Description]]),"Opening/Closing",VLOOKUP(Table_CheckAcct[[#This Row],[Description]],Table7[],3,FALSE))</calculatedColumnFormula>
    </tableColumn>
    <tableColumn id="11" xr3:uid="{C73391E1-81A9-4524-88F9-5F1DFA30F050}" name="Individual Index" dataDxfId="61" totalsRowDxfId="60">
      <calculatedColumnFormula>VLOOKUP(Table_CheckAcct[[#This Row],[Description Index]],Table3[],3,FALSE)</calculatedColumnFormula>
    </tableColumn>
  </tableColumns>
  <tableStyleInfo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5F62AC-14CF-483F-9A24-CDBF1F2599C6}" name="Table7" displayName="Table7" ref="B3:D236" totalsRowShown="0" headerRowDxfId="59" dataDxfId="58">
  <autoFilter ref="B3:D236" xr:uid="{6D5F62AC-14CF-483F-9A24-CDBF1F2599C6}">
    <filterColumn colId="0" hiddenButton="1"/>
    <filterColumn colId="1" hiddenButton="1"/>
    <filterColumn colId="2" hiddenButton="1"/>
  </autoFilter>
  <tableColumns count="3">
    <tableColumn id="7" xr3:uid="{90AAF40F-0262-4812-BB20-8ADE1303F148}" name="Entire Description Column Copied" dataDxfId="57"/>
    <tableColumn id="8" xr3:uid="{0482C14A-B47A-4864-B04A-E4FED91A92FA}" name="Add Opening/Closing to blanks" dataDxfId="56"/>
    <tableColumn id="1" xr3:uid="{82050582-5EAF-4F01-9570-B49E8D2D3D55}" name="Manually Extract Type " dataDxfId="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CDF98-164E-482C-90A0-7CCBBC5EFBF7}" name="Table3" displayName="Table3" ref="H3:J236" totalsRowShown="0" headerRowDxfId="54" dataDxfId="52" headerRowBorderDxfId="53" tableBorderDxfId="51" totalsRowBorderDxfId="50">
  <autoFilter ref="H3:J236" xr:uid="{359CDF98-164E-482C-90A0-7CCBBC5EFBF7}">
    <filterColumn colId="0" hiddenButton="1"/>
    <filterColumn colId="1" hiddenButton="1"/>
    <filterColumn colId="2" hiddenButton="1"/>
  </autoFilter>
  <tableColumns count="3">
    <tableColumn id="1" xr3:uid="{9ACD8D57-5947-4900-AA5B-30E15EDEB81F}" name="Unique Type" dataDxfId="49"/>
    <tableColumn id="2" xr3:uid="{4AC1C899-56AB-481F-87D5-E044FA8314A9}" name="Count unique types" dataDxfId="48">
      <calculatedColumnFormula>IF(NOT(ISBLANK(Table3[[#This Row],[Unique Type]])),COUNTIFS(Table7[[Manually Extract Type ]],Table3[[#This Row],[Unique Type]]),"")</calculatedColumnFormula>
    </tableColumn>
    <tableColumn id="3" xr3:uid="{610D2446-97E6-4C78-BA3C-E8FF545CB337}" name="Individual accounts or Misc or ignore?" dataDxfId="47">
      <calculatedColumnFormula>IF(ISBLANK(Table3[[#This Row],[Unique Type]]),"",IF(Table3[[#This Row],[Count unique types]]&gt;1,Table3[[#This Row],[Unique Type]],"Miscellaneous"))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4A3F6-0E1C-4594-A4EE-CE50F5F52C21}" name="Ind_Total_dropdown" displayName="Ind_Total_dropdown" ref="L3:L18" totalsRowShown="0" headerRowDxfId="46" dataDxfId="45" tableBorderDxfId="44">
  <autoFilter ref="L3:L18" xr:uid="{6FF4A3F6-0E1C-4594-A4EE-CE50F5F52C21}">
    <filterColumn colId="0" hiddenButton="1"/>
  </autoFilter>
  <tableColumns count="1">
    <tableColumn id="1" xr3:uid="{19FFE641-6C36-4121-88AC-51D8A692F281}" name="Copy" dataDxfId="4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E85A4-8A6A-476F-A8EB-CD64D29D7090}" name="Data" displayName="Data" ref="B4:J377" totalsRowShown="0" headerRowDxfId="42">
  <tableColumns count="9">
    <tableColumn id="1" xr3:uid="{950E4B14-4124-4DE7-83B9-1A9D2F6E271D}" name="Date" dataDxfId="41"/>
    <tableColumn id="2" xr3:uid="{B59C8FCF-F198-4669-8752-1564C3285BB3}" name="Desciption" dataDxfId="40"/>
    <tableColumn id="3" xr3:uid="{F04759F5-19E0-4AEA-AF1E-2BB6DC6FDA12}" name="Amount" dataDxfId="39"/>
    <tableColumn id="8" xr3:uid="{A28BF1BF-B520-4D49-BB95-B305FADAC92C}" name="Column1" dataDxfId="38"/>
    <tableColumn id="9" xr3:uid="{5F2E1A4B-8679-406F-86CA-5FFFD26E330E}" name="Day " dataDxfId="37"/>
    <tableColumn id="10" xr3:uid="{D13FBAAC-9DD6-4686-89AF-008B2607A211}" name="Month" dataDxfId="36"/>
    <tableColumn id="7" xr3:uid="{131177A1-730E-4A2F-969B-F69A6A10757A}" name="Date1" dataDxfId="35"/>
    <tableColumn id="13" xr3:uid="{1FC745C5-29A6-4D81-97D4-7B5C4038F4BF}" name="Errors rectified" dataDxfId="34"/>
    <tableColumn id="14" xr3:uid="{1687FDA6-7183-48BC-A849-511EACB8F4B1}" name="Full Date" dataDxfId="3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A3C0E9-C90E-45D3-ACEF-43A08E489110}" name="Table9" displayName="Table9" ref="C5:O9" totalsRowShown="0" headerRowDxfId="32" tableBorderDxfId="31">
  <tableColumns count="13">
    <tableColumn id="1" xr3:uid="{661B00FA-A3DC-4368-B2A0-3FC9A02E7F20}" name="`"/>
    <tableColumn id="3" xr3:uid="{7313E99C-8B81-413D-A33E-71CAE6E7432C}" name="Jan-2023" dataDxfId="30" dataCellStyle="Currency"/>
    <tableColumn id="4" xr3:uid="{74945803-B40F-488F-B91E-B1C504693452}" name="Feb-2023" dataDxfId="29" dataCellStyle="Currency"/>
    <tableColumn id="5" xr3:uid="{ABDDEBAA-1E8D-4DDB-A5F8-ECCD44733A4A}" name="Mar-2023" dataDxfId="28" dataCellStyle="Currency"/>
    <tableColumn id="6" xr3:uid="{2847B73E-EC9B-4477-91E1-E2ED0170B0AF}" name="Apr-2023" dataDxfId="27" dataCellStyle="Currency"/>
    <tableColumn id="7" xr3:uid="{0E089EB9-7220-4DEF-9237-8EB8EB5CE1FC}" name="May-2023" dataDxfId="26" dataCellStyle="Currency"/>
    <tableColumn id="8" xr3:uid="{9B998C25-4B01-4270-9DBA-28D82CFA54E3}" name="Jun-2023" dataDxfId="25" dataCellStyle="Currency"/>
    <tableColumn id="9" xr3:uid="{93E10455-06B2-4898-B43D-BCB52E292511}" name="Jul-2023" dataDxfId="24" dataCellStyle="Currency"/>
    <tableColumn id="10" xr3:uid="{E5BCB404-68A6-4741-981C-18AA03977ECB}" name="Aug-2023" dataDxfId="23" dataCellStyle="Currency"/>
    <tableColumn id="11" xr3:uid="{D14A7215-03D7-481F-8215-1E5C6CB2ED64}" name="Sep-2023" dataDxfId="22" dataCellStyle="Currency"/>
    <tableColumn id="12" xr3:uid="{393CFFD7-B1ED-4BEA-B21E-73747F18485B}" name="Oct-2023" dataDxfId="21" dataCellStyle="Currency"/>
    <tableColumn id="13" xr3:uid="{59FA4F8D-C382-41B2-B177-A0BC76E36550}" name="Nov-2023" dataDxfId="20" dataCellStyle="Currency"/>
    <tableColumn id="14" xr3:uid="{D4BF5CB1-5008-40FE-883F-02625EDA219D}" name="Dec-2023" dataDxfId="19" dataCellStyle="Currency"/>
  </tableColumns>
  <tableStyleInfo name="TableStyleLight9" showFirstColumn="1" showLastColumn="0" showRowStripes="0"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E31FF61-4E2F-4021-B9F6-49B696080915}" name="Table16" displayName="Table16" ref="C5:H43" totalsRowCount="1" headerRowDxfId="18" dataDxfId="16" totalsRowDxfId="14" headerRowBorderDxfId="17" tableBorderDxfId="15" totalsRowBorderDxfId="13">
  <autoFilter ref="C5:H42" xr:uid="{CE31FF61-4E2F-4021-B9F6-49B696080915}"/>
  <sortState xmlns:xlrd2="http://schemas.microsoft.com/office/spreadsheetml/2017/richdata2" ref="C6:H42">
    <sortCondition ref="C5:C42"/>
  </sortState>
  <tableColumns count="6">
    <tableColumn id="1" xr3:uid="{64035BA6-B0AA-4CB5-B752-E3D0B6A0D096}" name="Number " totalsRowLabel="Total" dataDxfId="12" totalsRowDxfId="11"/>
    <tableColumn id="2" xr3:uid="{ED42DF7B-E5B2-489F-89BC-0CDF95BAA89F}" name="Date" dataDxfId="10" totalsRowDxfId="9">
      <calculatedColumnFormula>_xlfn.XLOOKUP(Table16[[#This Row],[Number ]],Table_CheckAcct[Description],Table_CheckAcct[Date],"NA",2,1)</calculatedColumnFormula>
    </tableColumn>
    <tableColumn id="6" xr3:uid="{4967BA54-C1F1-4F53-9A9A-231E6972B77A}" name="Check Dates" dataDxfId="8" totalsRowDxfId="7">
      <calculatedColumnFormula>_xlfn.CONCAT(MONTH(Table16[[#This Row],[Date]]),"|",DAY(Table16[[#This Row],[Date]]),"|",YEAR(Table16[[#This Row],[Date]]))</calculatedColumnFormula>
    </tableColumn>
    <tableColumn id="3" xr3:uid="{4105160D-B39A-45EC-8940-30361F8255E5}" name="Description" dataDxfId="6" totalsRowDxfId="5"/>
    <tableColumn id="4" xr3:uid="{28B34E0C-4E13-4937-88E5-82E12B03B60F}" name="Debit (-)" totalsRowFunction="sum" dataDxfId="4" totalsRowDxfId="3"/>
    <tableColumn id="5" xr3:uid="{39681531-8B36-41F2-8014-4F68477EECEA}" name="Credit (+)" totalsRowFunction="sum" dataDxfId="2" totalsRowDxfId="1"/>
  </tableColumns>
  <tableStyleInfo showFirstColumn="0" showLastColumn="0" showRowStripes="1" showColumnStripes="0"/>
</table>
</file>

<file path=xl/theme/theme1.xml><?xml version="1.0" encoding="utf-8"?>
<a:theme xmlns:a="http://schemas.openxmlformats.org/drawingml/2006/main" name="Parcel">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2.v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7392-DAE7-4751-A642-EE66E0BCFC21}">
  <sheetPr>
    <tabColor theme="4" tint="0.59999389629810485"/>
    <pageSetUpPr fitToPage="1"/>
  </sheetPr>
  <dimension ref="B1:AC257"/>
  <sheetViews>
    <sheetView showGridLines="0" tabSelected="1" zoomScaleNormal="100" workbookViewId="0">
      <selection activeCell="D3" sqref="D3"/>
    </sheetView>
  </sheetViews>
  <sheetFormatPr defaultColWidth="7.21875" defaultRowHeight="18" x14ac:dyDescent="0.5"/>
  <cols>
    <col min="1" max="2" width="2.21875" style="3" customWidth="1"/>
    <col min="3" max="3" width="11.88671875" style="3" bestFit="1" customWidth="1"/>
    <col min="4" max="4" width="15" style="3" bestFit="1" customWidth="1"/>
    <col min="5" max="5" width="57.77734375" style="3" customWidth="1"/>
    <col min="6" max="6" width="11.6640625" style="3" bestFit="1" customWidth="1"/>
    <col min="7" max="7" width="12.6640625" style="3" bestFit="1" customWidth="1"/>
    <col min="8" max="8" width="12.21875" style="3" customWidth="1"/>
    <col min="9" max="9" width="11.5546875" style="3" hidden="1" customWidth="1"/>
    <col min="10" max="10" width="11.44140625" style="3" hidden="1" customWidth="1"/>
    <col min="11" max="11" width="9.21875" style="3" hidden="1" customWidth="1"/>
    <col min="12" max="13" width="31.77734375" style="3" hidden="1" customWidth="1"/>
    <col min="14" max="14" width="0" style="3" hidden="1" customWidth="1"/>
    <col min="15" max="15" width="7.21875" style="3"/>
    <col min="16" max="16" width="21.6640625" style="3" customWidth="1"/>
    <col min="17" max="17" width="7.21875" style="3" customWidth="1"/>
    <col min="18" max="18" width="21.6640625" style="2" bestFit="1" customWidth="1"/>
    <col min="19" max="29" width="7.21875" style="2"/>
    <col min="30" max="16384" width="7.21875" style="3"/>
  </cols>
  <sheetData>
    <row r="1" spans="2:29" s="2" customFormat="1" ht="29.4" customHeight="1" x14ac:dyDescent="0.5">
      <c r="B1" s="141" t="s">
        <v>521</v>
      </c>
      <c r="C1" s="141"/>
      <c r="D1" s="141"/>
      <c r="E1" s="141"/>
      <c r="F1" s="141"/>
      <c r="G1" s="141"/>
      <c r="H1" s="141"/>
      <c r="I1" s="141"/>
      <c r="J1" s="141"/>
      <c r="K1" s="141"/>
      <c r="L1" s="141"/>
      <c r="M1" s="141"/>
      <c r="N1" s="141"/>
      <c r="O1" s="141"/>
      <c r="P1" s="141"/>
    </row>
    <row r="2" spans="2:29" s="2" customFormat="1" ht="19.2" customHeight="1" x14ac:dyDescent="0.5">
      <c r="B2" s="142" t="s">
        <v>3</v>
      </c>
      <c r="C2" s="142"/>
      <c r="D2" s="142"/>
      <c r="E2" s="142"/>
      <c r="F2" s="142"/>
      <c r="G2" s="142"/>
      <c r="H2" s="142"/>
      <c r="I2" s="142"/>
      <c r="J2" s="142"/>
      <c r="K2" s="142"/>
      <c r="L2" s="142"/>
      <c r="M2" s="142"/>
      <c r="N2" s="142"/>
      <c r="O2" s="142"/>
      <c r="P2" s="142"/>
    </row>
    <row r="3" spans="2:29" s="2" customFormat="1" ht="18" customHeight="1" x14ac:dyDescent="0.5">
      <c r="C3" s="3" t="s">
        <v>0</v>
      </c>
      <c r="D3" s="25">
        <f>'W - Checking account'!D3</f>
        <v>44927</v>
      </c>
    </row>
    <row r="4" spans="2:29" s="5" customFormat="1" x14ac:dyDescent="0.5">
      <c r="R4" s="63"/>
      <c r="S4" s="63"/>
      <c r="T4" s="63"/>
      <c r="U4" s="63"/>
      <c r="V4" s="63"/>
      <c r="W4" s="63"/>
      <c r="X4" s="63"/>
      <c r="Y4" s="63"/>
      <c r="Z4" s="63"/>
      <c r="AA4" s="63"/>
      <c r="AB4" s="63"/>
      <c r="AC4" s="63"/>
    </row>
    <row r="5" spans="2:29" x14ac:dyDescent="0.5">
      <c r="G5" s="7"/>
    </row>
    <row r="7" spans="2:29" x14ac:dyDescent="0.5">
      <c r="I7" s="7"/>
    </row>
    <row r="12" spans="2:29" ht="18.600000000000001" thickBot="1" x14ac:dyDescent="0.55000000000000004">
      <c r="C12" s="40" t="s">
        <v>5</v>
      </c>
      <c r="D12" s="40" t="s">
        <v>11</v>
      </c>
      <c r="E12" s="40" t="s">
        <v>6</v>
      </c>
      <c r="F12" s="40" t="s">
        <v>7</v>
      </c>
      <c r="G12" s="40" t="s">
        <v>8</v>
      </c>
      <c r="H12" s="55" t="s">
        <v>10</v>
      </c>
      <c r="I12" s="41" t="s">
        <v>12</v>
      </c>
      <c r="J12" s="41" t="s">
        <v>9</v>
      </c>
      <c r="K12" s="41" t="s">
        <v>525</v>
      </c>
      <c r="L12" s="41" t="s">
        <v>564</v>
      </c>
      <c r="M12" s="90" t="s">
        <v>576</v>
      </c>
    </row>
    <row r="13" spans="2:29" x14ac:dyDescent="0.5">
      <c r="C13" s="12">
        <v>44927</v>
      </c>
      <c r="D13" s="12" t="s">
        <v>451</v>
      </c>
      <c r="E13" s="19"/>
      <c r="F13" s="19"/>
      <c r="G13" s="19"/>
      <c r="H13" s="56">
        <v>13975</v>
      </c>
      <c r="I13" s="21"/>
      <c r="J13" s="26" t="str">
        <f>IF(NOT(ISBLANK(Table_CheckAcct[[#This Row],[Date]])),TEXT(Table_CheckAcct[[#This Row],[Date]],"mmmm"),"")</f>
        <v>January</v>
      </c>
      <c r="K13" s="26">
        <f>YEAR(Table_CheckAcct[[#This Row],[Date]])</f>
        <v>2023</v>
      </c>
      <c r="L13" s="21" t="str">
        <f>IF(ISBLANK(Table_CheckAcct[[#This Row],[Description]]),"Opening/Closing",VLOOKUP(Table_CheckAcct[[#This Row],[Description]],Table7[],3,FALSE))</f>
        <v>Opening/Closing</v>
      </c>
      <c r="M13" s="91" t="str">
        <f>VLOOKUP(Table_CheckAcct[[#This Row],[Description Index]],Table3[],3,FALSE)</f>
        <v>Opening/Closing</v>
      </c>
      <c r="AC13" s="3"/>
    </row>
    <row r="14" spans="2:29" x14ac:dyDescent="0.5">
      <c r="C14" s="12">
        <v>44929</v>
      </c>
      <c r="D14" s="12" t="s">
        <v>18</v>
      </c>
      <c r="E14" s="19" t="s">
        <v>331</v>
      </c>
      <c r="F14" s="19">
        <v>205.51</v>
      </c>
      <c r="G14" s="19"/>
      <c r="H14" s="57"/>
      <c r="I14" s="21"/>
      <c r="J14" s="26" t="str">
        <f>IF(NOT(ISBLANK(Table_CheckAcct[[#This Row],[Date]])),TEXT(Table_CheckAcct[[#This Row],[Date]],"mmmm"),"")</f>
        <v>January</v>
      </c>
      <c r="K14" s="26">
        <f>YEAR(Table_CheckAcct[[#This Row],[Date]])</f>
        <v>2023</v>
      </c>
      <c r="L14" s="21" t="str">
        <f>IF(ISBLANK(Table_CheckAcct[[#This Row],[Description]]),"Opening/Closing",VLOOKUP(Table_CheckAcct[[#This Row],[Description]],Table7[],3,FALSE))</f>
        <v xml:space="preserve">Chase Mastercard </v>
      </c>
      <c r="M14" s="91" t="str">
        <f>VLOOKUP(Table_CheckAcct[[#This Row],[Description Index]],Table3[],3,FALSE)</f>
        <v>Miscellaneous</v>
      </c>
      <c r="AC14" s="3"/>
    </row>
    <row r="15" spans="2:29" x14ac:dyDescent="0.5">
      <c r="C15" s="12">
        <v>44930</v>
      </c>
      <c r="D15" s="12" t="s">
        <v>18</v>
      </c>
      <c r="E15" s="19" t="s">
        <v>332</v>
      </c>
      <c r="F15" s="19">
        <v>472</v>
      </c>
      <c r="G15" s="19"/>
      <c r="H15" s="57"/>
      <c r="I15" s="21"/>
      <c r="J15" s="26" t="str">
        <f>IF(NOT(ISBLANK(Table_CheckAcct[[#This Row],[Date]])),TEXT(Table_CheckAcct[[#This Row],[Date]],"mmmm"),"")</f>
        <v>January</v>
      </c>
      <c r="K15" s="26">
        <f>YEAR(Table_CheckAcct[[#This Row],[Date]])</f>
        <v>2023</v>
      </c>
      <c r="L15" s="21" t="str">
        <f>IF(ISBLANK(Table_CheckAcct[[#This Row],[Description]]),"Opening/Closing",VLOOKUP(Table_CheckAcct[[#This Row],[Description]],Table7[],3,FALSE))</f>
        <v>Wilkinmanagemweb Pmts</v>
      </c>
      <c r="M15" s="91" t="str">
        <f>VLOOKUP(Table_CheckAcct[[#This Row],[Description Index]],Table3[],3,FALSE)</f>
        <v>Wilkinmanagemweb Pmts</v>
      </c>
      <c r="AC15" s="3"/>
    </row>
    <row r="16" spans="2:29" x14ac:dyDescent="0.5">
      <c r="C16" s="12">
        <v>44935</v>
      </c>
      <c r="D16" s="12" t="s">
        <v>18</v>
      </c>
      <c r="E16" s="19" t="s">
        <v>333</v>
      </c>
      <c r="F16" s="19">
        <v>52.68</v>
      </c>
      <c r="G16" s="19"/>
      <c r="H16" s="58"/>
      <c r="I16" s="21"/>
      <c r="J16" s="26" t="str">
        <f>IF(NOT(ISBLANK(Table_CheckAcct[[#This Row],[Date]])),TEXT(Table_CheckAcct[[#This Row],[Date]],"mmmm"),"")</f>
        <v>January</v>
      </c>
      <c r="K16" s="26">
        <f>YEAR(Table_CheckAcct[[#This Row],[Date]])</f>
        <v>2023</v>
      </c>
      <c r="L16" s="21" t="str">
        <f>IF(ISBLANK(Table_CheckAcct[[#This Row],[Description]]),"Opening/Closing",VLOOKUP(Table_CheckAcct[[#This Row],[Description]],Table7[],3,FALSE))</f>
        <v xml:space="preserve">Orange &amp; Rockland </v>
      </c>
      <c r="M16" s="91" t="str">
        <f>VLOOKUP(Table_CheckAcct[[#This Row],[Description Index]],Table3[],3,FALSE)</f>
        <v xml:space="preserve">Orange &amp; Rockland </v>
      </c>
      <c r="AC16" s="3"/>
    </row>
    <row r="17" spans="3:29" x14ac:dyDescent="0.5">
      <c r="C17" s="12">
        <v>44935</v>
      </c>
      <c r="D17" s="12" t="s">
        <v>18</v>
      </c>
      <c r="E17" s="19" t="s">
        <v>334</v>
      </c>
      <c r="F17" s="19">
        <v>83.25</v>
      </c>
      <c r="G17" s="19"/>
      <c r="H17" s="57"/>
      <c r="I17" s="21"/>
      <c r="J17" s="26" t="str">
        <f>IF(NOT(ISBLANK(Table_CheckAcct[[#This Row],[Date]])),TEXT(Table_CheckAcct[[#This Row],[Date]],"mmmm"),"")</f>
        <v>January</v>
      </c>
      <c r="K17" s="26">
        <f>YEAR(Table_CheckAcct[[#This Row],[Date]])</f>
        <v>2023</v>
      </c>
      <c r="L17" s="21" t="str">
        <f>IF(ISBLANK(Table_CheckAcct[[#This Row],[Description]]),"Opening/Closing",VLOOKUP(Table_CheckAcct[[#This Row],[Description]],Table7[],3,FALSE))</f>
        <v xml:space="preserve">Lowes </v>
      </c>
      <c r="M17" s="91" t="str">
        <f>VLOOKUP(Table_CheckAcct[[#This Row],[Description Index]],Table3[],3,FALSE)</f>
        <v xml:space="preserve">Lowes </v>
      </c>
      <c r="AC17" s="3"/>
    </row>
    <row r="18" spans="3:29" x14ac:dyDescent="0.5">
      <c r="C18" s="12">
        <v>44935</v>
      </c>
      <c r="D18" s="12" t="s">
        <v>18</v>
      </c>
      <c r="E18" s="19" t="s">
        <v>335</v>
      </c>
      <c r="F18" s="19">
        <v>4729.88</v>
      </c>
      <c r="G18" s="19"/>
      <c r="H18" s="57"/>
      <c r="I18" s="21"/>
      <c r="J18" s="26" t="str">
        <f>IF(NOT(ISBLANK(Table_CheckAcct[[#This Row],[Date]])),TEXT(Table_CheckAcct[[#This Row],[Date]],"mmmm"),"")</f>
        <v>January</v>
      </c>
      <c r="K18" s="26">
        <f>YEAR(Table_CheckAcct[[#This Row],[Date]])</f>
        <v>2023</v>
      </c>
      <c r="L18" s="21" t="str">
        <f>IF(ISBLANK(Table_CheckAcct[[#This Row],[Description]]),"Opening/Closing",VLOOKUP(Table_CheckAcct[[#This Row],[Description]],Table7[],3,FALSE))</f>
        <v>Capital One Creditcard</v>
      </c>
      <c r="M18" s="91" t="str">
        <f>VLOOKUP(Table_CheckAcct[[#This Row],[Description Index]],Table3[],3,FALSE)</f>
        <v>Capital One Creditcard</v>
      </c>
      <c r="AC18" s="3"/>
    </row>
    <row r="19" spans="3:29" x14ac:dyDescent="0.5">
      <c r="C19" s="12">
        <v>44937</v>
      </c>
      <c r="D19" s="12" t="s">
        <v>18</v>
      </c>
      <c r="E19" s="19" t="s">
        <v>336</v>
      </c>
      <c r="F19" s="19">
        <v>45</v>
      </c>
      <c r="G19" s="19"/>
      <c r="H19" s="57"/>
      <c r="I19" s="21"/>
      <c r="J19" s="26" t="str">
        <f>IF(NOT(ISBLANK(Table_CheckAcct[[#This Row],[Date]])),TEXT(Table_CheckAcct[[#This Row],[Date]],"mmmm"),"")</f>
        <v>January</v>
      </c>
      <c r="K19" s="26">
        <f>YEAR(Table_CheckAcct[[#This Row],[Date]])</f>
        <v>2023</v>
      </c>
      <c r="L19" s="21" t="str">
        <f>IF(ISBLANK(Table_CheckAcct[[#This Row],[Description]]),"Opening/Closing",VLOOKUP(Table_CheckAcct[[#This Row],[Description]],Table7[],3,FALSE))</f>
        <v xml:space="preserve">American Express </v>
      </c>
      <c r="M19" s="91" t="str">
        <f>VLOOKUP(Table_CheckAcct[[#This Row],[Description Index]],Table3[],3,FALSE)</f>
        <v>Miscellaneous</v>
      </c>
      <c r="AC19" s="3"/>
    </row>
    <row r="20" spans="3:29" x14ac:dyDescent="0.5">
      <c r="C20" s="12">
        <v>44937</v>
      </c>
      <c r="D20" s="12" t="s">
        <v>18</v>
      </c>
      <c r="E20" s="19" t="s">
        <v>332</v>
      </c>
      <c r="F20" s="19">
        <v>45.84</v>
      </c>
      <c r="G20" s="19"/>
      <c r="H20" s="57"/>
      <c r="I20" s="21"/>
      <c r="J20" s="26" t="str">
        <f>IF(NOT(ISBLANK(Table_CheckAcct[[#This Row],[Date]])),TEXT(Table_CheckAcct[[#This Row],[Date]],"mmmm"),"")</f>
        <v>January</v>
      </c>
      <c r="K20" s="26">
        <f>YEAR(Table_CheckAcct[[#This Row],[Date]])</f>
        <v>2023</v>
      </c>
      <c r="L20" s="21" t="str">
        <f>IF(ISBLANK(Table_CheckAcct[[#This Row],[Description]]),"Opening/Closing",VLOOKUP(Table_CheckAcct[[#This Row],[Description]],Table7[],3,FALSE))</f>
        <v>Wilkinmanagemweb Pmts</v>
      </c>
      <c r="M20" s="91" t="str">
        <f>VLOOKUP(Table_CheckAcct[[#This Row],[Description Index]],Table3[],3,FALSE)</f>
        <v>Wilkinmanagemweb Pmts</v>
      </c>
      <c r="AC20" s="3"/>
    </row>
    <row r="21" spans="3:29" x14ac:dyDescent="0.5">
      <c r="C21" s="12">
        <v>44938</v>
      </c>
      <c r="D21" s="12" t="s">
        <v>18</v>
      </c>
      <c r="E21" s="19" t="s">
        <v>337</v>
      </c>
      <c r="F21" s="19">
        <v>880</v>
      </c>
      <c r="G21" s="19"/>
      <c r="H21" s="57"/>
      <c r="I21" s="21"/>
      <c r="J21" s="26" t="str">
        <f>IF(NOT(ISBLANK(Table_CheckAcct[[#This Row],[Date]])),TEXT(Table_CheckAcct[[#This Row],[Date]],"mmmm"),"")</f>
        <v>January</v>
      </c>
      <c r="K21" s="26">
        <f>YEAR(Table_CheckAcct[[#This Row],[Date]])</f>
        <v>2023</v>
      </c>
      <c r="L21" s="21" t="str">
        <f>IF(ISBLANK(Table_CheckAcct[[#This Row],[Description]]),"Opening/Closing",VLOOKUP(Table_CheckAcct[[#This Row],[Description]],Table7[],3,FALSE))</f>
        <v xml:space="preserve">US Small Business </v>
      </c>
      <c r="M21" s="91" t="str">
        <f>VLOOKUP(Table_CheckAcct[[#This Row],[Description Index]],Table3[],3,FALSE)</f>
        <v xml:space="preserve">US Small Business </v>
      </c>
      <c r="AC21" s="3"/>
    </row>
    <row r="22" spans="3:29" x14ac:dyDescent="0.5">
      <c r="C22" s="12">
        <v>44953</v>
      </c>
      <c r="D22" s="12" t="s">
        <v>18</v>
      </c>
      <c r="E22" s="19" t="s">
        <v>338</v>
      </c>
      <c r="F22" s="19">
        <v>89.99</v>
      </c>
      <c r="G22" s="19"/>
      <c r="H22" s="57"/>
      <c r="I22" s="21"/>
      <c r="J22" s="26" t="str">
        <f>IF(NOT(ISBLANK(Table_CheckAcct[[#This Row],[Date]])),TEXT(Table_CheckAcct[[#This Row],[Date]],"mmmm"),"")</f>
        <v>January</v>
      </c>
      <c r="K22" s="26">
        <f>YEAR(Table_CheckAcct[[#This Row],[Date]])</f>
        <v>2023</v>
      </c>
      <c r="L22" s="21" t="str">
        <f>IF(ISBLANK(Table_CheckAcct[[#This Row],[Description]]),"Opening/Closing",VLOOKUP(Table_CheckAcct[[#This Row],[Description]],Table7[],3,FALSE))</f>
        <v>Verizon Payment</v>
      </c>
      <c r="M22" s="91" t="str">
        <f>VLOOKUP(Table_CheckAcct[[#This Row],[Description Index]],Table3[],3,FALSE)</f>
        <v>Verizon Payment</v>
      </c>
      <c r="AC22" s="3"/>
    </row>
    <row r="23" spans="3:29" x14ac:dyDescent="0.5">
      <c r="C23" s="12">
        <v>44957</v>
      </c>
      <c r="D23" s="12" t="s">
        <v>448</v>
      </c>
      <c r="E23" s="19" t="s">
        <v>449</v>
      </c>
      <c r="F23" s="19">
        <v>3</v>
      </c>
      <c r="G23" s="19"/>
      <c r="H23" s="57"/>
      <c r="I23" s="21"/>
      <c r="J23" s="26" t="str">
        <f>IF(NOT(ISBLANK(Table_CheckAcct[[#This Row],[Date]])),TEXT(Table_CheckAcct[[#This Row],[Date]],"mmmm"),"")</f>
        <v>January</v>
      </c>
      <c r="K23" s="26">
        <f>YEAR(Table_CheckAcct[[#This Row],[Date]])</f>
        <v>2023</v>
      </c>
      <c r="L23" s="21" t="str">
        <f>IF(ISBLANK(Table_CheckAcct[[#This Row],[Description]]),"Opening/Closing",VLOOKUP(Table_CheckAcct[[#This Row],[Description]],Table7[],3,FALSE))</f>
        <v>Paper Statement Fee</v>
      </c>
      <c r="M23" s="91">
        <f>VLOOKUP(Table_CheckAcct[[#This Row],[Description Index]],Table3[],3,FALSE)</f>
        <v>0</v>
      </c>
      <c r="AC23" s="3"/>
    </row>
    <row r="24" spans="3:29" x14ac:dyDescent="0.5">
      <c r="C24" s="12">
        <v>44957</v>
      </c>
      <c r="D24" s="12" t="s">
        <v>448</v>
      </c>
      <c r="E24" s="19" t="s">
        <v>450</v>
      </c>
      <c r="F24" s="19"/>
      <c r="G24" s="19">
        <v>3</v>
      </c>
      <c r="H24" s="57"/>
      <c r="I24" s="21"/>
      <c r="J24" s="26" t="str">
        <f>IF(NOT(ISBLANK(Table_CheckAcct[[#This Row],[Date]])),TEXT(Table_CheckAcct[[#This Row],[Date]],"mmmm"),"")</f>
        <v>January</v>
      </c>
      <c r="K24" s="26">
        <f>YEAR(Table_CheckAcct[[#This Row],[Date]])</f>
        <v>2023</v>
      </c>
      <c r="L24" s="21" t="str">
        <f>IF(ISBLANK(Table_CheckAcct[[#This Row],[Description]]),"Opening/Closing",VLOOKUP(Table_CheckAcct[[#This Row],[Description]],Table7[],3,FALSE))</f>
        <v>Paper Statement Fee</v>
      </c>
      <c r="M24" s="91">
        <f>VLOOKUP(Table_CheckAcct[[#This Row],[Description Index]],Table3[],3,FALSE)</f>
        <v>0</v>
      </c>
      <c r="AC24" s="3"/>
    </row>
    <row r="25" spans="3:29" ht="18.600000000000001" thickBot="1" x14ac:dyDescent="0.55000000000000004">
      <c r="C25" s="36">
        <v>44957</v>
      </c>
      <c r="D25" s="36" t="s">
        <v>461</v>
      </c>
      <c r="E25" s="37"/>
      <c r="F25" s="38">
        <f>SUBTOTAL(109,F13:F24)</f>
        <v>6607.15</v>
      </c>
      <c r="G25" s="38">
        <f>SUBTOTAL(109,G13:G24)</f>
        <v>3</v>
      </c>
      <c r="H25" s="59">
        <v>7370.85</v>
      </c>
      <c r="I25" s="42">
        <f>H13-F25+G25-H25</f>
        <v>0</v>
      </c>
      <c r="J25" s="39" t="str">
        <f>IF(NOT(ISBLANK(Table_CheckAcct[[#This Row],[Date]])),TEXT(Table_CheckAcct[[#This Row],[Date]],"mmmm"),"")</f>
        <v>January</v>
      </c>
      <c r="K25" s="39">
        <f>YEAR(Table_CheckAcct[[#This Row],[Date]])</f>
        <v>2023</v>
      </c>
      <c r="L25" s="21" t="str">
        <f>IF(ISBLANK(Table_CheckAcct[[#This Row],[Description]]),"Opening/Closing",VLOOKUP(Table_CheckAcct[[#This Row],[Description]],Table7[],3,FALSE))</f>
        <v>Opening/Closing</v>
      </c>
      <c r="M25" s="91" t="str">
        <f>VLOOKUP(Table_CheckAcct[[#This Row],[Description Index]],Table3[],3,FALSE)</f>
        <v>Opening/Closing</v>
      </c>
      <c r="AC25" s="3"/>
    </row>
    <row r="26" spans="3:29" ht="18.600000000000001" thickTop="1" x14ac:dyDescent="0.5">
      <c r="C26" s="12">
        <v>44958</v>
      </c>
      <c r="D26" s="12" t="s">
        <v>451</v>
      </c>
      <c r="E26" s="19"/>
      <c r="F26" s="19"/>
      <c r="G26" s="19"/>
      <c r="H26" s="60">
        <f>H25</f>
        <v>7370.85</v>
      </c>
      <c r="I26" s="23"/>
      <c r="J26" s="26" t="str">
        <f>IF(NOT(ISBLANK(Table_CheckAcct[[#This Row],[Date]])),TEXT(Table_CheckAcct[[#This Row],[Date]],"mmmm"),"")</f>
        <v>February</v>
      </c>
      <c r="K26" s="26">
        <f>YEAR(Table_CheckAcct[[#This Row],[Date]])</f>
        <v>2023</v>
      </c>
      <c r="L26" s="21" t="str">
        <f>IF(ISBLANK(Table_CheckAcct[[#This Row],[Description]]),"Opening/Closing",VLOOKUP(Table_CheckAcct[[#This Row],[Description]],Table7[],3,FALSE))</f>
        <v>Opening/Closing</v>
      </c>
      <c r="M26" s="91" t="str">
        <f>VLOOKUP(Table_CheckAcct[[#This Row],[Description Index]],Table3[],3,FALSE)</f>
        <v>Opening/Closing</v>
      </c>
      <c r="AC26" s="3"/>
    </row>
    <row r="27" spans="3:29" x14ac:dyDescent="0.5">
      <c r="C27" s="12">
        <v>44959</v>
      </c>
      <c r="D27" s="12" t="s">
        <v>50</v>
      </c>
      <c r="E27" s="19" t="s">
        <v>343</v>
      </c>
      <c r="F27" s="19"/>
      <c r="G27" s="19">
        <v>2500</v>
      </c>
      <c r="H27" s="61"/>
      <c r="I27" s="21"/>
      <c r="J27" s="26" t="str">
        <f>IF(NOT(ISBLANK(Table_CheckAcct[[#This Row],[Date]])),TEXT(Table_CheckAcct[[#This Row],[Date]],"mmmm"),"")</f>
        <v>February</v>
      </c>
      <c r="K27" s="26">
        <f>YEAR(Table_CheckAcct[[#This Row],[Date]])</f>
        <v>2023</v>
      </c>
      <c r="L27" s="21" t="str">
        <f>IF(ISBLANK(Table_CheckAcct[[#This Row],[Description]]),"Opening/Closing",VLOOKUP(Table_CheckAcct[[#This Row],[Description]],Table7[],3,FALSE))</f>
        <v>Mobile Check Deposit</v>
      </c>
      <c r="M27" s="91" t="str">
        <f>VLOOKUP(Table_CheckAcct[[#This Row],[Description Index]],Table3[],3,FALSE)</f>
        <v>Mobile Check Deposit</v>
      </c>
      <c r="AC27" s="3"/>
    </row>
    <row r="28" spans="3:29" x14ac:dyDescent="0.5">
      <c r="C28" s="12">
        <v>44959</v>
      </c>
      <c r="D28" s="12" t="s">
        <v>50</v>
      </c>
      <c r="E28" s="91" t="s">
        <v>344</v>
      </c>
      <c r="F28" s="19"/>
      <c r="G28" s="19">
        <v>4000</v>
      </c>
      <c r="H28" s="62"/>
      <c r="I28" s="21"/>
      <c r="J28" s="26" t="str">
        <f>IF(NOT(ISBLANK(Table_CheckAcct[[#This Row],[Date]])),TEXT(Table_CheckAcct[[#This Row],[Date]],"mmmm"),"")</f>
        <v>February</v>
      </c>
      <c r="K28" s="26">
        <f>YEAR(Table_CheckAcct[[#This Row],[Date]])</f>
        <v>2023</v>
      </c>
      <c r="L28" s="21" t="str">
        <f>IF(ISBLANK(Table_CheckAcct[[#This Row],[Description]]),"Opening/Closing",VLOOKUP(Table_CheckAcct[[#This Row],[Description]],Table7[],3,FALSE))</f>
        <v>Internet Trf 0000000476720427 3290</v>
      </c>
      <c r="M28" s="91" t="str">
        <f>VLOOKUP(Table_CheckAcct[[#This Row],[Description Index]],Table3[],3,FALSE)</f>
        <v>Internet Trf 0000000476720427 3290</v>
      </c>
      <c r="AC28" s="3"/>
    </row>
    <row r="29" spans="3:29" x14ac:dyDescent="0.5">
      <c r="C29" s="12">
        <v>44960</v>
      </c>
      <c r="D29" s="12" t="s">
        <v>50</v>
      </c>
      <c r="E29" s="19" t="s">
        <v>344</v>
      </c>
      <c r="F29" s="19"/>
      <c r="G29" s="19">
        <v>5000</v>
      </c>
      <c r="H29" s="62"/>
      <c r="I29" s="21"/>
      <c r="J29" s="26" t="str">
        <f>IF(NOT(ISBLANK(Table_CheckAcct[[#This Row],[Date]])),TEXT(Table_CheckAcct[[#This Row],[Date]],"mmmm"),"")</f>
        <v>February</v>
      </c>
      <c r="K29" s="26">
        <f>YEAR(Table_CheckAcct[[#This Row],[Date]])</f>
        <v>2023</v>
      </c>
      <c r="L29" s="21" t="str">
        <f>IF(ISBLANK(Table_CheckAcct[[#This Row],[Description]]),"Opening/Closing",VLOOKUP(Table_CheckAcct[[#This Row],[Description]],Table7[],3,FALSE))</f>
        <v>Internet Trf 0000000476720427 3290</v>
      </c>
      <c r="M29" s="91" t="str">
        <f>VLOOKUP(Table_CheckAcct[[#This Row],[Description Index]],Table3[],3,FALSE)</f>
        <v>Internet Trf 0000000476720427 3290</v>
      </c>
      <c r="AC29" s="3"/>
    </row>
    <row r="30" spans="3:29" x14ac:dyDescent="0.5">
      <c r="C30" s="12">
        <v>44960</v>
      </c>
      <c r="D30" s="12" t="s">
        <v>18</v>
      </c>
      <c r="E30" s="19" t="s">
        <v>351</v>
      </c>
      <c r="F30" s="19">
        <v>66.28</v>
      </c>
      <c r="G30" s="19"/>
      <c r="H30" s="62"/>
      <c r="I30" s="21"/>
      <c r="J30" s="26" t="str">
        <f>IF(NOT(ISBLANK(Table_CheckAcct[[#This Row],[Date]])),TEXT(Table_CheckAcct[[#This Row],[Date]],"mmmm"),"")</f>
        <v>February</v>
      </c>
      <c r="K30" s="26">
        <f>YEAR(Table_CheckAcct[[#This Row],[Date]])</f>
        <v>2023</v>
      </c>
      <c r="L30" s="21" t="str">
        <f>IF(ISBLANK(Table_CheckAcct[[#This Row],[Description]]),"Opening/Closing",VLOOKUP(Table_CheckAcct[[#This Row],[Description]],Table7[],3,FALSE))</f>
        <v xml:space="preserve">Orange &amp; Rockland </v>
      </c>
      <c r="M30" s="91" t="str">
        <f>VLOOKUP(Table_CheckAcct[[#This Row],[Description Index]],Table3[],3,FALSE)</f>
        <v xml:space="preserve">Orange &amp; Rockland </v>
      </c>
      <c r="AC30" s="3"/>
    </row>
    <row r="31" spans="3:29" x14ac:dyDescent="0.5">
      <c r="C31" s="12">
        <v>44963</v>
      </c>
      <c r="D31" s="12" t="s">
        <v>18</v>
      </c>
      <c r="E31" s="19" t="s">
        <v>332</v>
      </c>
      <c r="F31" s="19">
        <v>472</v>
      </c>
      <c r="G31" s="19"/>
      <c r="H31" s="62"/>
      <c r="I31" s="21"/>
      <c r="J31" s="26" t="str">
        <f>IF(NOT(ISBLANK(Table_CheckAcct[[#This Row],[Date]])),TEXT(Table_CheckAcct[[#This Row],[Date]],"mmmm"),"")</f>
        <v>February</v>
      </c>
      <c r="K31" s="26">
        <f>YEAR(Table_CheckAcct[[#This Row],[Date]])</f>
        <v>2023</v>
      </c>
      <c r="L31" s="21" t="str">
        <f>IF(ISBLANK(Table_CheckAcct[[#This Row],[Description]]),"Opening/Closing",VLOOKUP(Table_CheckAcct[[#This Row],[Description]],Table7[],3,FALSE))</f>
        <v>Wilkinmanagemweb Pmts</v>
      </c>
      <c r="M31" s="91" t="str">
        <f>VLOOKUP(Table_CheckAcct[[#This Row],[Description Index]],Table3[],3,FALSE)</f>
        <v>Wilkinmanagemweb Pmts</v>
      </c>
      <c r="AC31" s="3"/>
    </row>
    <row r="32" spans="3:29" x14ac:dyDescent="0.5">
      <c r="C32" s="12">
        <v>44963</v>
      </c>
      <c r="D32" s="12" t="s">
        <v>18</v>
      </c>
      <c r="E32" s="19" t="s">
        <v>522</v>
      </c>
      <c r="F32" s="19">
        <v>6770.23</v>
      </c>
      <c r="G32" s="19"/>
      <c r="H32" s="61"/>
      <c r="I32" s="21"/>
      <c r="J32" s="26" t="str">
        <f>IF(NOT(ISBLANK(Table_CheckAcct[[#This Row],[Date]])),TEXT(Table_CheckAcct[[#This Row],[Date]],"mmmm"),"")</f>
        <v>February</v>
      </c>
      <c r="K32" s="26">
        <f>YEAR(Table_CheckAcct[[#This Row],[Date]])</f>
        <v>2023</v>
      </c>
      <c r="L32" s="21" t="str">
        <f>IF(ISBLANK(Table_CheckAcct[[#This Row],[Description]]),"Opening/Closing",VLOOKUP(Table_CheckAcct[[#This Row],[Description]],Table7[],3,FALSE))</f>
        <v>Check</v>
      </c>
      <c r="M32" s="91">
        <f>VLOOKUP(Table_CheckAcct[[#This Row],[Description Index]],Table3[],3,FALSE)</f>
        <v>0</v>
      </c>
    </row>
    <row r="33" spans="3:13" x14ac:dyDescent="0.5">
      <c r="C33" s="12">
        <v>44963</v>
      </c>
      <c r="D33" s="12" t="s">
        <v>18</v>
      </c>
      <c r="E33" s="19" t="s">
        <v>523</v>
      </c>
      <c r="F33" s="19">
        <v>2628.73</v>
      </c>
      <c r="G33" s="19"/>
      <c r="H33" s="57"/>
      <c r="I33" s="23"/>
      <c r="J33" s="26" t="str">
        <f>IF(NOT(ISBLANK(Table_CheckAcct[[#This Row],[Date]])),TEXT(Table_CheckAcct[[#This Row],[Date]],"mmmm"),"")</f>
        <v>February</v>
      </c>
      <c r="K33" s="26">
        <f>YEAR(Table_CheckAcct[[#This Row],[Date]])</f>
        <v>2023</v>
      </c>
      <c r="L33" s="21" t="str">
        <f>IF(ISBLANK(Table_CheckAcct[[#This Row],[Description]]),"Opening/Closing",VLOOKUP(Table_CheckAcct[[#This Row],[Description]],Table7[],3,FALSE))</f>
        <v>Check</v>
      </c>
      <c r="M33" s="91">
        <f>VLOOKUP(Table_CheckAcct[[#This Row],[Description Index]],Table3[],3,FALSE)</f>
        <v>0</v>
      </c>
    </row>
    <row r="34" spans="3:13" x14ac:dyDescent="0.5">
      <c r="C34" s="12">
        <v>44963</v>
      </c>
      <c r="D34" s="12" t="s">
        <v>18</v>
      </c>
      <c r="E34" s="19" t="s">
        <v>524</v>
      </c>
      <c r="F34" s="19">
        <v>5957.69</v>
      </c>
      <c r="G34" s="19"/>
      <c r="H34" s="57"/>
      <c r="I34" s="23"/>
      <c r="J34" s="26" t="str">
        <f>IF(NOT(ISBLANK(Table_CheckAcct[[#This Row],[Date]])),TEXT(Table_CheckAcct[[#This Row],[Date]],"mmmm"),"")</f>
        <v>February</v>
      </c>
      <c r="K34" s="26">
        <f>YEAR(Table_CheckAcct[[#This Row],[Date]])</f>
        <v>2023</v>
      </c>
      <c r="L34" s="21" t="str">
        <f>IF(ISBLANK(Table_CheckAcct[[#This Row],[Description]]),"Opening/Closing",VLOOKUP(Table_CheckAcct[[#This Row],[Description]],Table7[],3,FALSE))</f>
        <v>Check</v>
      </c>
      <c r="M34" s="91">
        <f>VLOOKUP(Table_CheckAcct[[#This Row],[Description Index]],Table3[],3,FALSE)</f>
        <v>0</v>
      </c>
    </row>
    <row r="35" spans="3:13" x14ac:dyDescent="0.5">
      <c r="C35" s="12">
        <v>44964</v>
      </c>
      <c r="D35" s="12" t="s">
        <v>50</v>
      </c>
      <c r="E35" s="19" t="s">
        <v>344</v>
      </c>
      <c r="F35" s="19"/>
      <c r="G35" s="19">
        <v>500</v>
      </c>
      <c r="H35" s="62"/>
      <c r="I35" s="21"/>
      <c r="J35" s="26" t="str">
        <f>IF(NOT(ISBLANK(Table_CheckAcct[[#This Row],[Date]])),TEXT(Table_CheckAcct[[#This Row],[Date]],"mmmm"),"")</f>
        <v>February</v>
      </c>
      <c r="K35" s="26">
        <f>YEAR(Table_CheckAcct[[#This Row],[Date]])</f>
        <v>2023</v>
      </c>
      <c r="L35" s="21" t="str">
        <f>IF(ISBLANK(Table_CheckAcct[[#This Row],[Description]]),"Opening/Closing",VLOOKUP(Table_CheckAcct[[#This Row],[Description]],Table7[],3,FALSE))</f>
        <v>Internet Trf 0000000476720427 3290</v>
      </c>
      <c r="M35" s="91" t="str">
        <f>VLOOKUP(Table_CheckAcct[[#This Row],[Description Index]],Table3[],3,FALSE)</f>
        <v>Internet Trf 0000000476720427 3290</v>
      </c>
    </row>
    <row r="36" spans="3:13" x14ac:dyDescent="0.5">
      <c r="C36" s="12">
        <v>44964</v>
      </c>
      <c r="D36" s="12" t="s">
        <v>50</v>
      </c>
      <c r="E36" s="19" t="s">
        <v>345</v>
      </c>
      <c r="F36" s="19"/>
      <c r="G36" s="19">
        <v>2800</v>
      </c>
      <c r="H36" s="62"/>
      <c r="I36" s="21"/>
      <c r="J36" s="26" t="str">
        <f>IF(NOT(ISBLANK(Table_CheckAcct[[#This Row],[Date]])),TEXT(Table_CheckAcct[[#This Row],[Date]],"mmmm"),"")</f>
        <v>February</v>
      </c>
      <c r="K36" s="26">
        <f>YEAR(Table_CheckAcct[[#This Row],[Date]])</f>
        <v>2023</v>
      </c>
      <c r="L36" s="21" t="str">
        <f>IF(ISBLANK(Table_CheckAcct[[#This Row],[Description]]),"Opening/Closing",VLOOKUP(Table_CheckAcct[[#This Row],[Description]],Table7[],3,FALSE))</f>
        <v>Deposit Branch 0447 New York</v>
      </c>
      <c r="M36" s="91" t="str">
        <f>VLOOKUP(Table_CheckAcct[[#This Row],[Description Index]],Table3[],3,FALSE)</f>
        <v>Deposit Branch 0447 New York</v>
      </c>
    </row>
    <row r="37" spans="3:13" x14ac:dyDescent="0.5">
      <c r="C37" s="12">
        <v>44964</v>
      </c>
      <c r="D37" s="12" t="s">
        <v>18</v>
      </c>
      <c r="E37" s="19" t="s">
        <v>335</v>
      </c>
      <c r="F37" s="19">
        <v>3117.44</v>
      </c>
      <c r="G37" s="19"/>
      <c r="H37" s="62"/>
      <c r="I37" s="21"/>
      <c r="J37" s="26" t="str">
        <f>IF(NOT(ISBLANK(Table_CheckAcct[[#This Row],[Date]])),TEXT(Table_CheckAcct[[#This Row],[Date]],"mmmm"),"")</f>
        <v>February</v>
      </c>
      <c r="K37" s="26">
        <f>YEAR(Table_CheckAcct[[#This Row],[Date]])</f>
        <v>2023</v>
      </c>
      <c r="L37" s="21" t="str">
        <f>IF(ISBLANK(Table_CheckAcct[[#This Row],[Description]]),"Opening/Closing",VLOOKUP(Table_CheckAcct[[#This Row],[Description]],Table7[],3,FALSE))</f>
        <v>Capital One Creditcard</v>
      </c>
      <c r="M37" s="91" t="str">
        <f>VLOOKUP(Table_CheckAcct[[#This Row],[Description Index]],Table3[],3,FALSE)</f>
        <v>Capital One Creditcard</v>
      </c>
    </row>
    <row r="38" spans="3:13" x14ac:dyDescent="0.5">
      <c r="C38" s="12">
        <v>44966</v>
      </c>
      <c r="D38" s="12" t="s">
        <v>50</v>
      </c>
      <c r="E38" s="19" t="s">
        <v>345</v>
      </c>
      <c r="F38" s="19"/>
      <c r="G38" s="19">
        <v>2500</v>
      </c>
      <c r="H38" s="62"/>
      <c r="I38" s="23"/>
      <c r="J38" s="26" t="str">
        <f>IF(NOT(ISBLANK(Table_CheckAcct[[#This Row],[Date]])),TEXT(Table_CheckAcct[[#This Row],[Date]],"mmmm"),"")</f>
        <v>February</v>
      </c>
      <c r="K38" s="26">
        <f>YEAR(Table_CheckAcct[[#This Row],[Date]])</f>
        <v>2023</v>
      </c>
      <c r="L38" s="21" t="str">
        <f>IF(ISBLANK(Table_CheckAcct[[#This Row],[Description]]),"Opening/Closing",VLOOKUP(Table_CheckAcct[[#This Row],[Description]],Table7[],3,FALSE))</f>
        <v>Deposit Branch 0447 New York</v>
      </c>
      <c r="M38" s="91" t="str">
        <f>VLOOKUP(Table_CheckAcct[[#This Row],[Description Index]],Table3[],3,FALSE)</f>
        <v>Deposit Branch 0447 New York</v>
      </c>
    </row>
    <row r="39" spans="3:13" x14ac:dyDescent="0.5">
      <c r="C39" s="12">
        <v>44970</v>
      </c>
      <c r="D39" s="12" t="s">
        <v>18</v>
      </c>
      <c r="E39" s="19" t="s">
        <v>353</v>
      </c>
      <c r="F39" s="19">
        <v>880</v>
      </c>
      <c r="G39" s="19"/>
      <c r="H39" s="62"/>
      <c r="I39" s="21"/>
      <c r="J39" s="26" t="str">
        <f>IF(NOT(ISBLANK(Table_CheckAcct[[#This Row],[Date]])),TEXT(Table_CheckAcct[[#This Row],[Date]],"mmmm"),"")</f>
        <v>February</v>
      </c>
      <c r="K39" s="26">
        <f>YEAR(Table_CheckAcct[[#This Row],[Date]])</f>
        <v>2023</v>
      </c>
      <c r="L39" s="21" t="str">
        <f>IF(ISBLANK(Table_CheckAcct[[#This Row],[Description]]),"Opening/Closing",VLOOKUP(Table_CheckAcct[[#This Row],[Description]],Table7[],3,FALSE))</f>
        <v xml:space="preserve">US Small Business </v>
      </c>
      <c r="M39" s="91" t="str">
        <f>VLOOKUP(Table_CheckAcct[[#This Row],[Description Index]],Table3[],3,FALSE)</f>
        <v xml:space="preserve">US Small Business </v>
      </c>
    </row>
    <row r="40" spans="3:13" x14ac:dyDescent="0.5">
      <c r="C40" s="12">
        <v>44971</v>
      </c>
      <c r="D40" s="12" t="s">
        <v>50</v>
      </c>
      <c r="E40" s="19" t="s">
        <v>343</v>
      </c>
      <c r="F40" s="19"/>
      <c r="G40" s="19">
        <v>1008.04</v>
      </c>
      <c r="H40" s="62"/>
      <c r="I40" s="21"/>
      <c r="J40" s="26" t="str">
        <f>IF(NOT(ISBLANK(Table_CheckAcct[[#This Row],[Date]])),TEXT(Table_CheckAcct[[#This Row],[Date]],"mmmm"),"")</f>
        <v>February</v>
      </c>
      <c r="K40" s="26">
        <f>YEAR(Table_CheckAcct[[#This Row],[Date]])</f>
        <v>2023</v>
      </c>
      <c r="L40" s="21" t="str">
        <f>IF(ISBLANK(Table_CheckAcct[[#This Row],[Description]]),"Opening/Closing",VLOOKUP(Table_CheckAcct[[#This Row],[Description]],Table7[],3,FALSE))</f>
        <v>Mobile Check Deposit</v>
      </c>
      <c r="M40" s="91" t="str">
        <f>VLOOKUP(Table_CheckAcct[[#This Row],[Description Index]],Table3[],3,FALSE)</f>
        <v>Mobile Check Deposit</v>
      </c>
    </row>
    <row r="41" spans="3:13" x14ac:dyDescent="0.5">
      <c r="C41" s="12">
        <v>44971</v>
      </c>
      <c r="D41" s="12" t="s">
        <v>18</v>
      </c>
      <c r="E41" s="19" t="s">
        <v>354</v>
      </c>
      <c r="F41" s="19">
        <v>219.03</v>
      </c>
      <c r="G41" s="19"/>
      <c r="H41" s="62"/>
      <c r="I41" s="21"/>
      <c r="J41" s="26" t="str">
        <f>IF(NOT(ISBLANK(Table_CheckAcct[[#This Row],[Date]])),TEXT(Table_CheckAcct[[#This Row],[Date]],"mmmm"),"")</f>
        <v>February</v>
      </c>
      <c r="K41" s="26">
        <f>YEAR(Table_CheckAcct[[#This Row],[Date]])</f>
        <v>2023</v>
      </c>
      <c r="L41" s="21" t="str">
        <f>IF(ISBLANK(Table_CheckAcct[[#This Row],[Description]]),"Opening/Closing",VLOOKUP(Table_CheckAcct[[#This Row],[Description]],Table7[],3,FALSE))</f>
        <v xml:space="preserve">Lowes </v>
      </c>
      <c r="M41" s="91" t="str">
        <f>VLOOKUP(Table_CheckAcct[[#This Row],[Description Index]],Table3[],3,FALSE)</f>
        <v xml:space="preserve">Lowes </v>
      </c>
    </row>
    <row r="42" spans="3:13" x14ac:dyDescent="0.5">
      <c r="C42" s="12">
        <v>44981</v>
      </c>
      <c r="D42" s="12" t="s">
        <v>18</v>
      </c>
      <c r="E42" s="19" t="s">
        <v>355</v>
      </c>
      <c r="F42" s="19">
        <v>312.14</v>
      </c>
      <c r="G42" s="19"/>
      <c r="H42" s="62"/>
      <c r="I42" s="21"/>
      <c r="J42" s="26" t="str">
        <f>IF(NOT(ISBLANK(Table_CheckAcct[[#This Row],[Date]])),TEXT(Table_CheckAcct[[#This Row],[Date]],"mmmm"),"")</f>
        <v>February</v>
      </c>
      <c r="K42" s="26">
        <f>YEAR(Table_CheckAcct[[#This Row],[Date]])</f>
        <v>2023</v>
      </c>
      <c r="L42" s="21" t="str">
        <f>IF(ISBLANK(Table_CheckAcct[[#This Row],[Description]]),"Opening/Closing",VLOOKUP(Table_CheckAcct[[#This Row],[Description]],Table7[],3,FALSE))</f>
        <v xml:space="preserve">Home Depot </v>
      </c>
      <c r="M42" s="91" t="str">
        <f>VLOOKUP(Table_CheckAcct[[#This Row],[Description Index]],Table3[],3,FALSE)</f>
        <v xml:space="preserve">Home Depot </v>
      </c>
    </row>
    <row r="43" spans="3:13" x14ac:dyDescent="0.5">
      <c r="C43" s="12">
        <v>44985</v>
      </c>
      <c r="D43" s="12" t="s">
        <v>18</v>
      </c>
      <c r="E43" s="19" t="s">
        <v>338</v>
      </c>
      <c r="F43" s="19">
        <v>89.99</v>
      </c>
      <c r="G43" s="19"/>
      <c r="H43" s="62"/>
      <c r="I43" s="21"/>
      <c r="J43" s="26" t="str">
        <f>IF(NOT(ISBLANK(Table_CheckAcct[[#This Row],[Date]])),TEXT(Table_CheckAcct[[#This Row],[Date]],"mmmm"),"")</f>
        <v>February</v>
      </c>
      <c r="K43" s="26">
        <f>YEAR(Table_CheckAcct[[#This Row],[Date]])</f>
        <v>2023</v>
      </c>
      <c r="L43" s="21" t="str">
        <f>IF(ISBLANK(Table_CheckAcct[[#This Row],[Description]]),"Opening/Closing",VLOOKUP(Table_CheckAcct[[#This Row],[Description]],Table7[],3,FALSE))</f>
        <v>Verizon Payment</v>
      </c>
      <c r="M43" s="91" t="str">
        <f>VLOOKUP(Table_CheckAcct[[#This Row],[Description Index]],Table3[],3,FALSE)</f>
        <v>Verizon Payment</v>
      </c>
    </row>
    <row r="44" spans="3:13" x14ac:dyDescent="0.5">
      <c r="C44" s="12">
        <v>44985</v>
      </c>
      <c r="D44" s="12" t="s">
        <v>448</v>
      </c>
      <c r="E44" s="19" t="s">
        <v>449</v>
      </c>
      <c r="F44" s="19">
        <v>3</v>
      </c>
      <c r="G44" s="19"/>
      <c r="H44" s="62"/>
      <c r="I44" s="21"/>
      <c r="J44" s="26" t="str">
        <f>IF(NOT(ISBLANK(Table_CheckAcct[[#This Row],[Date]])),TEXT(Table_CheckAcct[[#This Row],[Date]],"mmmm"),"")</f>
        <v>February</v>
      </c>
      <c r="K44" s="26">
        <f>YEAR(Table_CheckAcct[[#This Row],[Date]])</f>
        <v>2023</v>
      </c>
      <c r="L44" s="21" t="str">
        <f>IF(ISBLANK(Table_CheckAcct[[#This Row],[Description]]),"Opening/Closing",VLOOKUP(Table_CheckAcct[[#This Row],[Description]],Table7[],3,FALSE))</f>
        <v>Paper Statement Fee</v>
      </c>
      <c r="M44" s="91">
        <f>VLOOKUP(Table_CheckAcct[[#This Row],[Description Index]],Table3[],3,FALSE)</f>
        <v>0</v>
      </c>
    </row>
    <row r="45" spans="3:13" x14ac:dyDescent="0.5">
      <c r="C45" s="12">
        <v>44985</v>
      </c>
      <c r="D45" s="12" t="s">
        <v>448</v>
      </c>
      <c r="E45" s="19" t="s">
        <v>450</v>
      </c>
      <c r="F45" s="19"/>
      <c r="G45" s="19">
        <v>3</v>
      </c>
      <c r="H45" s="62"/>
      <c r="I45" s="21"/>
      <c r="J45" s="26" t="str">
        <f>IF(NOT(ISBLANK(Table_CheckAcct[[#This Row],[Date]])),TEXT(Table_CheckAcct[[#This Row],[Date]],"mmmm"),"")</f>
        <v>February</v>
      </c>
      <c r="K45" s="26">
        <f>YEAR(Table_CheckAcct[[#This Row],[Date]])</f>
        <v>2023</v>
      </c>
      <c r="L45" s="21" t="str">
        <f>IF(ISBLANK(Table_CheckAcct[[#This Row],[Description]]),"Opening/Closing",VLOOKUP(Table_CheckAcct[[#This Row],[Description]],Table7[],3,FALSE))</f>
        <v>Paper Statement Fee</v>
      </c>
      <c r="M45" s="91">
        <f>VLOOKUP(Table_CheckAcct[[#This Row],[Description Index]],Table3[],3,FALSE)</f>
        <v>0</v>
      </c>
    </row>
    <row r="46" spans="3:13" ht="18.600000000000001" thickBot="1" x14ac:dyDescent="0.55000000000000004">
      <c r="C46" s="36">
        <v>44985</v>
      </c>
      <c r="D46" s="36" t="s">
        <v>461</v>
      </c>
      <c r="E46" s="37"/>
      <c r="F46" s="38">
        <f>SUM(F27:F45)</f>
        <v>20516.53</v>
      </c>
      <c r="G46" s="38">
        <f>SUM(G27:G45)</f>
        <v>18311.04</v>
      </c>
      <c r="H46" s="59">
        <v>5165.3599999999997</v>
      </c>
      <c r="I46" s="42">
        <f>H26-F46+G46-H46</f>
        <v>0</v>
      </c>
      <c r="J46" s="39" t="str">
        <f>IF(NOT(ISBLANK(Table_CheckAcct[[#This Row],[Date]])),TEXT(Table_CheckAcct[[#This Row],[Date]],"mmmm"),"")</f>
        <v>February</v>
      </c>
      <c r="K46" s="39">
        <f>YEAR(Table_CheckAcct[[#This Row],[Date]])</f>
        <v>2023</v>
      </c>
      <c r="L46" s="21" t="str">
        <f>IF(ISBLANK(Table_CheckAcct[[#This Row],[Description]]),"Opening/Closing",VLOOKUP(Table_CheckAcct[[#This Row],[Description]],Table7[],3,FALSE))</f>
        <v>Opening/Closing</v>
      </c>
      <c r="M46" s="91" t="str">
        <f>VLOOKUP(Table_CheckAcct[[#This Row],[Description Index]],Table3[],3,FALSE)</f>
        <v>Opening/Closing</v>
      </c>
    </row>
    <row r="47" spans="3:13" ht="18.600000000000001" thickTop="1" x14ac:dyDescent="0.5">
      <c r="C47" s="12">
        <v>44986</v>
      </c>
      <c r="D47" s="12" t="s">
        <v>451</v>
      </c>
      <c r="E47" s="19"/>
      <c r="F47" s="19"/>
      <c r="G47" s="19"/>
      <c r="H47" s="60">
        <f>H46</f>
        <v>5165.3599999999997</v>
      </c>
      <c r="I47" s="23"/>
      <c r="J47" s="26" t="str">
        <f>IF(NOT(ISBLANK(Table_CheckAcct[[#This Row],[Date]])),TEXT(Table_CheckAcct[[#This Row],[Date]],"mmmm"),"")</f>
        <v>March</v>
      </c>
      <c r="K47" s="26">
        <f>YEAR(Table_CheckAcct[[#This Row],[Date]])</f>
        <v>2023</v>
      </c>
      <c r="L47" s="21" t="str">
        <f>IF(ISBLANK(Table_CheckAcct[[#This Row],[Description]]),"Opening/Closing",VLOOKUP(Table_CheckAcct[[#This Row],[Description]],Table7[],3,FALSE))</f>
        <v>Opening/Closing</v>
      </c>
      <c r="M47" s="91" t="str">
        <f>VLOOKUP(Table_CheckAcct[[#This Row],[Description Index]],Table3[],3,FALSE)</f>
        <v>Opening/Closing</v>
      </c>
    </row>
    <row r="48" spans="3:13" x14ac:dyDescent="0.5">
      <c r="C48" s="12">
        <v>44991</v>
      </c>
      <c r="D48" s="12" t="s">
        <v>18</v>
      </c>
      <c r="E48" s="19" t="s">
        <v>462</v>
      </c>
      <c r="F48" s="19">
        <v>500</v>
      </c>
      <c r="G48" s="19"/>
      <c r="H48" s="57"/>
      <c r="I48" s="21"/>
      <c r="J48" s="26" t="str">
        <f>IF(NOT(ISBLANK(Table_CheckAcct[[#This Row],[Date]])),TEXT(Table_CheckAcct[[#This Row],[Date]],"mmmm"),"")</f>
        <v>March</v>
      </c>
      <c r="K48" s="26">
        <f>YEAR(Table_CheckAcct[[#This Row],[Date]])</f>
        <v>2023</v>
      </c>
      <c r="L48" s="21" t="str">
        <f>IF(ISBLANK(Table_CheckAcct[[#This Row],[Description]]),"Opening/Closing",VLOOKUP(Table_CheckAcct[[#This Row],[Description]],Table7[],3,FALSE))</f>
        <v>Check</v>
      </c>
      <c r="M48" s="91">
        <f>VLOOKUP(Table_CheckAcct[[#This Row],[Description Index]],Table3[],3,FALSE)</f>
        <v>0</v>
      </c>
    </row>
    <row r="49" spans="3:13" x14ac:dyDescent="0.5">
      <c r="C49" s="12">
        <v>44991</v>
      </c>
      <c r="D49" s="12" t="s">
        <v>18</v>
      </c>
      <c r="E49" s="19" t="s">
        <v>332</v>
      </c>
      <c r="F49" s="19">
        <v>472</v>
      </c>
      <c r="G49" s="19"/>
      <c r="H49" s="57"/>
      <c r="I49" s="21"/>
      <c r="J49" s="26" t="str">
        <f>IF(NOT(ISBLANK(Table_CheckAcct[[#This Row],[Date]])),TEXT(Table_CheckAcct[[#This Row],[Date]],"mmmm"),"")</f>
        <v>March</v>
      </c>
      <c r="K49" s="26">
        <f>YEAR(Table_CheckAcct[[#This Row],[Date]])</f>
        <v>2023</v>
      </c>
      <c r="L49" s="21" t="str">
        <f>IF(ISBLANK(Table_CheckAcct[[#This Row],[Description]]),"Opening/Closing",VLOOKUP(Table_CheckAcct[[#This Row],[Description]],Table7[],3,FALSE))</f>
        <v>Wilkinmanagemweb Pmts</v>
      </c>
      <c r="M49" s="91" t="str">
        <f>VLOOKUP(Table_CheckAcct[[#This Row],[Description Index]],Table3[],3,FALSE)</f>
        <v>Wilkinmanagemweb Pmts</v>
      </c>
    </row>
    <row r="50" spans="3:13" x14ac:dyDescent="0.5">
      <c r="C50" s="12">
        <v>44992</v>
      </c>
      <c r="D50" s="12" t="s">
        <v>18</v>
      </c>
      <c r="E50" s="19" t="s">
        <v>335</v>
      </c>
      <c r="F50" s="19">
        <v>1525.54</v>
      </c>
      <c r="G50" s="19"/>
      <c r="H50" s="57"/>
      <c r="I50" s="21"/>
      <c r="J50" s="26" t="str">
        <f>IF(NOT(ISBLANK(Table_CheckAcct[[#This Row],[Date]])),TEXT(Table_CheckAcct[[#This Row],[Date]],"mmmm"),"")</f>
        <v>March</v>
      </c>
      <c r="K50" s="26">
        <f>YEAR(Table_CheckAcct[[#This Row],[Date]])</f>
        <v>2023</v>
      </c>
      <c r="L50" s="21" t="str">
        <f>IF(ISBLANK(Table_CheckAcct[[#This Row],[Description]]),"Opening/Closing",VLOOKUP(Table_CheckAcct[[#This Row],[Description]],Table7[],3,FALSE))</f>
        <v>Capital One Creditcard</v>
      </c>
      <c r="M50" s="91" t="str">
        <f>VLOOKUP(Table_CheckAcct[[#This Row],[Description Index]],Table3[],3,FALSE)</f>
        <v>Capital One Creditcard</v>
      </c>
    </row>
    <row r="51" spans="3:13" x14ac:dyDescent="0.5">
      <c r="C51" s="12">
        <v>44995</v>
      </c>
      <c r="D51" s="12" t="s">
        <v>18</v>
      </c>
      <c r="E51" s="19" t="s">
        <v>359</v>
      </c>
      <c r="F51" s="19">
        <v>50</v>
      </c>
      <c r="G51" s="19"/>
      <c r="H51" s="57"/>
      <c r="I51" s="21"/>
      <c r="J51" s="26" t="str">
        <f>IF(NOT(ISBLANK(Table_CheckAcct[[#This Row],[Date]])),TEXT(Table_CheckAcct[[#This Row],[Date]],"mmmm"),"")</f>
        <v>March</v>
      </c>
      <c r="K51" s="26">
        <f>YEAR(Table_CheckAcct[[#This Row],[Date]])</f>
        <v>2023</v>
      </c>
      <c r="L51" s="21" t="str">
        <f>IF(ISBLANK(Table_CheckAcct[[#This Row],[Description]]),"Opening/Closing",VLOOKUP(Table_CheckAcct[[#This Row],[Description]],Table7[],3,FALSE))</f>
        <v>Nys Dtf CT Tax Paymnt</v>
      </c>
      <c r="M51" s="91" t="str">
        <f>VLOOKUP(Table_CheckAcct[[#This Row],[Description Index]],Table3[],3,FALSE)</f>
        <v>Miscellaneous</v>
      </c>
    </row>
    <row r="52" spans="3:13" x14ac:dyDescent="0.5">
      <c r="C52" s="12">
        <v>44998</v>
      </c>
      <c r="D52" s="12" t="s">
        <v>18</v>
      </c>
      <c r="E52" s="19" t="s">
        <v>360</v>
      </c>
      <c r="F52" s="19">
        <v>880</v>
      </c>
      <c r="G52" s="19"/>
      <c r="H52" s="57"/>
      <c r="I52" s="21"/>
      <c r="J52" s="26" t="str">
        <f>IF(NOT(ISBLANK(Table_CheckAcct[[#This Row],[Date]])),TEXT(Table_CheckAcct[[#This Row],[Date]],"mmmm"),"")</f>
        <v>March</v>
      </c>
      <c r="K52" s="26">
        <f>YEAR(Table_CheckAcct[[#This Row],[Date]])</f>
        <v>2023</v>
      </c>
      <c r="L52" s="21" t="str">
        <f>IF(ISBLANK(Table_CheckAcct[[#This Row],[Description]]),"Opening/Closing",VLOOKUP(Table_CheckAcct[[#This Row],[Description]],Table7[],3,FALSE))</f>
        <v xml:space="preserve">US Small Business </v>
      </c>
      <c r="M52" s="91" t="str">
        <f>VLOOKUP(Table_CheckAcct[[#This Row],[Description Index]],Table3[],3,FALSE)</f>
        <v xml:space="preserve">US Small Business </v>
      </c>
    </row>
    <row r="53" spans="3:13" x14ac:dyDescent="0.5">
      <c r="C53" s="12">
        <v>44999</v>
      </c>
      <c r="D53" s="12" t="s">
        <v>50</v>
      </c>
      <c r="E53" s="19" t="s">
        <v>344</v>
      </c>
      <c r="F53" s="19"/>
      <c r="G53" s="19">
        <v>5000</v>
      </c>
      <c r="H53" s="57"/>
      <c r="I53" s="21"/>
      <c r="J53" s="26" t="str">
        <f>IF(NOT(ISBLANK(Table_CheckAcct[[#This Row],[Date]])),TEXT(Table_CheckAcct[[#This Row],[Date]],"mmmm"),"")</f>
        <v>March</v>
      </c>
      <c r="K53" s="26">
        <f>YEAR(Table_CheckAcct[[#This Row],[Date]])</f>
        <v>2023</v>
      </c>
      <c r="L53" s="21" t="str">
        <f>IF(ISBLANK(Table_CheckAcct[[#This Row],[Description]]),"Opening/Closing",VLOOKUP(Table_CheckAcct[[#This Row],[Description]],Table7[],3,FALSE))</f>
        <v>Internet Trf 0000000476720427 3290</v>
      </c>
      <c r="M53" s="91" t="str">
        <f>VLOOKUP(Table_CheckAcct[[#This Row],[Description Index]],Table3[],3,FALSE)</f>
        <v>Internet Trf 0000000476720427 3290</v>
      </c>
    </row>
    <row r="54" spans="3:13" x14ac:dyDescent="0.5">
      <c r="C54" s="12">
        <v>44999</v>
      </c>
      <c r="D54" s="12" t="s">
        <v>18</v>
      </c>
      <c r="E54" s="19" t="s">
        <v>361</v>
      </c>
      <c r="F54" s="19">
        <v>68.290000000000006</v>
      </c>
      <c r="G54" s="19"/>
      <c r="H54" s="57"/>
      <c r="I54" s="21"/>
      <c r="J54" s="26" t="str">
        <f>IF(NOT(ISBLANK(Table_CheckAcct[[#This Row],[Date]])),TEXT(Table_CheckAcct[[#This Row],[Date]],"mmmm"),"")</f>
        <v>March</v>
      </c>
      <c r="K54" s="26">
        <f>YEAR(Table_CheckAcct[[#This Row],[Date]])</f>
        <v>2023</v>
      </c>
      <c r="L54" s="21" t="str">
        <f>IF(ISBLANK(Table_CheckAcct[[#This Row],[Description]]),"Opening/Closing",VLOOKUP(Table_CheckAcct[[#This Row],[Description]],Table7[],3,FALSE))</f>
        <v xml:space="preserve">Orange &amp; Rockland </v>
      </c>
      <c r="M54" s="91" t="str">
        <f>VLOOKUP(Table_CheckAcct[[#This Row],[Description Index]],Table3[],3,FALSE)</f>
        <v xml:space="preserve">Orange &amp; Rockland </v>
      </c>
    </row>
    <row r="55" spans="3:13" x14ac:dyDescent="0.5">
      <c r="C55" s="12">
        <v>45005</v>
      </c>
      <c r="D55" s="12" t="s">
        <v>50</v>
      </c>
      <c r="E55" s="19" t="s">
        <v>343</v>
      </c>
      <c r="F55" s="19"/>
      <c r="G55" s="19">
        <v>6500</v>
      </c>
      <c r="H55" s="57"/>
      <c r="I55" s="21"/>
      <c r="J55" s="26" t="str">
        <f>IF(NOT(ISBLANK(Table_CheckAcct[[#This Row],[Date]])),TEXT(Table_CheckAcct[[#This Row],[Date]],"mmmm"),"")</f>
        <v>March</v>
      </c>
      <c r="K55" s="26">
        <f>YEAR(Table_CheckAcct[[#This Row],[Date]])</f>
        <v>2023</v>
      </c>
      <c r="L55" s="21" t="str">
        <f>IF(ISBLANK(Table_CheckAcct[[#This Row],[Description]]),"Opening/Closing",VLOOKUP(Table_CheckAcct[[#This Row],[Description]],Table7[],3,FALSE))</f>
        <v>Mobile Check Deposit</v>
      </c>
      <c r="M55" s="91" t="str">
        <f>VLOOKUP(Table_CheckAcct[[#This Row],[Description Index]],Table3[],3,FALSE)</f>
        <v>Mobile Check Deposit</v>
      </c>
    </row>
    <row r="56" spans="3:13" x14ac:dyDescent="0.5">
      <c r="C56" s="12">
        <v>45006</v>
      </c>
      <c r="D56" s="12" t="s">
        <v>18</v>
      </c>
      <c r="E56" s="19" t="s">
        <v>362</v>
      </c>
      <c r="F56" s="19">
        <v>147.13999999999999</v>
      </c>
      <c r="G56" s="19"/>
      <c r="H56" s="57"/>
      <c r="I56" s="21"/>
      <c r="J56" s="26" t="str">
        <f>IF(NOT(ISBLANK(Table_CheckAcct[[#This Row],[Date]])),TEXT(Table_CheckAcct[[#This Row],[Date]],"mmmm"),"")</f>
        <v>March</v>
      </c>
      <c r="K56" s="26">
        <f>YEAR(Table_CheckAcct[[#This Row],[Date]])</f>
        <v>2023</v>
      </c>
      <c r="L56" s="21" t="str">
        <f>IF(ISBLANK(Table_CheckAcct[[#This Row],[Description]]),"Opening/Closing",VLOOKUP(Table_CheckAcct[[#This Row],[Description]],Table7[],3,FALSE))</f>
        <v xml:space="preserve">Home Depot </v>
      </c>
      <c r="M56" s="91" t="str">
        <f>VLOOKUP(Table_CheckAcct[[#This Row],[Description Index]],Table3[],3,FALSE)</f>
        <v xml:space="preserve">Home Depot </v>
      </c>
    </row>
    <row r="57" spans="3:13" x14ac:dyDescent="0.5">
      <c r="C57" s="12">
        <v>45008</v>
      </c>
      <c r="D57" s="12" t="s">
        <v>18</v>
      </c>
      <c r="E57" s="19" t="s">
        <v>332</v>
      </c>
      <c r="F57" s="19">
        <v>45.84</v>
      </c>
      <c r="G57" s="19"/>
      <c r="H57" s="57"/>
      <c r="I57" s="21"/>
      <c r="J57" s="26" t="str">
        <f>IF(NOT(ISBLANK(Table_CheckAcct[[#This Row],[Date]])),TEXT(Table_CheckAcct[[#This Row],[Date]],"mmmm"),"")</f>
        <v>March</v>
      </c>
      <c r="K57" s="26">
        <f>YEAR(Table_CheckAcct[[#This Row],[Date]])</f>
        <v>2023</v>
      </c>
      <c r="L57" s="21" t="str">
        <f>IF(ISBLANK(Table_CheckAcct[[#This Row],[Description]]),"Opening/Closing",VLOOKUP(Table_CheckAcct[[#This Row],[Description]],Table7[],3,FALSE))</f>
        <v>Wilkinmanagemweb Pmts</v>
      </c>
      <c r="M57" s="91" t="str">
        <f>VLOOKUP(Table_CheckAcct[[#This Row],[Description Index]],Table3[],3,FALSE)</f>
        <v>Wilkinmanagemweb Pmts</v>
      </c>
    </row>
    <row r="58" spans="3:13" x14ac:dyDescent="0.5">
      <c r="C58" s="12">
        <v>45013</v>
      </c>
      <c r="D58" s="12" t="s">
        <v>50</v>
      </c>
      <c r="E58" s="19" t="s">
        <v>343</v>
      </c>
      <c r="F58" s="19"/>
      <c r="G58" s="19">
        <v>1151.96</v>
      </c>
      <c r="H58" s="57"/>
      <c r="I58" s="21"/>
      <c r="J58" s="26" t="str">
        <f>IF(NOT(ISBLANK(Table_CheckAcct[[#This Row],[Date]])),TEXT(Table_CheckAcct[[#This Row],[Date]],"mmmm"),"")</f>
        <v>March</v>
      </c>
      <c r="K58" s="26">
        <f>YEAR(Table_CheckAcct[[#This Row],[Date]])</f>
        <v>2023</v>
      </c>
      <c r="L58" s="21" t="str">
        <f>IF(ISBLANK(Table_CheckAcct[[#This Row],[Description]]),"Opening/Closing",VLOOKUP(Table_CheckAcct[[#This Row],[Description]],Table7[],3,FALSE))</f>
        <v>Mobile Check Deposit</v>
      </c>
      <c r="M58" s="91" t="str">
        <f>VLOOKUP(Table_CheckAcct[[#This Row],[Description Index]],Table3[],3,FALSE)</f>
        <v>Mobile Check Deposit</v>
      </c>
    </row>
    <row r="59" spans="3:13" x14ac:dyDescent="0.5">
      <c r="C59" s="12">
        <v>45013</v>
      </c>
      <c r="D59" s="12" t="s">
        <v>18</v>
      </c>
      <c r="E59" s="19" t="s">
        <v>338</v>
      </c>
      <c r="F59" s="19">
        <v>89.99</v>
      </c>
      <c r="G59" s="19"/>
      <c r="H59" s="57"/>
      <c r="I59" s="21"/>
      <c r="J59" s="26" t="str">
        <f>IF(NOT(ISBLANK(Table_CheckAcct[[#This Row],[Date]])),TEXT(Table_CheckAcct[[#This Row],[Date]],"mmmm"),"")</f>
        <v>March</v>
      </c>
      <c r="K59" s="26">
        <f>YEAR(Table_CheckAcct[[#This Row],[Date]])</f>
        <v>2023</v>
      </c>
      <c r="L59" s="21" t="str">
        <f>IF(ISBLANK(Table_CheckAcct[[#This Row],[Description]]),"Opening/Closing",VLOOKUP(Table_CheckAcct[[#This Row],[Description]],Table7[],3,FALSE))</f>
        <v>Verizon Payment</v>
      </c>
      <c r="M59" s="91" t="str">
        <f>VLOOKUP(Table_CheckAcct[[#This Row],[Description Index]],Table3[],3,FALSE)</f>
        <v>Verizon Payment</v>
      </c>
    </row>
    <row r="60" spans="3:13" x14ac:dyDescent="0.5">
      <c r="C60" s="12">
        <v>45015</v>
      </c>
      <c r="D60" s="12" t="s">
        <v>50</v>
      </c>
      <c r="E60" s="19" t="s">
        <v>357</v>
      </c>
      <c r="F60" s="19"/>
      <c r="G60" s="19">
        <v>360</v>
      </c>
      <c r="H60" s="57"/>
      <c r="I60" s="21"/>
      <c r="J60" s="26" t="str">
        <f>IF(NOT(ISBLANK(Table_CheckAcct[[#This Row],[Date]])),TEXT(Table_CheckAcct[[#This Row],[Date]],"mmmm"),"")</f>
        <v>March</v>
      </c>
      <c r="K60" s="26">
        <f>YEAR(Table_CheckAcct[[#This Row],[Date]])</f>
        <v>2023</v>
      </c>
      <c r="L60" s="21" t="str">
        <f>IF(ISBLANK(Table_CheckAcct[[#This Row],[Description]]),"Opening/Closing",VLOOKUP(Table_CheckAcct[[#This Row],[Description]],Table7[],3,FALSE))</f>
        <v>Adjustments</v>
      </c>
      <c r="M60" s="91" t="str">
        <f>VLOOKUP(Table_CheckAcct[[#This Row],[Description Index]],Table3[],3,FALSE)</f>
        <v>Adjustments</v>
      </c>
    </row>
    <row r="61" spans="3:13" x14ac:dyDescent="0.5">
      <c r="C61" s="12">
        <v>45015</v>
      </c>
      <c r="D61" s="12" t="s">
        <v>50</v>
      </c>
      <c r="E61" s="19" t="s">
        <v>345</v>
      </c>
      <c r="F61" s="19"/>
      <c r="G61" s="19">
        <v>11829.6</v>
      </c>
      <c r="H61" s="57"/>
      <c r="I61" s="21"/>
      <c r="J61" s="26" t="str">
        <f>IF(NOT(ISBLANK(Table_CheckAcct[[#This Row],[Date]])),TEXT(Table_CheckAcct[[#This Row],[Date]],"mmmm"),"")</f>
        <v>March</v>
      </c>
      <c r="K61" s="26">
        <f>YEAR(Table_CheckAcct[[#This Row],[Date]])</f>
        <v>2023</v>
      </c>
      <c r="L61" s="21" t="str">
        <f>IF(ISBLANK(Table_CheckAcct[[#This Row],[Description]]),"Opening/Closing",VLOOKUP(Table_CheckAcct[[#This Row],[Description]],Table7[],3,FALSE))</f>
        <v>Deposit Branch 0447 New York</v>
      </c>
      <c r="M61" s="91" t="str">
        <f>VLOOKUP(Table_CheckAcct[[#This Row],[Description Index]],Table3[],3,FALSE)</f>
        <v>Deposit Branch 0447 New York</v>
      </c>
    </row>
    <row r="62" spans="3:13" x14ac:dyDescent="0.5">
      <c r="C62" s="12">
        <v>45016</v>
      </c>
      <c r="D62" s="12" t="s">
        <v>448</v>
      </c>
      <c r="E62" s="19" t="s">
        <v>449</v>
      </c>
      <c r="F62" s="19">
        <v>3</v>
      </c>
      <c r="G62" s="19"/>
      <c r="H62" s="57"/>
      <c r="I62" s="21"/>
      <c r="J62" s="26" t="str">
        <f>IF(NOT(ISBLANK(Table_CheckAcct[[#This Row],[Date]])),TEXT(Table_CheckAcct[[#This Row],[Date]],"mmmm"),"")</f>
        <v>March</v>
      </c>
      <c r="K62" s="26">
        <f>YEAR(Table_CheckAcct[[#This Row],[Date]])</f>
        <v>2023</v>
      </c>
      <c r="L62" s="21" t="str">
        <f>IF(ISBLANK(Table_CheckAcct[[#This Row],[Description]]),"Opening/Closing",VLOOKUP(Table_CheckAcct[[#This Row],[Description]],Table7[],3,FALSE))</f>
        <v>Paper Statement Fee</v>
      </c>
      <c r="M62" s="91">
        <f>VLOOKUP(Table_CheckAcct[[#This Row],[Description Index]],Table3[],3,FALSE)</f>
        <v>0</v>
      </c>
    </row>
    <row r="63" spans="3:13" x14ac:dyDescent="0.5">
      <c r="C63" s="12">
        <v>45016</v>
      </c>
      <c r="D63" s="12" t="s">
        <v>448</v>
      </c>
      <c r="E63" s="19" t="s">
        <v>450</v>
      </c>
      <c r="F63" s="19"/>
      <c r="G63" s="19">
        <v>3</v>
      </c>
      <c r="H63" s="57"/>
      <c r="I63" s="21"/>
      <c r="J63" s="26" t="str">
        <f>IF(NOT(ISBLANK(Table_CheckAcct[[#This Row],[Date]])),TEXT(Table_CheckAcct[[#This Row],[Date]],"mmmm"),"")</f>
        <v>March</v>
      </c>
      <c r="K63" s="26">
        <f>YEAR(Table_CheckAcct[[#This Row],[Date]])</f>
        <v>2023</v>
      </c>
      <c r="L63" s="21" t="str">
        <f>IF(ISBLANK(Table_CheckAcct[[#This Row],[Description]]),"Opening/Closing",VLOOKUP(Table_CheckAcct[[#This Row],[Description]],Table7[],3,FALSE))</f>
        <v>Paper Statement Fee</v>
      </c>
      <c r="M63" s="91">
        <f>VLOOKUP(Table_CheckAcct[[#This Row],[Description Index]],Table3[],3,FALSE)</f>
        <v>0</v>
      </c>
    </row>
    <row r="64" spans="3:13" ht="18.600000000000001" thickBot="1" x14ac:dyDescent="0.55000000000000004">
      <c r="C64" s="36">
        <v>45016</v>
      </c>
      <c r="D64" s="36" t="s">
        <v>461</v>
      </c>
      <c r="E64" s="37"/>
      <c r="F64" s="38">
        <f>SUM(F48:F63)</f>
        <v>3781.7999999999997</v>
      </c>
      <c r="G64" s="38">
        <f>SUM(G48:G63)</f>
        <v>24844.559999999998</v>
      </c>
      <c r="H64" s="59">
        <v>26228.12</v>
      </c>
      <c r="I64" s="42">
        <f>H47-F64+G64-H64</f>
        <v>0</v>
      </c>
      <c r="J64" s="39" t="str">
        <f>IF(NOT(ISBLANK(Table_CheckAcct[[#This Row],[Date]])),TEXT(Table_CheckAcct[[#This Row],[Date]],"mmmm"),"")</f>
        <v>March</v>
      </c>
      <c r="K64" s="39">
        <f>YEAR(Table_CheckAcct[[#This Row],[Date]])</f>
        <v>2023</v>
      </c>
      <c r="L64" s="21" t="str">
        <f>IF(ISBLANK(Table_CheckAcct[[#This Row],[Description]]),"Opening/Closing",VLOOKUP(Table_CheckAcct[[#This Row],[Description]],Table7[],3,FALSE))</f>
        <v>Opening/Closing</v>
      </c>
      <c r="M64" s="91" t="str">
        <f>VLOOKUP(Table_CheckAcct[[#This Row],[Description Index]],Table3[],3,FALSE)</f>
        <v>Opening/Closing</v>
      </c>
    </row>
    <row r="65" spans="3:13" ht="18.600000000000001" thickTop="1" x14ac:dyDescent="0.5">
      <c r="C65" s="12">
        <v>45017</v>
      </c>
      <c r="D65" s="12" t="s">
        <v>451</v>
      </c>
      <c r="E65" s="19"/>
      <c r="F65" s="19"/>
      <c r="G65" s="19"/>
      <c r="H65" s="60">
        <f>H64</f>
        <v>26228.12</v>
      </c>
      <c r="I65" s="23"/>
      <c r="J65" s="26" t="str">
        <f>IF(NOT(ISBLANK(Table_CheckAcct[[#This Row],[Date]])),TEXT(Table_CheckAcct[[#This Row],[Date]],"mmmm"),"")</f>
        <v>April</v>
      </c>
      <c r="K65" s="26">
        <f>YEAR(Table_CheckAcct[[#This Row],[Date]])</f>
        <v>2023</v>
      </c>
      <c r="L65" s="21" t="str">
        <f>IF(ISBLANK(Table_CheckAcct[[#This Row],[Description]]),"Opening/Closing",VLOOKUP(Table_CheckAcct[[#This Row],[Description]],Table7[],3,FALSE))</f>
        <v>Opening/Closing</v>
      </c>
      <c r="M65" s="91" t="str">
        <f>VLOOKUP(Table_CheckAcct[[#This Row],[Description Index]],Table3[],3,FALSE)</f>
        <v>Opening/Closing</v>
      </c>
    </row>
    <row r="66" spans="3:13" x14ac:dyDescent="0.5">
      <c r="C66" s="12">
        <v>45019</v>
      </c>
      <c r="D66" s="12" t="s">
        <v>18</v>
      </c>
      <c r="E66" s="19" t="s">
        <v>363</v>
      </c>
      <c r="F66" s="19">
        <v>44.82</v>
      </c>
      <c r="G66" s="19"/>
      <c r="H66" s="62"/>
      <c r="I66" s="21"/>
      <c r="J66" s="26" t="str">
        <f>IF(NOT(ISBLANK(Table_CheckAcct[[#This Row],[Date]])),TEXT(Table_CheckAcct[[#This Row],[Date]],"mmmm"),"")</f>
        <v>April</v>
      </c>
      <c r="K66" s="26">
        <f>YEAR(Table_CheckAcct[[#This Row],[Date]])</f>
        <v>2023</v>
      </c>
      <c r="L66" s="21" t="str">
        <f>IF(ISBLANK(Table_CheckAcct[[#This Row],[Description]]),"Opening/Closing",VLOOKUP(Table_CheckAcct[[#This Row],[Description]],Table7[],3,FALSE))</f>
        <v xml:space="preserve">Orange &amp; Rockland </v>
      </c>
      <c r="M66" s="91" t="str">
        <f>VLOOKUP(Table_CheckAcct[[#This Row],[Description Index]],Table3[],3,FALSE)</f>
        <v xml:space="preserve">Orange &amp; Rockland </v>
      </c>
    </row>
    <row r="67" spans="3:13" x14ac:dyDescent="0.5">
      <c r="C67" s="12">
        <v>45019</v>
      </c>
      <c r="D67" s="12" t="s">
        <v>18</v>
      </c>
      <c r="E67" s="19" t="s">
        <v>364</v>
      </c>
      <c r="F67" s="19">
        <v>10000</v>
      </c>
      <c r="G67" s="19"/>
      <c r="H67" s="62"/>
      <c r="I67" s="21"/>
      <c r="J67" s="26" t="str">
        <f>IF(NOT(ISBLANK(Table_CheckAcct[[#This Row],[Date]])),TEXT(Table_CheckAcct[[#This Row],[Date]],"mmmm"),"")</f>
        <v>April</v>
      </c>
      <c r="K67" s="26">
        <f>YEAR(Table_CheckAcct[[#This Row],[Date]])</f>
        <v>2023</v>
      </c>
      <c r="L67" s="21" t="str">
        <f>IF(ISBLANK(Table_CheckAcct[[#This Row],[Description]]),"Opening/Closing",VLOOKUP(Table_CheckAcct[[#This Row],[Description]],Table7[],3,FALSE))</f>
        <v>Internet Trf 0000000476720427 3290</v>
      </c>
      <c r="M67" s="91" t="str">
        <f>VLOOKUP(Table_CheckAcct[[#This Row],[Description Index]],Table3[],3,FALSE)</f>
        <v>Internet Trf 0000000476720427 3290</v>
      </c>
    </row>
    <row r="68" spans="3:13" x14ac:dyDescent="0.5">
      <c r="C68" s="12">
        <v>45020</v>
      </c>
      <c r="D68" s="12" t="s">
        <v>18</v>
      </c>
      <c r="E68" s="19" t="s">
        <v>332</v>
      </c>
      <c r="F68" s="19">
        <v>494.92</v>
      </c>
      <c r="G68" s="19"/>
      <c r="H68" s="62"/>
      <c r="I68" s="21"/>
      <c r="J68" s="26" t="str">
        <f>IF(NOT(ISBLANK(Table_CheckAcct[[#This Row],[Date]])),TEXT(Table_CheckAcct[[#This Row],[Date]],"mmmm"),"")</f>
        <v>April</v>
      </c>
      <c r="K68" s="26">
        <f>YEAR(Table_CheckAcct[[#This Row],[Date]])</f>
        <v>2023</v>
      </c>
      <c r="L68" s="21" t="str">
        <f>IF(ISBLANK(Table_CheckAcct[[#This Row],[Description]]),"Opening/Closing",VLOOKUP(Table_CheckAcct[[#This Row],[Description]],Table7[],3,FALSE))</f>
        <v>Wilkinmanagemweb Pmts</v>
      </c>
      <c r="M68" s="91" t="str">
        <f>VLOOKUP(Table_CheckAcct[[#This Row],[Description Index]],Table3[],3,FALSE)</f>
        <v>Wilkinmanagemweb Pmts</v>
      </c>
    </row>
    <row r="69" spans="3:13" x14ac:dyDescent="0.5">
      <c r="C69" s="12">
        <v>45023</v>
      </c>
      <c r="D69" s="12" t="s">
        <v>18</v>
      </c>
      <c r="E69" s="19" t="s">
        <v>335</v>
      </c>
      <c r="F69" s="19">
        <v>13663.19</v>
      </c>
      <c r="G69" s="19"/>
      <c r="H69" s="62"/>
      <c r="I69" s="21"/>
      <c r="J69" s="26" t="str">
        <f>IF(NOT(ISBLANK(Table_CheckAcct[[#This Row],[Date]])),TEXT(Table_CheckAcct[[#This Row],[Date]],"mmmm"),"")</f>
        <v>April</v>
      </c>
      <c r="K69" s="26">
        <f>YEAR(Table_CheckAcct[[#This Row],[Date]])</f>
        <v>2023</v>
      </c>
      <c r="L69" s="21" t="str">
        <f>IF(ISBLANK(Table_CheckAcct[[#This Row],[Description]]),"Opening/Closing",VLOOKUP(Table_CheckAcct[[#This Row],[Description]],Table7[],3,FALSE))</f>
        <v>Capital One Creditcard</v>
      </c>
      <c r="M69" s="91" t="str">
        <f>VLOOKUP(Table_CheckAcct[[#This Row],[Description Index]],Table3[],3,FALSE)</f>
        <v>Capital One Creditcard</v>
      </c>
    </row>
    <row r="70" spans="3:13" x14ac:dyDescent="0.5">
      <c r="C70" s="12">
        <v>45027</v>
      </c>
      <c r="D70" s="12" t="s">
        <v>50</v>
      </c>
      <c r="E70" s="19" t="s">
        <v>344</v>
      </c>
      <c r="F70" s="19"/>
      <c r="G70" s="19">
        <v>5000</v>
      </c>
      <c r="H70" s="62"/>
      <c r="I70" s="21"/>
      <c r="J70" s="26" t="str">
        <f>IF(NOT(ISBLANK(Table_CheckAcct[[#This Row],[Date]])),TEXT(Table_CheckAcct[[#This Row],[Date]],"mmmm"),"")</f>
        <v>April</v>
      </c>
      <c r="K70" s="26">
        <f>YEAR(Table_CheckAcct[[#This Row],[Date]])</f>
        <v>2023</v>
      </c>
      <c r="L70" s="21" t="str">
        <f>IF(ISBLANK(Table_CheckAcct[[#This Row],[Description]]),"Opening/Closing",VLOOKUP(Table_CheckAcct[[#This Row],[Description]],Table7[],3,FALSE))</f>
        <v>Internet Trf 0000000476720427 3290</v>
      </c>
      <c r="M70" s="91" t="str">
        <f>VLOOKUP(Table_CheckAcct[[#This Row],[Description Index]],Table3[],3,FALSE)</f>
        <v>Internet Trf 0000000476720427 3290</v>
      </c>
    </row>
    <row r="71" spans="3:13" x14ac:dyDescent="0.5">
      <c r="C71" s="12">
        <v>45028</v>
      </c>
      <c r="D71" s="12" t="s">
        <v>18</v>
      </c>
      <c r="E71" s="19" t="s">
        <v>365</v>
      </c>
      <c r="F71" s="19">
        <v>880</v>
      </c>
      <c r="G71" s="19"/>
      <c r="H71" s="62"/>
      <c r="I71" s="21"/>
      <c r="J71" s="26" t="str">
        <f>IF(NOT(ISBLANK(Table_CheckAcct[[#This Row],[Date]])),TEXT(Table_CheckAcct[[#This Row],[Date]],"mmmm"),"")</f>
        <v>April</v>
      </c>
      <c r="K71" s="26">
        <f>YEAR(Table_CheckAcct[[#This Row],[Date]])</f>
        <v>2023</v>
      </c>
      <c r="L71" s="21" t="str">
        <f>IF(ISBLANK(Table_CheckAcct[[#This Row],[Description]]),"Opening/Closing",VLOOKUP(Table_CheckAcct[[#This Row],[Description]],Table7[],3,FALSE))</f>
        <v xml:space="preserve">US Small Business </v>
      </c>
      <c r="M71" s="91" t="str">
        <f>VLOOKUP(Table_CheckAcct[[#This Row],[Description Index]],Table3[],3,FALSE)</f>
        <v xml:space="preserve">US Small Business </v>
      </c>
    </row>
    <row r="72" spans="3:13" x14ac:dyDescent="0.5">
      <c r="C72" s="12">
        <v>45040</v>
      </c>
      <c r="D72" s="12" t="s">
        <v>50</v>
      </c>
      <c r="E72" s="19" t="s">
        <v>345</v>
      </c>
      <c r="F72" s="19"/>
      <c r="G72" s="19">
        <v>4848.25</v>
      </c>
      <c r="H72" s="62"/>
      <c r="I72" s="21"/>
      <c r="J72" s="26" t="str">
        <f>IF(NOT(ISBLANK(Table_CheckAcct[[#This Row],[Date]])),TEXT(Table_CheckAcct[[#This Row],[Date]],"mmmm"),"")</f>
        <v>April</v>
      </c>
      <c r="K72" s="26">
        <f>YEAR(Table_CheckAcct[[#This Row],[Date]])</f>
        <v>2023</v>
      </c>
      <c r="L72" s="21" t="str">
        <f>IF(ISBLANK(Table_CheckAcct[[#This Row],[Description]]),"Opening/Closing",VLOOKUP(Table_CheckAcct[[#This Row],[Description]],Table7[],3,FALSE))</f>
        <v>Deposit Branch 0447 New York</v>
      </c>
      <c r="M72" s="91" t="str">
        <f>VLOOKUP(Table_CheckAcct[[#This Row],[Description Index]],Table3[],3,FALSE)</f>
        <v>Deposit Branch 0447 New York</v>
      </c>
    </row>
    <row r="73" spans="3:13" x14ac:dyDescent="0.5">
      <c r="C73" s="12">
        <v>45040</v>
      </c>
      <c r="D73" s="12" t="s">
        <v>50</v>
      </c>
      <c r="E73" s="19" t="s">
        <v>344</v>
      </c>
      <c r="F73" s="19"/>
      <c r="G73" s="19">
        <v>10000</v>
      </c>
      <c r="H73" s="62"/>
      <c r="I73" s="21"/>
      <c r="J73" s="26" t="str">
        <f>IF(NOT(ISBLANK(Table_CheckAcct[[#This Row],[Date]])),TEXT(Table_CheckAcct[[#This Row],[Date]],"mmmm"),"")</f>
        <v>April</v>
      </c>
      <c r="K73" s="26">
        <f>YEAR(Table_CheckAcct[[#This Row],[Date]])</f>
        <v>2023</v>
      </c>
      <c r="L73" s="21" t="str">
        <f>IF(ISBLANK(Table_CheckAcct[[#This Row],[Description]]),"Opening/Closing",VLOOKUP(Table_CheckAcct[[#This Row],[Description]],Table7[],3,FALSE))</f>
        <v>Internet Trf 0000000476720427 3290</v>
      </c>
      <c r="M73" s="91" t="str">
        <f>VLOOKUP(Table_CheckAcct[[#This Row],[Description Index]],Table3[],3,FALSE)</f>
        <v>Internet Trf 0000000476720427 3290</v>
      </c>
    </row>
    <row r="74" spans="3:13" x14ac:dyDescent="0.5">
      <c r="C74" s="12">
        <v>45040</v>
      </c>
      <c r="D74" s="12" t="s">
        <v>18</v>
      </c>
      <c r="E74" s="19" t="s">
        <v>366</v>
      </c>
      <c r="F74" s="19">
        <v>449.05</v>
      </c>
      <c r="G74" s="19"/>
      <c r="H74" s="62"/>
      <c r="I74" s="21"/>
      <c r="J74" s="26" t="str">
        <f>IF(NOT(ISBLANK(Table_CheckAcct[[#This Row],[Date]])),TEXT(Table_CheckAcct[[#This Row],[Date]],"mmmm"),"")</f>
        <v>April</v>
      </c>
      <c r="K74" s="26">
        <f>YEAR(Table_CheckAcct[[#This Row],[Date]])</f>
        <v>2023</v>
      </c>
      <c r="L74" s="21" t="str">
        <f>IF(ISBLANK(Table_CheckAcct[[#This Row],[Description]]),"Opening/Closing",VLOOKUP(Table_CheckAcct[[#This Row],[Description]],Table7[],3,FALSE))</f>
        <v xml:space="preserve">Home Depot </v>
      </c>
      <c r="M74" s="91" t="str">
        <f>VLOOKUP(Table_CheckAcct[[#This Row],[Description Index]],Table3[],3,FALSE)</f>
        <v xml:space="preserve">Home Depot </v>
      </c>
    </row>
    <row r="75" spans="3:13" x14ac:dyDescent="0.5">
      <c r="C75" s="12">
        <v>45043</v>
      </c>
      <c r="D75" s="12" t="s">
        <v>18</v>
      </c>
      <c r="E75" s="19" t="s">
        <v>338</v>
      </c>
      <c r="F75" s="19">
        <v>89.99</v>
      </c>
      <c r="G75" s="19"/>
      <c r="H75" s="62"/>
      <c r="I75" s="21"/>
      <c r="J75" s="26" t="str">
        <f>IF(NOT(ISBLANK(Table_CheckAcct[[#This Row],[Date]])),TEXT(Table_CheckAcct[[#This Row],[Date]],"mmmm"),"")</f>
        <v>April</v>
      </c>
      <c r="K75" s="26">
        <f>YEAR(Table_CheckAcct[[#This Row],[Date]])</f>
        <v>2023</v>
      </c>
      <c r="L75" s="21" t="str">
        <f>IF(ISBLANK(Table_CheckAcct[[#This Row],[Description]]),"Opening/Closing",VLOOKUP(Table_CheckAcct[[#This Row],[Description]],Table7[],3,FALSE))</f>
        <v>Verizon Payment</v>
      </c>
      <c r="M75" s="91" t="str">
        <f>VLOOKUP(Table_CheckAcct[[#This Row],[Description Index]],Table3[],3,FALSE)</f>
        <v>Verizon Payment</v>
      </c>
    </row>
    <row r="76" spans="3:13" x14ac:dyDescent="0.5">
      <c r="C76" s="12">
        <v>45044</v>
      </c>
      <c r="D76" s="12" t="s">
        <v>448</v>
      </c>
      <c r="E76" s="19" t="s">
        <v>449</v>
      </c>
      <c r="F76" s="19">
        <v>3</v>
      </c>
      <c r="G76" s="19"/>
      <c r="H76" s="62"/>
      <c r="I76" s="21"/>
      <c r="J76" s="26" t="str">
        <f>IF(NOT(ISBLANK(Table_CheckAcct[[#This Row],[Date]])),TEXT(Table_CheckAcct[[#This Row],[Date]],"mmmm"),"")</f>
        <v>April</v>
      </c>
      <c r="K76" s="26">
        <f>YEAR(Table_CheckAcct[[#This Row],[Date]])</f>
        <v>2023</v>
      </c>
      <c r="L76" s="21" t="str">
        <f>IF(ISBLANK(Table_CheckAcct[[#This Row],[Description]]),"Opening/Closing",VLOOKUP(Table_CheckAcct[[#This Row],[Description]],Table7[],3,FALSE))</f>
        <v>Paper Statement Fee</v>
      </c>
      <c r="M76" s="91">
        <f>VLOOKUP(Table_CheckAcct[[#This Row],[Description Index]],Table3[],3,FALSE)</f>
        <v>0</v>
      </c>
    </row>
    <row r="77" spans="3:13" x14ac:dyDescent="0.5">
      <c r="C77" s="12">
        <v>45044</v>
      </c>
      <c r="D77" s="12" t="s">
        <v>448</v>
      </c>
      <c r="E77" s="19" t="s">
        <v>450</v>
      </c>
      <c r="F77" s="19"/>
      <c r="G77" s="19">
        <v>3</v>
      </c>
      <c r="H77" s="62"/>
      <c r="I77" s="21"/>
      <c r="J77" s="26" t="str">
        <f>IF(NOT(ISBLANK(Table_CheckAcct[[#This Row],[Date]])),TEXT(Table_CheckAcct[[#This Row],[Date]],"mmmm"),"")</f>
        <v>April</v>
      </c>
      <c r="K77" s="26">
        <f>YEAR(Table_CheckAcct[[#This Row],[Date]])</f>
        <v>2023</v>
      </c>
      <c r="L77" s="21" t="str">
        <f>IF(ISBLANK(Table_CheckAcct[[#This Row],[Description]]),"Opening/Closing",VLOOKUP(Table_CheckAcct[[#This Row],[Description]],Table7[],3,FALSE))</f>
        <v>Paper Statement Fee</v>
      </c>
      <c r="M77" s="91">
        <f>VLOOKUP(Table_CheckAcct[[#This Row],[Description Index]],Table3[],3,FALSE)</f>
        <v>0</v>
      </c>
    </row>
    <row r="78" spans="3:13" ht="18.600000000000001" thickBot="1" x14ac:dyDescent="0.55000000000000004">
      <c r="C78" s="36">
        <v>45046</v>
      </c>
      <c r="D78" s="36" t="s">
        <v>461</v>
      </c>
      <c r="E78" s="37"/>
      <c r="F78" s="38">
        <f>SUM(F66:F77)</f>
        <v>25624.97</v>
      </c>
      <c r="G78" s="38">
        <f>SUM(G66:G77)</f>
        <v>19851.25</v>
      </c>
      <c r="H78" s="59">
        <v>20454.400000000001</v>
      </c>
      <c r="I78" s="42">
        <f>H65-F78+G78-H78</f>
        <v>0</v>
      </c>
      <c r="J78" s="39" t="str">
        <f>IF(NOT(ISBLANK(Table_CheckAcct[[#This Row],[Date]])),TEXT(Table_CheckAcct[[#This Row],[Date]],"mmmm"),"")</f>
        <v>April</v>
      </c>
      <c r="K78" s="39">
        <f>YEAR(Table_CheckAcct[[#This Row],[Date]])</f>
        <v>2023</v>
      </c>
      <c r="L78" s="21" t="str">
        <f>IF(ISBLANK(Table_CheckAcct[[#This Row],[Description]]),"Opening/Closing",VLOOKUP(Table_CheckAcct[[#This Row],[Description]],Table7[],3,FALSE))</f>
        <v>Opening/Closing</v>
      </c>
      <c r="M78" s="91" t="str">
        <f>VLOOKUP(Table_CheckAcct[[#This Row],[Description Index]],Table3[],3,FALSE)</f>
        <v>Opening/Closing</v>
      </c>
    </row>
    <row r="79" spans="3:13" ht="18.600000000000001" thickTop="1" x14ac:dyDescent="0.5">
      <c r="C79" s="12">
        <v>45047</v>
      </c>
      <c r="D79" s="12" t="s">
        <v>451</v>
      </c>
      <c r="E79" s="19"/>
      <c r="F79" s="19"/>
      <c r="G79" s="19"/>
      <c r="H79" s="60">
        <f>H78</f>
        <v>20454.400000000001</v>
      </c>
      <c r="I79" s="23"/>
      <c r="J79" s="26" t="str">
        <f>IF(NOT(ISBLANK(Table_CheckAcct[[#This Row],[Date]])),TEXT(Table_CheckAcct[[#This Row],[Date]],"mmmm"),"")</f>
        <v>May</v>
      </c>
      <c r="K79" s="26">
        <f>YEAR(Table_CheckAcct[[#This Row],[Date]])</f>
        <v>2023</v>
      </c>
      <c r="L79" s="21" t="str">
        <f>IF(ISBLANK(Table_CheckAcct[[#This Row],[Description]]),"Opening/Closing",VLOOKUP(Table_CheckAcct[[#This Row],[Description]],Table7[],3,FALSE))</f>
        <v>Opening/Closing</v>
      </c>
      <c r="M79" s="91" t="str">
        <f>VLOOKUP(Table_CheckAcct[[#This Row],[Description Index]],Table3[],3,FALSE)</f>
        <v>Opening/Closing</v>
      </c>
    </row>
    <row r="80" spans="3:13" x14ac:dyDescent="0.5">
      <c r="C80" s="12">
        <v>45050</v>
      </c>
      <c r="D80" t="s">
        <v>50</v>
      </c>
      <c r="E80" s="19" t="s">
        <v>343</v>
      </c>
      <c r="F80" s="19"/>
      <c r="G80" s="24">
        <v>2500</v>
      </c>
      <c r="H80" s="62"/>
      <c r="I80" s="21"/>
      <c r="J80" s="26" t="str">
        <f>IF(NOT(ISBLANK(Table_CheckAcct[[#This Row],[Date]])),TEXT(Table_CheckAcct[[#This Row],[Date]],"mmmm"),"")</f>
        <v>May</v>
      </c>
      <c r="K80" s="26">
        <f>YEAR(Table_CheckAcct[[#This Row],[Date]])</f>
        <v>2023</v>
      </c>
      <c r="L80" s="21" t="str">
        <f>IF(ISBLANK(Table_CheckAcct[[#This Row],[Description]]),"Opening/Closing",VLOOKUP(Table_CheckAcct[[#This Row],[Description]],Table7[],3,FALSE))</f>
        <v>Mobile Check Deposit</v>
      </c>
      <c r="M80" s="91" t="str">
        <f>VLOOKUP(Table_CheckAcct[[#This Row],[Description Index]],Table3[],3,FALSE)</f>
        <v>Mobile Check Deposit</v>
      </c>
    </row>
    <row r="81" spans="3:13" x14ac:dyDescent="0.5">
      <c r="C81" s="12">
        <v>45050</v>
      </c>
      <c r="D81" s="12" t="s">
        <v>18</v>
      </c>
      <c r="E81" s="19" t="s">
        <v>332</v>
      </c>
      <c r="F81" s="19">
        <v>494.92</v>
      </c>
      <c r="G81" s="19"/>
      <c r="H81" s="62"/>
      <c r="I81" s="21"/>
      <c r="J81" s="26" t="str">
        <f>IF(NOT(ISBLANK(Table_CheckAcct[[#This Row],[Date]])),TEXT(Table_CheckAcct[[#This Row],[Date]],"mmmm"),"")</f>
        <v>May</v>
      </c>
      <c r="K81" s="26">
        <f>YEAR(Table_CheckAcct[[#This Row],[Date]])</f>
        <v>2023</v>
      </c>
      <c r="L81" s="21" t="str">
        <f>IF(ISBLANK(Table_CheckAcct[[#This Row],[Description]]),"Opening/Closing",VLOOKUP(Table_CheckAcct[[#This Row],[Description]],Table7[],3,FALSE))</f>
        <v>Wilkinmanagemweb Pmts</v>
      </c>
      <c r="M81" s="91" t="str">
        <f>VLOOKUP(Table_CheckAcct[[#This Row],[Description Index]],Table3[],3,FALSE)</f>
        <v>Wilkinmanagemweb Pmts</v>
      </c>
    </row>
    <row r="82" spans="3:13" x14ac:dyDescent="0.5">
      <c r="C82" s="12">
        <v>45050</v>
      </c>
      <c r="D82" s="12" t="s">
        <v>18</v>
      </c>
      <c r="E82" s="19" t="s">
        <v>369</v>
      </c>
      <c r="F82" s="19">
        <v>10053.219999999999</v>
      </c>
      <c r="G82" s="19"/>
      <c r="H82" s="62"/>
      <c r="I82" s="21"/>
      <c r="J82" s="26" t="str">
        <f>IF(NOT(ISBLANK(Table_CheckAcct[[#This Row],[Date]])),TEXT(Table_CheckAcct[[#This Row],[Date]],"mmmm"),"")</f>
        <v>May</v>
      </c>
      <c r="K82" s="26">
        <f>YEAR(Table_CheckAcct[[#This Row],[Date]])</f>
        <v>2023</v>
      </c>
      <c r="L82" s="21" t="str">
        <f>IF(ISBLANK(Table_CheckAcct[[#This Row],[Description]]),"Opening/Closing",VLOOKUP(Table_CheckAcct[[#This Row],[Description]],Table7[],3,FALSE))</f>
        <v>Capital One Creditcard</v>
      </c>
      <c r="M82" s="91" t="str">
        <f>VLOOKUP(Table_CheckAcct[[#This Row],[Description Index]],Table3[],3,FALSE)</f>
        <v>Capital One Creditcard</v>
      </c>
    </row>
    <row r="83" spans="3:13" x14ac:dyDescent="0.5">
      <c r="C83" s="12">
        <v>45054</v>
      </c>
      <c r="D83" s="12" t="s">
        <v>18</v>
      </c>
      <c r="E83" s="19" t="s">
        <v>370</v>
      </c>
      <c r="F83" s="19">
        <v>46.75</v>
      </c>
      <c r="G83" s="19"/>
      <c r="H83" s="62"/>
      <c r="I83" s="21"/>
      <c r="J83" s="26" t="str">
        <f>IF(NOT(ISBLANK(Table_CheckAcct[[#This Row],[Date]])),TEXT(Table_CheckAcct[[#This Row],[Date]],"mmmm"),"")</f>
        <v>May</v>
      </c>
      <c r="K83" s="26">
        <f>YEAR(Table_CheckAcct[[#This Row],[Date]])</f>
        <v>2023</v>
      </c>
      <c r="L83" s="21" t="str">
        <f>IF(ISBLANK(Table_CheckAcct[[#This Row],[Description]]),"Opening/Closing",VLOOKUP(Table_CheckAcct[[#This Row],[Description]],Table7[],3,FALSE))</f>
        <v xml:space="preserve">Orange &amp; Rockland </v>
      </c>
      <c r="M83" s="91" t="str">
        <f>VLOOKUP(Table_CheckAcct[[#This Row],[Description Index]],Table3[],3,FALSE)</f>
        <v xml:space="preserve">Orange &amp; Rockland </v>
      </c>
    </row>
    <row r="84" spans="3:13" x14ac:dyDescent="0.5">
      <c r="C84" s="12">
        <v>45055</v>
      </c>
      <c r="D84" s="12" t="s">
        <v>18</v>
      </c>
      <c r="E84" s="19" t="s">
        <v>371</v>
      </c>
      <c r="F84" s="19">
        <v>163.26</v>
      </c>
      <c r="G84" s="19"/>
      <c r="H84" s="62"/>
      <c r="I84" s="21"/>
      <c r="J84" s="26" t="str">
        <f>IF(NOT(ISBLANK(Table_CheckAcct[[#This Row],[Date]])),TEXT(Table_CheckAcct[[#This Row],[Date]],"mmmm"),"")</f>
        <v>May</v>
      </c>
      <c r="K84" s="26">
        <f>YEAR(Table_CheckAcct[[#This Row],[Date]])</f>
        <v>2023</v>
      </c>
      <c r="L84" s="21" t="str">
        <f>IF(ISBLANK(Table_CheckAcct[[#This Row],[Description]]),"Opening/Closing",VLOOKUP(Table_CheckAcct[[#This Row],[Description]],Table7[],3,FALSE))</f>
        <v xml:space="preserve">Lowes </v>
      </c>
      <c r="M84" s="91" t="str">
        <f>VLOOKUP(Table_CheckAcct[[#This Row],[Description Index]],Table3[],3,FALSE)</f>
        <v xml:space="preserve">Lowes </v>
      </c>
    </row>
    <row r="85" spans="3:13" x14ac:dyDescent="0.5">
      <c r="C85" s="12">
        <v>45055</v>
      </c>
      <c r="D85" s="12" t="s">
        <v>18</v>
      </c>
      <c r="E85" s="19" t="s">
        <v>463</v>
      </c>
      <c r="F85" s="19">
        <v>150</v>
      </c>
      <c r="G85" s="19"/>
      <c r="H85" s="62"/>
      <c r="I85" s="21"/>
      <c r="J85" s="26" t="str">
        <f>IF(NOT(ISBLANK(Table_CheckAcct[[#This Row],[Date]])),TEXT(Table_CheckAcct[[#This Row],[Date]],"mmmm"),"")</f>
        <v>May</v>
      </c>
      <c r="K85" s="26">
        <f>YEAR(Table_CheckAcct[[#This Row],[Date]])</f>
        <v>2023</v>
      </c>
      <c r="L85" s="21" t="str">
        <f>IF(ISBLANK(Table_CheckAcct[[#This Row],[Description]]),"Opening/Closing",VLOOKUP(Table_CheckAcct[[#This Row],[Description]],Table7[],3,FALSE))</f>
        <v>Check</v>
      </c>
      <c r="M85" s="91">
        <f>VLOOKUP(Table_CheckAcct[[#This Row],[Description Index]],Table3[],3,FALSE)</f>
        <v>0</v>
      </c>
    </row>
    <row r="86" spans="3:13" x14ac:dyDescent="0.5">
      <c r="C86" s="12">
        <v>45058</v>
      </c>
      <c r="D86" s="12" t="s">
        <v>18</v>
      </c>
      <c r="E86" s="19" t="s">
        <v>372</v>
      </c>
      <c r="F86" s="19">
        <v>880</v>
      </c>
      <c r="G86" s="19"/>
      <c r="H86" s="62"/>
      <c r="I86" s="21"/>
      <c r="J86" s="26" t="str">
        <f>IF(NOT(ISBLANK(Table_CheckAcct[[#This Row],[Date]])),TEXT(Table_CheckAcct[[#This Row],[Date]],"mmmm"),"")</f>
        <v>May</v>
      </c>
      <c r="K86" s="26">
        <f>YEAR(Table_CheckAcct[[#This Row],[Date]])</f>
        <v>2023</v>
      </c>
      <c r="L86" s="21" t="str">
        <f>IF(ISBLANK(Table_CheckAcct[[#This Row],[Description]]),"Opening/Closing",VLOOKUP(Table_CheckAcct[[#This Row],[Description]],Table7[],3,FALSE))</f>
        <v xml:space="preserve">US Small Business </v>
      </c>
      <c r="M86" s="91" t="str">
        <f>VLOOKUP(Table_CheckAcct[[#This Row],[Description Index]],Table3[],3,FALSE)</f>
        <v xml:space="preserve">US Small Business </v>
      </c>
    </row>
    <row r="87" spans="3:13" x14ac:dyDescent="0.5">
      <c r="C87" s="12">
        <v>45069</v>
      </c>
      <c r="D87" s="12" t="s">
        <v>18</v>
      </c>
      <c r="E87" s="19" t="s">
        <v>373</v>
      </c>
      <c r="F87" s="19">
        <v>335.18</v>
      </c>
      <c r="G87" s="19"/>
      <c r="H87" s="62"/>
      <c r="I87" s="21"/>
      <c r="J87" s="26" t="str">
        <f>IF(NOT(ISBLANK(Table_CheckAcct[[#This Row],[Date]])),TEXT(Table_CheckAcct[[#This Row],[Date]],"mmmm"),"")</f>
        <v>May</v>
      </c>
      <c r="K87" s="26">
        <f>YEAR(Table_CheckAcct[[#This Row],[Date]])</f>
        <v>2023</v>
      </c>
      <c r="L87" s="21" t="str">
        <f>IF(ISBLANK(Table_CheckAcct[[#This Row],[Description]]),"Opening/Closing",VLOOKUP(Table_CheckAcct[[#This Row],[Description]],Table7[],3,FALSE))</f>
        <v xml:space="preserve">Home Depot </v>
      </c>
      <c r="M87" s="91" t="str">
        <f>VLOOKUP(Table_CheckAcct[[#This Row],[Description Index]],Table3[],3,FALSE)</f>
        <v xml:space="preserve">Home Depot </v>
      </c>
    </row>
    <row r="88" spans="3:13" x14ac:dyDescent="0.5">
      <c r="C88" s="12">
        <v>45076</v>
      </c>
      <c r="D88" s="12" t="s">
        <v>18</v>
      </c>
      <c r="E88" s="19" t="s">
        <v>338</v>
      </c>
      <c r="F88" s="19">
        <v>72.08</v>
      </c>
      <c r="G88" s="19"/>
      <c r="H88" s="62"/>
      <c r="I88" s="21"/>
      <c r="J88" s="26" t="str">
        <f>IF(NOT(ISBLANK(Table_CheckAcct[[#This Row],[Date]])),TEXT(Table_CheckAcct[[#This Row],[Date]],"mmmm"),"")</f>
        <v>May</v>
      </c>
      <c r="K88" s="26">
        <f>YEAR(Table_CheckAcct[[#This Row],[Date]])</f>
        <v>2023</v>
      </c>
      <c r="L88" s="21" t="str">
        <f>IF(ISBLANK(Table_CheckAcct[[#This Row],[Description]]),"Opening/Closing",VLOOKUP(Table_CheckAcct[[#This Row],[Description]],Table7[],3,FALSE))</f>
        <v>Verizon Payment</v>
      </c>
      <c r="M88" s="91" t="str">
        <f>VLOOKUP(Table_CheckAcct[[#This Row],[Description Index]],Table3[],3,FALSE)</f>
        <v>Verizon Payment</v>
      </c>
    </row>
    <row r="89" spans="3:13" x14ac:dyDescent="0.5">
      <c r="C89" s="12">
        <v>45077</v>
      </c>
      <c r="D89" s="12" t="s">
        <v>448</v>
      </c>
      <c r="E89" s="19" t="s">
        <v>449</v>
      </c>
      <c r="F89" s="19">
        <v>3</v>
      </c>
      <c r="G89" s="19"/>
      <c r="H89" s="62"/>
      <c r="I89" s="21"/>
      <c r="J89" s="26" t="str">
        <f>IF(NOT(ISBLANK(Table_CheckAcct[[#This Row],[Date]])),TEXT(Table_CheckAcct[[#This Row],[Date]],"mmmm"),"")</f>
        <v>May</v>
      </c>
      <c r="K89" s="26">
        <f>YEAR(Table_CheckAcct[[#This Row],[Date]])</f>
        <v>2023</v>
      </c>
      <c r="L89" s="21" t="str">
        <f>IF(ISBLANK(Table_CheckAcct[[#This Row],[Description]]),"Opening/Closing",VLOOKUP(Table_CheckAcct[[#This Row],[Description]],Table7[],3,FALSE))</f>
        <v>Paper Statement Fee</v>
      </c>
      <c r="M89" s="91">
        <f>VLOOKUP(Table_CheckAcct[[#This Row],[Description Index]],Table3[],3,FALSE)</f>
        <v>0</v>
      </c>
    </row>
    <row r="90" spans="3:13" x14ac:dyDescent="0.5">
      <c r="C90" s="12">
        <v>45077</v>
      </c>
      <c r="D90" s="12" t="s">
        <v>448</v>
      </c>
      <c r="E90" s="19" t="s">
        <v>450</v>
      </c>
      <c r="F90" s="19"/>
      <c r="G90" s="19">
        <v>3</v>
      </c>
      <c r="H90" s="62"/>
      <c r="I90" s="21"/>
      <c r="J90" s="26" t="str">
        <f>IF(NOT(ISBLANK(Table_CheckAcct[[#This Row],[Date]])),TEXT(Table_CheckAcct[[#This Row],[Date]],"mmmm"),"")</f>
        <v>May</v>
      </c>
      <c r="K90" s="26">
        <f>YEAR(Table_CheckAcct[[#This Row],[Date]])</f>
        <v>2023</v>
      </c>
      <c r="L90" s="21" t="str">
        <f>IF(ISBLANK(Table_CheckAcct[[#This Row],[Description]]),"Opening/Closing",VLOOKUP(Table_CheckAcct[[#This Row],[Description]],Table7[],3,FALSE))</f>
        <v>Paper Statement Fee</v>
      </c>
      <c r="M90" s="91">
        <f>VLOOKUP(Table_CheckAcct[[#This Row],[Description Index]],Table3[],3,FALSE)</f>
        <v>0</v>
      </c>
    </row>
    <row r="91" spans="3:13" ht="18.600000000000001" thickBot="1" x14ac:dyDescent="0.55000000000000004">
      <c r="C91" s="36">
        <v>45077</v>
      </c>
      <c r="D91" s="36" t="s">
        <v>461</v>
      </c>
      <c r="E91" s="37"/>
      <c r="F91" s="38">
        <f>SUM(F80:F90)</f>
        <v>12198.41</v>
      </c>
      <c r="G91" s="38">
        <f>SUM(G80:G90)</f>
        <v>2503</v>
      </c>
      <c r="H91" s="59">
        <v>10758.99</v>
      </c>
      <c r="I91" s="42">
        <f>H79-F91+G91-H91</f>
        <v>0</v>
      </c>
      <c r="J91" s="39" t="str">
        <f>IF(NOT(ISBLANK(Table_CheckAcct[[#This Row],[Date]])),TEXT(Table_CheckAcct[[#This Row],[Date]],"mmmm"),"")</f>
        <v>May</v>
      </c>
      <c r="K91" s="39">
        <f>YEAR(Table_CheckAcct[[#This Row],[Date]])</f>
        <v>2023</v>
      </c>
      <c r="L91" s="21" t="str">
        <f>IF(ISBLANK(Table_CheckAcct[[#This Row],[Description]]),"Opening/Closing",VLOOKUP(Table_CheckAcct[[#This Row],[Description]],Table7[],3,FALSE))</f>
        <v>Opening/Closing</v>
      </c>
      <c r="M91" s="91" t="str">
        <f>VLOOKUP(Table_CheckAcct[[#This Row],[Description Index]],Table3[],3,FALSE)</f>
        <v>Opening/Closing</v>
      </c>
    </row>
    <row r="92" spans="3:13" ht="18.600000000000001" thickTop="1" x14ac:dyDescent="0.5">
      <c r="C92" s="12">
        <v>45078</v>
      </c>
      <c r="D92" s="12" t="s">
        <v>451</v>
      </c>
      <c r="E92" s="19"/>
      <c r="F92" s="19"/>
      <c r="G92" s="19"/>
      <c r="H92" s="60">
        <f>H91</f>
        <v>10758.99</v>
      </c>
      <c r="I92" s="23"/>
      <c r="J92" s="26" t="str">
        <f>IF(NOT(ISBLANK(Table_CheckAcct[[#This Row],[Date]])),TEXT(Table_CheckAcct[[#This Row],[Date]],"mmmm"),"")</f>
        <v>June</v>
      </c>
      <c r="K92" s="26">
        <f>YEAR(Table_CheckAcct[[#This Row],[Date]])</f>
        <v>2023</v>
      </c>
      <c r="L92" s="21" t="str">
        <f>IF(ISBLANK(Table_CheckAcct[[#This Row],[Description]]),"Opening/Closing",VLOOKUP(Table_CheckAcct[[#This Row],[Description]],Table7[],3,FALSE))</f>
        <v>Opening/Closing</v>
      </c>
      <c r="M92" s="91" t="str">
        <f>VLOOKUP(Table_CheckAcct[[#This Row],[Description Index]],Table3[],3,FALSE)</f>
        <v>Opening/Closing</v>
      </c>
    </row>
    <row r="93" spans="3:13" x14ac:dyDescent="0.5">
      <c r="C93" s="12">
        <v>45078</v>
      </c>
      <c r="D93" s="12" t="s">
        <v>50</v>
      </c>
      <c r="E93" s="19" t="s">
        <v>343</v>
      </c>
      <c r="F93" s="19"/>
      <c r="G93" s="19">
        <v>2500</v>
      </c>
      <c r="H93" s="62"/>
      <c r="I93" s="21"/>
      <c r="J93" s="26" t="str">
        <f>IF(NOT(ISBLANK(Table_CheckAcct[[#This Row],[Date]])),TEXT(Table_CheckAcct[[#This Row],[Date]],"mmmm"),"")</f>
        <v>June</v>
      </c>
      <c r="K93" s="26">
        <f>YEAR(Table_CheckAcct[[#This Row],[Date]])</f>
        <v>2023</v>
      </c>
      <c r="L93" s="21" t="str">
        <f>IF(ISBLANK(Table_CheckAcct[[#This Row],[Description]]),"Opening/Closing",VLOOKUP(Table_CheckAcct[[#This Row],[Description]],Table7[],3,FALSE))</f>
        <v>Mobile Check Deposit</v>
      </c>
      <c r="M93" s="91" t="str">
        <f>VLOOKUP(Table_CheckAcct[[#This Row],[Description Index]],Table3[],3,FALSE)</f>
        <v>Mobile Check Deposit</v>
      </c>
    </row>
    <row r="94" spans="3:13" x14ac:dyDescent="0.5">
      <c r="C94" s="12">
        <v>45083</v>
      </c>
      <c r="D94" s="12" t="s">
        <v>18</v>
      </c>
      <c r="E94" s="19" t="s">
        <v>332</v>
      </c>
      <c r="F94" s="19">
        <v>494.92</v>
      </c>
      <c r="G94" s="19"/>
      <c r="H94" s="62"/>
      <c r="I94" s="21"/>
      <c r="J94" s="26" t="str">
        <f>IF(NOT(ISBLANK(Table_CheckAcct[[#This Row],[Date]])),TEXT(Table_CheckAcct[[#This Row],[Date]],"mmmm"),"")</f>
        <v>June</v>
      </c>
      <c r="K94" s="26">
        <f>YEAR(Table_CheckAcct[[#This Row],[Date]])</f>
        <v>2023</v>
      </c>
      <c r="L94" s="21" t="str">
        <f>IF(ISBLANK(Table_CheckAcct[[#This Row],[Description]]),"Opening/Closing",VLOOKUP(Table_CheckAcct[[#This Row],[Description]],Table7[],3,FALSE))</f>
        <v>Wilkinmanagemweb Pmts</v>
      </c>
      <c r="M94" s="91" t="str">
        <f>VLOOKUP(Table_CheckAcct[[#This Row],[Description Index]],Table3[],3,FALSE)</f>
        <v>Wilkinmanagemweb Pmts</v>
      </c>
    </row>
    <row r="95" spans="3:13" x14ac:dyDescent="0.5">
      <c r="C95" s="12">
        <v>45083</v>
      </c>
      <c r="D95" s="12" t="s">
        <v>18</v>
      </c>
      <c r="E95" s="19" t="s">
        <v>377</v>
      </c>
      <c r="F95" s="19">
        <v>1239</v>
      </c>
      <c r="G95" s="19"/>
      <c r="H95" s="62"/>
      <c r="I95" s="21"/>
      <c r="J95" s="26" t="str">
        <f>IF(NOT(ISBLANK(Table_CheckAcct[[#This Row],[Date]])),TEXT(Table_CheckAcct[[#This Row],[Date]],"mmmm"),"")</f>
        <v>June</v>
      </c>
      <c r="K95" s="26">
        <f>YEAR(Table_CheckAcct[[#This Row],[Date]])</f>
        <v>2023</v>
      </c>
      <c r="L95" s="21" t="str">
        <f>IF(ISBLANK(Table_CheckAcct[[#This Row],[Description]]),"Opening/Closing",VLOOKUP(Table_CheckAcct[[#This Row],[Description]],Table7[],3,FALSE))</f>
        <v>Utica First Insura Art</v>
      </c>
      <c r="M95" s="91" t="str">
        <f>VLOOKUP(Table_CheckAcct[[#This Row],[Description Index]],Table3[],3,FALSE)</f>
        <v>Miscellaneous</v>
      </c>
    </row>
    <row r="96" spans="3:13" x14ac:dyDescent="0.5">
      <c r="C96" s="12">
        <v>45084</v>
      </c>
      <c r="D96" s="12" t="s">
        <v>18</v>
      </c>
      <c r="E96" s="19" t="s">
        <v>335</v>
      </c>
      <c r="F96" s="19">
        <v>168.21</v>
      </c>
      <c r="G96" s="19"/>
      <c r="H96" s="62"/>
      <c r="I96" s="21"/>
      <c r="J96" s="26" t="str">
        <f>IF(NOT(ISBLANK(Table_CheckAcct[[#This Row],[Date]])),TEXT(Table_CheckAcct[[#This Row],[Date]],"mmmm"),"")</f>
        <v>June</v>
      </c>
      <c r="K96" s="26">
        <f>YEAR(Table_CheckAcct[[#This Row],[Date]])</f>
        <v>2023</v>
      </c>
      <c r="L96" s="21" t="str">
        <f>IF(ISBLANK(Table_CheckAcct[[#This Row],[Description]]),"Opening/Closing",VLOOKUP(Table_CheckAcct[[#This Row],[Description]],Table7[],3,FALSE))</f>
        <v>Capital One Creditcard</v>
      </c>
      <c r="M96" s="91" t="str">
        <f>VLOOKUP(Table_CheckAcct[[#This Row],[Description Index]],Table3[],3,FALSE)</f>
        <v>Capital One Creditcard</v>
      </c>
    </row>
    <row r="97" spans="3:13" x14ac:dyDescent="0.5">
      <c r="C97" s="12">
        <v>45085</v>
      </c>
      <c r="D97" s="12" t="s">
        <v>50</v>
      </c>
      <c r="E97" s="19" t="s">
        <v>343</v>
      </c>
      <c r="F97" s="19"/>
      <c r="G97" s="19">
        <v>810.64</v>
      </c>
      <c r="H97" s="62"/>
      <c r="I97" s="21"/>
      <c r="J97" s="26" t="str">
        <f>IF(NOT(ISBLANK(Table_CheckAcct[[#This Row],[Date]])),TEXT(Table_CheckAcct[[#This Row],[Date]],"mmmm"),"")</f>
        <v>June</v>
      </c>
      <c r="K97" s="26">
        <f>YEAR(Table_CheckAcct[[#This Row],[Date]])</f>
        <v>2023</v>
      </c>
      <c r="L97" s="21" t="str">
        <f>IF(ISBLANK(Table_CheckAcct[[#This Row],[Description]]),"Opening/Closing",VLOOKUP(Table_CheckAcct[[#This Row],[Description]],Table7[],3,FALSE))</f>
        <v>Mobile Check Deposit</v>
      </c>
      <c r="M97" s="91" t="str">
        <f>VLOOKUP(Table_CheckAcct[[#This Row],[Description Index]],Table3[],3,FALSE)</f>
        <v>Mobile Check Deposit</v>
      </c>
    </row>
    <row r="98" spans="3:13" x14ac:dyDescent="0.5">
      <c r="C98" s="12">
        <v>45086</v>
      </c>
      <c r="D98" s="12" t="s">
        <v>18</v>
      </c>
      <c r="E98" s="19" t="s">
        <v>378</v>
      </c>
      <c r="F98" s="19">
        <v>54.7</v>
      </c>
      <c r="G98" s="19"/>
      <c r="H98" s="62"/>
      <c r="I98" s="21"/>
      <c r="J98" s="26" t="str">
        <f>IF(NOT(ISBLANK(Table_CheckAcct[[#This Row],[Date]])),TEXT(Table_CheckAcct[[#This Row],[Date]],"mmmm"),"")</f>
        <v>June</v>
      </c>
      <c r="K98" s="26">
        <f>YEAR(Table_CheckAcct[[#This Row],[Date]])</f>
        <v>2023</v>
      </c>
      <c r="L98" s="21" t="str">
        <f>IF(ISBLANK(Table_CheckAcct[[#This Row],[Description]]),"Opening/Closing",VLOOKUP(Table_CheckAcct[[#This Row],[Description]],Table7[],3,FALSE))</f>
        <v xml:space="preserve">Orange &amp; Rockland </v>
      </c>
      <c r="M98" s="91" t="str">
        <f>VLOOKUP(Table_CheckAcct[[#This Row],[Description Index]],Table3[],3,FALSE)</f>
        <v xml:space="preserve">Orange &amp; Rockland </v>
      </c>
    </row>
    <row r="99" spans="3:13" x14ac:dyDescent="0.5">
      <c r="C99" s="12">
        <v>45089</v>
      </c>
      <c r="D99" s="12" t="s">
        <v>18</v>
      </c>
      <c r="E99" s="19" t="s">
        <v>379</v>
      </c>
      <c r="F99" s="19">
        <v>880</v>
      </c>
      <c r="G99" s="19"/>
      <c r="H99" s="62"/>
      <c r="I99" s="21"/>
      <c r="J99" s="26" t="str">
        <f>IF(NOT(ISBLANK(Table_CheckAcct[[#This Row],[Date]])),TEXT(Table_CheckAcct[[#This Row],[Date]],"mmmm"),"")</f>
        <v>June</v>
      </c>
      <c r="K99" s="26">
        <f>YEAR(Table_CheckAcct[[#This Row],[Date]])</f>
        <v>2023</v>
      </c>
      <c r="L99" s="21" t="str">
        <f>IF(ISBLANK(Table_CheckAcct[[#This Row],[Description]]),"Opening/Closing",VLOOKUP(Table_CheckAcct[[#This Row],[Description]],Table7[],3,FALSE))</f>
        <v xml:space="preserve">US Small Business </v>
      </c>
      <c r="M99" s="91" t="str">
        <f>VLOOKUP(Table_CheckAcct[[#This Row],[Description Index]],Table3[],3,FALSE)</f>
        <v xml:space="preserve">US Small Business </v>
      </c>
    </row>
    <row r="100" spans="3:13" x14ac:dyDescent="0.5">
      <c r="C100" s="12">
        <v>45089</v>
      </c>
      <c r="D100" s="12" t="s">
        <v>18</v>
      </c>
      <c r="E100" s="19" t="s">
        <v>466</v>
      </c>
      <c r="F100" s="19">
        <v>150</v>
      </c>
      <c r="G100" s="19"/>
      <c r="H100" s="62"/>
      <c r="I100" s="21"/>
      <c r="J100" s="26" t="str">
        <f>IF(NOT(ISBLANK(Table_CheckAcct[[#This Row],[Date]])),TEXT(Table_CheckAcct[[#This Row],[Date]],"mmmm"),"")</f>
        <v>June</v>
      </c>
      <c r="K100" s="26">
        <f>YEAR(Table_CheckAcct[[#This Row],[Date]])</f>
        <v>2023</v>
      </c>
      <c r="L100" s="21" t="str">
        <f>IF(ISBLANK(Table_CheckAcct[[#This Row],[Description]]),"Opening/Closing",VLOOKUP(Table_CheckAcct[[#This Row],[Description]],Table7[],3,FALSE))</f>
        <v>Check</v>
      </c>
      <c r="M100" s="91">
        <f>VLOOKUP(Table_CheckAcct[[#This Row],[Description Index]],Table3[],3,FALSE)</f>
        <v>0</v>
      </c>
    </row>
    <row r="101" spans="3:13" x14ac:dyDescent="0.5">
      <c r="C101" s="12">
        <v>45090</v>
      </c>
      <c r="D101" s="12" t="s">
        <v>18</v>
      </c>
      <c r="E101" s="19" t="s">
        <v>464</v>
      </c>
      <c r="F101" s="19">
        <v>225</v>
      </c>
      <c r="G101" s="19"/>
      <c r="H101" s="62"/>
      <c r="I101" s="21"/>
      <c r="J101" s="26" t="str">
        <f>IF(NOT(ISBLANK(Table_CheckAcct[[#This Row],[Date]])),TEXT(Table_CheckAcct[[#This Row],[Date]],"mmmm"),"")</f>
        <v>June</v>
      </c>
      <c r="K101" s="26">
        <f>YEAR(Table_CheckAcct[[#This Row],[Date]])</f>
        <v>2023</v>
      </c>
      <c r="L101" s="21" t="str">
        <f>IF(ISBLANK(Table_CheckAcct[[#This Row],[Description]]),"Opening/Closing",VLOOKUP(Table_CheckAcct[[#This Row],[Description]],Table7[],3,FALSE))</f>
        <v>Check</v>
      </c>
      <c r="M101" s="91">
        <f>VLOOKUP(Table_CheckAcct[[#This Row],[Description Index]],Table3[],3,FALSE)</f>
        <v>0</v>
      </c>
    </row>
    <row r="102" spans="3:13" x14ac:dyDescent="0.5">
      <c r="C102" s="12">
        <v>45093</v>
      </c>
      <c r="D102" s="12" t="s">
        <v>50</v>
      </c>
      <c r="E102" s="19" t="s">
        <v>374</v>
      </c>
      <c r="F102" s="19"/>
      <c r="G102" s="19">
        <v>4600</v>
      </c>
      <c r="H102" s="62"/>
      <c r="I102" s="21"/>
      <c r="J102" s="26" t="str">
        <f>IF(NOT(ISBLANK(Table_CheckAcct[[#This Row],[Date]])),TEXT(Table_CheckAcct[[#This Row],[Date]],"mmmm"),"")</f>
        <v>June</v>
      </c>
      <c r="K102" s="26">
        <f>YEAR(Table_CheckAcct[[#This Row],[Date]])</f>
        <v>2023</v>
      </c>
      <c r="L102" s="21" t="str">
        <f>IF(ISBLANK(Table_CheckAcct[[#This Row],[Description]]),"Opening/Closing",VLOOKUP(Table_CheckAcct[[#This Row],[Description]],Table7[],3,FALSE))</f>
        <v>Deposit Branch 0447 New York</v>
      </c>
      <c r="M102" s="91" t="str">
        <f>VLOOKUP(Table_CheckAcct[[#This Row],[Description Index]],Table3[],3,FALSE)</f>
        <v>Deposit Branch 0447 New York</v>
      </c>
    </row>
    <row r="103" spans="3:13" x14ac:dyDescent="0.5">
      <c r="C103" s="12">
        <v>45093</v>
      </c>
      <c r="D103" s="12" t="s">
        <v>18</v>
      </c>
      <c r="E103" s="19" t="s">
        <v>380</v>
      </c>
      <c r="F103" s="19">
        <v>133</v>
      </c>
      <c r="G103" s="19"/>
      <c r="H103" s="62"/>
      <c r="I103" s="21"/>
      <c r="J103" s="26" t="str">
        <f>IF(NOT(ISBLANK(Table_CheckAcct[[#This Row],[Date]])),TEXT(Table_CheckAcct[[#This Row],[Date]],"mmmm"),"")</f>
        <v>June</v>
      </c>
      <c r="K103" s="26">
        <f>YEAR(Table_CheckAcct[[#This Row],[Date]])</f>
        <v>2023</v>
      </c>
      <c r="L103" s="21" t="str">
        <f>IF(ISBLANK(Table_CheckAcct[[#This Row],[Description]]),"Opening/Closing",VLOOKUP(Table_CheckAcct[[#This Row],[Description]],Table7[],3,FALSE))</f>
        <v>Dell Preferred Sssnent</v>
      </c>
      <c r="M103" s="91" t="str">
        <f>VLOOKUP(Table_CheckAcct[[#This Row],[Description Index]],Table3[],3,FALSE)</f>
        <v>Dell Preferred Sssnent</v>
      </c>
    </row>
    <row r="104" spans="3:13" x14ac:dyDescent="0.5">
      <c r="C104" s="12">
        <v>45093</v>
      </c>
      <c r="D104" s="12" t="s">
        <v>18</v>
      </c>
      <c r="E104" s="19" t="s">
        <v>381</v>
      </c>
      <c r="F104" s="19">
        <v>153</v>
      </c>
      <c r="G104" s="19"/>
      <c r="H104" s="62"/>
      <c r="I104" s="21"/>
      <c r="J104" s="26" t="str">
        <f>IF(NOT(ISBLANK(Table_CheckAcct[[#This Row],[Date]])),TEXT(Table_CheckAcct[[#This Row],[Date]],"mmmm"),"")</f>
        <v>June</v>
      </c>
      <c r="K104" s="26">
        <f>YEAR(Table_CheckAcct[[#This Row],[Date]])</f>
        <v>2023</v>
      </c>
      <c r="L104" s="21" t="str">
        <f>IF(ISBLANK(Table_CheckAcct[[#This Row],[Description]]),"Opening/Closing",VLOOKUP(Table_CheckAcct[[#This Row],[Description]],Table7[],3,FALSE))</f>
        <v>Dfsdirectpaymentdfspayment</v>
      </c>
      <c r="M104" s="91" t="str">
        <f>VLOOKUP(Table_CheckAcct[[#This Row],[Description Index]],Table3[],3,FALSE)</f>
        <v>Miscellaneous</v>
      </c>
    </row>
    <row r="105" spans="3:13" x14ac:dyDescent="0.5">
      <c r="C105" s="12">
        <v>45097</v>
      </c>
      <c r="D105" s="12" t="s">
        <v>50</v>
      </c>
      <c r="E105" s="19" t="s">
        <v>343</v>
      </c>
      <c r="F105" s="19"/>
      <c r="G105" s="19">
        <v>2468.77</v>
      </c>
      <c r="H105" s="62"/>
      <c r="I105" s="21"/>
      <c r="J105" s="26" t="str">
        <f>IF(NOT(ISBLANK(Table_CheckAcct[[#This Row],[Date]])),TEXT(Table_CheckAcct[[#This Row],[Date]],"mmmm"),"")</f>
        <v>June</v>
      </c>
      <c r="K105" s="26">
        <f>YEAR(Table_CheckAcct[[#This Row],[Date]])</f>
        <v>2023</v>
      </c>
      <c r="L105" s="21" t="str">
        <f>IF(ISBLANK(Table_CheckAcct[[#This Row],[Description]]),"Opening/Closing",VLOOKUP(Table_CheckAcct[[#This Row],[Description]],Table7[],3,FALSE))</f>
        <v>Mobile Check Deposit</v>
      </c>
      <c r="M105" s="91" t="str">
        <f>VLOOKUP(Table_CheckAcct[[#This Row],[Description Index]],Table3[],3,FALSE)</f>
        <v>Mobile Check Deposit</v>
      </c>
    </row>
    <row r="106" spans="3:13" x14ac:dyDescent="0.5">
      <c r="C106" s="12">
        <v>45097</v>
      </c>
      <c r="D106" s="12" t="s">
        <v>18</v>
      </c>
      <c r="E106" s="19" t="s">
        <v>382</v>
      </c>
      <c r="F106" s="19">
        <v>2000</v>
      </c>
      <c r="G106" s="19"/>
      <c r="H106" s="62"/>
      <c r="I106" s="21"/>
      <c r="J106" s="26" t="str">
        <f>IF(NOT(ISBLANK(Table_CheckAcct[[#This Row],[Date]])),TEXT(Table_CheckAcct[[#This Row],[Date]],"mmmm"),"")</f>
        <v>June</v>
      </c>
      <c r="K106" s="26">
        <f>YEAR(Table_CheckAcct[[#This Row],[Date]])</f>
        <v>2023</v>
      </c>
      <c r="L106" s="21" t="str">
        <f>IF(ISBLANK(Table_CheckAcct[[#This Row],[Description]]),"Opening/Closing",VLOOKUP(Table_CheckAcct[[#This Row],[Description]],Table7[],3,FALSE))</f>
        <v>Western Union Capture</v>
      </c>
      <c r="M106" s="91" t="str">
        <f>VLOOKUP(Table_CheckAcct[[#This Row],[Description Index]],Table3[],3,FALSE)</f>
        <v>Western Union Capture</v>
      </c>
    </row>
    <row r="107" spans="3:13" x14ac:dyDescent="0.5">
      <c r="C107" s="12">
        <v>45098</v>
      </c>
      <c r="D107" s="12" t="s">
        <v>18</v>
      </c>
      <c r="E107" s="19" t="s">
        <v>465</v>
      </c>
      <c r="F107" s="19">
        <v>950</v>
      </c>
      <c r="G107" s="19"/>
      <c r="H107" s="62"/>
      <c r="I107" s="21"/>
      <c r="J107" s="26" t="str">
        <f>IF(NOT(ISBLANK(Table_CheckAcct[[#This Row],[Date]])),TEXT(Table_CheckAcct[[#This Row],[Date]],"mmmm"),"")</f>
        <v>June</v>
      </c>
      <c r="K107" s="26">
        <f>YEAR(Table_CheckAcct[[#This Row],[Date]])</f>
        <v>2023</v>
      </c>
      <c r="L107" s="21" t="str">
        <f>IF(ISBLANK(Table_CheckAcct[[#This Row],[Description]]),"Opening/Closing",VLOOKUP(Table_CheckAcct[[#This Row],[Description]],Table7[],3,FALSE))</f>
        <v>Check</v>
      </c>
      <c r="M107" s="91">
        <f>VLOOKUP(Table_CheckAcct[[#This Row],[Description Index]],Table3[],3,FALSE)</f>
        <v>0</v>
      </c>
    </row>
    <row r="108" spans="3:13" x14ac:dyDescent="0.5">
      <c r="C108" s="12">
        <v>45100</v>
      </c>
      <c r="D108" s="12" t="s">
        <v>18</v>
      </c>
      <c r="E108" s="19" t="s">
        <v>383</v>
      </c>
      <c r="F108" s="19">
        <v>199.52</v>
      </c>
      <c r="G108" s="19"/>
      <c r="H108" s="62"/>
      <c r="I108" s="21"/>
      <c r="J108" s="26" t="str">
        <f>IF(NOT(ISBLANK(Table_CheckAcct[[#This Row],[Date]])),TEXT(Table_CheckAcct[[#This Row],[Date]],"mmmm"),"")</f>
        <v>June</v>
      </c>
      <c r="K108" s="26">
        <f>YEAR(Table_CheckAcct[[#This Row],[Date]])</f>
        <v>2023</v>
      </c>
      <c r="L108" s="21" t="str">
        <f>IF(ISBLANK(Table_CheckAcct[[#This Row],[Description]]),"Opening/Closing",VLOOKUP(Table_CheckAcct[[#This Row],[Description]],Table7[],3,FALSE))</f>
        <v xml:space="preserve">Lowes </v>
      </c>
      <c r="M108" s="91" t="str">
        <f>VLOOKUP(Table_CheckAcct[[#This Row],[Description Index]],Table3[],3,FALSE)</f>
        <v xml:space="preserve">Lowes </v>
      </c>
    </row>
    <row r="109" spans="3:13" x14ac:dyDescent="0.5">
      <c r="C109" s="12">
        <v>45103</v>
      </c>
      <c r="D109" s="12" t="s">
        <v>18</v>
      </c>
      <c r="E109" s="19" t="s">
        <v>332</v>
      </c>
      <c r="F109" s="19">
        <v>372.04</v>
      </c>
      <c r="G109" s="19"/>
      <c r="H109" s="62"/>
      <c r="I109" s="21"/>
      <c r="J109" s="26" t="str">
        <f>IF(NOT(ISBLANK(Table_CheckAcct[[#This Row],[Date]])),TEXT(Table_CheckAcct[[#This Row],[Date]],"mmmm"),"")</f>
        <v>June</v>
      </c>
      <c r="K109" s="26">
        <f>YEAR(Table_CheckAcct[[#This Row],[Date]])</f>
        <v>2023</v>
      </c>
      <c r="L109" s="21" t="str">
        <f>IF(ISBLANK(Table_CheckAcct[[#This Row],[Description]]),"Opening/Closing",VLOOKUP(Table_CheckAcct[[#This Row],[Description]],Table7[],3,FALSE))</f>
        <v>Wilkinmanagemweb Pmts</v>
      </c>
      <c r="M109" s="91" t="str">
        <f>VLOOKUP(Table_CheckAcct[[#This Row],[Description Index]],Table3[],3,FALSE)</f>
        <v>Wilkinmanagemweb Pmts</v>
      </c>
    </row>
    <row r="110" spans="3:13" x14ac:dyDescent="0.5">
      <c r="C110" s="12">
        <v>45104</v>
      </c>
      <c r="D110" s="12" t="s">
        <v>18</v>
      </c>
      <c r="E110" s="19" t="s">
        <v>338</v>
      </c>
      <c r="F110" s="19">
        <v>102.08</v>
      </c>
      <c r="G110" s="19"/>
      <c r="H110" s="62"/>
      <c r="I110" s="21"/>
      <c r="J110" s="26" t="str">
        <f>IF(NOT(ISBLANK(Table_CheckAcct[[#This Row],[Date]])),TEXT(Table_CheckAcct[[#This Row],[Date]],"mmmm"),"")</f>
        <v>June</v>
      </c>
      <c r="K110" s="26">
        <f>YEAR(Table_CheckAcct[[#This Row],[Date]])</f>
        <v>2023</v>
      </c>
      <c r="L110" s="21" t="str">
        <f>IF(ISBLANK(Table_CheckAcct[[#This Row],[Description]]),"Opening/Closing",VLOOKUP(Table_CheckAcct[[#This Row],[Description]],Table7[],3,FALSE))</f>
        <v>Verizon Payment</v>
      </c>
      <c r="M110" s="91" t="str">
        <f>VLOOKUP(Table_CheckAcct[[#This Row],[Description Index]],Table3[],3,FALSE)</f>
        <v>Verizon Payment</v>
      </c>
    </row>
    <row r="111" spans="3:13" x14ac:dyDescent="0.5">
      <c r="C111" s="12">
        <v>45107</v>
      </c>
      <c r="D111" s="12" t="s">
        <v>448</v>
      </c>
      <c r="E111" s="19" t="s">
        <v>449</v>
      </c>
      <c r="F111" s="19">
        <v>3</v>
      </c>
      <c r="G111" s="19"/>
      <c r="H111" s="62"/>
      <c r="I111" s="21"/>
      <c r="J111" s="26" t="str">
        <f>IF(NOT(ISBLANK(Table_CheckAcct[[#This Row],[Date]])),TEXT(Table_CheckAcct[[#This Row],[Date]],"mmmm"),"")</f>
        <v>June</v>
      </c>
      <c r="K111" s="26">
        <f>YEAR(Table_CheckAcct[[#This Row],[Date]])</f>
        <v>2023</v>
      </c>
      <c r="L111" s="21" t="str">
        <f>IF(ISBLANK(Table_CheckAcct[[#This Row],[Description]]),"Opening/Closing",VLOOKUP(Table_CheckAcct[[#This Row],[Description]],Table7[],3,FALSE))</f>
        <v>Paper Statement Fee</v>
      </c>
      <c r="M111" s="91">
        <f>VLOOKUP(Table_CheckAcct[[#This Row],[Description Index]],Table3[],3,FALSE)</f>
        <v>0</v>
      </c>
    </row>
    <row r="112" spans="3:13" x14ac:dyDescent="0.5">
      <c r="C112" s="12">
        <v>45107</v>
      </c>
      <c r="D112" s="12" t="s">
        <v>448</v>
      </c>
      <c r="E112" s="19" t="s">
        <v>450</v>
      </c>
      <c r="F112" s="19"/>
      <c r="G112" s="19">
        <v>3</v>
      </c>
      <c r="H112" s="62"/>
      <c r="I112" s="21"/>
      <c r="J112" s="26" t="str">
        <f>IF(NOT(ISBLANK(Table_CheckAcct[[#This Row],[Date]])),TEXT(Table_CheckAcct[[#This Row],[Date]],"mmmm"),"")</f>
        <v>June</v>
      </c>
      <c r="K112" s="26">
        <f>YEAR(Table_CheckAcct[[#This Row],[Date]])</f>
        <v>2023</v>
      </c>
      <c r="L112" s="21" t="str">
        <f>IF(ISBLANK(Table_CheckAcct[[#This Row],[Description]]),"Opening/Closing",VLOOKUP(Table_CheckAcct[[#This Row],[Description]],Table7[],3,FALSE))</f>
        <v>Paper Statement Fee</v>
      </c>
      <c r="M112" s="91">
        <f>VLOOKUP(Table_CheckAcct[[#This Row],[Description Index]],Table3[],3,FALSE)</f>
        <v>0</v>
      </c>
    </row>
    <row r="113" spans="3:13" ht="18.600000000000001" thickBot="1" x14ac:dyDescent="0.55000000000000004">
      <c r="C113" s="36">
        <v>45107</v>
      </c>
      <c r="D113" s="36" t="s">
        <v>461</v>
      </c>
      <c r="E113" s="37"/>
      <c r="F113" s="38">
        <f>SUM(F93:F112)</f>
        <v>7124.47</v>
      </c>
      <c r="G113" s="38">
        <f>SUM(G93:G112)</f>
        <v>10382.41</v>
      </c>
      <c r="H113" s="59">
        <v>14016.93</v>
      </c>
      <c r="I113" s="42">
        <f>H92-F113+G113-H113</f>
        <v>0</v>
      </c>
      <c r="J113" s="39" t="str">
        <f>IF(NOT(ISBLANK(Table_CheckAcct[[#This Row],[Date]])),TEXT(Table_CheckAcct[[#This Row],[Date]],"mmmm"),"")</f>
        <v>June</v>
      </c>
      <c r="K113" s="39">
        <f>YEAR(Table_CheckAcct[[#This Row],[Date]])</f>
        <v>2023</v>
      </c>
      <c r="L113" s="21" t="str">
        <f>IF(ISBLANK(Table_CheckAcct[[#This Row],[Description]]),"Opening/Closing",VLOOKUP(Table_CheckAcct[[#This Row],[Description]],Table7[],3,FALSE))</f>
        <v>Opening/Closing</v>
      </c>
      <c r="M113" s="91" t="str">
        <f>VLOOKUP(Table_CheckAcct[[#This Row],[Description Index]],Table3[],3,FALSE)</f>
        <v>Opening/Closing</v>
      </c>
    </row>
    <row r="114" spans="3:13" ht="18.600000000000001" thickTop="1" x14ac:dyDescent="0.5">
      <c r="C114" s="12">
        <v>45108</v>
      </c>
      <c r="D114" s="12" t="s">
        <v>451</v>
      </c>
      <c r="E114" s="19"/>
      <c r="F114" s="19"/>
      <c r="G114" s="19"/>
      <c r="H114" s="60">
        <f>H113</f>
        <v>14016.93</v>
      </c>
      <c r="I114" s="23"/>
      <c r="J114" s="26" t="str">
        <f>IF(NOT(ISBLANK(Table_CheckAcct[[#This Row],[Date]])),TEXT(Table_CheckAcct[[#This Row],[Date]],"mmmm"),"")</f>
        <v>July</v>
      </c>
      <c r="K114" s="26">
        <f>YEAR(Table_CheckAcct[[#This Row],[Date]])</f>
        <v>2023</v>
      </c>
      <c r="L114" s="21" t="str">
        <f>IF(ISBLANK(Table_CheckAcct[[#This Row],[Description]]),"Opening/Closing",VLOOKUP(Table_CheckAcct[[#This Row],[Description]],Table7[],3,FALSE))</f>
        <v>Opening/Closing</v>
      </c>
      <c r="M114" s="91" t="str">
        <f>VLOOKUP(Table_CheckAcct[[#This Row],[Description Index]],Table3[],3,FALSE)</f>
        <v>Opening/Closing</v>
      </c>
    </row>
    <row r="115" spans="3:13" x14ac:dyDescent="0.5">
      <c r="C115" s="12">
        <v>45112</v>
      </c>
      <c r="D115" s="12" t="s">
        <v>18</v>
      </c>
      <c r="E115" s="19" t="s">
        <v>332</v>
      </c>
      <c r="F115" s="19">
        <v>494.92</v>
      </c>
      <c r="G115" s="19"/>
      <c r="H115" s="62"/>
      <c r="I115" s="21"/>
      <c r="J115" s="26" t="str">
        <f>IF(NOT(ISBLANK(Table_CheckAcct[[#This Row],[Date]])),TEXT(Table_CheckAcct[[#This Row],[Date]],"mmmm"),"")</f>
        <v>July</v>
      </c>
      <c r="K115" s="26">
        <f>YEAR(Table_CheckAcct[[#This Row],[Date]])</f>
        <v>2023</v>
      </c>
      <c r="L115" s="21" t="str">
        <f>IF(ISBLANK(Table_CheckAcct[[#This Row],[Description]]),"Opening/Closing",VLOOKUP(Table_CheckAcct[[#This Row],[Description]],Table7[],3,FALSE))</f>
        <v>Wilkinmanagemweb Pmts</v>
      </c>
      <c r="M115" s="91" t="str">
        <f>VLOOKUP(Table_CheckAcct[[#This Row],[Description Index]],Table3[],3,FALSE)</f>
        <v>Wilkinmanagemweb Pmts</v>
      </c>
    </row>
    <row r="116" spans="3:13" x14ac:dyDescent="0.5">
      <c r="C116" s="12">
        <v>45114</v>
      </c>
      <c r="D116" s="12" t="s">
        <v>18</v>
      </c>
      <c r="E116" s="19" t="s">
        <v>335</v>
      </c>
      <c r="F116" s="19">
        <v>2318.71</v>
      </c>
      <c r="G116" s="19"/>
      <c r="H116" s="62"/>
      <c r="I116" s="21"/>
      <c r="J116" s="26" t="str">
        <f>IF(NOT(ISBLANK(Table_CheckAcct[[#This Row],[Date]])),TEXT(Table_CheckAcct[[#This Row],[Date]],"mmmm"),"")</f>
        <v>July</v>
      </c>
      <c r="K116" s="26">
        <f>YEAR(Table_CheckAcct[[#This Row],[Date]])</f>
        <v>2023</v>
      </c>
      <c r="L116" s="21" t="str">
        <f>IF(ISBLANK(Table_CheckAcct[[#This Row],[Description]]),"Opening/Closing",VLOOKUP(Table_CheckAcct[[#This Row],[Description]],Table7[],3,FALSE))</f>
        <v>Capital One Creditcard</v>
      </c>
      <c r="M116" s="91" t="str">
        <f>VLOOKUP(Table_CheckAcct[[#This Row],[Description Index]],Table3[],3,FALSE)</f>
        <v>Capital One Creditcard</v>
      </c>
    </row>
    <row r="117" spans="3:13" x14ac:dyDescent="0.5">
      <c r="C117" s="12">
        <v>45119</v>
      </c>
      <c r="D117" s="12" t="s">
        <v>18</v>
      </c>
      <c r="E117" s="19" t="s">
        <v>384</v>
      </c>
      <c r="F117" s="19">
        <v>880</v>
      </c>
      <c r="G117" s="19"/>
      <c r="H117" s="62"/>
      <c r="I117" s="21"/>
      <c r="J117" s="26" t="str">
        <f>IF(NOT(ISBLANK(Table_CheckAcct[[#This Row],[Date]])),TEXT(Table_CheckAcct[[#This Row],[Date]],"mmmm"),"")</f>
        <v>July</v>
      </c>
      <c r="K117" s="26">
        <f>YEAR(Table_CheckAcct[[#This Row],[Date]])</f>
        <v>2023</v>
      </c>
      <c r="L117" s="21" t="str">
        <f>IF(ISBLANK(Table_CheckAcct[[#This Row],[Description]]),"Opening/Closing",VLOOKUP(Table_CheckAcct[[#This Row],[Description]],Table7[],3,FALSE))</f>
        <v xml:space="preserve">US Small Business </v>
      </c>
      <c r="M117" s="91" t="str">
        <f>VLOOKUP(Table_CheckAcct[[#This Row],[Description Index]],Table3[],3,FALSE)</f>
        <v xml:space="preserve">US Small Business </v>
      </c>
    </row>
    <row r="118" spans="3:13" x14ac:dyDescent="0.5">
      <c r="C118" s="12">
        <v>45121</v>
      </c>
      <c r="D118" s="12" t="s">
        <v>50</v>
      </c>
      <c r="E118" s="19" t="s">
        <v>345</v>
      </c>
      <c r="F118" s="19"/>
      <c r="G118" s="19">
        <v>18030</v>
      </c>
      <c r="H118" s="62"/>
      <c r="I118" s="21"/>
      <c r="J118" s="26" t="str">
        <f>IF(NOT(ISBLANK(Table_CheckAcct[[#This Row],[Date]])),TEXT(Table_CheckAcct[[#This Row],[Date]],"mmmm"),"")</f>
        <v>July</v>
      </c>
      <c r="K118" s="26">
        <f>YEAR(Table_CheckAcct[[#This Row],[Date]])</f>
        <v>2023</v>
      </c>
      <c r="L118" s="21" t="str">
        <f>IF(ISBLANK(Table_CheckAcct[[#This Row],[Description]]),"Opening/Closing",VLOOKUP(Table_CheckAcct[[#This Row],[Description]],Table7[],3,FALSE))</f>
        <v>Deposit Branch 0447 New York</v>
      </c>
      <c r="M118" s="91" t="str">
        <f>VLOOKUP(Table_CheckAcct[[#This Row],[Description Index]],Table3[],3,FALSE)</f>
        <v>Deposit Branch 0447 New York</v>
      </c>
    </row>
    <row r="119" spans="3:13" x14ac:dyDescent="0.5">
      <c r="C119" s="12">
        <v>45121</v>
      </c>
      <c r="D119" s="12" t="s">
        <v>18</v>
      </c>
      <c r="E119" s="19" t="s">
        <v>385</v>
      </c>
      <c r="F119" s="19">
        <v>58.75</v>
      </c>
      <c r="G119" s="19"/>
      <c r="H119" s="62"/>
      <c r="I119" s="21"/>
      <c r="J119" s="26" t="str">
        <f>IF(NOT(ISBLANK(Table_CheckAcct[[#This Row],[Date]])),TEXT(Table_CheckAcct[[#This Row],[Date]],"mmmm"),"")</f>
        <v>July</v>
      </c>
      <c r="K119" s="26">
        <f>YEAR(Table_CheckAcct[[#This Row],[Date]])</f>
        <v>2023</v>
      </c>
      <c r="L119" s="21" t="str">
        <f>IF(ISBLANK(Table_CheckAcct[[#This Row],[Description]]),"Opening/Closing",VLOOKUP(Table_CheckAcct[[#This Row],[Description]],Table7[],3,FALSE))</f>
        <v xml:space="preserve">Orange &amp; Rockland </v>
      </c>
      <c r="M119" s="91" t="str">
        <f>VLOOKUP(Table_CheckAcct[[#This Row],[Description Index]],Table3[],3,FALSE)</f>
        <v xml:space="preserve">Orange &amp; Rockland </v>
      </c>
    </row>
    <row r="120" spans="3:13" x14ac:dyDescent="0.5">
      <c r="C120" s="12">
        <v>45121</v>
      </c>
      <c r="D120" s="12" t="s">
        <v>18</v>
      </c>
      <c r="E120" s="19" t="s">
        <v>386</v>
      </c>
      <c r="F120" s="19">
        <v>297.02</v>
      </c>
      <c r="G120" s="19"/>
      <c r="H120" s="62"/>
      <c r="I120" s="21"/>
      <c r="J120" s="26" t="str">
        <f>IF(NOT(ISBLANK(Table_CheckAcct[[#This Row],[Date]])),TEXT(Table_CheckAcct[[#This Row],[Date]],"mmmm"),"")</f>
        <v>July</v>
      </c>
      <c r="K120" s="26">
        <f>YEAR(Table_CheckAcct[[#This Row],[Date]])</f>
        <v>2023</v>
      </c>
      <c r="L120" s="21" t="str">
        <f>IF(ISBLANK(Table_CheckAcct[[#This Row],[Description]]),"Opening/Closing",VLOOKUP(Table_CheckAcct[[#This Row],[Description]],Table7[],3,FALSE))</f>
        <v xml:space="preserve">Lowes </v>
      </c>
      <c r="M120" s="91" t="str">
        <f>VLOOKUP(Table_CheckAcct[[#This Row],[Description Index]],Table3[],3,FALSE)</f>
        <v xml:space="preserve">Lowes </v>
      </c>
    </row>
    <row r="121" spans="3:13" x14ac:dyDescent="0.5">
      <c r="C121" s="12">
        <v>45124</v>
      </c>
      <c r="D121" s="12" t="s">
        <v>18</v>
      </c>
      <c r="E121" s="19" t="s">
        <v>380</v>
      </c>
      <c r="F121" s="19">
        <v>125</v>
      </c>
      <c r="G121" s="19"/>
      <c r="H121" s="62"/>
      <c r="I121" s="21"/>
      <c r="J121" s="26" t="str">
        <f>IF(NOT(ISBLANK(Table_CheckAcct[[#This Row],[Date]])),TEXT(Table_CheckAcct[[#This Row],[Date]],"mmmm"),"")</f>
        <v>July</v>
      </c>
      <c r="K121" s="26">
        <f>YEAR(Table_CheckAcct[[#This Row],[Date]])</f>
        <v>2023</v>
      </c>
      <c r="L121" s="21" t="str">
        <f>IF(ISBLANK(Table_CheckAcct[[#This Row],[Description]]),"Opening/Closing",VLOOKUP(Table_CheckAcct[[#This Row],[Description]],Table7[],3,FALSE))</f>
        <v>Dell Preferred Sssnent</v>
      </c>
      <c r="M121" s="91" t="str">
        <f>VLOOKUP(Table_CheckAcct[[#This Row],[Description Index]],Table3[],3,FALSE)</f>
        <v>Dell Preferred Sssnent</v>
      </c>
    </row>
    <row r="122" spans="3:13" x14ac:dyDescent="0.5">
      <c r="C122" s="12">
        <v>45125</v>
      </c>
      <c r="D122" s="12" t="s">
        <v>18</v>
      </c>
      <c r="E122" s="19" t="s">
        <v>382</v>
      </c>
      <c r="F122" s="19">
        <v>6097.99</v>
      </c>
      <c r="G122" s="19"/>
      <c r="H122" s="62"/>
      <c r="I122" s="21"/>
      <c r="J122" s="26" t="str">
        <f>IF(NOT(ISBLANK(Table_CheckAcct[[#This Row],[Date]])),TEXT(Table_CheckAcct[[#This Row],[Date]],"mmmm"),"")</f>
        <v>July</v>
      </c>
      <c r="K122" s="26">
        <f>YEAR(Table_CheckAcct[[#This Row],[Date]])</f>
        <v>2023</v>
      </c>
      <c r="L122" s="21" t="str">
        <f>IF(ISBLANK(Table_CheckAcct[[#This Row],[Description]]),"Opening/Closing",VLOOKUP(Table_CheckAcct[[#This Row],[Description]],Table7[],3,FALSE))</f>
        <v>Western Union Capture</v>
      </c>
      <c r="M122" s="91" t="str">
        <f>VLOOKUP(Table_CheckAcct[[#This Row],[Description Index]],Table3[],3,FALSE)</f>
        <v>Western Union Capture</v>
      </c>
    </row>
    <row r="123" spans="3:13" x14ac:dyDescent="0.5">
      <c r="C123" s="12">
        <v>45132</v>
      </c>
      <c r="D123" s="12" t="s">
        <v>18</v>
      </c>
      <c r="E123" s="19" t="s">
        <v>332</v>
      </c>
      <c r="F123" s="19">
        <v>372.04</v>
      </c>
      <c r="G123" s="19"/>
      <c r="H123" s="62"/>
      <c r="I123" s="21"/>
      <c r="J123" s="26" t="str">
        <f>IF(NOT(ISBLANK(Table_CheckAcct[[#This Row],[Date]])),TEXT(Table_CheckAcct[[#This Row],[Date]],"mmmm"),"")</f>
        <v>July</v>
      </c>
      <c r="K123" s="26">
        <f>YEAR(Table_CheckAcct[[#This Row],[Date]])</f>
        <v>2023</v>
      </c>
      <c r="L123" s="21" t="str">
        <f>IF(ISBLANK(Table_CheckAcct[[#This Row],[Description]]),"Opening/Closing",VLOOKUP(Table_CheckAcct[[#This Row],[Description]],Table7[],3,FALSE))</f>
        <v>Wilkinmanagemweb Pmts</v>
      </c>
      <c r="M123" s="91" t="str">
        <f>VLOOKUP(Table_CheckAcct[[#This Row],[Description Index]],Table3[],3,FALSE)</f>
        <v>Wilkinmanagemweb Pmts</v>
      </c>
    </row>
    <row r="124" spans="3:13" x14ac:dyDescent="0.5">
      <c r="C124" s="12">
        <v>45134</v>
      </c>
      <c r="D124" s="12" t="s">
        <v>50</v>
      </c>
      <c r="E124" s="19" t="s">
        <v>343</v>
      </c>
      <c r="F124" s="19"/>
      <c r="G124" s="19">
        <v>2648.64</v>
      </c>
      <c r="H124" s="62"/>
      <c r="I124" s="21"/>
      <c r="J124" s="26" t="str">
        <f>IF(NOT(ISBLANK(Table_CheckAcct[[#This Row],[Date]])),TEXT(Table_CheckAcct[[#This Row],[Date]],"mmmm"),"")</f>
        <v>July</v>
      </c>
      <c r="K124" s="26">
        <f>YEAR(Table_CheckAcct[[#This Row],[Date]])</f>
        <v>2023</v>
      </c>
      <c r="L124" s="21" t="str">
        <f>IF(ISBLANK(Table_CheckAcct[[#This Row],[Description]]),"Opening/Closing",VLOOKUP(Table_CheckAcct[[#This Row],[Description]],Table7[],3,FALSE))</f>
        <v>Mobile Check Deposit</v>
      </c>
      <c r="M124" s="91" t="str">
        <f>VLOOKUP(Table_CheckAcct[[#This Row],[Description Index]],Table3[],3,FALSE)</f>
        <v>Mobile Check Deposit</v>
      </c>
    </row>
    <row r="125" spans="3:13" x14ac:dyDescent="0.5">
      <c r="C125" s="12">
        <v>45134</v>
      </c>
      <c r="D125" s="12" t="s">
        <v>50</v>
      </c>
      <c r="E125" s="19" t="s">
        <v>343</v>
      </c>
      <c r="F125" s="19"/>
      <c r="G125" s="19">
        <v>5000</v>
      </c>
      <c r="H125" s="62"/>
      <c r="I125" s="21"/>
      <c r="J125" s="26" t="str">
        <f>IF(NOT(ISBLANK(Table_CheckAcct[[#This Row],[Date]])),TEXT(Table_CheckAcct[[#This Row],[Date]],"mmmm"),"")</f>
        <v>July</v>
      </c>
      <c r="K125" s="26">
        <f>YEAR(Table_CheckAcct[[#This Row],[Date]])</f>
        <v>2023</v>
      </c>
      <c r="L125" s="21" t="str">
        <f>IF(ISBLANK(Table_CheckAcct[[#This Row],[Description]]),"Opening/Closing",VLOOKUP(Table_CheckAcct[[#This Row],[Description]],Table7[],3,FALSE))</f>
        <v>Mobile Check Deposit</v>
      </c>
      <c r="M125" s="91" t="str">
        <f>VLOOKUP(Table_CheckAcct[[#This Row],[Description Index]],Table3[],3,FALSE)</f>
        <v>Mobile Check Deposit</v>
      </c>
    </row>
    <row r="126" spans="3:13" x14ac:dyDescent="0.5">
      <c r="C126" s="12">
        <v>45134</v>
      </c>
      <c r="D126" s="12" t="s">
        <v>18</v>
      </c>
      <c r="E126" s="19" t="s">
        <v>338</v>
      </c>
      <c r="F126" s="19">
        <v>102.08</v>
      </c>
      <c r="G126" s="19"/>
      <c r="H126" s="62"/>
      <c r="I126" s="21"/>
      <c r="J126" s="26" t="str">
        <f>IF(NOT(ISBLANK(Table_CheckAcct[[#This Row],[Date]])),TEXT(Table_CheckAcct[[#This Row],[Date]],"mmmm"),"")</f>
        <v>July</v>
      </c>
      <c r="K126" s="26">
        <f>YEAR(Table_CheckAcct[[#This Row],[Date]])</f>
        <v>2023</v>
      </c>
      <c r="L126" s="21" t="str">
        <f>IF(ISBLANK(Table_CheckAcct[[#This Row],[Description]]),"Opening/Closing",VLOOKUP(Table_CheckAcct[[#This Row],[Description]],Table7[],3,FALSE))</f>
        <v>Verizon Payment</v>
      </c>
      <c r="M126" s="91" t="str">
        <f>VLOOKUP(Table_CheckAcct[[#This Row],[Description Index]],Table3[],3,FALSE)</f>
        <v>Verizon Payment</v>
      </c>
    </row>
    <row r="127" spans="3:13" x14ac:dyDescent="0.5">
      <c r="C127" s="12">
        <v>45134</v>
      </c>
      <c r="D127" s="12" t="s">
        <v>18</v>
      </c>
      <c r="E127" s="19" t="s">
        <v>387</v>
      </c>
      <c r="F127" s="19">
        <v>290.16000000000003</v>
      </c>
      <c r="G127" s="19"/>
      <c r="H127" s="62"/>
      <c r="I127" s="21"/>
      <c r="J127" s="26" t="str">
        <f>IF(NOT(ISBLANK(Table_CheckAcct[[#This Row],[Date]])),TEXT(Table_CheckAcct[[#This Row],[Date]],"mmmm"),"")</f>
        <v>July</v>
      </c>
      <c r="K127" s="26">
        <f>YEAR(Table_CheckAcct[[#This Row],[Date]])</f>
        <v>2023</v>
      </c>
      <c r="L127" s="21" t="str">
        <f>IF(ISBLANK(Table_CheckAcct[[#This Row],[Description]]),"Opening/Closing",VLOOKUP(Table_CheckAcct[[#This Row],[Description]],Table7[],3,FALSE))</f>
        <v xml:space="preserve">Home Depot </v>
      </c>
      <c r="M127" s="91" t="str">
        <f>VLOOKUP(Table_CheckAcct[[#This Row],[Description Index]],Table3[],3,FALSE)</f>
        <v xml:space="preserve">Home Depot </v>
      </c>
    </row>
    <row r="128" spans="3:13" x14ac:dyDescent="0.5">
      <c r="C128" s="12">
        <v>45138</v>
      </c>
      <c r="D128" s="12" t="s">
        <v>50</v>
      </c>
      <c r="E128" s="19" t="s">
        <v>345</v>
      </c>
      <c r="F128" s="19"/>
      <c r="G128" s="19">
        <v>15100</v>
      </c>
      <c r="H128" s="62"/>
      <c r="I128" s="21"/>
      <c r="J128" s="26" t="str">
        <f>IF(NOT(ISBLANK(Table_CheckAcct[[#This Row],[Date]])),TEXT(Table_CheckAcct[[#This Row],[Date]],"mmmm"),"")</f>
        <v>July</v>
      </c>
      <c r="K128" s="26">
        <f>YEAR(Table_CheckAcct[[#This Row],[Date]])</f>
        <v>2023</v>
      </c>
      <c r="L128" s="21" t="str">
        <f>IF(ISBLANK(Table_CheckAcct[[#This Row],[Description]]),"Opening/Closing",VLOOKUP(Table_CheckAcct[[#This Row],[Description]],Table7[],3,FALSE))</f>
        <v>Deposit Branch 0447 New York</v>
      </c>
      <c r="M128" s="91" t="str">
        <f>VLOOKUP(Table_CheckAcct[[#This Row],[Description Index]],Table3[],3,FALSE)</f>
        <v>Deposit Branch 0447 New York</v>
      </c>
    </row>
    <row r="129" spans="3:13" x14ac:dyDescent="0.5">
      <c r="C129" s="12">
        <v>45138</v>
      </c>
      <c r="D129" s="12" t="s">
        <v>448</v>
      </c>
      <c r="E129" s="19" t="s">
        <v>449</v>
      </c>
      <c r="F129" s="19">
        <v>3</v>
      </c>
      <c r="G129" s="19"/>
      <c r="H129" s="62"/>
      <c r="I129" s="21"/>
      <c r="J129" s="26" t="str">
        <f>IF(NOT(ISBLANK(Table_CheckAcct[[#This Row],[Date]])),TEXT(Table_CheckAcct[[#This Row],[Date]],"mmmm"),"")</f>
        <v>July</v>
      </c>
      <c r="K129" s="26">
        <f>YEAR(Table_CheckAcct[[#This Row],[Date]])</f>
        <v>2023</v>
      </c>
      <c r="L129" s="21" t="str">
        <f>IF(ISBLANK(Table_CheckAcct[[#This Row],[Description]]),"Opening/Closing",VLOOKUP(Table_CheckAcct[[#This Row],[Description]],Table7[],3,FALSE))</f>
        <v>Paper Statement Fee</v>
      </c>
      <c r="M129" s="91">
        <f>VLOOKUP(Table_CheckAcct[[#This Row],[Description Index]],Table3[],3,FALSE)</f>
        <v>0</v>
      </c>
    </row>
    <row r="130" spans="3:13" x14ac:dyDescent="0.5">
      <c r="C130" s="12">
        <v>45138</v>
      </c>
      <c r="D130" s="12" t="s">
        <v>448</v>
      </c>
      <c r="E130" s="19" t="s">
        <v>450</v>
      </c>
      <c r="F130" s="19"/>
      <c r="G130" s="19">
        <v>3</v>
      </c>
      <c r="H130" s="62"/>
      <c r="I130" s="21"/>
      <c r="J130" s="26" t="str">
        <f>IF(NOT(ISBLANK(Table_CheckAcct[[#This Row],[Date]])),TEXT(Table_CheckAcct[[#This Row],[Date]],"mmmm"),"")</f>
        <v>July</v>
      </c>
      <c r="K130" s="26">
        <f>YEAR(Table_CheckAcct[[#This Row],[Date]])</f>
        <v>2023</v>
      </c>
      <c r="L130" s="21" t="str">
        <f>IF(ISBLANK(Table_CheckAcct[[#This Row],[Description]]),"Opening/Closing",VLOOKUP(Table_CheckAcct[[#This Row],[Description]],Table7[],3,FALSE))</f>
        <v>Paper Statement Fee</v>
      </c>
      <c r="M130" s="91">
        <f>VLOOKUP(Table_CheckAcct[[#This Row],[Description Index]],Table3[],3,FALSE)</f>
        <v>0</v>
      </c>
    </row>
    <row r="131" spans="3:13" ht="18.600000000000001" thickBot="1" x14ac:dyDescent="0.55000000000000004">
      <c r="C131" s="36">
        <v>45138</v>
      </c>
      <c r="D131" s="36" t="s">
        <v>461</v>
      </c>
      <c r="E131" s="37"/>
      <c r="F131" s="38">
        <f>SUM(F115:F130)</f>
        <v>11039.67</v>
      </c>
      <c r="G131" s="38">
        <f>SUM(G115:G130)</f>
        <v>40781.64</v>
      </c>
      <c r="H131" s="59">
        <v>43758.9</v>
      </c>
      <c r="I131" s="42">
        <f>H114-F131+G131-H131</f>
        <v>0</v>
      </c>
      <c r="J131" s="39" t="str">
        <f>IF(NOT(ISBLANK(Table_CheckAcct[[#This Row],[Date]])),TEXT(Table_CheckAcct[[#This Row],[Date]],"mmmm"),"")</f>
        <v>July</v>
      </c>
      <c r="K131" s="39">
        <f>YEAR(Table_CheckAcct[[#This Row],[Date]])</f>
        <v>2023</v>
      </c>
      <c r="L131" s="21" t="str">
        <f>IF(ISBLANK(Table_CheckAcct[[#This Row],[Description]]),"Opening/Closing",VLOOKUP(Table_CheckAcct[[#This Row],[Description]],Table7[],3,FALSE))</f>
        <v>Opening/Closing</v>
      </c>
      <c r="M131" s="91" t="str">
        <f>VLOOKUP(Table_CheckAcct[[#This Row],[Description Index]],Table3[],3,FALSE)</f>
        <v>Opening/Closing</v>
      </c>
    </row>
    <row r="132" spans="3:13" ht="18.600000000000001" thickTop="1" x14ac:dyDescent="0.5">
      <c r="C132" s="12">
        <v>45139</v>
      </c>
      <c r="D132" s="12" t="s">
        <v>451</v>
      </c>
      <c r="E132" s="19"/>
      <c r="F132" s="19"/>
      <c r="G132" s="19"/>
      <c r="H132" s="60">
        <f>H131</f>
        <v>43758.9</v>
      </c>
      <c r="I132" s="23"/>
      <c r="J132" s="26" t="str">
        <f>IF(NOT(ISBLANK(Table_CheckAcct[[#This Row],[Date]])),TEXT(Table_CheckAcct[[#This Row],[Date]],"mmmm"),"")</f>
        <v>August</v>
      </c>
      <c r="K132" s="26">
        <f>YEAR(Table_CheckAcct[[#This Row],[Date]])</f>
        <v>2023</v>
      </c>
      <c r="L132" s="21" t="str">
        <f>IF(ISBLANK(Table_CheckAcct[[#This Row],[Description]]),"Opening/Closing",VLOOKUP(Table_CheckAcct[[#This Row],[Description]],Table7[],3,FALSE))</f>
        <v>Opening/Closing</v>
      </c>
      <c r="M132" s="91" t="str">
        <f>VLOOKUP(Table_CheckAcct[[#This Row],[Description Index]],Table3[],3,FALSE)</f>
        <v>Opening/Closing</v>
      </c>
    </row>
    <row r="133" spans="3:13" x14ac:dyDescent="0.5">
      <c r="C133" s="12">
        <v>45139</v>
      </c>
      <c r="D133" s="12" t="s">
        <v>50</v>
      </c>
      <c r="E133" s="19" t="s">
        <v>345</v>
      </c>
      <c r="F133" s="19"/>
      <c r="G133" s="19">
        <v>10787.5</v>
      </c>
      <c r="H133" s="62"/>
      <c r="I133" s="21"/>
      <c r="J133" s="26" t="str">
        <f>IF(NOT(ISBLANK(Table_CheckAcct[[#This Row],[Date]])),TEXT(Table_CheckAcct[[#This Row],[Date]],"mmmm"),"")</f>
        <v>August</v>
      </c>
      <c r="K133" s="26">
        <f>YEAR(Table_CheckAcct[[#This Row],[Date]])</f>
        <v>2023</v>
      </c>
      <c r="L133" s="21" t="str">
        <f>IF(ISBLANK(Table_CheckAcct[[#This Row],[Description]]),"Opening/Closing",VLOOKUP(Table_CheckAcct[[#This Row],[Description]],Table7[],3,FALSE))</f>
        <v>Deposit Branch 0447 New York</v>
      </c>
      <c r="M133" s="91" t="str">
        <f>VLOOKUP(Table_CheckAcct[[#This Row],[Description Index]],Table3[],3,FALSE)</f>
        <v>Deposit Branch 0447 New York</v>
      </c>
    </row>
    <row r="134" spans="3:13" x14ac:dyDescent="0.5">
      <c r="C134" s="12">
        <v>45142</v>
      </c>
      <c r="D134" s="12" t="s">
        <v>18</v>
      </c>
      <c r="E134" s="19" t="s">
        <v>332</v>
      </c>
      <c r="F134" s="19">
        <v>494.92</v>
      </c>
      <c r="G134" s="19"/>
      <c r="H134" s="62"/>
      <c r="I134" s="21"/>
      <c r="J134" s="26" t="str">
        <f>IF(NOT(ISBLANK(Table_CheckAcct[[#This Row],[Date]])),TEXT(Table_CheckAcct[[#This Row],[Date]],"mmmm"),"")</f>
        <v>August</v>
      </c>
      <c r="K134" s="26">
        <f>YEAR(Table_CheckAcct[[#This Row],[Date]])</f>
        <v>2023</v>
      </c>
      <c r="L134" s="21" t="str">
        <f>IF(ISBLANK(Table_CheckAcct[[#This Row],[Description]]),"Opening/Closing",VLOOKUP(Table_CheckAcct[[#This Row],[Description]],Table7[],3,FALSE))</f>
        <v>Wilkinmanagemweb Pmts</v>
      </c>
      <c r="M134" s="91" t="str">
        <f>VLOOKUP(Table_CheckAcct[[#This Row],[Description Index]],Table3[],3,FALSE)</f>
        <v>Wilkinmanagemweb Pmts</v>
      </c>
    </row>
    <row r="135" spans="3:13" x14ac:dyDescent="0.5">
      <c r="C135" s="12">
        <v>45146</v>
      </c>
      <c r="D135" s="12" t="s">
        <v>18</v>
      </c>
      <c r="E135" s="19" t="s">
        <v>389</v>
      </c>
      <c r="F135" s="19">
        <v>3774.61</v>
      </c>
      <c r="G135" s="19"/>
      <c r="H135" s="62"/>
      <c r="I135" s="21"/>
      <c r="J135" s="26" t="str">
        <f>IF(NOT(ISBLANK(Table_CheckAcct[[#This Row],[Date]])),TEXT(Table_CheckAcct[[#This Row],[Date]],"mmmm"),"")</f>
        <v>August</v>
      </c>
      <c r="K135" s="26">
        <f>YEAR(Table_CheckAcct[[#This Row],[Date]])</f>
        <v>2023</v>
      </c>
      <c r="L135" s="21" t="str">
        <f>IF(ISBLANK(Table_CheckAcct[[#This Row],[Description]]),"Opening/Closing",VLOOKUP(Table_CheckAcct[[#This Row],[Description]],Table7[],3,FALSE))</f>
        <v xml:space="preserve">Flagstar Bank </v>
      </c>
      <c r="M135" s="91" t="str">
        <f>VLOOKUP(Table_CheckAcct[[#This Row],[Description Index]],Table3[],3,FALSE)</f>
        <v xml:space="preserve">Flagstar Bank </v>
      </c>
    </row>
    <row r="136" spans="3:13" x14ac:dyDescent="0.5">
      <c r="C136" s="12">
        <v>45146</v>
      </c>
      <c r="D136" s="12" t="s">
        <v>18</v>
      </c>
      <c r="E136" s="19" t="s">
        <v>335</v>
      </c>
      <c r="F136" s="19">
        <v>6717.37</v>
      </c>
      <c r="G136" s="19"/>
      <c r="H136" s="62"/>
      <c r="I136" s="21"/>
      <c r="J136" s="26" t="str">
        <f>IF(NOT(ISBLANK(Table_CheckAcct[[#This Row],[Date]])),TEXT(Table_CheckAcct[[#This Row],[Date]],"mmmm"),"")</f>
        <v>August</v>
      </c>
      <c r="K136" s="26">
        <f>YEAR(Table_CheckAcct[[#This Row],[Date]])</f>
        <v>2023</v>
      </c>
      <c r="L136" s="21" t="str">
        <f>IF(ISBLANK(Table_CheckAcct[[#This Row],[Description]]),"Opening/Closing",VLOOKUP(Table_CheckAcct[[#This Row],[Description]],Table7[],3,FALSE))</f>
        <v>Capital One Creditcard</v>
      </c>
      <c r="M136" s="91" t="str">
        <f>VLOOKUP(Table_CheckAcct[[#This Row],[Description Index]],Table3[],3,FALSE)</f>
        <v>Capital One Creditcard</v>
      </c>
    </row>
    <row r="137" spans="3:13" x14ac:dyDescent="0.5">
      <c r="C137" s="12">
        <v>45152</v>
      </c>
      <c r="D137" s="12" t="s">
        <v>18</v>
      </c>
      <c r="E137" s="19" t="s">
        <v>390</v>
      </c>
      <c r="F137" s="19">
        <v>880</v>
      </c>
      <c r="G137" s="19"/>
      <c r="H137" s="62"/>
      <c r="I137" s="21"/>
      <c r="J137" s="26" t="str">
        <f>IF(NOT(ISBLANK(Table_CheckAcct[[#This Row],[Date]])),TEXT(Table_CheckAcct[[#This Row],[Date]],"mmmm"),"")</f>
        <v>August</v>
      </c>
      <c r="K137" s="26">
        <f>YEAR(Table_CheckAcct[[#This Row],[Date]])</f>
        <v>2023</v>
      </c>
      <c r="L137" s="21" t="str">
        <f>IF(ISBLANK(Table_CheckAcct[[#This Row],[Description]]),"Opening/Closing",VLOOKUP(Table_CheckAcct[[#This Row],[Description]],Table7[],3,FALSE))</f>
        <v xml:space="preserve">US Small Business </v>
      </c>
      <c r="M137" s="91" t="str">
        <f>VLOOKUP(Table_CheckAcct[[#This Row],[Description Index]],Table3[],3,FALSE)</f>
        <v xml:space="preserve">US Small Business </v>
      </c>
    </row>
    <row r="138" spans="3:13" x14ac:dyDescent="0.5">
      <c r="C138" s="12">
        <v>45153</v>
      </c>
      <c r="D138" s="12" t="s">
        <v>18</v>
      </c>
      <c r="E138" s="19" t="s">
        <v>380</v>
      </c>
      <c r="F138" s="19">
        <v>121</v>
      </c>
      <c r="G138" s="19"/>
      <c r="H138" s="62"/>
      <c r="I138" s="21"/>
      <c r="J138" s="26" t="str">
        <f>IF(NOT(ISBLANK(Table_CheckAcct[[#This Row],[Date]])),TEXT(Table_CheckAcct[[#This Row],[Date]],"mmmm"),"")</f>
        <v>August</v>
      </c>
      <c r="K138" s="26">
        <f>YEAR(Table_CheckAcct[[#This Row],[Date]])</f>
        <v>2023</v>
      </c>
      <c r="L138" s="21" t="str">
        <f>IF(ISBLANK(Table_CheckAcct[[#This Row],[Description]]),"Opening/Closing",VLOOKUP(Table_CheckAcct[[#This Row],[Description]],Table7[],3,FALSE))</f>
        <v>Dell Preferred Sssnent</v>
      </c>
      <c r="M138" s="91" t="str">
        <f>VLOOKUP(Table_CheckAcct[[#This Row],[Description Index]],Table3[],3,FALSE)</f>
        <v>Dell Preferred Sssnent</v>
      </c>
    </row>
    <row r="139" spans="3:13" x14ac:dyDescent="0.5">
      <c r="C139" s="12">
        <v>45156</v>
      </c>
      <c r="D139" s="12" t="s">
        <v>18</v>
      </c>
      <c r="E139" s="19" t="s">
        <v>391</v>
      </c>
      <c r="F139" s="19">
        <v>56.56</v>
      </c>
      <c r="G139" s="19"/>
      <c r="H139" s="62"/>
      <c r="I139" s="21"/>
      <c r="J139" s="26" t="str">
        <f>IF(NOT(ISBLANK(Table_CheckAcct[[#This Row],[Date]])),TEXT(Table_CheckAcct[[#This Row],[Date]],"mmmm"),"")</f>
        <v>August</v>
      </c>
      <c r="K139" s="26">
        <f>YEAR(Table_CheckAcct[[#This Row],[Date]])</f>
        <v>2023</v>
      </c>
      <c r="L139" s="21" t="str">
        <f>IF(ISBLANK(Table_CheckAcct[[#This Row],[Description]]),"Opening/Closing",VLOOKUP(Table_CheckAcct[[#This Row],[Description]],Table7[],3,FALSE))</f>
        <v xml:space="preserve">Orange &amp; Rockland </v>
      </c>
      <c r="M139" s="91" t="str">
        <f>VLOOKUP(Table_CheckAcct[[#This Row],[Description Index]],Table3[],3,FALSE)</f>
        <v xml:space="preserve">Orange &amp; Rockland </v>
      </c>
    </row>
    <row r="140" spans="3:13" x14ac:dyDescent="0.5">
      <c r="C140" s="12">
        <v>45156</v>
      </c>
      <c r="D140" s="12" t="s">
        <v>18</v>
      </c>
      <c r="E140" s="19" t="s">
        <v>364</v>
      </c>
      <c r="F140" s="19">
        <v>30000</v>
      </c>
      <c r="G140" s="19"/>
      <c r="H140" s="62"/>
      <c r="I140" s="21"/>
      <c r="J140" s="26" t="str">
        <f>IF(NOT(ISBLANK(Table_CheckAcct[[#This Row],[Date]])),TEXT(Table_CheckAcct[[#This Row],[Date]],"mmmm"),"")</f>
        <v>August</v>
      </c>
      <c r="K140" s="26">
        <f>YEAR(Table_CheckAcct[[#This Row],[Date]])</f>
        <v>2023</v>
      </c>
      <c r="L140" s="21" t="str">
        <f>IF(ISBLANK(Table_CheckAcct[[#This Row],[Description]]),"Opening/Closing",VLOOKUP(Table_CheckAcct[[#This Row],[Description]],Table7[],3,FALSE))</f>
        <v>Internet Trf 0000000476720427 3290</v>
      </c>
      <c r="M140" s="91" t="str">
        <f>VLOOKUP(Table_CheckAcct[[#This Row],[Description Index]],Table3[],3,FALSE)</f>
        <v>Internet Trf 0000000476720427 3290</v>
      </c>
    </row>
    <row r="141" spans="3:13" x14ac:dyDescent="0.5">
      <c r="C141" s="12">
        <v>45156</v>
      </c>
      <c r="D141" s="12" t="s">
        <v>18</v>
      </c>
      <c r="E141" s="19" t="s">
        <v>467</v>
      </c>
      <c r="F141" s="19">
        <v>500</v>
      </c>
      <c r="G141" s="19"/>
      <c r="H141" s="62"/>
      <c r="I141" s="21"/>
      <c r="J141" s="26" t="str">
        <f>IF(NOT(ISBLANK(Table_CheckAcct[[#This Row],[Date]])),TEXT(Table_CheckAcct[[#This Row],[Date]],"mmmm"),"")</f>
        <v>August</v>
      </c>
      <c r="K141" s="26">
        <f>YEAR(Table_CheckAcct[[#This Row],[Date]])</f>
        <v>2023</v>
      </c>
      <c r="L141" s="21" t="str">
        <f>IF(ISBLANK(Table_CheckAcct[[#This Row],[Description]]),"Opening/Closing",VLOOKUP(Table_CheckAcct[[#This Row],[Description]],Table7[],3,FALSE))</f>
        <v>Check</v>
      </c>
      <c r="M141" s="91">
        <f>VLOOKUP(Table_CheckAcct[[#This Row],[Description Index]],Table3[],3,FALSE)</f>
        <v>0</v>
      </c>
    </row>
    <row r="142" spans="3:13" x14ac:dyDescent="0.5">
      <c r="C142" s="12">
        <v>45160</v>
      </c>
      <c r="D142" s="12" t="s">
        <v>18</v>
      </c>
      <c r="E142" s="19" t="s">
        <v>392</v>
      </c>
      <c r="F142" s="19">
        <v>1393</v>
      </c>
      <c r="G142" s="19"/>
      <c r="H142" s="62"/>
      <c r="I142" s="21"/>
      <c r="J142" s="26" t="str">
        <f>IF(NOT(ISBLANK(Table_CheckAcct[[#This Row],[Date]])),TEXT(Table_CheckAcct[[#This Row],[Date]],"mmmm"),"")</f>
        <v>August</v>
      </c>
      <c r="K142" s="26">
        <f>YEAR(Table_CheckAcct[[#This Row],[Date]])</f>
        <v>2023</v>
      </c>
      <c r="L142" s="21" t="str">
        <f>IF(ISBLANK(Table_CheckAcct[[#This Row],[Description]]),"Opening/Closing",VLOOKUP(Table_CheckAcct[[#This Row],[Description]],Table7[],3,FALSE))</f>
        <v xml:space="preserve">Sterling Insurance </v>
      </c>
      <c r="M142" s="91" t="str">
        <f>VLOOKUP(Table_CheckAcct[[#This Row],[Description Index]],Table3[],3,FALSE)</f>
        <v>Miscellaneous</v>
      </c>
    </row>
    <row r="143" spans="3:13" x14ac:dyDescent="0.5">
      <c r="C143" s="12">
        <v>45161</v>
      </c>
      <c r="D143" s="12" t="s">
        <v>18</v>
      </c>
      <c r="E143" s="19" t="s">
        <v>393</v>
      </c>
      <c r="F143" s="19">
        <v>911.18</v>
      </c>
      <c r="G143" s="19"/>
      <c r="H143" s="62"/>
      <c r="I143" s="21"/>
      <c r="J143" s="26" t="str">
        <f>IF(NOT(ISBLANK(Table_CheckAcct[[#This Row],[Date]])),TEXT(Table_CheckAcct[[#This Row],[Date]],"mmmm"),"")</f>
        <v>August</v>
      </c>
      <c r="K143" s="26">
        <f>YEAR(Table_CheckAcct[[#This Row],[Date]])</f>
        <v>2023</v>
      </c>
      <c r="L143" s="21" t="str">
        <f>IF(ISBLANK(Table_CheckAcct[[#This Row],[Description]]),"Opening/Closing",VLOOKUP(Table_CheckAcct[[#This Row],[Description]],Table7[],3,FALSE))</f>
        <v xml:space="preserve">Home Depot </v>
      </c>
      <c r="M143" s="91" t="str">
        <f>VLOOKUP(Table_CheckAcct[[#This Row],[Description Index]],Table3[],3,FALSE)</f>
        <v xml:space="preserve">Home Depot </v>
      </c>
    </row>
    <row r="144" spans="3:13" x14ac:dyDescent="0.5">
      <c r="C144" s="12">
        <v>45162</v>
      </c>
      <c r="D144" s="12" t="s">
        <v>18</v>
      </c>
      <c r="E144" s="19" t="s">
        <v>332</v>
      </c>
      <c r="F144" s="19">
        <v>372.04</v>
      </c>
      <c r="G144" s="19"/>
      <c r="H144" s="62"/>
      <c r="I144" s="21"/>
      <c r="J144" s="26" t="str">
        <f>IF(NOT(ISBLANK(Table_CheckAcct[[#This Row],[Date]])),TEXT(Table_CheckAcct[[#This Row],[Date]],"mmmm"),"")</f>
        <v>August</v>
      </c>
      <c r="K144" s="26">
        <f>YEAR(Table_CheckAcct[[#This Row],[Date]])</f>
        <v>2023</v>
      </c>
      <c r="L144" s="21" t="str">
        <f>IF(ISBLANK(Table_CheckAcct[[#This Row],[Description]]),"Opening/Closing",VLOOKUP(Table_CheckAcct[[#This Row],[Description]],Table7[],3,FALSE))</f>
        <v>Wilkinmanagemweb Pmts</v>
      </c>
      <c r="M144" s="91" t="str">
        <f>VLOOKUP(Table_CheckAcct[[#This Row],[Description Index]],Table3[],3,FALSE)</f>
        <v>Wilkinmanagemweb Pmts</v>
      </c>
    </row>
    <row r="145" spans="3:13" x14ac:dyDescent="0.5">
      <c r="C145" s="12">
        <v>45167</v>
      </c>
      <c r="D145" s="12" t="s">
        <v>18</v>
      </c>
      <c r="E145" s="19" t="s">
        <v>338</v>
      </c>
      <c r="F145" s="19">
        <v>102.08</v>
      </c>
      <c r="G145" s="19"/>
      <c r="H145" s="62"/>
      <c r="I145" s="21"/>
      <c r="J145" s="26" t="str">
        <f>IF(NOT(ISBLANK(Table_CheckAcct[[#This Row],[Date]])),TEXT(Table_CheckAcct[[#This Row],[Date]],"mmmm"),"")</f>
        <v>August</v>
      </c>
      <c r="K145" s="26">
        <f>YEAR(Table_CheckAcct[[#This Row],[Date]])</f>
        <v>2023</v>
      </c>
      <c r="L145" s="21" t="str">
        <f>IF(ISBLANK(Table_CheckAcct[[#This Row],[Description]]),"Opening/Closing",VLOOKUP(Table_CheckAcct[[#This Row],[Description]],Table7[],3,FALSE))</f>
        <v>Verizon Payment</v>
      </c>
      <c r="M145" s="91" t="str">
        <f>VLOOKUP(Table_CheckAcct[[#This Row],[Description Index]],Table3[],3,FALSE)</f>
        <v>Verizon Payment</v>
      </c>
    </row>
    <row r="146" spans="3:13" x14ac:dyDescent="0.5">
      <c r="C146" s="12">
        <v>45168</v>
      </c>
      <c r="D146" s="12" t="s">
        <v>50</v>
      </c>
      <c r="E146" s="19" t="s">
        <v>345</v>
      </c>
      <c r="F146" s="19"/>
      <c r="G146" s="19">
        <v>9457.5</v>
      </c>
      <c r="H146" s="62"/>
      <c r="I146" s="21"/>
      <c r="J146" s="26" t="str">
        <f>IF(NOT(ISBLANK(Table_CheckAcct[[#This Row],[Date]])),TEXT(Table_CheckAcct[[#This Row],[Date]],"mmmm"),"")</f>
        <v>August</v>
      </c>
      <c r="K146" s="26">
        <f>YEAR(Table_CheckAcct[[#This Row],[Date]])</f>
        <v>2023</v>
      </c>
      <c r="L146" s="21" t="str">
        <f>IF(ISBLANK(Table_CheckAcct[[#This Row],[Description]]),"Opening/Closing",VLOOKUP(Table_CheckAcct[[#This Row],[Description]],Table7[],3,FALSE))</f>
        <v>Deposit Branch 0447 New York</v>
      </c>
      <c r="M146" s="91" t="str">
        <f>VLOOKUP(Table_CheckAcct[[#This Row],[Description Index]],Table3[],3,FALSE)</f>
        <v>Deposit Branch 0447 New York</v>
      </c>
    </row>
    <row r="147" spans="3:13" ht="18.600000000000001" thickBot="1" x14ac:dyDescent="0.55000000000000004">
      <c r="C147" s="36">
        <v>45169</v>
      </c>
      <c r="D147" s="36" t="s">
        <v>461</v>
      </c>
      <c r="E147" s="37"/>
      <c r="F147" s="38">
        <f>SUM(F133:F146)</f>
        <v>45322.76</v>
      </c>
      <c r="G147" s="38">
        <f>SUM(G133:G146)</f>
        <v>20245</v>
      </c>
      <c r="H147" s="59">
        <v>18681.14</v>
      </c>
      <c r="I147" s="42">
        <f>H132-F147+G147-H147</f>
        <v>0</v>
      </c>
      <c r="J147" s="39" t="str">
        <f>IF(NOT(ISBLANK(Table_CheckAcct[[#This Row],[Date]])),TEXT(Table_CheckAcct[[#This Row],[Date]],"mmmm"),"")</f>
        <v>August</v>
      </c>
      <c r="K147" s="39">
        <f>YEAR(Table_CheckAcct[[#This Row],[Date]])</f>
        <v>2023</v>
      </c>
      <c r="L147" s="21" t="str">
        <f>IF(ISBLANK(Table_CheckAcct[[#This Row],[Description]]),"Opening/Closing",VLOOKUP(Table_CheckAcct[[#This Row],[Description]],Table7[],3,FALSE))</f>
        <v>Opening/Closing</v>
      </c>
      <c r="M147" s="91" t="str">
        <f>VLOOKUP(Table_CheckAcct[[#This Row],[Description Index]],Table3[],3,FALSE)</f>
        <v>Opening/Closing</v>
      </c>
    </row>
    <row r="148" spans="3:13" ht="18.600000000000001" thickTop="1" x14ac:dyDescent="0.5">
      <c r="C148" s="12">
        <v>45170</v>
      </c>
      <c r="D148" s="12" t="s">
        <v>451</v>
      </c>
      <c r="E148" s="19"/>
      <c r="F148" s="19"/>
      <c r="G148" s="19"/>
      <c r="H148" s="60">
        <f>H147</f>
        <v>18681.14</v>
      </c>
      <c r="I148" s="23"/>
      <c r="J148" s="26" t="str">
        <f>IF(NOT(ISBLANK(Table_CheckAcct[[#This Row],[Date]])),TEXT(Table_CheckAcct[[#This Row],[Date]],"mmmm"),"")</f>
        <v>September</v>
      </c>
      <c r="K148" s="26">
        <f>YEAR(Table_CheckAcct[[#This Row],[Date]])</f>
        <v>2023</v>
      </c>
      <c r="L148" s="21" t="str">
        <f>IF(ISBLANK(Table_CheckAcct[[#This Row],[Description]]),"Opening/Closing",VLOOKUP(Table_CheckAcct[[#This Row],[Description]],Table7[],3,FALSE))</f>
        <v>Opening/Closing</v>
      </c>
      <c r="M148" s="91" t="str">
        <f>VLOOKUP(Table_CheckAcct[[#This Row],[Description Index]],Table3[],3,FALSE)</f>
        <v>Opening/Closing</v>
      </c>
    </row>
    <row r="149" spans="3:13" x14ac:dyDescent="0.5">
      <c r="C149" s="12">
        <v>45175</v>
      </c>
      <c r="D149" s="12" t="s">
        <v>18</v>
      </c>
      <c r="E149" s="19" t="s">
        <v>332</v>
      </c>
      <c r="F149" s="19">
        <v>494.92</v>
      </c>
      <c r="G149" s="19"/>
      <c r="H149" s="62"/>
      <c r="I149" s="21"/>
      <c r="J149" s="26" t="str">
        <f>IF(NOT(ISBLANK(Table_CheckAcct[[#This Row],[Date]])),TEXT(Table_CheckAcct[[#This Row],[Date]],"mmmm"),"")</f>
        <v>September</v>
      </c>
      <c r="K149" s="26">
        <f>YEAR(Table_CheckAcct[[#This Row],[Date]])</f>
        <v>2023</v>
      </c>
      <c r="L149" s="21" t="str">
        <f>IF(ISBLANK(Table_CheckAcct[[#This Row],[Description]]),"Opening/Closing",VLOOKUP(Table_CheckAcct[[#This Row],[Description]],Table7[],3,FALSE))</f>
        <v>Wilkinmanagemweb Pmts</v>
      </c>
      <c r="M149" s="91" t="str">
        <f>VLOOKUP(Table_CheckAcct[[#This Row],[Description Index]],Table3[],3,FALSE)</f>
        <v>Wilkinmanagemweb Pmts</v>
      </c>
    </row>
    <row r="150" spans="3:13" x14ac:dyDescent="0.5">
      <c r="C150" s="12">
        <v>45176</v>
      </c>
      <c r="D150" s="12" t="s">
        <v>18</v>
      </c>
      <c r="E150" s="19" t="s">
        <v>335</v>
      </c>
      <c r="F150" s="19">
        <v>4509.1899999999996</v>
      </c>
      <c r="G150" s="19"/>
      <c r="H150" s="62"/>
      <c r="I150" s="21"/>
      <c r="J150" s="26" t="str">
        <f>IF(NOT(ISBLANK(Table_CheckAcct[[#This Row],[Date]])),TEXT(Table_CheckAcct[[#This Row],[Date]],"mmmm"),"")</f>
        <v>September</v>
      </c>
      <c r="K150" s="26">
        <f>YEAR(Table_CheckAcct[[#This Row],[Date]])</f>
        <v>2023</v>
      </c>
      <c r="L150" s="21" t="str">
        <f>IF(ISBLANK(Table_CheckAcct[[#This Row],[Description]]),"Opening/Closing",VLOOKUP(Table_CheckAcct[[#This Row],[Description]],Table7[],3,FALSE))</f>
        <v>Capital One Creditcard</v>
      </c>
      <c r="M150" s="91" t="str">
        <f>VLOOKUP(Table_CheckAcct[[#This Row],[Description Index]],Table3[],3,FALSE)</f>
        <v>Capital One Creditcard</v>
      </c>
    </row>
    <row r="151" spans="3:13" x14ac:dyDescent="0.5">
      <c r="C151" s="12">
        <v>45177</v>
      </c>
      <c r="D151" s="12" t="s">
        <v>18</v>
      </c>
      <c r="E151" s="19" t="s">
        <v>468</v>
      </c>
      <c r="F151" s="19">
        <v>1500</v>
      </c>
      <c r="G151" s="19"/>
      <c r="H151" s="62"/>
      <c r="I151" s="21"/>
      <c r="J151" s="26" t="str">
        <f>IF(NOT(ISBLANK(Table_CheckAcct[[#This Row],[Date]])),TEXT(Table_CheckAcct[[#This Row],[Date]],"mmmm"),"")</f>
        <v>September</v>
      </c>
      <c r="K151" s="26">
        <f>YEAR(Table_CheckAcct[[#This Row],[Date]])</f>
        <v>2023</v>
      </c>
      <c r="L151" s="21" t="str">
        <f>IF(ISBLANK(Table_CheckAcct[[#This Row],[Description]]),"Opening/Closing",VLOOKUP(Table_CheckAcct[[#This Row],[Description]],Table7[],3,FALSE))</f>
        <v>Check</v>
      </c>
      <c r="M151" s="91">
        <f>VLOOKUP(Table_CheckAcct[[#This Row],[Description Index]],Table3[],3,FALSE)</f>
        <v>0</v>
      </c>
    </row>
    <row r="152" spans="3:13" x14ac:dyDescent="0.5">
      <c r="C152" s="12">
        <v>45177</v>
      </c>
      <c r="D152" s="12" t="s">
        <v>50</v>
      </c>
      <c r="E152" s="19" t="s">
        <v>343</v>
      </c>
      <c r="F152" s="19"/>
      <c r="G152" s="19">
        <v>11300</v>
      </c>
      <c r="H152" s="62"/>
      <c r="I152" s="21"/>
      <c r="J152" s="26" t="str">
        <f>IF(NOT(ISBLANK(Table_CheckAcct[[#This Row],[Date]])),TEXT(Table_CheckAcct[[#This Row],[Date]],"mmmm"),"")</f>
        <v>September</v>
      </c>
      <c r="K152" s="26">
        <f>YEAR(Table_CheckAcct[[#This Row],[Date]])</f>
        <v>2023</v>
      </c>
      <c r="L152" s="21" t="str">
        <f>IF(ISBLANK(Table_CheckAcct[[#This Row],[Description]]),"Opening/Closing",VLOOKUP(Table_CheckAcct[[#This Row],[Description]],Table7[],3,FALSE))</f>
        <v>Mobile Check Deposit</v>
      </c>
      <c r="M152" s="91" t="str">
        <f>VLOOKUP(Table_CheckAcct[[#This Row],[Description Index]],Table3[],3,FALSE)</f>
        <v>Mobile Check Deposit</v>
      </c>
    </row>
    <row r="153" spans="3:13" x14ac:dyDescent="0.5">
      <c r="C153" s="12">
        <v>45180</v>
      </c>
      <c r="D153" s="12" t="s">
        <v>228</v>
      </c>
      <c r="E153" s="19" t="s">
        <v>402</v>
      </c>
      <c r="F153" s="19">
        <v>1.83</v>
      </c>
      <c r="G153" s="19"/>
      <c r="H153" s="62"/>
      <c r="I153" s="23"/>
      <c r="J153" s="26" t="str">
        <f>IF(NOT(ISBLANK(Table_CheckAcct[[#This Row],[Date]])),TEXT(Table_CheckAcct[[#This Row],[Date]],"mmmm"),"")</f>
        <v>September</v>
      </c>
      <c r="K153" s="26">
        <f>YEAR(Table_CheckAcct[[#This Row],[Date]])</f>
        <v>2023</v>
      </c>
      <c r="L153" s="21" t="str">
        <f>IF(ISBLANK(Table_CheckAcct[[#This Row],[Description]]),"Opening/Closing",VLOOKUP(Table_CheckAcct[[#This Row],[Description]],Table7[],3,FALSE))</f>
        <v>Commercial Loan Payment</v>
      </c>
      <c r="M153" s="91" t="str">
        <f>VLOOKUP(Table_CheckAcct[[#This Row],[Description Index]],Table3[],3,FALSE)</f>
        <v>Miscellaneous</v>
      </c>
    </row>
    <row r="154" spans="3:13" x14ac:dyDescent="0.5">
      <c r="C154" s="12">
        <v>45181</v>
      </c>
      <c r="D154" s="12" t="s">
        <v>18</v>
      </c>
      <c r="E154" s="19" t="s">
        <v>397</v>
      </c>
      <c r="F154" s="19">
        <v>880</v>
      </c>
      <c r="G154" s="19"/>
      <c r="H154" s="62"/>
      <c r="I154" s="21"/>
      <c r="J154" s="26" t="str">
        <f>IF(NOT(ISBLANK(Table_CheckAcct[[#This Row],[Date]])),TEXT(Table_CheckAcct[[#This Row],[Date]],"mmmm"),"")</f>
        <v>September</v>
      </c>
      <c r="K154" s="26">
        <f>YEAR(Table_CheckAcct[[#This Row],[Date]])</f>
        <v>2023</v>
      </c>
      <c r="L154" s="21" t="str">
        <f>IF(ISBLANK(Table_CheckAcct[[#This Row],[Description]]),"Opening/Closing",VLOOKUP(Table_CheckAcct[[#This Row],[Description]],Table7[],3,FALSE))</f>
        <v xml:space="preserve">US Small Business </v>
      </c>
      <c r="M154" s="91" t="str">
        <f>VLOOKUP(Table_CheckAcct[[#This Row],[Description Index]],Table3[],3,FALSE)</f>
        <v xml:space="preserve">US Small Business </v>
      </c>
    </row>
    <row r="155" spans="3:13" x14ac:dyDescent="0.5">
      <c r="C155" s="12">
        <v>45182</v>
      </c>
      <c r="D155" s="12" t="s">
        <v>50</v>
      </c>
      <c r="E155" s="19" t="s">
        <v>343</v>
      </c>
      <c r="F155" s="19"/>
      <c r="G155" s="19">
        <v>783.75</v>
      </c>
      <c r="H155" s="62"/>
      <c r="I155" s="21"/>
      <c r="J155" s="26" t="str">
        <f>IF(NOT(ISBLANK(Table_CheckAcct[[#This Row],[Date]])),TEXT(Table_CheckAcct[[#This Row],[Date]],"mmmm"),"")</f>
        <v>September</v>
      </c>
      <c r="K155" s="26">
        <f>YEAR(Table_CheckAcct[[#This Row],[Date]])</f>
        <v>2023</v>
      </c>
      <c r="L155" s="21" t="str">
        <f>IF(ISBLANK(Table_CheckAcct[[#This Row],[Description]]),"Opening/Closing",VLOOKUP(Table_CheckAcct[[#This Row],[Description]],Table7[],3,FALSE))</f>
        <v>Mobile Check Deposit</v>
      </c>
      <c r="M155" s="91" t="str">
        <f>VLOOKUP(Table_CheckAcct[[#This Row],[Description Index]],Table3[],3,FALSE)</f>
        <v>Mobile Check Deposit</v>
      </c>
    </row>
    <row r="156" spans="3:13" x14ac:dyDescent="0.5">
      <c r="C156" s="12">
        <v>45182</v>
      </c>
      <c r="D156" s="12" t="s">
        <v>50</v>
      </c>
      <c r="E156" s="19" t="s">
        <v>343</v>
      </c>
      <c r="F156" s="19"/>
      <c r="G156" s="19">
        <v>2500</v>
      </c>
      <c r="H156" s="62"/>
      <c r="I156" s="21"/>
      <c r="J156" s="26" t="str">
        <f>IF(NOT(ISBLANK(Table_CheckAcct[[#This Row],[Date]])),TEXT(Table_CheckAcct[[#This Row],[Date]],"mmmm"),"")</f>
        <v>September</v>
      </c>
      <c r="K156" s="26">
        <f>YEAR(Table_CheckAcct[[#This Row],[Date]])</f>
        <v>2023</v>
      </c>
      <c r="L156" s="21" t="str">
        <f>IF(ISBLANK(Table_CheckAcct[[#This Row],[Description]]),"Opening/Closing",VLOOKUP(Table_CheckAcct[[#This Row],[Description]],Table7[],3,FALSE))</f>
        <v>Mobile Check Deposit</v>
      </c>
      <c r="M156" s="91" t="str">
        <f>VLOOKUP(Table_CheckAcct[[#This Row],[Description Index]],Table3[],3,FALSE)</f>
        <v>Mobile Check Deposit</v>
      </c>
    </row>
    <row r="157" spans="3:13" x14ac:dyDescent="0.5">
      <c r="C157" s="12">
        <v>45182</v>
      </c>
      <c r="D157" s="12" t="s">
        <v>50</v>
      </c>
      <c r="E157" s="19" t="s">
        <v>344</v>
      </c>
      <c r="F157" s="19"/>
      <c r="G157" s="19">
        <v>10000</v>
      </c>
      <c r="H157" s="62"/>
      <c r="I157" s="21"/>
      <c r="J157" s="26" t="str">
        <f>IF(NOT(ISBLANK(Table_CheckAcct[[#This Row],[Date]])),TEXT(Table_CheckAcct[[#This Row],[Date]],"mmmm"),"")</f>
        <v>September</v>
      </c>
      <c r="K157" s="26">
        <f>YEAR(Table_CheckAcct[[#This Row],[Date]])</f>
        <v>2023</v>
      </c>
      <c r="L157" s="21" t="str">
        <f>IF(ISBLANK(Table_CheckAcct[[#This Row],[Description]]),"Opening/Closing",VLOOKUP(Table_CheckAcct[[#This Row],[Description]],Table7[],3,FALSE))</f>
        <v>Internet Trf 0000000476720427 3290</v>
      </c>
      <c r="M157" s="91" t="str">
        <f>VLOOKUP(Table_CheckAcct[[#This Row],[Description Index]],Table3[],3,FALSE)</f>
        <v>Internet Trf 0000000476720427 3290</v>
      </c>
    </row>
    <row r="158" spans="3:13" x14ac:dyDescent="0.5">
      <c r="C158" s="12">
        <v>45182</v>
      </c>
      <c r="D158" s="12" t="s">
        <v>18</v>
      </c>
      <c r="E158" s="19" t="s">
        <v>398</v>
      </c>
      <c r="F158" s="19">
        <v>42.07</v>
      </c>
      <c r="G158" s="19"/>
      <c r="H158" s="62"/>
      <c r="I158" s="21"/>
      <c r="J158" s="26" t="str">
        <f>IF(NOT(ISBLANK(Table_CheckAcct[[#This Row],[Date]])),TEXT(Table_CheckAcct[[#This Row],[Date]],"mmmm"),"")</f>
        <v>September</v>
      </c>
      <c r="K158" s="26">
        <f>YEAR(Table_CheckAcct[[#This Row],[Date]])</f>
        <v>2023</v>
      </c>
      <c r="L158" s="21" t="str">
        <f>IF(ISBLANK(Table_CheckAcct[[#This Row],[Description]]),"Opening/Closing",VLOOKUP(Table_CheckAcct[[#This Row],[Description]],Table7[],3,FALSE))</f>
        <v xml:space="preserve">Lowes </v>
      </c>
      <c r="M158" s="91" t="str">
        <f>VLOOKUP(Table_CheckAcct[[#This Row],[Description Index]],Table3[],3,FALSE)</f>
        <v xml:space="preserve">Lowes </v>
      </c>
    </row>
    <row r="159" spans="3:13" x14ac:dyDescent="0.5">
      <c r="C159" s="12">
        <v>45182</v>
      </c>
      <c r="D159" s="12" t="s">
        <v>18</v>
      </c>
      <c r="E159" s="19" t="s">
        <v>399</v>
      </c>
      <c r="F159" s="19">
        <v>3774.61</v>
      </c>
      <c r="G159" s="19"/>
      <c r="H159" s="62"/>
      <c r="I159" s="21"/>
      <c r="J159" s="26" t="str">
        <f>IF(NOT(ISBLANK(Table_CheckAcct[[#This Row],[Date]])),TEXT(Table_CheckAcct[[#This Row],[Date]],"mmmm"),"")</f>
        <v>September</v>
      </c>
      <c r="K159" s="26">
        <f>YEAR(Table_CheckAcct[[#This Row],[Date]])</f>
        <v>2023</v>
      </c>
      <c r="L159" s="21" t="str">
        <f>IF(ISBLANK(Table_CheckAcct[[#This Row],[Description]]),"Opening/Closing",VLOOKUP(Table_CheckAcct[[#This Row],[Description]],Table7[],3,FALSE))</f>
        <v xml:space="preserve">Flagstar Bank </v>
      </c>
      <c r="M159" s="91" t="str">
        <f>VLOOKUP(Table_CheckAcct[[#This Row],[Description Index]],Table3[],3,FALSE)</f>
        <v xml:space="preserve">Flagstar Bank </v>
      </c>
    </row>
    <row r="160" spans="3:13" x14ac:dyDescent="0.5">
      <c r="C160" s="12">
        <v>45187</v>
      </c>
      <c r="D160" s="12" t="s">
        <v>18</v>
      </c>
      <c r="E160" s="19" t="s">
        <v>469</v>
      </c>
      <c r="F160" s="19">
        <v>2500</v>
      </c>
      <c r="G160" s="19"/>
      <c r="H160" s="62"/>
      <c r="I160" s="21"/>
      <c r="J160" s="26" t="str">
        <f>IF(NOT(ISBLANK(Table_CheckAcct[[#This Row],[Date]])),TEXT(Table_CheckAcct[[#This Row],[Date]],"mmmm"),"")</f>
        <v>September</v>
      </c>
      <c r="K160" s="26">
        <f>YEAR(Table_CheckAcct[[#This Row],[Date]])</f>
        <v>2023</v>
      </c>
      <c r="L160" s="21" t="str">
        <f>IF(ISBLANK(Table_CheckAcct[[#This Row],[Description]]),"Opening/Closing",VLOOKUP(Table_CheckAcct[[#This Row],[Description]],Table7[],3,FALSE))</f>
        <v>Check</v>
      </c>
      <c r="M160" s="91">
        <f>VLOOKUP(Table_CheckAcct[[#This Row],[Description Index]],Table3[],3,FALSE)</f>
        <v>0</v>
      </c>
    </row>
    <row r="161" spans="3:13" x14ac:dyDescent="0.5">
      <c r="C161" s="12">
        <v>45187</v>
      </c>
      <c r="D161" s="12" t="s">
        <v>18</v>
      </c>
      <c r="E161" s="19" t="s">
        <v>380</v>
      </c>
      <c r="F161" s="19">
        <v>118</v>
      </c>
      <c r="G161" s="19"/>
      <c r="H161" s="62"/>
      <c r="I161" s="21"/>
      <c r="J161" s="26" t="str">
        <f>IF(NOT(ISBLANK(Table_CheckAcct[[#This Row],[Date]])),TEXT(Table_CheckAcct[[#This Row],[Date]],"mmmm"),"")</f>
        <v>September</v>
      </c>
      <c r="K161" s="26">
        <f>YEAR(Table_CheckAcct[[#This Row],[Date]])</f>
        <v>2023</v>
      </c>
      <c r="L161" s="21" t="str">
        <f>IF(ISBLANK(Table_CheckAcct[[#This Row],[Description]]),"Opening/Closing",VLOOKUP(Table_CheckAcct[[#This Row],[Description]],Table7[],3,FALSE))</f>
        <v>Dell Preferred Sssnent</v>
      </c>
      <c r="M161" s="91" t="str">
        <f>VLOOKUP(Table_CheckAcct[[#This Row],[Description Index]],Table3[],3,FALSE)</f>
        <v>Dell Preferred Sssnent</v>
      </c>
    </row>
    <row r="162" spans="3:13" x14ac:dyDescent="0.5">
      <c r="C162" s="12">
        <v>45188</v>
      </c>
      <c r="D162" s="12" t="s">
        <v>18</v>
      </c>
      <c r="E162" s="19" t="s">
        <v>470</v>
      </c>
      <c r="F162" s="19">
        <v>1500</v>
      </c>
      <c r="G162" s="19"/>
      <c r="H162" s="62"/>
      <c r="I162" s="21"/>
      <c r="J162" s="26" t="str">
        <f>IF(NOT(ISBLANK(Table_CheckAcct[[#This Row],[Date]])),TEXT(Table_CheckAcct[[#This Row],[Date]],"mmmm"),"")</f>
        <v>September</v>
      </c>
      <c r="K162" s="26">
        <f>YEAR(Table_CheckAcct[[#This Row],[Date]])</f>
        <v>2023</v>
      </c>
      <c r="L162" s="21" t="str">
        <f>IF(ISBLANK(Table_CheckAcct[[#This Row],[Description]]),"Opening/Closing",VLOOKUP(Table_CheckAcct[[#This Row],[Description]],Table7[],3,FALSE))</f>
        <v>Check</v>
      </c>
      <c r="M162" s="91">
        <f>VLOOKUP(Table_CheckAcct[[#This Row],[Description Index]],Table3[],3,FALSE)</f>
        <v>0</v>
      </c>
    </row>
    <row r="163" spans="3:13" x14ac:dyDescent="0.5">
      <c r="C163" s="12">
        <v>45188</v>
      </c>
      <c r="D163" s="12" t="s">
        <v>18</v>
      </c>
      <c r="E163" s="19" t="s">
        <v>400</v>
      </c>
      <c r="F163" s="19">
        <v>52.64</v>
      </c>
      <c r="G163" s="19"/>
      <c r="H163" s="62"/>
      <c r="I163" s="21"/>
      <c r="J163" s="26" t="str">
        <f>IF(NOT(ISBLANK(Table_CheckAcct[[#This Row],[Date]])),TEXT(Table_CheckAcct[[#This Row],[Date]],"mmmm"),"")</f>
        <v>September</v>
      </c>
      <c r="K163" s="26">
        <f>YEAR(Table_CheckAcct[[#This Row],[Date]])</f>
        <v>2023</v>
      </c>
      <c r="L163" s="21" t="str">
        <f>IF(ISBLANK(Table_CheckAcct[[#This Row],[Description]]),"Opening/Closing",VLOOKUP(Table_CheckAcct[[#This Row],[Description]],Table7[],3,FALSE))</f>
        <v xml:space="preserve">Orange &amp; Rockland </v>
      </c>
      <c r="M163" s="91" t="str">
        <f>VLOOKUP(Table_CheckAcct[[#This Row],[Description Index]],Table3[],3,FALSE)</f>
        <v xml:space="preserve">Orange &amp; Rockland </v>
      </c>
    </row>
    <row r="164" spans="3:13" x14ac:dyDescent="0.5">
      <c r="C164" s="12">
        <v>45189</v>
      </c>
      <c r="D164" s="12" t="s">
        <v>18</v>
      </c>
      <c r="E164" s="19" t="s">
        <v>332</v>
      </c>
      <c r="F164" s="19">
        <v>372.04</v>
      </c>
      <c r="G164" s="19"/>
      <c r="H164" s="62"/>
      <c r="I164" s="21"/>
      <c r="J164" s="26" t="str">
        <f>IF(NOT(ISBLANK(Table_CheckAcct[[#This Row],[Date]])),TEXT(Table_CheckAcct[[#This Row],[Date]],"mmmm"),"")</f>
        <v>September</v>
      </c>
      <c r="K164" s="26">
        <f>YEAR(Table_CheckAcct[[#This Row],[Date]])</f>
        <v>2023</v>
      </c>
      <c r="L164" s="21" t="str">
        <f>IF(ISBLANK(Table_CheckAcct[[#This Row],[Description]]),"Opening/Closing",VLOOKUP(Table_CheckAcct[[#This Row],[Description]],Table7[],3,FALSE))</f>
        <v>Wilkinmanagemweb Pmts</v>
      </c>
      <c r="M164" s="91" t="str">
        <f>VLOOKUP(Table_CheckAcct[[#This Row],[Description Index]],Table3[],3,FALSE)</f>
        <v>Wilkinmanagemweb Pmts</v>
      </c>
    </row>
    <row r="165" spans="3:13" x14ac:dyDescent="0.5">
      <c r="C165" s="12">
        <v>45191</v>
      </c>
      <c r="D165" s="12" t="s">
        <v>18</v>
      </c>
      <c r="E165" s="19" t="s">
        <v>401</v>
      </c>
      <c r="F165" s="19">
        <v>1619.17</v>
      </c>
      <c r="G165" s="19"/>
      <c r="H165" s="62"/>
      <c r="I165" s="21"/>
      <c r="J165" s="26" t="str">
        <f>IF(NOT(ISBLANK(Table_CheckAcct[[#This Row],[Date]])),TEXT(Table_CheckAcct[[#This Row],[Date]],"mmmm"),"")</f>
        <v>September</v>
      </c>
      <c r="K165" s="26">
        <f>YEAR(Table_CheckAcct[[#This Row],[Date]])</f>
        <v>2023</v>
      </c>
      <c r="L165" s="21" t="str">
        <f>IF(ISBLANK(Table_CheckAcct[[#This Row],[Description]]),"Opening/Closing",VLOOKUP(Table_CheckAcct[[#This Row],[Description]],Table7[],3,FALSE))</f>
        <v xml:space="preserve">Home Depot </v>
      </c>
      <c r="M165" s="91" t="str">
        <f>VLOOKUP(Table_CheckAcct[[#This Row],[Description Index]],Table3[],3,FALSE)</f>
        <v xml:space="preserve">Home Depot </v>
      </c>
    </row>
    <row r="166" spans="3:13" x14ac:dyDescent="0.5">
      <c r="C166" s="12">
        <v>45191</v>
      </c>
      <c r="D166" s="12" t="s">
        <v>18</v>
      </c>
      <c r="E166" s="19" t="s">
        <v>401</v>
      </c>
      <c r="F166" s="19">
        <v>3950.98</v>
      </c>
      <c r="G166" s="19"/>
      <c r="H166" s="62"/>
      <c r="I166" s="21"/>
      <c r="J166" s="26" t="str">
        <f>IF(NOT(ISBLANK(Table_CheckAcct[[#This Row],[Date]])),TEXT(Table_CheckAcct[[#This Row],[Date]],"mmmm"),"")</f>
        <v>September</v>
      </c>
      <c r="K166" s="26">
        <f>YEAR(Table_CheckAcct[[#This Row],[Date]])</f>
        <v>2023</v>
      </c>
      <c r="L166" s="21" t="str">
        <f>IF(ISBLANK(Table_CheckAcct[[#This Row],[Description]]),"Opening/Closing",VLOOKUP(Table_CheckAcct[[#This Row],[Description]],Table7[],3,FALSE))</f>
        <v xml:space="preserve">Home Depot </v>
      </c>
      <c r="M166" s="91" t="str">
        <f>VLOOKUP(Table_CheckAcct[[#This Row],[Description Index]],Table3[],3,FALSE)</f>
        <v xml:space="preserve">Home Depot </v>
      </c>
    </row>
    <row r="167" spans="3:13" x14ac:dyDescent="0.5">
      <c r="C167" s="12">
        <v>45195</v>
      </c>
      <c r="D167" s="12" t="s">
        <v>50</v>
      </c>
      <c r="E167" s="19" t="s">
        <v>344</v>
      </c>
      <c r="F167" s="19"/>
      <c r="G167" s="19">
        <v>5000</v>
      </c>
      <c r="H167" s="62"/>
      <c r="I167" s="21"/>
      <c r="J167" s="26" t="str">
        <f>IF(NOT(ISBLANK(Table_CheckAcct[[#This Row],[Date]])),TEXT(Table_CheckAcct[[#This Row],[Date]],"mmmm"),"")</f>
        <v>September</v>
      </c>
      <c r="K167" s="26">
        <f>YEAR(Table_CheckAcct[[#This Row],[Date]])</f>
        <v>2023</v>
      </c>
      <c r="L167" s="21" t="str">
        <f>IF(ISBLANK(Table_CheckAcct[[#This Row],[Description]]),"Opening/Closing",VLOOKUP(Table_CheckAcct[[#This Row],[Description]],Table7[],3,FALSE))</f>
        <v>Internet Trf 0000000476720427 3290</v>
      </c>
      <c r="M167" s="91" t="str">
        <f>VLOOKUP(Table_CheckAcct[[#This Row],[Description Index]],Table3[],3,FALSE)</f>
        <v>Internet Trf 0000000476720427 3290</v>
      </c>
    </row>
    <row r="168" spans="3:13" x14ac:dyDescent="0.5">
      <c r="C168" s="12">
        <v>45196</v>
      </c>
      <c r="D168" s="12" t="s">
        <v>18</v>
      </c>
      <c r="E168" s="19" t="s">
        <v>338</v>
      </c>
      <c r="F168" s="19">
        <v>102.08</v>
      </c>
      <c r="G168" s="19"/>
      <c r="H168" s="62"/>
      <c r="I168" s="21"/>
      <c r="J168" s="26" t="str">
        <f>IF(NOT(ISBLANK(Table_CheckAcct[[#This Row],[Date]])),TEXT(Table_CheckAcct[[#This Row],[Date]],"mmmm"),"")</f>
        <v>September</v>
      </c>
      <c r="K168" s="26">
        <f>YEAR(Table_CheckAcct[[#This Row],[Date]])</f>
        <v>2023</v>
      </c>
      <c r="L168" s="21" t="str">
        <f>IF(ISBLANK(Table_CheckAcct[[#This Row],[Description]]),"Opening/Closing",VLOOKUP(Table_CheckAcct[[#This Row],[Description]],Table7[],3,FALSE))</f>
        <v>Verizon Payment</v>
      </c>
      <c r="M168" s="91" t="str">
        <f>VLOOKUP(Table_CheckAcct[[#This Row],[Description Index]],Table3[],3,FALSE)</f>
        <v>Verizon Payment</v>
      </c>
    </row>
    <row r="169" spans="3:13" x14ac:dyDescent="0.5">
      <c r="C169" s="12">
        <v>45198</v>
      </c>
      <c r="D169" s="12" t="s">
        <v>18</v>
      </c>
      <c r="E169" s="19" t="s">
        <v>471</v>
      </c>
      <c r="F169" s="19">
        <v>155</v>
      </c>
      <c r="G169" s="19"/>
      <c r="H169" s="62"/>
      <c r="I169" s="21"/>
      <c r="J169" s="26" t="str">
        <f>IF(NOT(ISBLANK(Table_CheckAcct[[#This Row],[Date]])),TEXT(Table_CheckAcct[[#This Row],[Date]],"mmmm"),"")</f>
        <v>September</v>
      </c>
      <c r="K169" s="26">
        <f>YEAR(Table_CheckAcct[[#This Row],[Date]])</f>
        <v>2023</v>
      </c>
      <c r="L169" s="21" t="str">
        <f>IF(ISBLANK(Table_CheckAcct[[#This Row],[Description]]),"Opening/Closing",VLOOKUP(Table_CheckAcct[[#This Row],[Description]],Table7[],3,FALSE))</f>
        <v>Check</v>
      </c>
      <c r="M169" s="91">
        <f>VLOOKUP(Table_CheckAcct[[#This Row],[Description Index]],Table3[],3,FALSE)</f>
        <v>0</v>
      </c>
    </row>
    <row r="170" spans="3:13" ht="18.600000000000001" thickBot="1" x14ac:dyDescent="0.55000000000000004">
      <c r="C170" s="36">
        <v>45199</v>
      </c>
      <c r="D170" s="36" t="s">
        <v>461</v>
      </c>
      <c r="E170" s="37"/>
      <c r="F170" s="38">
        <f>SUM(F149:F169)</f>
        <v>21572.530000000002</v>
      </c>
      <c r="G170" s="38">
        <f>SUM(G149:G169)</f>
        <v>29583.75</v>
      </c>
      <c r="H170" s="59">
        <v>26692.36</v>
      </c>
      <c r="I170" s="42">
        <f>H148-F170+G170-H170</f>
        <v>0</v>
      </c>
      <c r="J170" s="39" t="str">
        <f>IF(NOT(ISBLANK(Table_CheckAcct[[#This Row],[Date]])),TEXT(Table_CheckAcct[[#This Row],[Date]],"mmmm"),"")</f>
        <v>September</v>
      </c>
      <c r="K170" s="39">
        <f>YEAR(Table_CheckAcct[[#This Row],[Date]])</f>
        <v>2023</v>
      </c>
      <c r="L170" s="21" t="str">
        <f>IF(ISBLANK(Table_CheckAcct[[#This Row],[Description]]),"Opening/Closing",VLOOKUP(Table_CheckAcct[[#This Row],[Description]],Table7[],3,FALSE))</f>
        <v>Opening/Closing</v>
      </c>
      <c r="M170" s="91" t="str">
        <f>VLOOKUP(Table_CheckAcct[[#This Row],[Description Index]],Table3[],3,FALSE)</f>
        <v>Opening/Closing</v>
      </c>
    </row>
    <row r="171" spans="3:13" ht="18.600000000000001" thickTop="1" x14ac:dyDescent="0.5">
      <c r="C171" s="12">
        <v>45200</v>
      </c>
      <c r="D171" s="12" t="s">
        <v>451</v>
      </c>
      <c r="E171" s="19"/>
      <c r="F171" s="19"/>
      <c r="G171" s="19"/>
      <c r="H171" s="60">
        <f>H170</f>
        <v>26692.36</v>
      </c>
      <c r="I171" s="23"/>
      <c r="J171" s="26" t="str">
        <f>IF(NOT(ISBLANK(Table_CheckAcct[[#This Row],[Date]])),TEXT(Table_CheckAcct[[#This Row],[Date]],"mmmm"),"")</f>
        <v>October</v>
      </c>
      <c r="K171" s="26">
        <f>YEAR(Table_CheckAcct[[#This Row],[Date]])</f>
        <v>2023</v>
      </c>
      <c r="L171" s="21" t="str">
        <f>IF(ISBLANK(Table_CheckAcct[[#This Row],[Description]]),"Opening/Closing",VLOOKUP(Table_CheckAcct[[#This Row],[Description]],Table7[],3,FALSE))</f>
        <v>Opening/Closing</v>
      </c>
      <c r="M171" s="91" t="str">
        <f>VLOOKUP(Table_CheckAcct[[#This Row],[Description Index]],Table3[],3,FALSE)</f>
        <v>Opening/Closing</v>
      </c>
    </row>
    <row r="172" spans="3:13" x14ac:dyDescent="0.5">
      <c r="C172" s="12">
        <v>45201</v>
      </c>
      <c r="D172" s="12" t="s">
        <v>18</v>
      </c>
      <c r="E172" s="19" t="s">
        <v>472</v>
      </c>
      <c r="F172" s="19">
        <v>4219.42</v>
      </c>
      <c r="G172" s="19"/>
      <c r="H172" s="62"/>
      <c r="I172" s="21"/>
      <c r="J172" s="26" t="str">
        <f>IF(NOT(ISBLANK(Table_CheckAcct[[#This Row],[Date]])),TEXT(Table_CheckAcct[[#This Row],[Date]],"mmmm"),"")</f>
        <v>October</v>
      </c>
      <c r="K172" s="26">
        <f>YEAR(Table_CheckAcct[[#This Row],[Date]])</f>
        <v>2023</v>
      </c>
      <c r="L172" s="21" t="str">
        <f>IF(ISBLANK(Table_CheckAcct[[#This Row],[Description]]),"Opening/Closing",VLOOKUP(Table_CheckAcct[[#This Row],[Description]],Table7[],3,FALSE))</f>
        <v>Check</v>
      </c>
      <c r="M172" s="91">
        <f>VLOOKUP(Table_CheckAcct[[#This Row],[Description Index]],Table3[],3,FALSE)</f>
        <v>0</v>
      </c>
    </row>
    <row r="173" spans="3:13" x14ac:dyDescent="0.5">
      <c r="C173" s="12">
        <v>45201</v>
      </c>
      <c r="D173" s="12" t="s">
        <v>18</v>
      </c>
      <c r="E173" s="19" t="s">
        <v>473</v>
      </c>
      <c r="F173" s="19">
        <v>3000</v>
      </c>
      <c r="G173" s="19"/>
      <c r="H173" s="62"/>
      <c r="I173" s="21"/>
      <c r="J173" s="26" t="str">
        <f>IF(NOT(ISBLANK(Table_CheckAcct[[#This Row],[Date]])),TEXT(Table_CheckAcct[[#This Row],[Date]],"mmmm"),"")</f>
        <v>October</v>
      </c>
      <c r="K173" s="26">
        <f>YEAR(Table_CheckAcct[[#This Row],[Date]])</f>
        <v>2023</v>
      </c>
      <c r="L173" s="21" t="str">
        <f>IF(ISBLANK(Table_CheckAcct[[#This Row],[Description]]),"Opening/Closing",VLOOKUP(Table_CheckAcct[[#This Row],[Description]],Table7[],3,FALSE))</f>
        <v>Check</v>
      </c>
      <c r="M173" s="91">
        <f>VLOOKUP(Table_CheckAcct[[#This Row],[Description Index]],Table3[],3,FALSE)</f>
        <v>0</v>
      </c>
    </row>
    <row r="174" spans="3:13" x14ac:dyDescent="0.5">
      <c r="C174" s="12">
        <v>45203</v>
      </c>
      <c r="D174" s="12" t="s">
        <v>18</v>
      </c>
      <c r="E174" s="19" t="s">
        <v>332</v>
      </c>
      <c r="F174" s="19">
        <v>494.92</v>
      </c>
      <c r="G174" s="19"/>
      <c r="H174" s="62"/>
      <c r="I174" s="21"/>
      <c r="J174" s="26" t="str">
        <f>IF(NOT(ISBLANK(Table_CheckAcct[[#This Row],[Date]])),TEXT(Table_CheckAcct[[#This Row],[Date]],"mmmm"),"")</f>
        <v>October</v>
      </c>
      <c r="K174" s="26">
        <f>YEAR(Table_CheckAcct[[#This Row],[Date]])</f>
        <v>2023</v>
      </c>
      <c r="L174" s="21" t="str">
        <f>IF(ISBLANK(Table_CheckAcct[[#This Row],[Description]]),"Opening/Closing",VLOOKUP(Table_CheckAcct[[#This Row],[Description]],Table7[],3,FALSE))</f>
        <v>Wilkinmanagemweb Pmts</v>
      </c>
      <c r="M174" s="91" t="str">
        <f>VLOOKUP(Table_CheckAcct[[#This Row],[Description Index]],Table3[],3,FALSE)</f>
        <v>Wilkinmanagemweb Pmts</v>
      </c>
    </row>
    <row r="175" spans="3:13" x14ac:dyDescent="0.5">
      <c r="C175" s="12">
        <v>45204</v>
      </c>
      <c r="D175" s="12" t="s">
        <v>18</v>
      </c>
      <c r="E175" s="19" t="s">
        <v>474</v>
      </c>
      <c r="F175" s="19">
        <v>3000</v>
      </c>
      <c r="G175" s="19"/>
      <c r="H175" s="62"/>
      <c r="I175" s="21"/>
      <c r="J175" s="26" t="str">
        <f>IF(NOT(ISBLANK(Table_CheckAcct[[#This Row],[Date]])),TEXT(Table_CheckAcct[[#This Row],[Date]],"mmmm"),"")</f>
        <v>October</v>
      </c>
      <c r="K175" s="26">
        <f>YEAR(Table_CheckAcct[[#This Row],[Date]])</f>
        <v>2023</v>
      </c>
      <c r="L175" s="21" t="str">
        <f>IF(ISBLANK(Table_CheckAcct[[#This Row],[Description]]),"Opening/Closing",VLOOKUP(Table_CheckAcct[[#This Row],[Description]],Table7[],3,FALSE))</f>
        <v>Check</v>
      </c>
      <c r="M175" s="91">
        <f>VLOOKUP(Table_CheckAcct[[#This Row],[Description Index]],Table3[],3,FALSE)</f>
        <v>0</v>
      </c>
    </row>
    <row r="176" spans="3:13" x14ac:dyDescent="0.5">
      <c r="C176" s="12">
        <v>45204</v>
      </c>
      <c r="D176" s="12" t="s">
        <v>18</v>
      </c>
      <c r="E176" s="19" t="s">
        <v>409</v>
      </c>
      <c r="F176" s="19">
        <v>4000</v>
      </c>
      <c r="G176" s="19"/>
      <c r="H176" s="62"/>
      <c r="I176" s="21"/>
      <c r="J176" s="26" t="str">
        <f>IF(NOT(ISBLANK(Table_CheckAcct[[#This Row],[Date]])),TEXT(Table_CheckAcct[[#This Row],[Date]],"mmmm"),"")</f>
        <v>October</v>
      </c>
      <c r="K176" s="26">
        <f>YEAR(Table_CheckAcct[[#This Row],[Date]])</f>
        <v>2023</v>
      </c>
      <c r="L176" s="21" t="str">
        <f>IF(ISBLANK(Table_CheckAcct[[#This Row],[Description]]),"Opening/Closing",VLOOKUP(Table_CheckAcct[[#This Row],[Description]],Table7[],3,FALSE))</f>
        <v xml:space="preserve">Flagstar Bank </v>
      </c>
      <c r="M176" s="91" t="str">
        <f>VLOOKUP(Table_CheckAcct[[#This Row],[Description Index]],Table3[],3,FALSE)</f>
        <v xml:space="preserve">Flagstar Bank </v>
      </c>
    </row>
    <row r="177" spans="2:13" x14ac:dyDescent="0.5">
      <c r="B177"/>
      <c r="C177" s="12">
        <v>45205</v>
      </c>
      <c r="D177" s="12" t="s">
        <v>50</v>
      </c>
      <c r="E177" s="19" t="s">
        <v>345</v>
      </c>
      <c r="F177" s="19"/>
      <c r="G177" s="19">
        <v>8000</v>
      </c>
      <c r="H177" s="62"/>
      <c r="I177" s="21"/>
      <c r="J177" s="26" t="str">
        <f>IF(NOT(ISBLANK(Table_CheckAcct[[#This Row],[Date]])),TEXT(Table_CheckAcct[[#This Row],[Date]],"mmmm"),"")</f>
        <v>October</v>
      </c>
      <c r="K177" s="26">
        <f>YEAR(Table_CheckAcct[[#This Row],[Date]])</f>
        <v>2023</v>
      </c>
      <c r="L177" s="21" t="str">
        <f>IF(ISBLANK(Table_CheckAcct[[#This Row],[Description]]),"Opening/Closing",VLOOKUP(Table_CheckAcct[[#This Row],[Description]],Table7[],3,FALSE))</f>
        <v>Deposit Branch 0447 New York</v>
      </c>
      <c r="M177" s="91" t="str">
        <f>VLOOKUP(Table_CheckAcct[[#This Row],[Description Index]],Table3[],3,FALSE)</f>
        <v>Deposit Branch 0447 New York</v>
      </c>
    </row>
    <row r="178" spans="2:13" x14ac:dyDescent="0.5">
      <c r="B178"/>
      <c r="C178" s="12">
        <v>45205</v>
      </c>
      <c r="D178" s="12" t="s">
        <v>50</v>
      </c>
      <c r="E178" s="19" t="s">
        <v>344</v>
      </c>
      <c r="F178" s="19"/>
      <c r="G178" s="19">
        <v>15000</v>
      </c>
      <c r="H178" s="62"/>
      <c r="I178" s="21"/>
      <c r="J178" s="26" t="str">
        <f>IF(NOT(ISBLANK(Table_CheckAcct[[#This Row],[Date]])),TEXT(Table_CheckAcct[[#This Row],[Date]],"mmmm"),"")</f>
        <v>October</v>
      </c>
      <c r="K178" s="26">
        <f>YEAR(Table_CheckAcct[[#This Row],[Date]])</f>
        <v>2023</v>
      </c>
      <c r="L178" s="21" t="str">
        <f>IF(ISBLANK(Table_CheckAcct[[#This Row],[Description]]),"Opening/Closing",VLOOKUP(Table_CheckAcct[[#This Row],[Description]],Table7[],3,FALSE))</f>
        <v>Internet Trf 0000000476720427 3290</v>
      </c>
      <c r="M178" s="91" t="str">
        <f>VLOOKUP(Table_CheckAcct[[#This Row],[Description Index]],Table3[],3,FALSE)</f>
        <v>Internet Trf 0000000476720427 3290</v>
      </c>
    </row>
    <row r="179" spans="2:13" x14ac:dyDescent="0.5">
      <c r="B179"/>
      <c r="C179" s="12">
        <v>45205</v>
      </c>
      <c r="D179" s="12" t="s">
        <v>18</v>
      </c>
      <c r="E179" s="19" t="s">
        <v>475</v>
      </c>
      <c r="F179" s="19">
        <v>3650</v>
      </c>
      <c r="G179" s="19"/>
      <c r="H179" s="62"/>
      <c r="I179" s="21"/>
      <c r="J179" s="26" t="str">
        <f>IF(NOT(ISBLANK(Table_CheckAcct[[#This Row],[Date]])),TEXT(Table_CheckAcct[[#This Row],[Date]],"mmmm"),"")</f>
        <v>October</v>
      </c>
      <c r="K179" s="26">
        <f>YEAR(Table_CheckAcct[[#This Row],[Date]])</f>
        <v>2023</v>
      </c>
      <c r="L179" s="21" t="str">
        <f>IF(ISBLANK(Table_CheckAcct[[#This Row],[Description]]),"Opening/Closing",VLOOKUP(Table_CheckAcct[[#This Row],[Description]],Table7[],3,FALSE))</f>
        <v>Check</v>
      </c>
      <c r="M179" s="91">
        <f>VLOOKUP(Table_CheckAcct[[#This Row],[Description Index]],Table3[],3,FALSE)</f>
        <v>0</v>
      </c>
    </row>
    <row r="180" spans="2:13" x14ac:dyDescent="0.5">
      <c r="B180"/>
      <c r="C180" s="12">
        <v>45209</v>
      </c>
      <c r="D180" s="12" t="s">
        <v>18</v>
      </c>
      <c r="E180" s="19" t="s">
        <v>335</v>
      </c>
      <c r="F180" s="19">
        <v>27624.76</v>
      </c>
      <c r="G180" s="19"/>
      <c r="H180" s="62"/>
      <c r="I180" s="21"/>
      <c r="J180" s="26" t="str">
        <f>IF(NOT(ISBLANK(Table_CheckAcct[[#This Row],[Date]])),TEXT(Table_CheckAcct[[#This Row],[Date]],"mmmm"),"")</f>
        <v>October</v>
      </c>
      <c r="K180" s="26">
        <f>YEAR(Table_CheckAcct[[#This Row],[Date]])</f>
        <v>2023</v>
      </c>
      <c r="L180" s="21" t="str">
        <f>IF(ISBLANK(Table_CheckAcct[[#This Row],[Description]]),"Opening/Closing",VLOOKUP(Table_CheckAcct[[#This Row],[Description]],Table7[],3,FALSE))</f>
        <v>Capital One Creditcard</v>
      </c>
      <c r="M180" s="91" t="str">
        <f>VLOOKUP(Table_CheckAcct[[#This Row],[Description Index]],Table3[],3,FALSE)</f>
        <v>Capital One Creditcard</v>
      </c>
    </row>
    <row r="181" spans="2:13" x14ac:dyDescent="0.5">
      <c r="B181"/>
      <c r="C181" s="12">
        <v>45210</v>
      </c>
      <c r="D181" s="12" t="s">
        <v>228</v>
      </c>
      <c r="E181" s="19" t="s">
        <v>403</v>
      </c>
      <c r="F181" s="19"/>
      <c r="G181" s="19">
        <v>1043.43</v>
      </c>
      <c r="H181" s="62"/>
      <c r="I181" s="21"/>
      <c r="J181" s="26" t="str">
        <f>IF(NOT(ISBLANK(Table_CheckAcct[[#This Row],[Date]])),TEXT(Table_CheckAcct[[#This Row],[Date]],"mmmm"),"")</f>
        <v>October</v>
      </c>
      <c r="K181" s="26">
        <f>YEAR(Table_CheckAcct[[#This Row],[Date]])</f>
        <v>2023</v>
      </c>
      <c r="L181" s="21" t="str">
        <f>IF(ISBLANK(Table_CheckAcct[[#This Row],[Description]]),"Opening/Closing",VLOOKUP(Table_CheckAcct[[#This Row],[Description]],Table7[],3,FALSE))</f>
        <v>Adjustments</v>
      </c>
      <c r="M181" s="91" t="str">
        <f>VLOOKUP(Table_CheckAcct[[#This Row],[Description Index]],Table3[],3,FALSE)</f>
        <v>Adjustments</v>
      </c>
    </row>
    <row r="182" spans="2:13" x14ac:dyDescent="0.5">
      <c r="B182"/>
      <c r="C182" s="12">
        <v>45210</v>
      </c>
      <c r="D182" s="12" t="s">
        <v>18</v>
      </c>
      <c r="E182" s="19" t="s">
        <v>410</v>
      </c>
      <c r="F182" s="19">
        <v>46.69</v>
      </c>
      <c r="G182" s="19"/>
      <c r="H182" s="62"/>
      <c r="I182" s="21"/>
      <c r="J182" s="26" t="str">
        <f>IF(NOT(ISBLANK(Table_CheckAcct[[#This Row],[Date]])),TEXT(Table_CheckAcct[[#This Row],[Date]],"mmmm"),"")</f>
        <v>October</v>
      </c>
      <c r="K182" s="26">
        <f>YEAR(Table_CheckAcct[[#This Row],[Date]])</f>
        <v>2023</v>
      </c>
      <c r="L182" s="21" t="str">
        <f>IF(ISBLANK(Table_CheckAcct[[#This Row],[Description]]),"Opening/Closing",VLOOKUP(Table_CheckAcct[[#This Row],[Description]],Table7[],3,FALSE))</f>
        <v xml:space="preserve">Orange &amp; Rockland </v>
      </c>
      <c r="M182" s="91" t="str">
        <f>VLOOKUP(Table_CheckAcct[[#This Row],[Description Index]],Table3[],3,FALSE)</f>
        <v xml:space="preserve">Orange &amp; Rockland </v>
      </c>
    </row>
    <row r="183" spans="2:13" x14ac:dyDescent="0.5">
      <c r="B183"/>
      <c r="C183" s="12">
        <v>45210</v>
      </c>
      <c r="D183" s="12" t="s">
        <v>18</v>
      </c>
      <c r="E183" s="19" t="s">
        <v>478</v>
      </c>
      <c r="F183" s="19">
        <v>4700</v>
      </c>
      <c r="G183" s="19"/>
      <c r="H183" s="62"/>
      <c r="I183" s="21"/>
      <c r="J183" s="26" t="str">
        <f>IF(NOT(ISBLANK(Table_CheckAcct[[#This Row],[Date]])),TEXT(Table_CheckAcct[[#This Row],[Date]],"mmmm"),"")</f>
        <v>October</v>
      </c>
      <c r="K183" s="26">
        <f>YEAR(Table_CheckAcct[[#This Row],[Date]])</f>
        <v>2023</v>
      </c>
      <c r="L183" s="21" t="str">
        <f>IF(ISBLANK(Table_CheckAcct[[#This Row],[Description]]),"Opening/Closing",VLOOKUP(Table_CheckAcct[[#This Row],[Description]],Table7[],3,FALSE))</f>
        <v>Check</v>
      </c>
      <c r="M183" s="91">
        <f>VLOOKUP(Table_CheckAcct[[#This Row],[Description Index]],Table3[],3,FALSE)</f>
        <v>0</v>
      </c>
    </row>
    <row r="184" spans="2:13" x14ac:dyDescent="0.5">
      <c r="B184"/>
      <c r="C184" s="12">
        <v>45211</v>
      </c>
      <c r="D184" s="12" t="s">
        <v>50</v>
      </c>
      <c r="E184" s="19" t="s">
        <v>344</v>
      </c>
      <c r="F184" s="19"/>
      <c r="G184" s="19">
        <v>10000</v>
      </c>
      <c r="H184" s="62"/>
      <c r="I184" s="21"/>
      <c r="J184" s="26" t="str">
        <f>IF(NOT(ISBLANK(Table_CheckAcct[[#This Row],[Date]])),TEXT(Table_CheckAcct[[#This Row],[Date]],"mmmm"),"")</f>
        <v>October</v>
      </c>
      <c r="K184" s="26">
        <f>YEAR(Table_CheckAcct[[#This Row],[Date]])</f>
        <v>2023</v>
      </c>
      <c r="L184" s="21" t="str">
        <f>IF(ISBLANK(Table_CheckAcct[[#This Row],[Description]]),"Opening/Closing",VLOOKUP(Table_CheckAcct[[#This Row],[Description]],Table7[],3,FALSE))</f>
        <v>Internet Trf 0000000476720427 3290</v>
      </c>
      <c r="M184" s="91" t="str">
        <f>VLOOKUP(Table_CheckAcct[[#This Row],[Description Index]],Table3[],3,FALSE)</f>
        <v>Internet Trf 0000000476720427 3290</v>
      </c>
    </row>
    <row r="185" spans="2:13" x14ac:dyDescent="0.5">
      <c r="B185"/>
      <c r="C185" s="12">
        <v>45211</v>
      </c>
      <c r="D185" s="12" t="s">
        <v>228</v>
      </c>
      <c r="E185" s="19" t="s">
        <v>404</v>
      </c>
      <c r="F185" s="19"/>
      <c r="G185" s="19">
        <v>6.57</v>
      </c>
      <c r="H185" s="62"/>
      <c r="I185" s="21"/>
      <c r="J185" s="26" t="str">
        <f>IF(NOT(ISBLANK(Table_CheckAcct[[#This Row],[Date]])),TEXT(Table_CheckAcct[[#This Row],[Date]],"mmmm"),"")</f>
        <v>October</v>
      </c>
      <c r="K185" s="26">
        <f>YEAR(Table_CheckAcct[[#This Row],[Date]])</f>
        <v>2023</v>
      </c>
      <c r="L185" s="21" t="str">
        <f>IF(ISBLANK(Table_CheckAcct[[#This Row],[Description]]),"Opening/Closing",VLOOKUP(Table_CheckAcct[[#This Row],[Description]],Table7[],3,FALSE))</f>
        <v>Adjustments</v>
      </c>
      <c r="M185" s="91" t="str">
        <f>VLOOKUP(Table_CheckAcct[[#This Row],[Description Index]],Table3[],3,FALSE)</f>
        <v>Adjustments</v>
      </c>
    </row>
    <row r="186" spans="2:13" x14ac:dyDescent="0.5">
      <c r="B186"/>
      <c r="C186" s="12">
        <v>45211</v>
      </c>
      <c r="D186" s="12" t="s">
        <v>18</v>
      </c>
      <c r="E186" s="19" t="s">
        <v>411</v>
      </c>
      <c r="F186" s="19">
        <v>880</v>
      </c>
      <c r="G186" s="19"/>
      <c r="H186" s="62"/>
      <c r="I186" s="21"/>
      <c r="J186" s="26" t="str">
        <f>IF(NOT(ISBLANK(Table_CheckAcct[[#This Row],[Date]])),TEXT(Table_CheckAcct[[#This Row],[Date]],"mmmm"),"")</f>
        <v>October</v>
      </c>
      <c r="K186" s="26">
        <f>YEAR(Table_CheckAcct[[#This Row],[Date]])</f>
        <v>2023</v>
      </c>
      <c r="L186" s="21" t="str">
        <f>IF(ISBLANK(Table_CheckAcct[[#This Row],[Description]]),"Opening/Closing",VLOOKUP(Table_CheckAcct[[#This Row],[Description]],Table7[],3,FALSE))</f>
        <v xml:space="preserve">US Small Business </v>
      </c>
      <c r="M186" s="91" t="str">
        <f>VLOOKUP(Table_CheckAcct[[#This Row],[Description Index]],Table3[],3,FALSE)</f>
        <v xml:space="preserve">US Small Business </v>
      </c>
    </row>
    <row r="187" spans="2:13" x14ac:dyDescent="0.5">
      <c r="B187"/>
      <c r="C187" s="12">
        <v>45211</v>
      </c>
      <c r="D187" s="12" t="s">
        <v>18</v>
      </c>
      <c r="E187" s="19" t="s">
        <v>412</v>
      </c>
      <c r="F187" s="19">
        <v>1050</v>
      </c>
      <c r="G187" s="19"/>
      <c r="H187" s="62"/>
      <c r="I187" s="21"/>
      <c r="J187" s="26" t="str">
        <f>IF(NOT(ISBLANK(Table_CheckAcct[[#This Row],[Date]])),TEXT(Table_CheckAcct[[#This Row],[Date]],"mmmm"),"")</f>
        <v>October</v>
      </c>
      <c r="K187" s="26">
        <f>YEAR(Table_CheckAcct[[#This Row],[Date]])</f>
        <v>2023</v>
      </c>
      <c r="L187" s="21" t="str">
        <f>IF(ISBLANK(Table_CheckAcct[[#This Row],[Description]]),"Opening/Closing",VLOOKUP(Table_CheckAcct[[#This Row],[Description]],Table7[],3,FALSE))</f>
        <v>Internet Trf 0000000476720427 3290</v>
      </c>
      <c r="M187" s="91" t="str">
        <f>VLOOKUP(Table_CheckAcct[[#This Row],[Description Index]],Table3[],3,FALSE)</f>
        <v>Internet Trf 0000000476720427 3290</v>
      </c>
    </row>
    <row r="188" spans="2:13" x14ac:dyDescent="0.5">
      <c r="B188"/>
      <c r="C188" s="12">
        <v>45212</v>
      </c>
      <c r="D188" s="12" t="s">
        <v>50</v>
      </c>
      <c r="E188" s="19" t="s">
        <v>345</v>
      </c>
      <c r="F188" s="19"/>
      <c r="G188" s="19">
        <v>40500</v>
      </c>
      <c r="H188" s="62"/>
      <c r="I188" s="21"/>
      <c r="J188" s="26" t="str">
        <f>IF(NOT(ISBLANK(Table_CheckAcct[[#This Row],[Date]])),TEXT(Table_CheckAcct[[#This Row],[Date]],"mmmm"),"")</f>
        <v>October</v>
      </c>
      <c r="K188" s="26">
        <f>YEAR(Table_CheckAcct[[#This Row],[Date]])</f>
        <v>2023</v>
      </c>
      <c r="L188" s="21" t="str">
        <f>IF(ISBLANK(Table_CheckAcct[[#This Row],[Description]]),"Opening/Closing",VLOOKUP(Table_CheckAcct[[#This Row],[Description]],Table7[],3,FALSE))</f>
        <v>Deposit Branch 0447 New York</v>
      </c>
      <c r="M188" s="91" t="str">
        <f>VLOOKUP(Table_CheckAcct[[#This Row],[Description Index]],Table3[],3,FALSE)</f>
        <v>Deposit Branch 0447 New York</v>
      </c>
    </row>
    <row r="189" spans="2:13" x14ac:dyDescent="0.5">
      <c r="B189"/>
      <c r="C189" s="12">
        <v>45215</v>
      </c>
      <c r="D189" s="12" t="s">
        <v>18</v>
      </c>
      <c r="E189" s="19" t="s">
        <v>476</v>
      </c>
      <c r="F189" s="19">
        <v>4000</v>
      </c>
      <c r="G189" s="19"/>
      <c r="H189" s="62"/>
      <c r="I189" s="21"/>
      <c r="J189" s="26" t="str">
        <f>IF(NOT(ISBLANK(Table_CheckAcct[[#This Row],[Date]])),TEXT(Table_CheckAcct[[#This Row],[Date]],"mmmm"),"")</f>
        <v>October</v>
      </c>
      <c r="K189" s="26">
        <f>YEAR(Table_CheckAcct[[#This Row],[Date]])</f>
        <v>2023</v>
      </c>
      <c r="L189" s="21" t="str">
        <f>IF(ISBLANK(Table_CheckAcct[[#This Row],[Description]]),"Opening/Closing",VLOOKUP(Table_CheckAcct[[#This Row],[Description]],Table7[],3,FALSE))</f>
        <v>Check</v>
      </c>
      <c r="M189" s="91">
        <f>VLOOKUP(Table_CheckAcct[[#This Row],[Description Index]],Table3[],3,FALSE)</f>
        <v>0</v>
      </c>
    </row>
    <row r="190" spans="2:13" x14ac:dyDescent="0.5">
      <c r="B190"/>
      <c r="C190" s="12">
        <v>45222</v>
      </c>
      <c r="D190" s="12" t="s">
        <v>18</v>
      </c>
      <c r="E190" s="19" t="s">
        <v>477</v>
      </c>
      <c r="F190" s="19">
        <v>2000</v>
      </c>
      <c r="G190" s="19"/>
      <c r="H190" s="62"/>
      <c r="I190" s="21"/>
      <c r="J190" s="26" t="str">
        <f>IF(NOT(ISBLANK(Table_CheckAcct[[#This Row],[Date]])),TEXT(Table_CheckAcct[[#This Row],[Date]],"mmmm"),"")</f>
        <v>October</v>
      </c>
      <c r="K190" s="26">
        <f>YEAR(Table_CheckAcct[[#This Row],[Date]])</f>
        <v>2023</v>
      </c>
      <c r="L190" s="21" t="str">
        <f>IF(ISBLANK(Table_CheckAcct[[#This Row],[Description]]),"Opening/Closing",VLOOKUP(Table_CheckAcct[[#This Row],[Description]],Table7[],3,FALSE))</f>
        <v>Check</v>
      </c>
      <c r="M190" s="91">
        <f>VLOOKUP(Table_CheckAcct[[#This Row],[Description Index]],Table3[],3,FALSE)</f>
        <v>0</v>
      </c>
    </row>
    <row r="191" spans="2:13" x14ac:dyDescent="0.5">
      <c r="B191"/>
      <c r="C191" s="12">
        <v>45224</v>
      </c>
      <c r="D191" s="12" t="s">
        <v>18</v>
      </c>
      <c r="E191" s="19" t="s">
        <v>413</v>
      </c>
      <c r="F191" s="19">
        <v>2179.46</v>
      </c>
      <c r="G191" s="19"/>
      <c r="H191" s="62"/>
      <c r="I191" s="21"/>
      <c r="J191" s="26" t="str">
        <f>IF(NOT(ISBLANK(Table_CheckAcct[[#This Row],[Date]])),TEXT(Table_CheckAcct[[#This Row],[Date]],"mmmm"),"")</f>
        <v>October</v>
      </c>
      <c r="K191" s="26">
        <f>YEAR(Table_CheckAcct[[#This Row],[Date]])</f>
        <v>2023</v>
      </c>
      <c r="L191" s="21" t="str">
        <f>IF(ISBLANK(Table_CheckAcct[[#This Row],[Description]]),"Opening/Closing",VLOOKUP(Table_CheckAcct[[#This Row],[Description]],Table7[],3,FALSE))</f>
        <v xml:space="preserve">Lowes </v>
      </c>
      <c r="M191" s="91" t="str">
        <f>VLOOKUP(Table_CheckAcct[[#This Row],[Description Index]],Table3[],3,FALSE)</f>
        <v xml:space="preserve">Lowes </v>
      </c>
    </row>
    <row r="192" spans="2:13" x14ac:dyDescent="0.5">
      <c r="B192"/>
      <c r="C192" s="12">
        <v>45225</v>
      </c>
      <c r="D192" s="12" t="s">
        <v>18</v>
      </c>
      <c r="E192" s="19" t="s">
        <v>338</v>
      </c>
      <c r="F192" s="19">
        <v>102.08</v>
      </c>
      <c r="G192" s="19"/>
      <c r="H192" s="62"/>
      <c r="I192" s="21"/>
      <c r="J192" s="26" t="str">
        <f>IF(NOT(ISBLANK(Table_CheckAcct[[#This Row],[Date]])),TEXT(Table_CheckAcct[[#This Row],[Date]],"mmmm"),"")</f>
        <v>October</v>
      </c>
      <c r="K192" s="26">
        <f>YEAR(Table_CheckAcct[[#This Row],[Date]])</f>
        <v>2023</v>
      </c>
      <c r="L192" s="21" t="str">
        <f>IF(ISBLANK(Table_CheckAcct[[#This Row],[Description]]),"Opening/Closing",VLOOKUP(Table_CheckAcct[[#This Row],[Description]],Table7[],3,FALSE))</f>
        <v>Verizon Payment</v>
      </c>
      <c r="M192" s="91" t="str">
        <f>VLOOKUP(Table_CheckAcct[[#This Row],[Description Index]],Table3[],3,FALSE)</f>
        <v>Verizon Payment</v>
      </c>
    </row>
    <row r="193" spans="2:13" x14ac:dyDescent="0.5">
      <c r="B193"/>
      <c r="C193" s="12">
        <v>45226</v>
      </c>
      <c r="D193" s="12" t="s">
        <v>18</v>
      </c>
      <c r="E193" s="19" t="s">
        <v>479</v>
      </c>
      <c r="F193" s="19">
        <v>3000</v>
      </c>
      <c r="G193" s="19"/>
      <c r="H193" s="62"/>
      <c r="I193" s="21"/>
      <c r="J193" s="26" t="str">
        <f>IF(NOT(ISBLANK(Table_CheckAcct[[#This Row],[Date]])),TEXT(Table_CheckAcct[[#This Row],[Date]],"mmmm"),"")</f>
        <v>October</v>
      </c>
      <c r="K193" s="26">
        <f>YEAR(Table_CheckAcct[[#This Row],[Date]])</f>
        <v>2023</v>
      </c>
      <c r="L193" s="21" t="str">
        <f>IF(ISBLANK(Table_CheckAcct[[#This Row],[Description]]),"Opening/Closing",VLOOKUP(Table_CheckAcct[[#This Row],[Description]],Table7[],3,FALSE))</f>
        <v>Check</v>
      </c>
      <c r="M193" s="91">
        <f>VLOOKUP(Table_CheckAcct[[#This Row],[Description Index]],Table3[],3,FALSE)</f>
        <v>0</v>
      </c>
    </row>
    <row r="194" spans="2:13" x14ac:dyDescent="0.5">
      <c r="B194"/>
      <c r="C194" s="12">
        <v>45226</v>
      </c>
      <c r="D194" s="12" t="s">
        <v>18</v>
      </c>
      <c r="E194" s="19" t="s">
        <v>480</v>
      </c>
      <c r="F194" s="19">
        <v>150</v>
      </c>
      <c r="G194" s="19"/>
      <c r="H194" s="62"/>
      <c r="I194" s="21"/>
      <c r="J194" s="26" t="str">
        <f>IF(NOT(ISBLANK(Table_CheckAcct[[#This Row],[Date]])),TEXT(Table_CheckAcct[[#This Row],[Date]],"mmmm"),"")</f>
        <v>October</v>
      </c>
      <c r="K194" s="26">
        <f>YEAR(Table_CheckAcct[[#This Row],[Date]])</f>
        <v>2023</v>
      </c>
      <c r="L194" s="21" t="str">
        <f>IF(ISBLANK(Table_CheckAcct[[#This Row],[Description]]),"Opening/Closing",VLOOKUP(Table_CheckAcct[[#This Row],[Description]],Table7[],3,FALSE))</f>
        <v>Check</v>
      </c>
      <c r="M194" s="91">
        <f>VLOOKUP(Table_CheckAcct[[#This Row],[Description Index]],Table3[],3,FALSE)</f>
        <v>0</v>
      </c>
    </row>
    <row r="195" spans="2:13" x14ac:dyDescent="0.5">
      <c r="B195"/>
      <c r="C195" s="12">
        <v>45229</v>
      </c>
      <c r="D195" s="12" t="s">
        <v>18</v>
      </c>
      <c r="E195" s="19" t="s">
        <v>414</v>
      </c>
      <c r="F195" s="19">
        <v>1342</v>
      </c>
      <c r="G195" s="19"/>
      <c r="H195" s="62"/>
      <c r="I195" s="21"/>
      <c r="J195" s="26" t="str">
        <f>IF(NOT(ISBLANK(Table_CheckAcct[[#This Row],[Date]])),TEXT(Table_CheckAcct[[#This Row],[Date]],"mmmm"),"")</f>
        <v>October</v>
      </c>
      <c r="K195" s="26">
        <f>YEAR(Table_CheckAcct[[#This Row],[Date]])</f>
        <v>2023</v>
      </c>
      <c r="L195" s="21" t="str">
        <f>IF(ISBLANK(Table_CheckAcct[[#This Row],[Description]]),"Opening/Closing",VLOOKUP(Table_CheckAcct[[#This Row],[Description]],Table7[],3,FALSE))</f>
        <v xml:space="preserve">Home Depot </v>
      </c>
      <c r="M195" s="91" t="str">
        <f>VLOOKUP(Table_CheckAcct[[#This Row],[Description Index]],Table3[],3,FALSE)</f>
        <v xml:space="preserve">Home Depot </v>
      </c>
    </row>
    <row r="196" spans="2:13" x14ac:dyDescent="0.5">
      <c r="B196"/>
      <c r="C196" s="12">
        <v>45229</v>
      </c>
      <c r="D196" s="12" t="s">
        <v>18</v>
      </c>
      <c r="E196" s="19" t="s">
        <v>364</v>
      </c>
      <c r="F196" s="19">
        <v>5000</v>
      </c>
      <c r="G196" s="19"/>
      <c r="H196" s="62"/>
      <c r="I196" s="21"/>
      <c r="J196" s="26" t="str">
        <f>IF(NOT(ISBLANK(Table_CheckAcct[[#This Row],[Date]])),TEXT(Table_CheckAcct[[#This Row],[Date]],"mmmm"),"")</f>
        <v>October</v>
      </c>
      <c r="K196" s="26">
        <f>YEAR(Table_CheckAcct[[#This Row],[Date]])</f>
        <v>2023</v>
      </c>
      <c r="L196" s="21" t="str">
        <f>IF(ISBLANK(Table_CheckAcct[[#This Row],[Description]]),"Opening/Closing",VLOOKUP(Table_CheckAcct[[#This Row],[Description]],Table7[],3,FALSE))</f>
        <v>Internet Trf 0000000476720427 3290</v>
      </c>
      <c r="M196" s="91" t="str">
        <f>VLOOKUP(Table_CheckAcct[[#This Row],[Description Index]],Table3[],3,FALSE)</f>
        <v>Internet Trf 0000000476720427 3290</v>
      </c>
    </row>
    <row r="197" spans="2:13" x14ac:dyDescent="0.5">
      <c r="B197"/>
      <c r="C197" s="12">
        <v>45230</v>
      </c>
      <c r="D197" s="12" t="s">
        <v>18</v>
      </c>
      <c r="E197" s="19" t="s">
        <v>415</v>
      </c>
      <c r="F197" s="19">
        <v>3812.29</v>
      </c>
      <c r="G197" s="19"/>
      <c r="H197" s="62"/>
      <c r="I197" s="21"/>
      <c r="J197" s="26" t="str">
        <f>IF(NOT(ISBLANK(Table_CheckAcct[[#This Row],[Date]])),TEXT(Table_CheckAcct[[#This Row],[Date]],"mmmm"),"")</f>
        <v>October</v>
      </c>
      <c r="K197" s="26">
        <f>YEAR(Table_CheckAcct[[#This Row],[Date]])</f>
        <v>2023</v>
      </c>
      <c r="L197" s="21" t="str">
        <f>IF(ISBLANK(Table_CheckAcct[[#This Row],[Description]]),"Opening/Closing",VLOOKUP(Table_CheckAcct[[#This Row],[Description]],Table7[],3,FALSE))</f>
        <v>Comenity Pay</v>
      </c>
      <c r="M197" s="91" t="str">
        <f>VLOOKUP(Table_CheckAcct[[#This Row],[Description Index]],Table3[],3,FALSE)</f>
        <v>Miscellaneous</v>
      </c>
    </row>
    <row r="198" spans="2:13" ht="18.600000000000001" thickBot="1" x14ac:dyDescent="0.55000000000000004">
      <c r="B198"/>
      <c r="C198" s="36">
        <v>45230</v>
      </c>
      <c r="D198" s="36" t="s">
        <v>461</v>
      </c>
      <c r="E198" s="37"/>
      <c r="F198" s="38">
        <f>SUM(F172:F197)</f>
        <v>74251.62</v>
      </c>
      <c r="G198" s="38">
        <f>SUM(G172:G197)</f>
        <v>74550</v>
      </c>
      <c r="H198" s="59">
        <v>26990.74</v>
      </c>
      <c r="I198" s="42">
        <f>H171-F198+G198-H198</f>
        <v>0</v>
      </c>
      <c r="J198" s="39" t="str">
        <f>IF(NOT(ISBLANK(Table_CheckAcct[[#This Row],[Date]])),TEXT(Table_CheckAcct[[#This Row],[Date]],"mmmm"),"")</f>
        <v>October</v>
      </c>
      <c r="K198" s="39">
        <f>YEAR(Table_CheckAcct[[#This Row],[Date]])</f>
        <v>2023</v>
      </c>
      <c r="L198" s="21" t="str">
        <f>IF(ISBLANK(Table_CheckAcct[[#This Row],[Description]]),"Opening/Closing",VLOOKUP(Table_CheckAcct[[#This Row],[Description]],Table7[],3,FALSE))</f>
        <v>Opening/Closing</v>
      </c>
      <c r="M198" s="91" t="str">
        <f>VLOOKUP(Table_CheckAcct[[#This Row],[Description Index]],Table3[],3,FALSE)</f>
        <v>Opening/Closing</v>
      </c>
    </row>
    <row r="199" spans="2:13" ht="18.600000000000001" thickTop="1" x14ac:dyDescent="0.5">
      <c r="B199"/>
      <c r="C199" s="12">
        <v>45231</v>
      </c>
      <c r="D199" s="12" t="s">
        <v>451</v>
      </c>
      <c r="E199" s="19"/>
      <c r="F199" s="19"/>
      <c r="G199" s="19"/>
      <c r="H199" s="60">
        <f>H198</f>
        <v>26990.74</v>
      </c>
      <c r="I199" s="23"/>
      <c r="J199" s="26" t="str">
        <f>IF(NOT(ISBLANK(Table_CheckAcct[[#This Row],[Date]])),TEXT(Table_CheckAcct[[#This Row],[Date]],"mmmm"),"")</f>
        <v>November</v>
      </c>
      <c r="K199" s="26">
        <f>YEAR(Table_CheckAcct[[#This Row],[Date]])</f>
        <v>2023</v>
      </c>
      <c r="L199" s="21" t="str">
        <f>IF(ISBLANK(Table_CheckAcct[[#This Row],[Description]]),"Opening/Closing",VLOOKUP(Table_CheckAcct[[#This Row],[Description]],Table7[],3,FALSE))</f>
        <v>Opening/Closing</v>
      </c>
      <c r="M199" s="91" t="str">
        <f>VLOOKUP(Table_CheckAcct[[#This Row],[Description Index]],Table3[],3,FALSE)</f>
        <v>Opening/Closing</v>
      </c>
    </row>
    <row r="200" spans="2:13" x14ac:dyDescent="0.5">
      <c r="B200"/>
      <c r="C200" s="12">
        <v>45231</v>
      </c>
      <c r="D200" s="12" t="s">
        <v>18</v>
      </c>
      <c r="E200" s="19" t="s">
        <v>481</v>
      </c>
      <c r="F200" s="19">
        <v>2500</v>
      </c>
      <c r="G200" s="19"/>
      <c r="H200" s="62"/>
      <c r="I200" s="21"/>
      <c r="J200" s="26" t="str">
        <f>IF(NOT(ISBLANK(Table_CheckAcct[[#This Row],[Date]])),TEXT(Table_CheckAcct[[#This Row],[Date]],"mmmm"),"")</f>
        <v>November</v>
      </c>
      <c r="K200" s="26">
        <f>YEAR(Table_CheckAcct[[#This Row],[Date]])</f>
        <v>2023</v>
      </c>
      <c r="L200" s="21" t="str">
        <f>IF(ISBLANK(Table_CheckAcct[[#This Row],[Description]]),"Opening/Closing",VLOOKUP(Table_CheckAcct[[#This Row],[Description]],Table7[],3,FALSE))</f>
        <v>Check</v>
      </c>
      <c r="M200" s="91">
        <f>VLOOKUP(Table_CheckAcct[[#This Row],[Description Index]],Table3[],3,FALSE)</f>
        <v>0</v>
      </c>
    </row>
    <row r="201" spans="2:13" x14ac:dyDescent="0.5">
      <c r="B201"/>
      <c r="C201" s="12">
        <v>45231</v>
      </c>
      <c r="D201" s="12" t="s">
        <v>18</v>
      </c>
      <c r="E201" s="19" t="s">
        <v>482</v>
      </c>
      <c r="F201" s="19">
        <v>250</v>
      </c>
      <c r="G201" s="19"/>
      <c r="H201" s="62"/>
      <c r="I201" s="21"/>
      <c r="J201" s="26" t="str">
        <f>IF(NOT(ISBLANK(Table_CheckAcct[[#This Row],[Date]])),TEXT(Table_CheckAcct[[#This Row],[Date]],"mmmm"),"")</f>
        <v>November</v>
      </c>
      <c r="K201" s="26">
        <f>YEAR(Table_CheckAcct[[#This Row],[Date]])</f>
        <v>2023</v>
      </c>
      <c r="L201" s="21" t="str">
        <f>IF(ISBLANK(Table_CheckAcct[[#This Row],[Description]]),"Opening/Closing",VLOOKUP(Table_CheckAcct[[#This Row],[Description]],Table7[],3,FALSE))</f>
        <v>Check</v>
      </c>
      <c r="M201" s="91">
        <f>VLOOKUP(Table_CheckAcct[[#This Row],[Description Index]],Table3[],3,FALSE)</f>
        <v>0</v>
      </c>
    </row>
    <row r="202" spans="2:13" x14ac:dyDescent="0.5">
      <c r="B202"/>
      <c r="C202" s="12">
        <v>45232</v>
      </c>
      <c r="D202" s="12" t="s">
        <v>18</v>
      </c>
      <c r="E202" s="19" t="s">
        <v>364</v>
      </c>
      <c r="F202" s="19">
        <v>5000</v>
      </c>
      <c r="G202" s="19"/>
      <c r="H202" s="62"/>
      <c r="I202" s="21"/>
      <c r="J202" s="26" t="str">
        <f>IF(NOT(ISBLANK(Table_CheckAcct[[#This Row],[Date]])),TEXT(Table_CheckAcct[[#This Row],[Date]],"mmmm"),"")</f>
        <v>November</v>
      </c>
      <c r="K202" s="26">
        <f>YEAR(Table_CheckAcct[[#This Row],[Date]])</f>
        <v>2023</v>
      </c>
      <c r="L202" s="21" t="str">
        <f>IF(ISBLANK(Table_CheckAcct[[#This Row],[Description]]),"Opening/Closing",VLOOKUP(Table_CheckAcct[[#This Row],[Description]],Table7[],3,FALSE))</f>
        <v>Internet Trf 0000000476720427 3290</v>
      </c>
      <c r="M202" s="91" t="str">
        <f>VLOOKUP(Table_CheckAcct[[#This Row],[Description Index]],Table3[],3,FALSE)</f>
        <v>Internet Trf 0000000476720427 3290</v>
      </c>
    </row>
    <row r="203" spans="2:13" x14ac:dyDescent="0.5">
      <c r="B203"/>
      <c r="C203" s="12">
        <v>45236</v>
      </c>
      <c r="D203" s="12" t="s">
        <v>50</v>
      </c>
      <c r="E203" s="19" t="s">
        <v>345</v>
      </c>
      <c r="F203" s="19"/>
      <c r="G203" s="19">
        <v>5420.57</v>
      </c>
      <c r="H203" s="62"/>
      <c r="I203" s="21"/>
      <c r="J203" s="26" t="str">
        <f>IF(NOT(ISBLANK(Table_CheckAcct[[#This Row],[Date]])),TEXT(Table_CheckAcct[[#This Row],[Date]],"mmmm"),"")</f>
        <v>November</v>
      </c>
      <c r="K203" s="26">
        <f>YEAR(Table_CheckAcct[[#This Row],[Date]])</f>
        <v>2023</v>
      </c>
      <c r="L203" s="21" t="str">
        <f>IF(ISBLANK(Table_CheckAcct[[#This Row],[Description]]),"Opening/Closing",VLOOKUP(Table_CheckAcct[[#This Row],[Description]],Table7[],3,FALSE))</f>
        <v>Deposit Branch 0447 New York</v>
      </c>
      <c r="M203" s="91" t="str">
        <f>VLOOKUP(Table_CheckAcct[[#This Row],[Description Index]],Table3[],3,FALSE)</f>
        <v>Deposit Branch 0447 New York</v>
      </c>
    </row>
    <row r="204" spans="2:13" x14ac:dyDescent="0.5">
      <c r="B204"/>
      <c r="C204" s="12">
        <v>45236</v>
      </c>
      <c r="D204" s="12" t="s">
        <v>18</v>
      </c>
      <c r="E204" s="19" t="s">
        <v>332</v>
      </c>
      <c r="F204" s="19">
        <v>494.92</v>
      </c>
      <c r="G204" s="19"/>
      <c r="H204" s="62"/>
      <c r="I204" s="21"/>
      <c r="J204" s="26" t="str">
        <f>IF(NOT(ISBLANK(Table_CheckAcct[[#This Row],[Date]])),TEXT(Table_CheckAcct[[#This Row],[Date]],"mmmm"),"")</f>
        <v>November</v>
      </c>
      <c r="K204" s="26">
        <f>YEAR(Table_CheckAcct[[#This Row],[Date]])</f>
        <v>2023</v>
      </c>
      <c r="L204" s="21" t="str">
        <f>IF(ISBLANK(Table_CheckAcct[[#This Row],[Description]]),"Opening/Closing",VLOOKUP(Table_CheckAcct[[#This Row],[Description]],Table7[],3,FALSE))</f>
        <v>Wilkinmanagemweb Pmts</v>
      </c>
      <c r="M204" s="91" t="str">
        <f>VLOOKUP(Table_CheckAcct[[#This Row],[Description Index]],Table3[],3,FALSE)</f>
        <v>Wilkinmanagemweb Pmts</v>
      </c>
    </row>
    <row r="205" spans="2:13" x14ac:dyDescent="0.5">
      <c r="B205"/>
      <c r="C205" s="12">
        <v>45236</v>
      </c>
      <c r="D205" s="12" t="s">
        <v>18</v>
      </c>
      <c r="E205" s="19" t="s">
        <v>435</v>
      </c>
      <c r="F205" s="19">
        <v>4000</v>
      </c>
      <c r="G205" s="19"/>
      <c r="H205" s="62"/>
      <c r="I205" s="21"/>
      <c r="J205" s="26" t="str">
        <f>IF(NOT(ISBLANK(Table_CheckAcct[[#This Row],[Date]])),TEXT(Table_CheckAcct[[#This Row],[Date]],"mmmm"),"")</f>
        <v>November</v>
      </c>
      <c r="K205" s="26">
        <f>YEAR(Table_CheckAcct[[#This Row],[Date]])</f>
        <v>2023</v>
      </c>
      <c r="L205" s="21" t="str">
        <f>IF(ISBLANK(Table_CheckAcct[[#This Row],[Description]]),"Opening/Closing",VLOOKUP(Table_CheckAcct[[#This Row],[Description]],Table7[],3,FALSE))</f>
        <v xml:space="preserve">Flagstar Bank </v>
      </c>
      <c r="M205" s="91" t="str">
        <f>VLOOKUP(Table_CheckAcct[[#This Row],[Description Index]],Table3[],3,FALSE)</f>
        <v xml:space="preserve">Flagstar Bank </v>
      </c>
    </row>
    <row r="206" spans="2:13" x14ac:dyDescent="0.5">
      <c r="B206"/>
      <c r="C206" s="12">
        <v>45237</v>
      </c>
      <c r="D206" s="12" t="s">
        <v>18</v>
      </c>
      <c r="E206" s="19" t="s">
        <v>335</v>
      </c>
      <c r="F206" s="19">
        <v>1263.8</v>
      </c>
      <c r="G206" s="19"/>
      <c r="H206" s="62"/>
      <c r="I206" s="21"/>
      <c r="J206" s="26" t="str">
        <f>IF(NOT(ISBLANK(Table_CheckAcct[[#This Row],[Date]])),TEXT(Table_CheckAcct[[#This Row],[Date]],"mmmm"),"")</f>
        <v>November</v>
      </c>
      <c r="K206" s="26">
        <f>YEAR(Table_CheckAcct[[#This Row],[Date]])</f>
        <v>2023</v>
      </c>
      <c r="L206" s="21" t="str">
        <f>IF(ISBLANK(Table_CheckAcct[[#This Row],[Description]]),"Opening/Closing",VLOOKUP(Table_CheckAcct[[#This Row],[Description]],Table7[],3,FALSE))</f>
        <v>Capital One Creditcard</v>
      </c>
      <c r="M206" s="91" t="str">
        <f>VLOOKUP(Table_CheckAcct[[#This Row],[Description Index]],Table3[],3,FALSE)</f>
        <v>Capital One Creditcard</v>
      </c>
    </row>
    <row r="207" spans="2:13" x14ac:dyDescent="0.5">
      <c r="B207"/>
      <c r="C207" s="12">
        <v>45237</v>
      </c>
      <c r="D207" s="12" t="s">
        <v>18</v>
      </c>
      <c r="E207" s="19" t="s">
        <v>486</v>
      </c>
      <c r="F207" s="19">
        <v>2000</v>
      </c>
      <c r="G207" s="19"/>
      <c r="H207" s="62"/>
      <c r="I207" s="21"/>
      <c r="J207" s="26" t="str">
        <f>IF(NOT(ISBLANK(Table_CheckAcct[[#This Row],[Date]])),TEXT(Table_CheckAcct[[#This Row],[Date]],"mmmm"),"")</f>
        <v>November</v>
      </c>
      <c r="K207" s="26">
        <f>YEAR(Table_CheckAcct[[#This Row],[Date]])</f>
        <v>2023</v>
      </c>
      <c r="L207" s="21" t="str">
        <f>IF(ISBLANK(Table_CheckAcct[[#This Row],[Description]]),"Opening/Closing",VLOOKUP(Table_CheckAcct[[#This Row],[Description]],Table7[],3,FALSE))</f>
        <v>Check</v>
      </c>
      <c r="M207" s="91">
        <f>VLOOKUP(Table_CheckAcct[[#This Row],[Description Index]],Table3[],3,FALSE)</f>
        <v>0</v>
      </c>
    </row>
    <row r="208" spans="2:13" x14ac:dyDescent="0.5">
      <c r="C208" s="12">
        <v>45238</v>
      </c>
      <c r="D208" s="12" t="s">
        <v>18</v>
      </c>
      <c r="E208" s="19" t="s">
        <v>484</v>
      </c>
      <c r="F208" s="19">
        <v>204</v>
      </c>
      <c r="G208" s="19"/>
      <c r="H208" s="62"/>
      <c r="I208" s="21"/>
      <c r="J208" s="26" t="str">
        <f>IF(NOT(ISBLANK(Table_CheckAcct[[#This Row],[Date]])),TEXT(Table_CheckAcct[[#This Row],[Date]],"mmmm"),"")</f>
        <v>November</v>
      </c>
      <c r="K208" s="26">
        <f>YEAR(Table_CheckAcct[[#This Row],[Date]])</f>
        <v>2023</v>
      </c>
      <c r="L208" s="21" t="str">
        <f>IF(ISBLANK(Table_CheckAcct[[#This Row],[Description]]),"Opening/Closing",VLOOKUP(Table_CheckAcct[[#This Row],[Description]],Table7[],3,FALSE))</f>
        <v>Check</v>
      </c>
      <c r="M208" s="91">
        <f>VLOOKUP(Table_CheckAcct[[#This Row],[Description Index]],Table3[],3,FALSE)</f>
        <v>0</v>
      </c>
    </row>
    <row r="209" spans="3:13" x14ac:dyDescent="0.5">
      <c r="C209" s="12">
        <v>45240</v>
      </c>
      <c r="D209" s="12" t="s">
        <v>18</v>
      </c>
      <c r="E209" s="19" t="s">
        <v>485</v>
      </c>
      <c r="F209" s="19">
        <v>500</v>
      </c>
      <c r="G209" s="19"/>
      <c r="H209" s="62"/>
      <c r="I209" s="21"/>
      <c r="J209" s="26" t="str">
        <f>IF(NOT(ISBLANK(Table_CheckAcct[[#This Row],[Date]])),TEXT(Table_CheckAcct[[#This Row],[Date]],"mmmm"),"")</f>
        <v>November</v>
      </c>
      <c r="K209" s="26">
        <f>YEAR(Table_CheckAcct[[#This Row],[Date]])</f>
        <v>2023</v>
      </c>
      <c r="L209" s="21" t="str">
        <f>IF(ISBLANK(Table_CheckAcct[[#This Row],[Description]]),"Opening/Closing",VLOOKUP(Table_CheckAcct[[#This Row],[Description]],Table7[],3,FALSE))</f>
        <v>Check</v>
      </c>
      <c r="M209" s="91">
        <f>VLOOKUP(Table_CheckAcct[[#This Row],[Description Index]],Table3[],3,FALSE)</f>
        <v>0</v>
      </c>
    </row>
    <row r="210" spans="3:13" x14ac:dyDescent="0.5">
      <c r="C210" s="12">
        <v>45243</v>
      </c>
      <c r="D210" s="12" t="s">
        <v>18</v>
      </c>
      <c r="E210" s="19" t="s">
        <v>483</v>
      </c>
      <c r="F210" s="19">
        <v>500</v>
      </c>
      <c r="G210" s="19"/>
      <c r="H210" s="62"/>
      <c r="I210" s="21"/>
      <c r="J210" s="26" t="str">
        <f>IF(NOT(ISBLANK(Table_CheckAcct[[#This Row],[Date]])),TEXT(Table_CheckAcct[[#This Row],[Date]],"mmmm"),"")</f>
        <v>November</v>
      </c>
      <c r="K210" s="26">
        <f>YEAR(Table_CheckAcct[[#This Row],[Date]])</f>
        <v>2023</v>
      </c>
      <c r="L210" s="21" t="str">
        <f>IF(ISBLANK(Table_CheckAcct[[#This Row],[Description]]),"Opening/Closing",VLOOKUP(Table_CheckAcct[[#This Row],[Description]],Table7[],3,FALSE))</f>
        <v>Check</v>
      </c>
      <c r="M210" s="91">
        <f>VLOOKUP(Table_CheckAcct[[#This Row],[Description Index]],Table3[],3,FALSE)</f>
        <v>0</v>
      </c>
    </row>
    <row r="211" spans="3:13" x14ac:dyDescent="0.5">
      <c r="C211" s="12">
        <v>45243</v>
      </c>
      <c r="D211" s="12" t="s">
        <v>18</v>
      </c>
      <c r="E211" s="19" t="s">
        <v>436</v>
      </c>
      <c r="F211" s="19">
        <v>880</v>
      </c>
      <c r="G211" s="19"/>
      <c r="H211" s="62"/>
      <c r="I211" s="21"/>
      <c r="J211" s="26" t="str">
        <f>IF(NOT(ISBLANK(Table_CheckAcct[[#This Row],[Date]])),TEXT(Table_CheckAcct[[#This Row],[Date]],"mmmm"),"")</f>
        <v>November</v>
      </c>
      <c r="K211" s="26">
        <f>YEAR(Table_CheckAcct[[#This Row],[Date]])</f>
        <v>2023</v>
      </c>
      <c r="L211" s="21" t="str">
        <f>IF(ISBLANK(Table_CheckAcct[[#This Row],[Description]]),"Opening/Closing",VLOOKUP(Table_CheckAcct[[#This Row],[Description]],Table7[],3,FALSE))</f>
        <v xml:space="preserve">US Small Business </v>
      </c>
      <c r="M211" s="91" t="str">
        <f>VLOOKUP(Table_CheckAcct[[#This Row],[Description Index]],Table3[],3,FALSE)</f>
        <v xml:space="preserve">US Small Business </v>
      </c>
    </row>
    <row r="212" spans="3:13" x14ac:dyDescent="0.5">
      <c r="C212" s="12">
        <v>45244</v>
      </c>
      <c r="D212" s="12" t="s">
        <v>18</v>
      </c>
      <c r="E212" s="19" t="s">
        <v>437</v>
      </c>
      <c r="F212" s="19">
        <v>44.75</v>
      </c>
      <c r="G212" s="19"/>
      <c r="H212" s="62"/>
      <c r="I212" s="21"/>
      <c r="J212" s="26" t="str">
        <f>IF(NOT(ISBLANK(Table_CheckAcct[[#This Row],[Date]])),TEXT(Table_CheckAcct[[#This Row],[Date]],"mmmm"),"")</f>
        <v>November</v>
      </c>
      <c r="K212" s="26">
        <f>YEAR(Table_CheckAcct[[#This Row],[Date]])</f>
        <v>2023</v>
      </c>
      <c r="L212" s="21" t="str">
        <f>IF(ISBLANK(Table_CheckAcct[[#This Row],[Description]]),"Opening/Closing",VLOOKUP(Table_CheckAcct[[#This Row],[Description]],Table7[],3,FALSE))</f>
        <v xml:space="preserve">Orange &amp; Rockland </v>
      </c>
      <c r="M212" s="91" t="str">
        <f>VLOOKUP(Table_CheckAcct[[#This Row],[Description Index]],Table3[],3,FALSE)</f>
        <v xml:space="preserve">Orange &amp; Rockland </v>
      </c>
    </row>
    <row r="213" spans="3:13" x14ac:dyDescent="0.5">
      <c r="C213" s="12">
        <v>45244</v>
      </c>
      <c r="D213" s="12" t="s">
        <v>18</v>
      </c>
      <c r="E213" s="19" t="s">
        <v>438</v>
      </c>
      <c r="F213" s="19">
        <v>316.69</v>
      </c>
      <c r="G213" s="19"/>
      <c r="H213" s="62"/>
      <c r="I213" s="21"/>
      <c r="J213" s="26" t="str">
        <f>IF(NOT(ISBLANK(Table_CheckAcct[[#This Row],[Date]])),TEXT(Table_CheckAcct[[#This Row],[Date]],"mmmm"),"")</f>
        <v>November</v>
      </c>
      <c r="K213" s="26">
        <f>YEAR(Table_CheckAcct[[#This Row],[Date]])</f>
        <v>2023</v>
      </c>
      <c r="L213" s="21" t="str">
        <f>IF(ISBLANK(Table_CheckAcct[[#This Row],[Description]]),"Opening/Closing",VLOOKUP(Table_CheckAcct[[#This Row],[Description]],Table7[],3,FALSE))</f>
        <v xml:space="preserve">Lowes </v>
      </c>
      <c r="M213" s="91" t="str">
        <f>VLOOKUP(Table_CheckAcct[[#This Row],[Description Index]],Table3[],3,FALSE)</f>
        <v xml:space="preserve">Lowes </v>
      </c>
    </row>
    <row r="214" spans="3:13" x14ac:dyDescent="0.5">
      <c r="C214" s="12">
        <v>45244</v>
      </c>
      <c r="D214" s="12" t="s">
        <v>18</v>
      </c>
      <c r="E214" s="19" t="s">
        <v>364</v>
      </c>
      <c r="F214" s="19">
        <v>5000</v>
      </c>
      <c r="G214" s="19"/>
      <c r="H214" s="62"/>
      <c r="I214" s="21"/>
      <c r="J214" s="26" t="str">
        <f>IF(NOT(ISBLANK(Table_CheckAcct[[#This Row],[Date]])),TEXT(Table_CheckAcct[[#This Row],[Date]],"mmmm"),"")</f>
        <v>November</v>
      </c>
      <c r="K214" s="26">
        <f>YEAR(Table_CheckAcct[[#This Row],[Date]])</f>
        <v>2023</v>
      </c>
      <c r="L214" s="21" t="str">
        <f>IF(ISBLANK(Table_CheckAcct[[#This Row],[Description]]),"Opening/Closing",VLOOKUP(Table_CheckAcct[[#This Row],[Description]],Table7[],3,FALSE))</f>
        <v>Internet Trf 0000000476720427 3290</v>
      </c>
      <c r="M214" s="91" t="str">
        <f>VLOOKUP(Table_CheckAcct[[#This Row],[Description Index]],Table3[],3,FALSE)</f>
        <v>Internet Trf 0000000476720427 3290</v>
      </c>
    </row>
    <row r="215" spans="3:13" x14ac:dyDescent="0.5">
      <c r="C215" s="12">
        <v>45247</v>
      </c>
      <c r="D215" s="12" t="s">
        <v>18</v>
      </c>
      <c r="E215" s="19" t="s">
        <v>488</v>
      </c>
      <c r="F215" s="19">
        <v>135.66999999999999</v>
      </c>
      <c r="G215" s="19"/>
      <c r="H215" s="62"/>
      <c r="I215" s="21"/>
      <c r="J215" s="26" t="str">
        <f>IF(NOT(ISBLANK(Table_CheckAcct[[#This Row],[Date]])),TEXT(Table_CheckAcct[[#This Row],[Date]],"mmmm"),"")</f>
        <v>November</v>
      </c>
      <c r="K215" s="26">
        <f>YEAR(Table_CheckAcct[[#This Row],[Date]])</f>
        <v>2023</v>
      </c>
      <c r="L215" s="21" t="str">
        <f>IF(ISBLANK(Table_CheckAcct[[#This Row],[Description]]),"Opening/Closing",VLOOKUP(Table_CheckAcct[[#This Row],[Description]],Table7[],3,FALSE))</f>
        <v>Check</v>
      </c>
      <c r="M215" s="91">
        <f>VLOOKUP(Table_CheckAcct[[#This Row],[Description Index]],Table3[],3,FALSE)</f>
        <v>0</v>
      </c>
    </row>
    <row r="216" spans="3:13" x14ac:dyDescent="0.5">
      <c r="C216" s="12">
        <v>45250</v>
      </c>
      <c r="D216" s="12" t="s">
        <v>18</v>
      </c>
      <c r="E216" s="19" t="s">
        <v>489</v>
      </c>
      <c r="F216" s="19">
        <v>3500</v>
      </c>
      <c r="G216" s="19"/>
      <c r="H216" s="62"/>
      <c r="I216" s="21"/>
      <c r="J216" s="26" t="str">
        <f>IF(NOT(ISBLANK(Table_CheckAcct[[#This Row],[Date]])),TEXT(Table_CheckAcct[[#This Row],[Date]],"mmmm"),"")</f>
        <v>November</v>
      </c>
      <c r="K216" s="26">
        <f>YEAR(Table_CheckAcct[[#This Row],[Date]])</f>
        <v>2023</v>
      </c>
      <c r="L216" s="21" t="str">
        <f>IF(ISBLANK(Table_CheckAcct[[#This Row],[Description]]),"Opening/Closing",VLOOKUP(Table_CheckAcct[[#This Row],[Description]],Table7[],3,FALSE))</f>
        <v>Check</v>
      </c>
      <c r="M216" s="91">
        <f>VLOOKUP(Table_CheckAcct[[#This Row],[Description Index]],Table3[],3,FALSE)</f>
        <v>0</v>
      </c>
    </row>
    <row r="217" spans="3:13" x14ac:dyDescent="0.5">
      <c r="C217" s="12">
        <v>45251</v>
      </c>
      <c r="D217" s="12" t="s">
        <v>50</v>
      </c>
      <c r="E217" s="19" t="s">
        <v>345</v>
      </c>
      <c r="F217" s="19"/>
      <c r="G217" s="19">
        <v>4475.13</v>
      </c>
      <c r="H217" s="62"/>
      <c r="I217" s="21"/>
      <c r="J217" s="26" t="str">
        <f>IF(NOT(ISBLANK(Table_CheckAcct[[#This Row],[Date]])),TEXT(Table_CheckAcct[[#This Row],[Date]],"mmmm"),"")</f>
        <v>November</v>
      </c>
      <c r="K217" s="26">
        <f>YEAR(Table_CheckAcct[[#This Row],[Date]])</f>
        <v>2023</v>
      </c>
      <c r="L217" s="21" t="str">
        <f>IF(ISBLANK(Table_CheckAcct[[#This Row],[Description]]),"Opening/Closing",VLOOKUP(Table_CheckAcct[[#This Row],[Description]],Table7[],3,FALSE))</f>
        <v>Deposit Branch 0447 New York</v>
      </c>
      <c r="M217" s="91" t="str">
        <f>VLOOKUP(Table_CheckAcct[[#This Row],[Description Index]],Table3[],3,FALSE)</f>
        <v>Deposit Branch 0447 New York</v>
      </c>
    </row>
    <row r="218" spans="3:13" x14ac:dyDescent="0.5">
      <c r="C218" s="12">
        <v>45257</v>
      </c>
      <c r="D218" s="12" t="s">
        <v>228</v>
      </c>
      <c r="E218" s="19" t="s">
        <v>440</v>
      </c>
      <c r="F218" s="19">
        <v>0.51</v>
      </c>
      <c r="G218" s="19"/>
      <c r="H218" s="62"/>
      <c r="I218" s="21"/>
      <c r="J218" s="26" t="str">
        <f>IF(NOT(ISBLANK(Table_CheckAcct[[#This Row],[Date]])),TEXT(Table_CheckAcct[[#This Row],[Date]],"mmmm"),"")</f>
        <v>November</v>
      </c>
      <c r="K218" s="26">
        <f>YEAR(Table_CheckAcct[[#This Row],[Date]])</f>
        <v>2023</v>
      </c>
      <c r="L218" s="21" t="str">
        <f>IF(ISBLANK(Table_CheckAcct[[#This Row],[Description]]),"Opening/Closing",VLOOKUP(Table_CheckAcct[[#This Row],[Description]],Table7[],3,FALSE))</f>
        <v>Adjustments</v>
      </c>
      <c r="M218" s="91" t="str">
        <f>VLOOKUP(Table_CheckAcct[[#This Row],[Description Index]],Table3[],3,FALSE)</f>
        <v>Adjustments</v>
      </c>
    </row>
    <row r="219" spans="3:13" x14ac:dyDescent="0.5">
      <c r="C219" s="12">
        <v>45258</v>
      </c>
      <c r="D219" s="12" t="s">
        <v>50</v>
      </c>
      <c r="E219" s="19" t="s">
        <v>345</v>
      </c>
      <c r="F219" s="19"/>
      <c r="G219" s="19">
        <v>6750</v>
      </c>
      <c r="H219" s="62"/>
      <c r="I219" s="21"/>
      <c r="J219" s="26" t="str">
        <f>IF(NOT(ISBLANK(Table_CheckAcct[[#This Row],[Date]])),TEXT(Table_CheckAcct[[#This Row],[Date]],"mmmm"),"")</f>
        <v>November</v>
      </c>
      <c r="K219" s="26">
        <f>YEAR(Table_CheckAcct[[#This Row],[Date]])</f>
        <v>2023</v>
      </c>
      <c r="L219" s="21" t="str">
        <f>IF(ISBLANK(Table_CheckAcct[[#This Row],[Description]]),"Opening/Closing",VLOOKUP(Table_CheckAcct[[#This Row],[Description]],Table7[],3,FALSE))</f>
        <v>Deposit Branch 0447 New York</v>
      </c>
      <c r="M219" s="91" t="str">
        <f>VLOOKUP(Table_CheckAcct[[#This Row],[Description Index]],Table3[],3,FALSE)</f>
        <v>Deposit Branch 0447 New York</v>
      </c>
    </row>
    <row r="220" spans="3:13" x14ac:dyDescent="0.5">
      <c r="C220" s="12">
        <v>45258</v>
      </c>
      <c r="D220" s="12" t="s">
        <v>18</v>
      </c>
      <c r="E220" s="19" t="s">
        <v>338</v>
      </c>
      <c r="F220" s="19">
        <v>102.08</v>
      </c>
      <c r="G220" s="19"/>
      <c r="H220" s="62"/>
      <c r="I220" s="21"/>
      <c r="J220" s="26" t="str">
        <f>IF(NOT(ISBLANK(Table_CheckAcct[[#This Row],[Date]])),TEXT(Table_CheckAcct[[#This Row],[Date]],"mmmm"),"")</f>
        <v>November</v>
      </c>
      <c r="K220" s="26">
        <f>YEAR(Table_CheckAcct[[#This Row],[Date]])</f>
        <v>2023</v>
      </c>
      <c r="L220" s="21" t="str">
        <f>IF(ISBLANK(Table_CheckAcct[[#This Row],[Description]]),"Opening/Closing",VLOOKUP(Table_CheckAcct[[#This Row],[Description]],Table7[],3,FALSE))</f>
        <v>Verizon Payment</v>
      </c>
      <c r="M220" s="91" t="str">
        <f>VLOOKUP(Table_CheckAcct[[#This Row],[Description Index]],Table3[],3,FALSE)</f>
        <v>Verizon Payment</v>
      </c>
    </row>
    <row r="221" spans="3:13" x14ac:dyDescent="0.5">
      <c r="C221" s="12">
        <v>45258</v>
      </c>
      <c r="D221" s="12" t="s">
        <v>18</v>
      </c>
      <c r="E221" s="19" t="s">
        <v>439</v>
      </c>
      <c r="F221" s="19">
        <v>2075.9899999999998</v>
      </c>
      <c r="G221" s="19"/>
      <c r="H221" s="62"/>
      <c r="I221" s="21"/>
      <c r="J221" s="26" t="str">
        <f>IF(NOT(ISBLANK(Table_CheckAcct[[#This Row],[Date]])),TEXT(Table_CheckAcct[[#This Row],[Date]],"mmmm"),"")</f>
        <v>November</v>
      </c>
      <c r="K221" s="26">
        <f>YEAR(Table_CheckAcct[[#This Row],[Date]])</f>
        <v>2023</v>
      </c>
      <c r="L221" s="21" t="str">
        <f>IF(ISBLANK(Table_CheckAcct[[#This Row],[Description]]),"Opening/Closing",VLOOKUP(Table_CheckAcct[[#This Row],[Description]],Table7[],3,FALSE))</f>
        <v xml:space="preserve">Home Depot </v>
      </c>
      <c r="M221" s="91" t="str">
        <f>VLOOKUP(Table_CheckAcct[[#This Row],[Description Index]],Table3[],3,FALSE)</f>
        <v xml:space="preserve">Home Depot </v>
      </c>
    </row>
    <row r="222" spans="3:13" x14ac:dyDescent="0.5">
      <c r="C222" s="12">
        <v>45259</v>
      </c>
      <c r="D222" s="12" t="s">
        <v>18</v>
      </c>
      <c r="E222" s="19" t="s">
        <v>487</v>
      </c>
      <c r="F222" s="19">
        <v>1500</v>
      </c>
      <c r="G222" s="19"/>
      <c r="H222" s="62"/>
      <c r="I222" s="21"/>
      <c r="J222" s="26" t="str">
        <f>IF(NOT(ISBLANK(Table_CheckAcct[[#This Row],[Date]])),TEXT(Table_CheckAcct[[#This Row],[Date]],"mmmm"),"")</f>
        <v>November</v>
      </c>
      <c r="K222" s="26">
        <f>YEAR(Table_CheckAcct[[#This Row],[Date]])</f>
        <v>2023</v>
      </c>
      <c r="L222" s="21" t="str">
        <f>IF(ISBLANK(Table_CheckAcct[[#This Row],[Description]]),"Opening/Closing",VLOOKUP(Table_CheckAcct[[#This Row],[Description]],Table7[],3,FALSE))</f>
        <v>Check</v>
      </c>
      <c r="M222" s="91">
        <f>VLOOKUP(Table_CheckAcct[[#This Row],[Description Index]],Table3[],3,FALSE)</f>
        <v>0</v>
      </c>
    </row>
    <row r="223" spans="3:13" ht="18.600000000000001" thickBot="1" x14ac:dyDescent="0.55000000000000004">
      <c r="C223" s="36">
        <v>45260</v>
      </c>
      <c r="D223" s="36" t="s">
        <v>461</v>
      </c>
      <c r="E223" s="37"/>
      <c r="F223" s="38">
        <f>SUM(F199:F222)</f>
        <v>30268.409999999996</v>
      </c>
      <c r="G223" s="38">
        <f>SUM(G199:G222)</f>
        <v>16645.7</v>
      </c>
      <c r="H223" s="59">
        <v>13368.03</v>
      </c>
      <c r="I223" s="42">
        <f>H199-F223+G223-H223</f>
        <v>0</v>
      </c>
      <c r="J223" s="39" t="str">
        <f>IF(NOT(ISBLANK(Table_CheckAcct[[#This Row],[Date]])),TEXT(Table_CheckAcct[[#This Row],[Date]],"mmmm"),"")</f>
        <v>November</v>
      </c>
      <c r="K223" s="39">
        <f>YEAR(Table_CheckAcct[[#This Row],[Date]])</f>
        <v>2023</v>
      </c>
      <c r="L223" s="21" t="str">
        <f>IF(ISBLANK(Table_CheckAcct[[#This Row],[Description]]),"Opening/Closing",VLOOKUP(Table_CheckAcct[[#This Row],[Description]],Table7[],3,FALSE))</f>
        <v>Opening/Closing</v>
      </c>
      <c r="M223" s="91" t="str">
        <f>VLOOKUP(Table_CheckAcct[[#This Row],[Description Index]],Table3[],3,FALSE)</f>
        <v>Opening/Closing</v>
      </c>
    </row>
    <row r="224" spans="3:13" ht="18.600000000000001" thickTop="1" x14ac:dyDescent="0.5">
      <c r="C224" s="12">
        <v>45261</v>
      </c>
      <c r="D224" s="12" t="s">
        <v>451</v>
      </c>
      <c r="E224" s="19"/>
      <c r="F224" s="19"/>
      <c r="G224" s="19"/>
      <c r="H224" s="60">
        <f>H223</f>
        <v>13368.03</v>
      </c>
      <c r="I224" s="23"/>
      <c r="J224" s="26" t="str">
        <f>IF(NOT(ISBLANK(Table_CheckAcct[[#This Row],[Date]])),TEXT(Table_CheckAcct[[#This Row],[Date]],"mmmm"),"")</f>
        <v>December</v>
      </c>
      <c r="K224" s="26">
        <f>YEAR(Table_CheckAcct[[#This Row],[Date]])</f>
        <v>2023</v>
      </c>
      <c r="L224" s="21" t="str">
        <f>IF(ISBLANK(Table_CheckAcct[[#This Row],[Description]]),"Opening/Closing",VLOOKUP(Table_CheckAcct[[#This Row],[Description]],Table7[],3,FALSE))</f>
        <v>Opening/Closing</v>
      </c>
      <c r="M224" s="91" t="str">
        <f>VLOOKUP(Table_CheckAcct[[#This Row],[Description Index]],Table3[],3,FALSE)</f>
        <v>Opening/Closing</v>
      </c>
    </row>
    <row r="225" spans="3:13" x14ac:dyDescent="0.5">
      <c r="C225" s="12">
        <v>45261</v>
      </c>
      <c r="D225" s="12" t="s">
        <v>18</v>
      </c>
      <c r="E225" s="19" t="s">
        <v>490</v>
      </c>
      <c r="F225" s="19">
        <v>200</v>
      </c>
      <c r="G225" s="19"/>
      <c r="H225" s="62"/>
      <c r="I225" s="21"/>
      <c r="J225" s="26" t="str">
        <f>IF(NOT(ISBLANK(Table_CheckAcct[[#This Row],[Date]])),TEXT(Table_CheckAcct[[#This Row],[Date]],"mmmm"),"")</f>
        <v>December</v>
      </c>
      <c r="K225" s="26">
        <f>YEAR(Table_CheckAcct[[#This Row],[Date]])</f>
        <v>2023</v>
      </c>
      <c r="L225" s="21" t="str">
        <f>IF(ISBLANK(Table_CheckAcct[[#This Row],[Description]]),"Opening/Closing",VLOOKUP(Table_CheckAcct[[#This Row],[Description]],Table7[],3,FALSE))</f>
        <v>Check</v>
      </c>
      <c r="M225" s="91">
        <f>VLOOKUP(Table_CheckAcct[[#This Row],[Description Index]],Table3[],3,FALSE)</f>
        <v>0</v>
      </c>
    </row>
    <row r="226" spans="3:13" x14ac:dyDescent="0.5">
      <c r="C226" s="12">
        <v>45265</v>
      </c>
      <c r="D226" s="12" t="s">
        <v>18</v>
      </c>
      <c r="E226" s="19" t="s">
        <v>491</v>
      </c>
      <c r="F226" s="19">
        <v>350</v>
      </c>
      <c r="G226" s="19"/>
      <c r="H226" s="62"/>
      <c r="I226" s="21"/>
      <c r="J226" s="26" t="str">
        <f>IF(NOT(ISBLANK(Table_CheckAcct[[#This Row],[Date]])),TEXT(Table_CheckAcct[[#This Row],[Date]],"mmmm"),"")</f>
        <v>December</v>
      </c>
      <c r="K226" s="26">
        <f>YEAR(Table_CheckAcct[[#This Row],[Date]])</f>
        <v>2023</v>
      </c>
      <c r="L226" s="21" t="str">
        <f>IF(ISBLANK(Table_CheckAcct[[#This Row],[Description]]),"Opening/Closing",VLOOKUP(Table_CheckAcct[[#This Row],[Description]],Table7[],3,FALSE))</f>
        <v>Check</v>
      </c>
      <c r="M226" s="91">
        <f>VLOOKUP(Table_CheckAcct[[#This Row],[Description Index]],Table3[],3,FALSE)</f>
        <v>0</v>
      </c>
    </row>
    <row r="227" spans="3:13" x14ac:dyDescent="0.5">
      <c r="C227" s="12">
        <v>45265</v>
      </c>
      <c r="D227" s="12" t="s">
        <v>18</v>
      </c>
      <c r="E227" s="19" t="s">
        <v>332</v>
      </c>
      <c r="F227" s="19">
        <v>494.92</v>
      </c>
      <c r="G227" s="19"/>
      <c r="H227" s="62"/>
      <c r="I227" s="21"/>
      <c r="J227" s="26" t="str">
        <f>IF(NOT(ISBLANK(Table_CheckAcct[[#This Row],[Date]])),TEXT(Table_CheckAcct[[#This Row],[Date]],"mmmm"),"")</f>
        <v>December</v>
      </c>
      <c r="K227" s="26">
        <f>YEAR(Table_CheckAcct[[#This Row],[Date]])</f>
        <v>2023</v>
      </c>
      <c r="L227" s="21" t="str">
        <f>IF(ISBLANK(Table_CheckAcct[[#This Row],[Description]]),"Opening/Closing",VLOOKUP(Table_CheckAcct[[#This Row],[Description]],Table7[],3,FALSE))</f>
        <v>Wilkinmanagemweb Pmts</v>
      </c>
      <c r="M227" s="91" t="str">
        <f>VLOOKUP(Table_CheckAcct[[#This Row],[Description Index]],Table3[],3,FALSE)</f>
        <v>Wilkinmanagemweb Pmts</v>
      </c>
    </row>
    <row r="228" spans="3:13" x14ac:dyDescent="0.5">
      <c r="C228" s="12">
        <v>45265</v>
      </c>
      <c r="D228" s="12" t="s">
        <v>18</v>
      </c>
      <c r="E228" s="19" t="s">
        <v>442</v>
      </c>
      <c r="F228" s="19">
        <v>4000</v>
      </c>
      <c r="G228" s="19"/>
      <c r="H228" s="62"/>
      <c r="I228" s="21"/>
      <c r="J228" s="26" t="str">
        <f>IF(NOT(ISBLANK(Table_CheckAcct[[#This Row],[Date]])),TEXT(Table_CheckAcct[[#This Row],[Date]],"mmmm"),"")</f>
        <v>December</v>
      </c>
      <c r="K228" s="26">
        <f>YEAR(Table_CheckAcct[[#This Row],[Date]])</f>
        <v>2023</v>
      </c>
      <c r="L228" s="21" t="str">
        <f>IF(ISBLANK(Table_CheckAcct[[#This Row],[Description]]),"Opening/Closing",VLOOKUP(Table_CheckAcct[[#This Row],[Description]],Table7[],3,FALSE))</f>
        <v xml:space="preserve">Flagstar Bank </v>
      </c>
      <c r="M228" s="91" t="str">
        <f>VLOOKUP(Table_CheckAcct[[#This Row],[Description Index]],Table3[],3,FALSE)</f>
        <v xml:space="preserve">Flagstar Bank </v>
      </c>
    </row>
    <row r="229" spans="3:13" x14ac:dyDescent="0.5">
      <c r="C229" s="12">
        <v>45266</v>
      </c>
      <c r="D229" s="12" t="s">
        <v>18</v>
      </c>
      <c r="E229" s="19" t="s">
        <v>492</v>
      </c>
      <c r="F229" s="19">
        <v>1500</v>
      </c>
      <c r="G229" s="19"/>
      <c r="H229" s="62"/>
      <c r="I229" s="21"/>
      <c r="J229" s="26" t="str">
        <f>IF(NOT(ISBLANK(Table_CheckAcct[[#This Row],[Date]])),TEXT(Table_CheckAcct[[#This Row],[Date]],"mmmm"),"")</f>
        <v>December</v>
      </c>
      <c r="K229" s="26">
        <f>YEAR(Table_CheckAcct[[#This Row],[Date]])</f>
        <v>2023</v>
      </c>
      <c r="L229" s="21" t="str">
        <f>IF(ISBLANK(Table_CheckAcct[[#This Row],[Description]]),"Opening/Closing",VLOOKUP(Table_CheckAcct[[#This Row],[Description]],Table7[],3,FALSE))</f>
        <v>Check</v>
      </c>
      <c r="M229" s="91">
        <f>VLOOKUP(Table_CheckAcct[[#This Row],[Description Index]],Table3[],3,FALSE)</f>
        <v>0</v>
      </c>
    </row>
    <row r="230" spans="3:13" x14ac:dyDescent="0.5">
      <c r="C230" s="12">
        <v>45266</v>
      </c>
      <c r="D230" s="12" t="s">
        <v>50</v>
      </c>
      <c r="E230" s="19" t="s">
        <v>345</v>
      </c>
      <c r="F230" s="19"/>
      <c r="G230" s="19">
        <v>3046.06</v>
      </c>
      <c r="H230" s="62"/>
      <c r="I230" s="21"/>
      <c r="J230" s="26" t="str">
        <f>IF(NOT(ISBLANK(Table_CheckAcct[[#This Row],[Date]])),TEXT(Table_CheckAcct[[#This Row],[Date]],"mmmm"),"")</f>
        <v>December</v>
      </c>
      <c r="K230" s="26">
        <f>YEAR(Table_CheckAcct[[#This Row],[Date]])</f>
        <v>2023</v>
      </c>
      <c r="L230" s="21" t="str">
        <f>IF(ISBLANK(Table_CheckAcct[[#This Row],[Description]]),"Opening/Closing",VLOOKUP(Table_CheckAcct[[#This Row],[Description]],Table7[],3,FALSE))</f>
        <v>Deposit Branch 0447 New York</v>
      </c>
      <c r="M230" s="91" t="str">
        <f>VLOOKUP(Table_CheckAcct[[#This Row],[Description Index]],Table3[],3,FALSE)</f>
        <v>Deposit Branch 0447 New York</v>
      </c>
    </row>
    <row r="231" spans="3:13" x14ac:dyDescent="0.5">
      <c r="C231" s="12">
        <v>45266</v>
      </c>
      <c r="D231" s="12" t="s">
        <v>18</v>
      </c>
      <c r="E231" s="19" t="s">
        <v>443</v>
      </c>
      <c r="F231" s="19">
        <v>542.99</v>
      </c>
      <c r="G231" s="19"/>
      <c r="H231" s="62"/>
      <c r="I231" s="21"/>
      <c r="J231" s="26" t="str">
        <f>IF(NOT(ISBLANK(Table_CheckAcct[[#This Row],[Date]])),TEXT(Table_CheckAcct[[#This Row],[Date]],"mmmm"),"")</f>
        <v>December</v>
      </c>
      <c r="K231" s="26">
        <f>YEAR(Table_CheckAcct[[#This Row],[Date]])</f>
        <v>2023</v>
      </c>
      <c r="L231" s="21" t="str">
        <f>IF(ISBLANK(Table_CheckAcct[[#This Row],[Description]]),"Opening/Closing",VLOOKUP(Table_CheckAcct[[#This Row],[Description]],Table7[],3,FALSE))</f>
        <v>Mountainview Conownerdraft</v>
      </c>
      <c r="M231" s="91" t="str">
        <f>VLOOKUP(Table_CheckAcct[[#This Row],[Description Index]],Table3[],3,FALSE)</f>
        <v>Miscellaneous</v>
      </c>
    </row>
    <row r="232" spans="3:13" x14ac:dyDescent="0.5">
      <c r="C232" s="12">
        <v>45266</v>
      </c>
      <c r="D232" s="12" t="s">
        <v>18</v>
      </c>
      <c r="E232" s="19" t="s">
        <v>444</v>
      </c>
      <c r="F232" s="19">
        <v>922.82</v>
      </c>
      <c r="G232" s="19"/>
      <c r="H232" s="62"/>
      <c r="I232" s="21"/>
      <c r="J232" s="26" t="str">
        <f>IF(NOT(ISBLANK(Table_CheckAcct[[#This Row],[Date]])),TEXT(Table_CheckAcct[[#This Row],[Date]],"mmmm"),"")</f>
        <v>December</v>
      </c>
      <c r="K232" s="26">
        <f>YEAR(Table_CheckAcct[[#This Row],[Date]])</f>
        <v>2023</v>
      </c>
      <c r="L232" s="21" t="str">
        <f>IF(ISBLANK(Table_CheckAcct[[#This Row],[Description]]),"Opening/Closing",VLOOKUP(Table_CheckAcct[[#This Row],[Description]],Table7[],3,FALSE))</f>
        <v>Marangi Disposal</v>
      </c>
      <c r="M232" s="91" t="str">
        <f>VLOOKUP(Table_CheckAcct[[#This Row],[Description Index]],Table3[],3,FALSE)</f>
        <v>Miscellaneous</v>
      </c>
    </row>
    <row r="233" spans="3:13" x14ac:dyDescent="0.5">
      <c r="C233" s="12">
        <v>45267</v>
      </c>
      <c r="D233" s="12" t="s">
        <v>18</v>
      </c>
      <c r="E233" s="19" t="s">
        <v>335</v>
      </c>
      <c r="F233" s="19">
        <v>4770.18</v>
      </c>
      <c r="G233" s="19"/>
      <c r="H233" s="62"/>
      <c r="I233" s="21"/>
      <c r="J233" s="26" t="str">
        <f>IF(NOT(ISBLANK(Table_CheckAcct[[#This Row],[Date]])),TEXT(Table_CheckAcct[[#This Row],[Date]],"mmmm"),"")</f>
        <v>December</v>
      </c>
      <c r="K233" s="26">
        <f>YEAR(Table_CheckAcct[[#This Row],[Date]])</f>
        <v>2023</v>
      </c>
      <c r="L233" s="21" t="str">
        <f>IF(ISBLANK(Table_CheckAcct[[#This Row],[Description]]),"Opening/Closing",VLOOKUP(Table_CheckAcct[[#This Row],[Description]],Table7[],3,FALSE))</f>
        <v>Capital One Creditcard</v>
      </c>
      <c r="M233" s="91" t="str">
        <f>VLOOKUP(Table_CheckAcct[[#This Row],[Description Index]],Table3[],3,FALSE)</f>
        <v>Capital One Creditcard</v>
      </c>
    </row>
    <row r="234" spans="3:13" x14ac:dyDescent="0.5">
      <c r="C234" s="12">
        <v>45272</v>
      </c>
      <c r="D234" s="12" t="s">
        <v>18</v>
      </c>
      <c r="E234" s="19" t="s">
        <v>445</v>
      </c>
      <c r="F234" s="19">
        <v>880</v>
      </c>
      <c r="G234" s="19"/>
      <c r="H234" s="62"/>
      <c r="I234" s="21"/>
      <c r="J234" s="26" t="str">
        <f>IF(NOT(ISBLANK(Table_CheckAcct[[#This Row],[Date]])),TEXT(Table_CheckAcct[[#This Row],[Date]],"mmmm"),"")</f>
        <v>December</v>
      </c>
      <c r="K234" s="26">
        <f>YEAR(Table_CheckAcct[[#This Row],[Date]])</f>
        <v>2023</v>
      </c>
      <c r="L234" s="21" t="str">
        <f>IF(ISBLANK(Table_CheckAcct[[#This Row],[Description]]),"Opening/Closing",VLOOKUP(Table_CheckAcct[[#This Row],[Description]],Table7[],3,FALSE))</f>
        <v xml:space="preserve">US Small Business </v>
      </c>
      <c r="M234" s="91" t="str">
        <f>VLOOKUP(Table_CheckAcct[[#This Row],[Description Index]],Table3[],3,FALSE)</f>
        <v xml:space="preserve">US Small Business </v>
      </c>
    </row>
    <row r="235" spans="3:13" x14ac:dyDescent="0.5">
      <c r="C235" s="12">
        <v>45278</v>
      </c>
      <c r="D235" s="12" t="s">
        <v>50</v>
      </c>
      <c r="E235" s="19" t="s">
        <v>345</v>
      </c>
      <c r="F235" s="19"/>
      <c r="G235" s="19">
        <v>31120</v>
      </c>
      <c r="H235" s="62"/>
      <c r="I235" s="21"/>
      <c r="J235" s="26" t="str">
        <f>IF(NOT(ISBLANK(Table_CheckAcct[[#This Row],[Date]])),TEXT(Table_CheckAcct[[#This Row],[Date]],"mmmm"),"")</f>
        <v>December</v>
      </c>
      <c r="K235" s="26">
        <f>YEAR(Table_CheckAcct[[#This Row],[Date]])</f>
        <v>2023</v>
      </c>
      <c r="L235" s="21" t="str">
        <f>IF(ISBLANK(Table_CheckAcct[[#This Row],[Description]]),"Opening/Closing",VLOOKUP(Table_CheckAcct[[#This Row],[Description]],Table7[],3,FALSE))</f>
        <v>Deposit Branch 0447 New York</v>
      </c>
      <c r="M235" s="91" t="str">
        <f>VLOOKUP(Table_CheckAcct[[#This Row],[Description Index]],Table3[],3,FALSE)</f>
        <v>Deposit Branch 0447 New York</v>
      </c>
    </row>
    <row r="236" spans="3:13" x14ac:dyDescent="0.5">
      <c r="C236" s="12">
        <v>45278</v>
      </c>
      <c r="D236" s="12" t="s">
        <v>18</v>
      </c>
      <c r="E236" s="19" t="s">
        <v>446</v>
      </c>
      <c r="F236" s="19">
        <v>34.659999999999997</v>
      </c>
      <c r="G236" s="19"/>
      <c r="H236" s="62"/>
      <c r="I236" s="21"/>
      <c r="J236" s="26" t="str">
        <f>IF(NOT(ISBLANK(Table_CheckAcct[[#This Row],[Date]])),TEXT(Table_CheckAcct[[#This Row],[Date]],"mmmm"),"")</f>
        <v>December</v>
      </c>
      <c r="K236" s="26">
        <f>YEAR(Table_CheckAcct[[#This Row],[Date]])</f>
        <v>2023</v>
      </c>
      <c r="L236" s="21" t="str">
        <f>IF(ISBLANK(Table_CheckAcct[[#This Row],[Description]]),"Opening/Closing",VLOOKUP(Table_CheckAcct[[#This Row],[Description]],Table7[],3,FALSE))</f>
        <v xml:space="preserve">Orange &amp; Rockland </v>
      </c>
      <c r="M236" s="91" t="str">
        <f>VLOOKUP(Table_CheckAcct[[#This Row],[Description Index]],Table3[],3,FALSE)</f>
        <v xml:space="preserve">Orange &amp; Rockland </v>
      </c>
    </row>
    <row r="237" spans="3:13" x14ac:dyDescent="0.5">
      <c r="C237" s="12">
        <v>45282</v>
      </c>
      <c r="D237" s="12" t="s">
        <v>50</v>
      </c>
      <c r="E237" s="19" t="s">
        <v>345</v>
      </c>
      <c r="F237" s="19"/>
      <c r="G237" s="19">
        <v>11331.97</v>
      </c>
      <c r="H237" s="62"/>
      <c r="I237" s="21"/>
      <c r="J237" s="26" t="str">
        <f>IF(NOT(ISBLANK(Table_CheckAcct[[#This Row],[Date]])),TEXT(Table_CheckAcct[[#This Row],[Date]],"mmmm"),"")</f>
        <v>December</v>
      </c>
      <c r="K237" s="26">
        <f>YEAR(Table_CheckAcct[[#This Row],[Date]])</f>
        <v>2023</v>
      </c>
      <c r="L237" s="21" t="str">
        <f>IF(ISBLANK(Table_CheckAcct[[#This Row],[Description]]),"Opening/Closing",VLOOKUP(Table_CheckAcct[[#This Row],[Description]],Table7[],3,FALSE))</f>
        <v>Deposit Branch 0447 New York</v>
      </c>
      <c r="M237" s="91" t="str">
        <f>VLOOKUP(Table_CheckAcct[[#This Row],[Description Index]],Table3[],3,FALSE)</f>
        <v>Deposit Branch 0447 New York</v>
      </c>
    </row>
    <row r="238" spans="3:13" x14ac:dyDescent="0.5">
      <c r="C238" s="12">
        <v>45286</v>
      </c>
      <c r="D238" s="12" t="s">
        <v>18</v>
      </c>
      <c r="E238" s="19" t="s">
        <v>447</v>
      </c>
      <c r="F238" s="19">
        <v>657.72</v>
      </c>
      <c r="G238" s="19"/>
      <c r="H238" s="62"/>
      <c r="I238" s="21"/>
      <c r="J238" s="26" t="str">
        <f>IF(NOT(ISBLANK(Table_CheckAcct[[#This Row],[Date]])),TEXT(Table_CheckAcct[[#This Row],[Date]],"mmmm"),"")</f>
        <v>December</v>
      </c>
      <c r="K238" s="26">
        <f>YEAR(Table_CheckAcct[[#This Row],[Date]])</f>
        <v>2023</v>
      </c>
      <c r="L238" s="21" t="str">
        <f>IF(ISBLANK(Table_CheckAcct[[#This Row],[Description]]),"Opening/Closing",VLOOKUP(Table_CheckAcct[[#This Row],[Description]],Table7[],3,FALSE))</f>
        <v xml:space="preserve">Lowes </v>
      </c>
      <c r="M238" s="91" t="str">
        <f>VLOOKUP(Table_CheckAcct[[#This Row],[Description Index]],Table3[],3,FALSE)</f>
        <v xml:space="preserve">Lowes </v>
      </c>
    </row>
    <row r="239" spans="3:13" x14ac:dyDescent="0.5">
      <c r="C239" s="12">
        <v>45286</v>
      </c>
      <c r="D239" s="12" t="s">
        <v>18</v>
      </c>
      <c r="E239" s="19"/>
      <c r="F239" s="19">
        <v>4100</v>
      </c>
      <c r="G239" s="19"/>
      <c r="H239" s="62"/>
      <c r="I239" s="21"/>
      <c r="J239" s="26" t="str">
        <f>IF(NOT(ISBLANK(Table_CheckAcct[[#This Row],[Date]])),TEXT(Table_CheckAcct[[#This Row],[Date]],"mmmm"),"")</f>
        <v>December</v>
      </c>
      <c r="K239" s="26">
        <f>YEAR(Table_CheckAcct[[#This Row],[Date]])</f>
        <v>2023</v>
      </c>
      <c r="L239" s="21" t="str">
        <f>IF(ISBLANK(Table_CheckAcct[[#This Row],[Description]]),"Opening/Closing",VLOOKUP(Table_CheckAcct[[#This Row],[Description]],Table7[],3,FALSE))</f>
        <v>Opening/Closing</v>
      </c>
      <c r="M239" s="91" t="str">
        <f>VLOOKUP(Table_CheckAcct[[#This Row],[Description Index]],Table3[],3,FALSE)</f>
        <v>Opening/Closing</v>
      </c>
    </row>
    <row r="240" spans="3:13" x14ac:dyDescent="0.5">
      <c r="C240" s="12">
        <v>45287</v>
      </c>
      <c r="D240" s="12" t="s">
        <v>18</v>
      </c>
      <c r="E240" s="19" t="s">
        <v>338</v>
      </c>
      <c r="F240" s="19">
        <v>102.08</v>
      </c>
      <c r="G240" s="19"/>
      <c r="H240" s="62"/>
      <c r="I240" s="21"/>
      <c r="J240" s="26" t="str">
        <f>IF(NOT(ISBLANK(Table_CheckAcct[[#This Row],[Date]])),TEXT(Table_CheckAcct[[#This Row],[Date]],"mmmm"),"")</f>
        <v>December</v>
      </c>
      <c r="K240" s="26">
        <f>YEAR(Table_CheckAcct[[#This Row],[Date]])</f>
        <v>2023</v>
      </c>
      <c r="L240" s="21" t="str">
        <f>IF(ISBLANK(Table_CheckAcct[[#This Row],[Description]]),"Opening/Closing",VLOOKUP(Table_CheckAcct[[#This Row],[Description]],Table7[],3,FALSE))</f>
        <v>Verizon Payment</v>
      </c>
      <c r="M240" s="91" t="str">
        <f>VLOOKUP(Table_CheckAcct[[#This Row],[Description Index]],Table3[],3,FALSE)</f>
        <v>Verizon Payment</v>
      </c>
    </row>
    <row r="241" spans="3:13" x14ac:dyDescent="0.5">
      <c r="C241" s="12">
        <v>45288</v>
      </c>
      <c r="D241" s="12" t="s">
        <v>18</v>
      </c>
      <c r="E241" s="19" t="s">
        <v>401</v>
      </c>
      <c r="F241" s="19">
        <v>788.02</v>
      </c>
      <c r="G241" s="19"/>
      <c r="H241" s="62"/>
      <c r="I241" s="21"/>
      <c r="J241" s="26" t="str">
        <f>IF(NOT(ISBLANK(Table_CheckAcct[[#This Row],[Date]])),TEXT(Table_CheckAcct[[#This Row],[Date]],"mmmm"),"")</f>
        <v>December</v>
      </c>
      <c r="K241" s="26">
        <f>YEAR(Table_CheckAcct[[#This Row],[Date]])</f>
        <v>2023</v>
      </c>
      <c r="L241" s="21" t="str">
        <f>IF(ISBLANK(Table_CheckAcct[[#This Row],[Description]]),"Opening/Closing",VLOOKUP(Table_CheckAcct[[#This Row],[Description]],Table7[],3,FALSE))</f>
        <v xml:space="preserve">Home Depot </v>
      </c>
      <c r="M241" s="91" t="str">
        <f>VLOOKUP(Table_CheckAcct[[#This Row],[Description Index]],Table3[],3,FALSE)</f>
        <v xml:space="preserve">Home Depot </v>
      </c>
    </row>
    <row r="242" spans="3:13" x14ac:dyDescent="0.5">
      <c r="C242" s="12">
        <v>45289</v>
      </c>
      <c r="D242" s="12" t="s">
        <v>50</v>
      </c>
      <c r="E242" s="19" t="s">
        <v>345</v>
      </c>
      <c r="F242" s="19"/>
      <c r="G242" s="19">
        <v>4678.96</v>
      </c>
      <c r="H242" s="62"/>
      <c r="I242" s="21"/>
      <c r="J242" s="26" t="str">
        <f>IF(NOT(ISBLANK(Table_CheckAcct[[#This Row],[Date]])),TEXT(Table_CheckAcct[[#This Row],[Date]],"mmmm"),"")</f>
        <v>December</v>
      </c>
      <c r="K242" s="26">
        <f>YEAR(Table_CheckAcct[[#This Row],[Date]])</f>
        <v>2023</v>
      </c>
      <c r="L242" s="21" t="str">
        <f>IF(ISBLANK(Table_CheckAcct[[#This Row],[Description]]),"Opening/Closing",VLOOKUP(Table_CheckAcct[[#This Row],[Description]],Table7[],3,FALSE))</f>
        <v>Deposit Branch 0447 New York</v>
      </c>
      <c r="M242" s="91" t="str">
        <f>VLOOKUP(Table_CheckAcct[[#This Row],[Description Index]],Table3[],3,FALSE)</f>
        <v>Deposit Branch 0447 New York</v>
      </c>
    </row>
    <row r="243" spans="3:13" x14ac:dyDescent="0.5">
      <c r="C243" s="12">
        <v>45289</v>
      </c>
      <c r="D243" s="12" t="s">
        <v>18</v>
      </c>
      <c r="E243" s="19" t="s">
        <v>364</v>
      </c>
      <c r="F243" s="19">
        <v>5000</v>
      </c>
      <c r="G243" s="19"/>
      <c r="H243" s="62"/>
      <c r="I243" s="21"/>
      <c r="J243" s="26" t="str">
        <f>IF(NOT(ISBLANK(Table_CheckAcct[[#This Row],[Date]])),TEXT(Table_CheckAcct[[#This Row],[Date]],"mmmm"),"")</f>
        <v>December</v>
      </c>
      <c r="K243" s="26">
        <f>YEAR(Table_CheckAcct[[#This Row],[Date]])</f>
        <v>2023</v>
      </c>
      <c r="L243" s="21" t="str">
        <f>IF(ISBLANK(Table_CheckAcct[[#This Row],[Description]]),"Opening/Closing",VLOOKUP(Table_CheckAcct[[#This Row],[Description]],Table7[],3,FALSE))</f>
        <v>Internet Trf 0000000476720427 3290</v>
      </c>
      <c r="M243" s="91" t="str">
        <f>VLOOKUP(Table_CheckAcct[[#This Row],[Description Index]],Table3[],3,FALSE)</f>
        <v>Internet Trf 0000000476720427 3290</v>
      </c>
    </row>
    <row r="244" spans="3:13" x14ac:dyDescent="0.5">
      <c r="C244" s="12">
        <v>45289</v>
      </c>
      <c r="D244" s="12" t="s">
        <v>18</v>
      </c>
      <c r="E244" s="19" t="s">
        <v>364</v>
      </c>
      <c r="F244" s="19">
        <v>10000</v>
      </c>
      <c r="G244" s="19"/>
      <c r="H244" s="62"/>
      <c r="I244" s="21"/>
      <c r="J244" s="26" t="str">
        <f>IF(NOT(ISBLANK(Table_CheckAcct[[#This Row],[Date]])),TEXT(Table_CheckAcct[[#This Row],[Date]],"mmmm"),"")</f>
        <v>December</v>
      </c>
      <c r="K244" s="26">
        <f>YEAR(Table_CheckAcct[[#This Row],[Date]])</f>
        <v>2023</v>
      </c>
      <c r="L244" s="21" t="str">
        <f>IF(ISBLANK(Table_CheckAcct[[#This Row],[Description]]),"Opening/Closing",VLOOKUP(Table_CheckAcct[[#This Row],[Description]],Table7[],3,FALSE))</f>
        <v>Internet Trf 0000000476720427 3290</v>
      </c>
      <c r="M244" s="91" t="str">
        <f>VLOOKUP(Table_CheckAcct[[#This Row],[Description Index]],Table3[],3,FALSE)</f>
        <v>Internet Trf 0000000476720427 3290</v>
      </c>
    </row>
    <row r="245" spans="3:13" ht="18.600000000000001" thickBot="1" x14ac:dyDescent="0.55000000000000004">
      <c r="C245" s="36">
        <v>45291</v>
      </c>
      <c r="D245" s="36" t="s">
        <v>461</v>
      </c>
      <c r="E245" s="37"/>
      <c r="F245" s="38">
        <f>SUM(F225:F244)</f>
        <v>34343.39</v>
      </c>
      <c r="G245" s="38">
        <f>SUM(G225:G244)</f>
        <v>50176.99</v>
      </c>
      <c r="H245" s="59">
        <v>29201.63</v>
      </c>
      <c r="I245" s="42">
        <f>H224-F245+G245-H245</f>
        <v>0</v>
      </c>
      <c r="J245" s="39" t="str">
        <f>IF(NOT(ISBLANK(Table_CheckAcct[[#This Row],[Date]])),TEXT(Table_CheckAcct[[#This Row],[Date]],"mmmm"),"")</f>
        <v>December</v>
      </c>
      <c r="K245" s="39">
        <f>YEAR(Table_CheckAcct[[#This Row],[Date]])</f>
        <v>2023</v>
      </c>
      <c r="L245" s="21" t="str">
        <f>IF(ISBLANK(Table_CheckAcct[[#This Row],[Description]]),"Opening/Closing",VLOOKUP(Table_CheckAcct[[#This Row],[Description]],Table7[],3,FALSE))</f>
        <v>Opening/Closing</v>
      </c>
      <c r="M245" s="91" t="str">
        <f>VLOOKUP(Table_CheckAcct[[#This Row],[Description Index]],Table3[],3,FALSE)</f>
        <v>Opening/Closing</v>
      </c>
    </row>
    <row r="246" spans="3:13" ht="18.600000000000001" thickTop="1" x14ac:dyDescent="0.5">
      <c r="C246" s="22"/>
      <c r="D246" s="20"/>
      <c r="E246" s="19"/>
      <c r="F246" s="19"/>
      <c r="G246" s="19"/>
      <c r="H246" s="27"/>
      <c r="I246" s="21"/>
    </row>
    <row r="247" spans="3:13" x14ac:dyDescent="0.5">
      <c r="C247" s="22"/>
      <c r="D247" s="20"/>
      <c r="E247" s="19"/>
      <c r="F247" s="19"/>
      <c r="G247" s="19"/>
      <c r="H247" s="27"/>
      <c r="I247" s="23"/>
    </row>
    <row r="248" spans="3:13" x14ac:dyDescent="0.5">
      <c r="C248" s="22"/>
      <c r="D248" s="20"/>
      <c r="E248" s="19"/>
      <c r="F248" s="19"/>
      <c r="G248" s="19"/>
      <c r="H248" s="27"/>
      <c r="I248" s="23"/>
    </row>
    <row r="249" spans="3:13" x14ac:dyDescent="0.5">
      <c r="C249" s="22"/>
      <c r="D249" s="20"/>
      <c r="E249" s="19"/>
      <c r="F249" s="19"/>
      <c r="G249" s="19"/>
      <c r="H249" s="27"/>
      <c r="I249" s="23"/>
    </row>
    <row r="250" spans="3:13" x14ac:dyDescent="0.5">
      <c r="C250" s="22"/>
      <c r="D250" s="20"/>
      <c r="E250" s="19"/>
      <c r="F250" s="19"/>
      <c r="G250" s="19"/>
      <c r="H250" s="27"/>
      <c r="I250" s="23"/>
    </row>
    <row r="251" spans="3:13" x14ac:dyDescent="0.5">
      <c r="C251" s="22"/>
      <c r="D251" s="20"/>
      <c r="E251" s="19"/>
      <c r="F251" s="19"/>
      <c r="G251" s="19"/>
      <c r="H251" s="27"/>
      <c r="I251" s="23"/>
    </row>
    <row r="252" spans="3:13" x14ac:dyDescent="0.5">
      <c r="C252" s="22"/>
      <c r="D252" s="20"/>
      <c r="E252" s="19"/>
      <c r="F252" s="19"/>
      <c r="G252" s="19"/>
      <c r="H252" s="27"/>
      <c r="I252" s="23"/>
    </row>
    <row r="253" spans="3:13" x14ac:dyDescent="0.5">
      <c r="C253" s="22"/>
      <c r="D253" s="20"/>
      <c r="E253" s="19"/>
      <c r="F253" s="19"/>
      <c r="G253" s="19"/>
      <c r="H253" s="27"/>
      <c r="I253" s="23"/>
    </row>
    <row r="254" spans="3:13" x14ac:dyDescent="0.5">
      <c r="C254" s="22"/>
      <c r="D254" s="20"/>
      <c r="E254" s="19"/>
      <c r="F254" s="19"/>
      <c r="G254" s="19"/>
      <c r="H254" s="27"/>
      <c r="I254" s="23"/>
    </row>
    <row r="255" spans="3:13" x14ac:dyDescent="0.5">
      <c r="C255" s="22"/>
      <c r="D255" s="20"/>
      <c r="E255" s="19"/>
      <c r="F255" s="19"/>
      <c r="G255" s="19"/>
      <c r="H255" s="27"/>
      <c r="I255" s="23"/>
    </row>
    <row r="256" spans="3:13" x14ac:dyDescent="0.5">
      <c r="C256" s="22"/>
      <c r="D256" s="20"/>
      <c r="E256" s="19"/>
      <c r="F256" s="24"/>
      <c r="G256" s="19"/>
      <c r="H256" s="27"/>
      <c r="I256" s="23"/>
    </row>
    <row r="257" spans="3:9" x14ac:dyDescent="0.5">
      <c r="C257" s="12"/>
      <c r="D257"/>
      <c r="E257" s="19"/>
      <c r="F257" s="19"/>
      <c r="G257" s="19"/>
      <c r="H257" s="28"/>
      <c r="I257" s="21"/>
    </row>
  </sheetData>
  <mergeCells count="2">
    <mergeCell ref="B1:P1"/>
    <mergeCell ref="B2:P2"/>
  </mergeCells>
  <phoneticPr fontId="3" type="noConversion"/>
  <conditionalFormatting sqref="H25">
    <cfRule type="expression" dxfId="97" priority="25">
      <formula>INDIRECT("Table_CheckAcct[@Check]")&lt;&gt;0</formula>
    </cfRule>
  </conditionalFormatting>
  <conditionalFormatting sqref="H256">
    <cfRule type="expression" dxfId="96" priority="12">
      <formula>INDIRECT("Table_CheckAcct[@Check]")&lt;&gt;0</formula>
    </cfRule>
  </conditionalFormatting>
  <conditionalFormatting sqref="H46">
    <cfRule type="expression" dxfId="95" priority="11">
      <formula>INDIRECT("Table_CheckAcct[@Check]")&lt;&gt;0</formula>
    </cfRule>
  </conditionalFormatting>
  <conditionalFormatting sqref="H64">
    <cfRule type="expression" dxfId="94" priority="10">
      <formula>INDIRECT("Table_CheckAcct[@Check]")&lt;&gt;0</formula>
    </cfRule>
  </conditionalFormatting>
  <conditionalFormatting sqref="H78">
    <cfRule type="expression" dxfId="93" priority="9">
      <formula>INDIRECT("Table_CheckAcct[@Check]")&lt;&gt;0</formula>
    </cfRule>
  </conditionalFormatting>
  <conditionalFormatting sqref="H91">
    <cfRule type="expression" dxfId="92" priority="8">
      <formula>INDIRECT("Table_CheckAcct[@Check]")&lt;&gt;0</formula>
    </cfRule>
  </conditionalFormatting>
  <conditionalFormatting sqref="H113">
    <cfRule type="expression" dxfId="91" priority="7">
      <formula>INDIRECT("Table_CheckAcct[@Check]")&lt;&gt;0</formula>
    </cfRule>
  </conditionalFormatting>
  <conditionalFormatting sqref="H131">
    <cfRule type="expression" dxfId="90" priority="6">
      <formula>INDIRECT("Table_CheckAcct[@Check]")&lt;&gt;0</formula>
    </cfRule>
  </conditionalFormatting>
  <conditionalFormatting sqref="H147">
    <cfRule type="expression" dxfId="89" priority="5">
      <formula>INDIRECT("Table_CheckAcct[@Check]")&lt;&gt;0</formula>
    </cfRule>
  </conditionalFormatting>
  <conditionalFormatting sqref="H170">
    <cfRule type="expression" dxfId="88" priority="4">
      <formula>INDIRECT("Table_CheckAcct[@Check]")&lt;&gt;0</formula>
    </cfRule>
  </conditionalFormatting>
  <conditionalFormatting sqref="H198">
    <cfRule type="expression" dxfId="87" priority="3">
      <formula>INDIRECT("Table_CheckAcct[@Check]")&lt;&gt;0</formula>
    </cfRule>
  </conditionalFormatting>
  <conditionalFormatting sqref="H223">
    <cfRule type="expression" dxfId="86" priority="2">
      <formula>INDIRECT("Table_CheckAcct[@Check]")&lt;&gt;0</formula>
    </cfRule>
  </conditionalFormatting>
  <conditionalFormatting sqref="H245">
    <cfRule type="expression" dxfId="85" priority="1">
      <formula>INDIRECT("Table_CheckAcct[@Check]")&lt;&gt;0</formula>
    </cfRule>
  </conditionalFormatting>
  <dataValidations count="5">
    <dataValidation allowBlank="1" showErrorMessage="1" prompt="Enter Starting Date in cell at right" sqref="C3" xr:uid="{22E8B69C-84D2-4619-B316-FA14191DDEA8}"/>
    <dataValidation type="date" allowBlank="1" showErrorMessage="1" error="Please enter a valid date." prompt="Enter Starting Date in this cell" sqref="D3" xr:uid="{27927B95-0E3F-45F4-9352-962E288C6FF8}">
      <formula1>1</formula1>
      <formula2>73415</formula2>
    </dataValidation>
    <dataValidation allowBlank="1" showInputMessage="1" showErrorMessage="1" promptTitle="Manual Adjustment" prompt="Difference between total credits and total debits manually inserted so that closing balance shown by the slice is accurate." sqref="I44 I119:I120 I138:I139 I72 I93 I117 I136 I141 I152 I171:I172 I189 I225" xr:uid="{D4D4BFBC-CB77-4C4B-B549-F16FE27DD890}"/>
    <dataValidation allowBlank="1" showInputMessage="1" showErrorMessage="1" promptTitle="Manual adjustment" prompt="Difference between total credits and total debits manually inserted so that closing balance shown by the slice is accurate." sqref="I59 I29" xr:uid="{CB9351AF-C9B6-48C3-9373-2F42FB034222}"/>
    <dataValidation allowBlank="1" showErrorMessage="1" prompt="Enter Company Name in this cell, Starting Date in cell C3, and Cash balance alert minimum in cell C4" sqref="B1:B2" xr:uid="{FF130B6A-9744-4203-BAEF-BAE360949517}"/>
  </dataValidations>
  <pageMargins left="0.13" right="0.15" top="1.1299999999999999" bottom="0.75" header="0.3" footer="0.3"/>
  <pageSetup scale="62" orientation="portrait" r:id="rId1"/>
  <ignoredErrors>
    <ignoredError sqref="L13" calculatedColumn="1"/>
  </ignoredError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AECD-133C-436F-937E-F065870D0F06}">
  <sheetPr>
    <tabColor theme="4" tint="0.59999389629810485"/>
  </sheetPr>
  <dimension ref="B1:S31"/>
  <sheetViews>
    <sheetView zoomScale="85" zoomScaleNormal="85" workbookViewId="0">
      <selection activeCell="D2" sqref="D2"/>
    </sheetView>
  </sheetViews>
  <sheetFormatPr defaultRowHeight="18" x14ac:dyDescent="0.5"/>
  <cols>
    <col min="1" max="1" width="1.33203125" style="64" customWidth="1"/>
    <col min="2" max="2" width="10.109375" style="64" bestFit="1" customWidth="1"/>
    <col min="3" max="3" width="32.44140625" style="64" hidden="1" customWidth="1"/>
    <col min="4" max="4" width="51" style="64" customWidth="1"/>
    <col min="5" max="6" width="17.6640625" style="64" customWidth="1"/>
    <col min="7" max="9" width="2" style="64" hidden="1" customWidth="1"/>
    <col min="10" max="10" width="9.88671875" style="64" hidden="1" customWidth="1"/>
    <col min="11" max="11" width="1.77734375" style="64" hidden="1" customWidth="1"/>
    <col min="12" max="13" width="0" style="64" hidden="1" customWidth="1"/>
    <col min="14" max="15" width="8.88671875" style="64"/>
    <col min="16" max="16" width="33.44140625" style="64" bestFit="1" customWidth="1"/>
    <col min="17" max="18" width="11.6640625" style="64" bestFit="1" customWidth="1"/>
    <col min="19" max="19" width="12.77734375" style="64" bestFit="1" customWidth="1"/>
    <col min="20" max="16384" width="8.88671875" style="64"/>
  </cols>
  <sheetData>
    <row r="1" spans="2:19" ht="7.2" customHeight="1" thickBot="1" x14ac:dyDescent="0.55000000000000004"/>
    <row r="2" spans="2:19" ht="22.2" thickBot="1" x14ac:dyDescent="0.6">
      <c r="B2" s="64" t="s">
        <v>567</v>
      </c>
      <c r="D2" s="101" t="s">
        <v>548</v>
      </c>
      <c r="P2" s="101" t="s">
        <v>581</v>
      </c>
      <c r="Q2"/>
      <c r="R2"/>
      <c r="S2" s="105"/>
    </row>
    <row r="4" spans="2:19" ht="19.8" customHeight="1" thickBot="1" x14ac:dyDescent="0.55000000000000004">
      <c r="B4" s="65" t="s">
        <v>5</v>
      </c>
      <c r="C4" s="65" t="s">
        <v>11</v>
      </c>
      <c r="D4" s="65" t="s">
        <v>6</v>
      </c>
      <c r="E4" s="65" t="s">
        <v>7</v>
      </c>
      <c r="F4" s="65" t="s">
        <v>8</v>
      </c>
      <c r="P4" s="106" t="s">
        <v>6</v>
      </c>
      <c r="Q4" s="107" t="s">
        <v>7</v>
      </c>
      <c r="R4" s="107" t="s">
        <v>8</v>
      </c>
      <c r="S4" s="107" t="s">
        <v>566</v>
      </c>
    </row>
    <row r="5" spans="2:19" x14ac:dyDescent="0.5">
      <c r="B5" s="102" cm="1">
        <f t="array" ref="B5:L15">_xlfn._xlws.FILTER(Table_CheckAcct[],Table_CheckAcct[Individual Index]=$D$2)</f>
        <v>44981</v>
      </c>
      <c r="C5" s="80" t="str">
        <v>Withdrawals</v>
      </c>
      <c r="D5" s="98" t="str">
        <v>Bill Pay:Home Depot 6035 3 3B4Cpuls</v>
      </c>
      <c r="E5" s="66">
        <v>312.14</v>
      </c>
      <c r="F5" s="67">
        <v>0</v>
      </c>
      <c r="G5" s="64">
        <v>0</v>
      </c>
      <c r="H5" s="64">
        <v>0</v>
      </c>
      <c r="I5" s="64" t="str">
        <v>February</v>
      </c>
      <c r="J5" s="64">
        <v>2023</v>
      </c>
      <c r="K5" s="64" t="str">
        <v xml:space="preserve">Home Depot </v>
      </c>
      <c r="L5" s="64" t="str">
        <v xml:space="preserve">Home Depot </v>
      </c>
      <c r="P5" s="108" t="s">
        <v>563</v>
      </c>
      <c r="Q5" s="112">
        <v>0.51</v>
      </c>
      <c r="R5" s="133">
        <v>1410</v>
      </c>
      <c r="S5" s="137">
        <f>R5-Q5</f>
        <v>1409.49</v>
      </c>
    </row>
    <row r="6" spans="2:19" x14ac:dyDescent="0.5">
      <c r="B6" s="103">
        <v>45006</v>
      </c>
      <c r="C6" s="81" t="str">
        <v>Withdrawals</v>
      </c>
      <c r="D6" s="99" t="str">
        <v>Bill Pay:Home Depot 6035 3 3Bnccprz</v>
      </c>
      <c r="E6" s="70">
        <v>147.13999999999999</v>
      </c>
      <c r="F6" s="71">
        <v>0</v>
      </c>
      <c r="G6" s="64">
        <v>0</v>
      </c>
      <c r="H6" s="64">
        <v>0</v>
      </c>
      <c r="I6" s="64" t="str">
        <v>March</v>
      </c>
      <c r="J6" s="64">
        <v>2023</v>
      </c>
      <c r="K6" s="64" t="str">
        <v xml:space="preserve">Home Depot </v>
      </c>
      <c r="L6" s="64" t="str">
        <v xml:space="preserve">Home Depot </v>
      </c>
      <c r="P6" s="109" t="s">
        <v>546</v>
      </c>
      <c r="Q6" s="113">
        <v>45</v>
      </c>
      <c r="R6" s="134">
        <v>0</v>
      </c>
      <c r="S6" s="138">
        <f t="shared" ref="S6:S22" si="0">R6-Q6</f>
        <v>-45</v>
      </c>
    </row>
    <row r="7" spans="2:19" x14ac:dyDescent="0.5">
      <c r="B7" s="103">
        <v>45040</v>
      </c>
      <c r="C7" s="81" t="str">
        <v>Withdrawals</v>
      </c>
      <c r="D7" s="99" t="str">
        <v>Bill Pay:Home Depot 6035 3 Ibic1Ttf</v>
      </c>
      <c r="E7" s="70">
        <v>449.05</v>
      </c>
      <c r="F7" s="71">
        <v>0</v>
      </c>
      <c r="G7" s="64">
        <v>0</v>
      </c>
      <c r="H7" s="64">
        <v>0</v>
      </c>
      <c r="I7" s="64" t="str">
        <v>April</v>
      </c>
      <c r="J7" s="64">
        <v>2023</v>
      </c>
      <c r="K7" s="64" t="str">
        <v xml:space="preserve">Home Depot </v>
      </c>
      <c r="L7" s="64" t="str">
        <v xml:space="preserve">Home Depot </v>
      </c>
      <c r="P7" s="110" t="s">
        <v>542</v>
      </c>
      <c r="Q7" s="114">
        <v>80461.49000000002</v>
      </c>
      <c r="R7" s="135">
        <v>0</v>
      </c>
      <c r="S7" s="139">
        <f t="shared" si="0"/>
        <v>-80461.49000000002</v>
      </c>
    </row>
    <row r="8" spans="2:19" x14ac:dyDescent="0.5">
      <c r="B8" s="103">
        <v>45069</v>
      </c>
      <c r="C8" s="81" t="str">
        <v>Withdrawals</v>
      </c>
      <c r="D8" s="99" t="str">
        <v>Bill Pay:Home Depot 6035 3 Ob4C5Txu</v>
      </c>
      <c r="E8" s="70">
        <v>335.18</v>
      </c>
      <c r="F8" s="71">
        <v>0</v>
      </c>
      <c r="G8" s="64">
        <v>0</v>
      </c>
      <c r="H8" s="64">
        <v>0</v>
      </c>
      <c r="I8" s="64" t="str">
        <v>May</v>
      </c>
      <c r="J8" s="64">
        <v>2023</v>
      </c>
      <c r="K8" s="64" t="str">
        <v xml:space="preserve">Home Depot </v>
      </c>
      <c r="L8" s="64" t="str">
        <v xml:space="preserve">Home Depot </v>
      </c>
      <c r="P8" s="109" t="s">
        <v>553</v>
      </c>
      <c r="Q8" s="113">
        <v>205.51</v>
      </c>
      <c r="R8" s="134">
        <v>0</v>
      </c>
      <c r="S8" s="138">
        <f t="shared" si="0"/>
        <v>-205.51</v>
      </c>
    </row>
    <row r="9" spans="2:19" x14ac:dyDescent="0.5">
      <c r="B9" s="103">
        <v>45134</v>
      </c>
      <c r="C9" s="81" t="str">
        <v>Withdrawals</v>
      </c>
      <c r="D9" s="99" t="str">
        <v>Bill Pay:Home Depot 6035 3 Rbwclsx1</v>
      </c>
      <c r="E9" s="70">
        <v>290.16000000000003</v>
      </c>
      <c r="F9" s="71">
        <v>0</v>
      </c>
      <c r="G9" s="64">
        <v>0</v>
      </c>
      <c r="H9" s="64">
        <v>0</v>
      </c>
      <c r="I9" s="64" t="str">
        <v>July</v>
      </c>
      <c r="J9" s="64">
        <v>2023</v>
      </c>
      <c r="K9" s="64" t="str">
        <v xml:space="preserve">Home Depot </v>
      </c>
      <c r="L9" s="64" t="str">
        <v xml:space="preserve">Home Depot </v>
      </c>
      <c r="P9" s="110" t="s">
        <v>12</v>
      </c>
      <c r="Q9" s="114">
        <v>64345.74</v>
      </c>
      <c r="R9" s="135">
        <v>0</v>
      </c>
      <c r="S9" s="139">
        <f t="shared" si="0"/>
        <v>-64345.74</v>
      </c>
    </row>
    <row r="10" spans="2:19" x14ac:dyDescent="0.5">
      <c r="B10" s="103">
        <v>45161</v>
      </c>
      <c r="C10" s="81" t="str">
        <v>Withdrawals</v>
      </c>
      <c r="D10" s="99" t="str">
        <v>Bill Pay:Home Depot 6035 3 Vb1Cts8Y</v>
      </c>
      <c r="E10" s="70">
        <v>911.18</v>
      </c>
      <c r="F10" s="71">
        <v>0</v>
      </c>
      <c r="G10" s="64">
        <v>0</v>
      </c>
      <c r="H10" s="64">
        <v>0</v>
      </c>
      <c r="I10" s="64" t="str">
        <v>August</v>
      </c>
      <c r="J10" s="64">
        <v>2023</v>
      </c>
      <c r="K10" s="64" t="str">
        <v xml:space="preserve">Home Depot </v>
      </c>
      <c r="L10" s="64" t="str">
        <v xml:space="preserve">Home Depot </v>
      </c>
      <c r="P10" s="109" t="s">
        <v>561</v>
      </c>
      <c r="Q10" s="113">
        <v>3812.29</v>
      </c>
      <c r="R10" s="134">
        <v>0</v>
      </c>
      <c r="S10" s="138">
        <f t="shared" si="0"/>
        <v>-3812.29</v>
      </c>
    </row>
    <row r="11" spans="2:19" x14ac:dyDescent="0.5">
      <c r="B11" s="103">
        <v>45191</v>
      </c>
      <c r="C11" s="81" t="str">
        <v>Withdrawals</v>
      </c>
      <c r="D11" s="99" t="str">
        <v>Direct Withdrawal, Home Depot Comm Online Pmt</v>
      </c>
      <c r="E11" s="70">
        <v>1619.17</v>
      </c>
      <c r="F11" s="71">
        <v>0</v>
      </c>
      <c r="G11" s="64">
        <v>0</v>
      </c>
      <c r="H11" s="64">
        <v>0</v>
      </c>
      <c r="I11" s="64" t="str">
        <v>September</v>
      </c>
      <c r="J11" s="64">
        <v>2023</v>
      </c>
      <c r="K11" s="64" t="str">
        <v xml:space="preserve">Home Depot </v>
      </c>
      <c r="L11" s="64" t="str">
        <v xml:space="preserve">Home Depot </v>
      </c>
      <c r="P11" s="110" t="s">
        <v>402</v>
      </c>
      <c r="Q11" s="114">
        <v>1.83</v>
      </c>
      <c r="R11" s="135">
        <v>0</v>
      </c>
      <c r="S11" s="139">
        <f t="shared" si="0"/>
        <v>-1.83</v>
      </c>
    </row>
    <row r="12" spans="2:19" x14ac:dyDescent="0.5">
      <c r="B12" s="103">
        <v>45191</v>
      </c>
      <c r="C12" s="81" t="str">
        <v>Withdrawals</v>
      </c>
      <c r="D12" s="99" t="str">
        <v>Direct Withdrawal, Home Depot Comm Online Pmt</v>
      </c>
      <c r="E12" s="70">
        <v>3950.98</v>
      </c>
      <c r="F12" s="71">
        <v>0</v>
      </c>
      <c r="G12" s="64">
        <v>0</v>
      </c>
      <c r="H12" s="64">
        <v>0</v>
      </c>
      <c r="I12" s="64" t="str">
        <v>September</v>
      </c>
      <c r="J12" s="64">
        <v>2023</v>
      </c>
      <c r="K12" s="64" t="str">
        <v xml:space="preserve">Home Depot </v>
      </c>
      <c r="L12" s="64" t="str">
        <v xml:space="preserve">Home Depot </v>
      </c>
      <c r="P12" s="109" t="s">
        <v>555</v>
      </c>
      <c r="Q12" s="113">
        <v>497</v>
      </c>
      <c r="R12" s="134">
        <v>0</v>
      </c>
      <c r="S12" s="138">
        <f t="shared" si="0"/>
        <v>-497</v>
      </c>
    </row>
    <row r="13" spans="2:19" x14ac:dyDescent="0.5">
      <c r="B13" s="103">
        <v>45229</v>
      </c>
      <c r="C13" s="81" t="str">
        <v>Withdrawals</v>
      </c>
      <c r="D13" s="99" t="str">
        <v>Bill Pay:Home Depot 6035 3 Wb716Apt</v>
      </c>
      <c r="E13" s="70">
        <v>1342</v>
      </c>
      <c r="F13" s="71">
        <v>0</v>
      </c>
      <c r="G13" s="64">
        <v>0</v>
      </c>
      <c r="H13" s="64">
        <v>0</v>
      </c>
      <c r="I13" s="64" t="str">
        <v>October</v>
      </c>
      <c r="J13" s="64">
        <v>2023</v>
      </c>
      <c r="K13" s="64" t="str">
        <v xml:space="preserve">Home Depot </v>
      </c>
      <c r="L13" s="64" t="str">
        <v xml:space="preserve">Home Depot </v>
      </c>
      <c r="P13" s="110" t="s">
        <v>345</v>
      </c>
      <c r="Q13" s="114">
        <v>0</v>
      </c>
      <c r="R13" s="135">
        <v>195275.54</v>
      </c>
      <c r="S13" s="139">
        <f t="shared" si="0"/>
        <v>195275.54</v>
      </c>
    </row>
    <row r="14" spans="2:19" x14ac:dyDescent="0.5">
      <c r="B14" s="103">
        <v>45258</v>
      </c>
      <c r="C14" s="81" t="str">
        <v>Withdrawals</v>
      </c>
      <c r="D14" s="99" t="str">
        <v>Bill Pay:Home Depot 6035 3 Zbw1L97J</v>
      </c>
      <c r="E14" s="70">
        <v>2075.9899999999998</v>
      </c>
      <c r="F14" s="71">
        <v>0</v>
      </c>
      <c r="G14" s="64">
        <v>0</v>
      </c>
      <c r="H14" s="64">
        <v>0</v>
      </c>
      <c r="I14" s="64" t="str">
        <v>November</v>
      </c>
      <c r="J14" s="64">
        <v>2023</v>
      </c>
      <c r="K14" s="64" t="str">
        <v xml:space="preserve">Home Depot </v>
      </c>
      <c r="L14" s="64" t="str">
        <v xml:space="preserve">Home Depot </v>
      </c>
      <c r="P14" s="109" t="s">
        <v>556</v>
      </c>
      <c r="Q14" s="113">
        <v>153</v>
      </c>
      <c r="R14" s="134">
        <v>0</v>
      </c>
      <c r="S14" s="138">
        <f t="shared" si="0"/>
        <v>-153</v>
      </c>
    </row>
    <row r="15" spans="2:19" x14ac:dyDescent="0.5">
      <c r="B15" s="103">
        <v>45288</v>
      </c>
      <c r="C15" s="81" t="str">
        <v>Withdrawals</v>
      </c>
      <c r="D15" s="99" t="str">
        <v>Direct Withdrawal, Home Depot Comm Online Pmt</v>
      </c>
      <c r="E15" s="70">
        <v>788.02</v>
      </c>
      <c r="F15" s="71">
        <v>0</v>
      </c>
      <c r="G15" s="64">
        <v>0</v>
      </c>
      <c r="H15" s="64">
        <v>0</v>
      </c>
      <c r="I15" s="64" t="str">
        <v>December</v>
      </c>
      <c r="J15" s="64">
        <v>2023</v>
      </c>
      <c r="K15" s="64" t="str">
        <v xml:space="preserve">Home Depot </v>
      </c>
      <c r="L15" s="64" t="str">
        <v xml:space="preserve">Home Depot </v>
      </c>
      <c r="P15" s="110" t="s">
        <v>550</v>
      </c>
      <c r="Q15" s="114">
        <v>19549.22</v>
      </c>
      <c r="R15" s="135">
        <v>0</v>
      </c>
      <c r="S15" s="139">
        <f t="shared" si="0"/>
        <v>-19549.22</v>
      </c>
    </row>
    <row r="16" spans="2:19" x14ac:dyDescent="0.5">
      <c r="B16" s="103"/>
      <c r="C16" s="81"/>
      <c r="D16" s="99"/>
      <c r="E16" s="70"/>
      <c r="F16" s="71"/>
      <c r="P16" s="109" t="s">
        <v>548</v>
      </c>
      <c r="Q16" s="113">
        <v>12221.01</v>
      </c>
      <c r="R16" s="134">
        <v>0</v>
      </c>
      <c r="S16" s="138">
        <f t="shared" si="0"/>
        <v>-12221.01</v>
      </c>
    </row>
    <row r="17" spans="2:19" x14ac:dyDescent="0.5">
      <c r="B17" s="104"/>
      <c r="C17" s="82"/>
      <c r="D17" s="99"/>
      <c r="E17" s="70"/>
      <c r="F17" s="71"/>
      <c r="P17" s="110" t="s">
        <v>560</v>
      </c>
      <c r="Q17" s="114">
        <v>71050</v>
      </c>
      <c r="R17" s="135">
        <v>69500</v>
      </c>
      <c r="S17" s="139">
        <f t="shared" si="0"/>
        <v>-1550</v>
      </c>
    </row>
    <row r="18" spans="2:19" x14ac:dyDescent="0.5">
      <c r="B18" s="104"/>
      <c r="C18" s="82"/>
      <c r="D18" s="99"/>
      <c r="E18" s="70"/>
      <c r="F18" s="71"/>
      <c r="P18" s="109" t="s">
        <v>545</v>
      </c>
      <c r="Q18" s="113">
        <v>4158.0200000000004</v>
      </c>
      <c r="R18" s="134">
        <v>0</v>
      </c>
      <c r="S18" s="138">
        <f t="shared" si="0"/>
        <v>-4158.0200000000004</v>
      </c>
    </row>
    <row r="19" spans="2:19" x14ac:dyDescent="0.5">
      <c r="B19" s="104"/>
      <c r="C19" s="82"/>
      <c r="D19" s="99"/>
      <c r="E19" s="70"/>
      <c r="F19" s="71"/>
      <c r="P19" s="110" t="s">
        <v>551</v>
      </c>
      <c r="Q19" s="114">
        <v>922.82</v>
      </c>
      <c r="R19" s="135">
        <v>0</v>
      </c>
      <c r="S19" s="139">
        <f t="shared" si="0"/>
        <v>-922.82</v>
      </c>
    </row>
    <row r="20" spans="2:19" x14ac:dyDescent="0.5">
      <c r="B20" s="104"/>
      <c r="C20" s="82"/>
      <c r="D20" s="99"/>
      <c r="E20" s="70"/>
      <c r="F20" s="71"/>
      <c r="P20" s="109" t="s">
        <v>343</v>
      </c>
      <c r="Q20" s="113">
        <v>0</v>
      </c>
      <c r="R20" s="134">
        <v>41671.800000000003</v>
      </c>
      <c r="S20" s="138">
        <f t="shared" si="0"/>
        <v>41671.800000000003</v>
      </c>
    </row>
    <row r="21" spans="2:19" x14ac:dyDescent="0.5">
      <c r="B21" s="104"/>
      <c r="C21" s="82"/>
      <c r="D21" s="99"/>
      <c r="E21" s="70"/>
      <c r="F21" s="71"/>
      <c r="P21" s="110" t="s">
        <v>558</v>
      </c>
      <c r="Q21" s="114">
        <v>542.99</v>
      </c>
      <c r="R21" s="135">
        <v>0</v>
      </c>
      <c r="S21" s="139">
        <f t="shared" si="0"/>
        <v>-542.99</v>
      </c>
    </row>
    <row r="22" spans="2:19" x14ac:dyDescent="0.5">
      <c r="B22" s="104"/>
      <c r="C22" s="82"/>
      <c r="D22" s="99"/>
      <c r="E22" s="70"/>
      <c r="F22" s="71"/>
      <c r="P22" s="109" t="s">
        <v>554</v>
      </c>
      <c r="Q22" s="113">
        <v>50</v>
      </c>
      <c r="R22" s="134">
        <v>0</v>
      </c>
      <c r="S22" s="138">
        <f t="shared" si="0"/>
        <v>-50</v>
      </c>
    </row>
    <row r="23" spans="2:19" ht="18.600000000000001" thickBot="1" x14ac:dyDescent="0.55000000000000004">
      <c r="B23" s="72"/>
      <c r="C23" s="73"/>
      <c r="D23" s="100"/>
      <c r="E23" s="74"/>
      <c r="F23" s="75"/>
      <c r="P23" s="109" t="s">
        <v>544</v>
      </c>
      <c r="Q23" s="113">
        <v>627.56999999999994</v>
      </c>
      <c r="R23" s="134">
        <v>0</v>
      </c>
      <c r="S23" s="138">
        <f t="shared" ref="S23:S30" si="1">R23-Q23</f>
        <v>-627.56999999999994</v>
      </c>
    </row>
    <row r="24" spans="2:19" ht="18.600000000000001" thickBot="1" x14ac:dyDescent="0.55000000000000004">
      <c r="B24" s="68"/>
      <c r="C24" s="68"/>
      <c r="D24" s="76"/>
      <c r="E24" s="77">
        <f>SUM(E5:E23)</f>
        <v>12221.01</v>
      </c>
      <c r="F24" s="77">
        <f>SUM(F5:F23)</f>
        <v>0</v>
      </c>
      <c r="P24" s="110" t="s">
        <v>562</v>
      </c>
      <c r="Q24" s="114">
        <v>21</v>
      </c>
      <c r="R24" s="135">
        <v>21</v>
      </c>
      <c r="S24" s="139">
        <f t="shared" si="1"/>
        <v>0</v>
      </c>
    </row>
    <row r="25" spans="2:19" ht="18.600000000000001" thickTop="1" x14ac:dyDescent="0.5">
      <c r="B25" s="68"/>
      <c r="C25" s="68"/>
      <c r="D25" s="78" t="s">
        <v>566</v>
      </c>
      <c r="E25" s="79">
        <f>F24-E24</f>
        <v>-12221.01</v>
      </c>
      <c r="F25" s="76"/>
      <c r="P25" s="109" t="s">
        <v>552</v>
      </c>
      <c r="Q25" s="113">
        <v>1393</v>
      </c>
      <c r="R25" s="134">
        <v>0</v>
      </c>
      <c r="S25" s="138">
        <f t="shared" si="1"/>
        <v>-1393</v>
      </c>
    </row>
    <row r="26" spans="2:19" x14ac:dyDescent="0.5">
      <c r="B26" s="68"/>
      <c r="C26" s="68"/>
      <c r="D26" s="69"/>
      <c r="E26" s="69"/>
      <c r="F26" s="69"/>
      <c r="P26" s="110" t="s">
        <v>547</v>
      </c>
      <c r="Q26" s="114">
        <v>10560</v>
      </c>
      <c r="R26" s="135">
        <v>0</v>
      </c>
      <c r="S26" s="139">
        <f t="shared" si="1"/>
        <v>-10560</v>
      </c>
    </row>
    <row r="27" spans="2:19" x14ac:dyDescent="0.5">
      <c r="B27" s="68"/>
      <c r="C27" s="68"/>
      <c r="D27" s="69"/>
      <c r="E27" s="69"/>
      <c r="F27" s="69"/>
      <c r="P27" s="109" t="s">
        <v>549</v>
      </c>
      <c r="Q27" s="113">
        <v>1239</v>
      </c>
      <c r="R27" s="134">
        <v>0</v>
      </c>
      <c r="S27" s="138">
        <f t="shared" si="1"/>
        <v>-1239</v>
      </c>
    </row>
    <row r="28" spans="2:19" x14ac:dyDescent="0.5">
      <c r="B28" s="68"/>
      <c r="C28" s="68"/>
      <c r="D28" s="69"/>
      <c r="E28" s="69"/>
      <c r="F28" s="69"/>
      <c r="P28" s="110" t="s">
        <v>543</v>
      </c>
      <c r="Q28" s="114">
        <v>1146.6000000000001</v>
      </c>
      <c r="R28" s="135">
        <v>0</v>
      </c>
      <c r="S28" s="139">
        <f t="shared" si="1"/>
        <v>-1146.6000000000001</v>
      </c>
    </row>
    <row r="29" spans="2:19" x14ac:dyDescent="0.5">
      <c r="B29" s="68"/>
      <c r="C29" s="68"/>
      <c r="D29" s="69"/>
      <c r="E29" s="69"/>
      <c r="F29" s="69"/>
      <c r="P29" s="109" t="s">
        <v>557</v>
      </c>
      <c r="Q29" s="113">
        <v>8097.99</v>
      </c>
      <c r="R29" s="134">
        <v>0</v>
      </c>
      <c r="S29" s="138">
        <f t="shared" si="1"/>
        <v>-8097.99</v>
      </c>
    </row>
    <row r="30" spans="2:19" ht="18.600000000000001" thickBot="1" x14ac:dyDescent="0.55000000000000004">
      <c r="B30" s="68"/>
      <c r="C30" s="68"/>
      <c r="D30" s="69"/>
      <c r="E30" s="69"/>
      <c r="F30" s="69"/>
      <c r="P30" s="111" t="s">
        <v>559</v>
      </c>
      <c r="Q30" s="115">
        <v>7450.1200000000008</v>
      </c>
      <c r="R30" s="136">
        <v>0</v>
      </c>
      <c r="S30" s="140">
        <f t="shared" si="1"/>
        <v>-7450.1200000000008</v>
      </c>
    </row>
    <row r="31" spans="2:19" x14ac:dyDescent="0.5">
      <c r="B31" s="68"/>
      <c r="C31" s="68"/>
      <c r="D31" s="69"/>
      <c r="E31" s="69"/>
      <c r="F31" s="69"/>
    </row>
  </sheetData>
  <conditionalFormatting sqref="P5:P30">
    <cfRule type="cellIs" dxfId="0" priority="1" operator="equal">
      <formula>$D$2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C75645E-2DB1-4B2B-B3F2-0661811591C5}">
          <x14:formula1>
            <xm:f>_xlfn.ANCHORARRAY('Description Slicer'!$N$4)</xm:f>
          </x14:formula1>
          <xm:sqref>D2</xm:sqref>
        </x14:dataValidation>
        <x14:dataValidation type="list" allowBlank="1" showInputMessage="1" showErrorMessage="1" xr:uid="{9BFF91DD-9D9A-474F-B129-9637DD6AC754}">
          <x14:formula1>
            <xm:f>'Description Slicer'!#REF!</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E960-2AA1-44A9-B513-7AA537BDE18D}">
  <sheetPr>
    <tabColor rgb="FF00B050"/>
  </sheetPr>
  <dimension ref="B2:N236"/>
  <sheetViews>
    <sheetView topLeftCell="H1" zoomScale="70" zoomScaleNormal="70" workbookViewId="0">
      <selection activeCell="I4" sqref="I4"/>
    </sheetView>
  </sheetViews>
  <sheetFormatPr defaultRowHeight="18" x14ac:dyDescent="0.5"/>
  <cols>
    <col min="2" max="2" width="45.5546875" bestFit="1" customWidth="1"/>
    <col min="3" max="3" width="45.77734375" bestFit="1" customWidth="1"/>
    <col min="4" max="4" width="35.21875" bestFit="1" customWidth="1"/>
    <col min="5" max="5" width="4.88671875" customWidth="1"/>
    <col min="6" max="6" width="35.21875" bestFit="1" customWidth="1"/>
    <col min="7" max="7" width="4.44140625" customWidth="1"/>
    <col min="8" max="8" width="35.21875" bestFit="1" customWidth="1"/>
    <col min="9" max="9" width="27.21875" bestFit="1" customWidth="1"/>
    <col min="10" max="10" width="46.44140625" bestFit="1" customWidth="1"/>
    <col min="11" max="11" width="3.6640625" customWidth="1"/>
    <col min="12" max="12" width="35.21875" bestFit="1" customWidth="1"/>
  </cols>
  <sheetData>
    <row r="2" spans="2:14" x14ac:dyDescent="0.5">
      <c r="B2" s="2"/>
    </row>
    <row r="3" spans="2:14" s="13" customFormat="1" ht="21.6" x14ac:dyDescent="0.5">
      <c r="B3" s="13" t="s">
        <v>573</v>
      </c>
      <c r="C3" s="13" t="s">
        <v>574</v>
      </c>
      <c r="D3" s="13" t="s">
        <v>575</v>
      </c>
      <c r="F3" s="95" t="s">
        <v>565</v>
      </c>
      <c r="G3" s="95"/>
      <c r="H3" s="96" t="s">
        <v>569</v>
      </c>
      <c r="I3" s="96" t="s">
        <v>570</v>
      </c>
      <c r="J3" s="96" t="s">
        <v>572</v>
      </c>
      <c r="L3" s="13" t="s">
        <v>578</v>
      </c>
      <c r="N3" s="97" t="s">
        <v>577</v>
      </c>
    </row>
    <row r="4" spans="2:14" x14ac:dyDescent="0.5">
      <c r="B4" s="19"/>
      <c r="C4" s="19" t="s">
        <v>571</v>
      </c>
      <c r="D4" t="s">
        <v>571</v>
      </c>
      <c r="F4" t="str" cm="1">
        <f t="array" ref="F4:F30">_xlfn._xlws.SORT(_xlfn.UNIQUE(Table7[[Manually Extract Type ]]))</f>
        <v>Adjustments</v>
      </c>
      <c r="H4" s="87" t="s">
        <v>563</v>
      </c>
      <c r="I4" s="86">
        <f>IF(NOT(ISBLANK(Table3[[#This Row],[Unique Type]])),COUNTIFS(Table7[[Manually Extract Type ]],Table3[[#This Row],[Unique Type]]),"")</f>
        <v>4</v>
      </c>
      <c r="J4" s="87" t="str">
        <f>IF(ISBLANK(Table3[[#This Row],[Unique Type]]),"",IF(Table3[[#This Row],[Count unique types]]&gt;1,Table3[[#This Row],[Unique Type]],"Miscellaneous"))</f>
        <v>Adjustments</v>
      </c>
      <c r="L4" s="92" t="s">
        <v>563</v>
      </c>
      <c r="N4" t="str" cm="1">
        <f t="array" ref="N4:N18">_xlfn._xlws.SORT(_xlfn.UNIQUE(Ind_Total_dropdown[Copy]))</f>
        <v>Adjustments</v>
      </c>
    </row>
    <row r="5" spans="2:14" x14ac:dyDescent="0.5">
      <c r="B5" s="19" t="s">
        <v>331</v>
      </c>
      <c r="C5" s="19" t="s">
        <v>331</v>
      </c>
      <c r="D5" s="83" t="s">
        <v>553</v>
      </c>
      <c r="F5" t="str">
        <v xml:space="preserve">American Express </v>
      </c>
      <c r="H5" s="88" t="s">
        <v>546</v>
      </c>
      <c r="I5" s="86">
        <f>IF(NOT(ISBLANK(Table3[[#This Row],[Unique Type]])),COUNTIFS(Table7[[Manually Extract Type ]],Table3[[#This Row],[Unique Type]]),"")</f>
        <v>1</v>
      </c>
      <c r="J5" s="87" t="str">
        <f>IF(ISBLANK(Table3[[#This Row],[Unique Type]]),"",IF(Table3[[#This Row],[Count unique types]]&gt;1,Table3[[#This Row],[Unique Type]],"Miscellaneous"))</f>
        <v>Miscellaneous</v>
      </c>
      <c r="L5" s="92" t="s">
        <v>568</v>
      </c>
      <c r="N5" t="str">
        <v>Capital One Creditcard</v>
      </c>
    </row>
    <row r="6" spans="2:14" x14ac:dyDescent="0.5">
      <c r="B6" s="19" t="s">
        <v>332</v>
      </c>
      <c r="C6" s="19" t="s">
        <v>332</v>
      </c>
      <c r="D6" s="84" t="s">
        <v>559</v>
      </c>
      <c r="F6" t="str">
        <v>Capital One Creditcard</v>
      </c>
      <c r="H6" s="87" t="s">
        <v>542</v>
      </c>
      <c r="I6" s="86">
        <f>IF(NOT(ISBLANK(Table3[[#This Row],[Unique Type]])),COUNTIFS(Table7[[Manually Extract Type ]],Table3[[#This Row],[Unique Type]]),"")</f>
        <v>12</v>
      </c>
      <c r="J6" s="87" t="str">
        <f>IF(ISBLANK(Table3[[#This Row],[Unique Type]]),"",IF(Table3[[#This Row],[Count unique types]]&gt;1,Table3[[#This Row],[Unique Type]],"Miscellaneous"))</f>
        <v>Capital One Creditcard</v>
      </c>
      <c r="L6" s="92" t="s">
        <v>542</v>
      </c>
      <c r="N6" t="str">
        <v>Dell Preferred Sssnent</v>
      </c>
    </row>
    <row r="7" spans="2:14" x14ac:dyDescent="0.5">
      <c r="B7" s="19" t="s">
        <v>333</v>
      </c>
      <c r="C7" s="19" t="s">
        <v>333</v>
      </c>
      <c r="D7" s="83" t="s">
        <v>544</v>
      </c>
      <c r="F7" t="str">
        <v xml:space="preserve">Chase Mastercard </v>
      </c>
      <c r="H7" s="88" t="s">
        <v>553</v>
      </c>
      <c r="I7" s="86">
        <f>IF(NOT(ISBLANK(Table3[[#This Row],[Unique Type]])),COUNTIFS(Table7[[Manually Extract Type ]],Table3[[#This Row],[Unique Type]]),"")</f>
        <v>1</v>
      </c>
      <c r="J7" s="87" t="str">
        <f>IF(ISBLANK(Table3[[#This Row],[Unique Type]]),"",IF(Table3[[#This Row],[Count unique types]]&gt;1,Table3[[#This Row],[Unique Type]],"Miscellaneous"))</f>
        <v>Miscellaneous</v>
      </c>
      <c r="L7" s="92" t="s">
        <v>555</v>
      </c>
      <c r="N7" t="str">
        <v>Deposit Branch 0447 New York</v>
      </c>
    </row>
    <row r="8" spans="2:14" x14ac:dyDescent="0.5">
      <c r="B8" s="19" t="s">
        <v>334</v>
      </c>
      <c r="C8" s="19" t="s">
        <v>334</v>
      </c>
      <c r="D8" s="83" t="s">
        <v>545</v>
      </c>
      <c r="F8" t="str">
        <v>Check</v>
      </c>
      <c r="H8" s="87" t="s">
        <v>12</v>
      </c>
      <c r="I8" s="86">
        <f>IF(NOT(ISBLANK(Table3[[#This Row],[Unique Type]])),COUNTIFS(Table7[[Manually Extract Type ]],Table3[[#This Row],[Unique Type]]),"")</f>
        <v>34</v>
      </c>
      <c r="J8" s="87"/>
      <c r="L8" s="92" t="s">
        <v>345</v>
      </c>
      <c r="N8" t="str">
        <v xml:space="preserve">Flagstar Bank </v>
      </c>
    </row>
    <row r="9" spans="2:14" x14ac:dyDescent="0.5">
      <c r="B9" s="19" t="s">
        <v>335</v>
      </c>
      <c r="C9" s="19" t="s">
        <v>335</v>
      </c>
      <c r="D9" s="83" t="s">
        <v>542</v>
      </c>
      <c r="F9" t="str">
        <v>Comenity Pay</v>
      </c>
      <c r="H9" s="88" t="s">
        <v>561</v>
      </c>
      <c r="I9" s="86">
        <f>IF(NOT(ISBLANK(Table3[[#This Row],[Unique Type]])),COUNTIFS(Table7[[Manually Extract Type ]],Table3[[#This Row],[Unique Type]]),"")</f>
        <v>1</v>
      </c>
      <c r="J9" s="87" t="str">
        <f>IF(ISBLANK(Table3[[#This Row],[Unique Type]]),"",IF(Table3[[#This Row],[Count unique types]]&gt;1,Table3[[#This Row],[Unique Type]],"Miscellaneous"))</f>
        <v>Miscellaneous</v>
      </c>
      <c r="L9" s="92" t="s">
        <v>550</v>
      </c>
      <c r="N9" t="str">
        <v xml:space="preserve">Home Depot </v>
      </c>
    </row>
    <row r="10" spans="2:14" x14ac:dyDescent="0.5">
      <c r="B10" s="19" t="s">
        <v>336</v>
      </c>
      <c r="C10" s="19" t="s">
        <v>336</v>
      </c>
      <c r="D10" s="83" t="s">
        <v>546</v>
      </c>
      <c r="F10" t="str">
        <v>Commercial Loan Payment</v>
      </c>
      <c r="H10" s="87" t="s">
        <v>402</v>
      </c>
      <c r="I10" s="86">
        <f>IF(NOT(ISBLANK(Table3[[#This Row],[Unique Type]])),COUNTIFS(Table7[[Manually Extract Type ]],Table3[[#This Row],[Unique Type]]),"")</f>
        <v>1</v>
      </c>
      <c r="J10" s="87" t="str">
        <f>IF(ISBLANK(Table3[[#This Row],[Unique Type]]),"",IF(Table3[[#This Row],[Count unique types]]&gt;1,Table3[[#This Row],[Unique Type]],"Miscellaneous"))</f>
        <v>Miscellaneous</v>
      </c>
      <c r="L10" s="92" t="s">
        <v>548</v>
      </c>
      <c r="N10" t="str">
        <v>Internet Trf 0000000476720427 3290</v>
      </c>
    </row>
    <row r="11" spans="2:14" x14ac:dyDescent="0.5">
      <c r="B11" s="19" t="s">
        <v>332</v>
      </c>
      <c r="C11" s="19" t="s">
        <v>332</v>
      </c>
      <c r="D11" s="84" t="s">
        <v>559</v>
      </c>
      <c r="F11" t="str">
        <v>Dell Preferred Sssnent</v>
      </c>
      <c r="H11" s="88" t="s">
        <v>555</v>
      </c>
      <c r="I11" s="86">
        <f>IF(NOT(ISBLANK(Table3[[#This Row],[Unique Type]])),COUNTIFS(Table7[[Manually Extract Type ]],Table3[[#This Row],[Unique Type]]),"")</f>
        <v>4</v>
      </c>
      <c r="J11" s="87" t="str">
        <f>IF(ISBLANK(Table3[[#This Row],[Unique Type]]),"",IF(Table3[[#This Row],[Count unique types]]&gt;1,Table3[[#This Row],[Unique Type]],"Miscellaneous"))</f>
        <v>Dell Preferred Sssnent</v>
      </c>
      <c r="L11" s="92" t="s">
        <v>560</v>
      </c>
      <c r="N11" t="str">
        <v xml:space="preserve">Lowes </v>
      </c>
    </row>
    <row r="12" spans="2:14" x14ac:dyDescent="0.5">
      <c r="B12" s="19" t="s">
        <v>337</v>
      </c>
      <c r="C12" s="19" t="s">
        <v>337</v>
      </c>
      <c r="D12" s="83" t="s">
        <v>547</v>
      </c>
      <c r="F12" t="str">
        <v>Deposit Branch 0447 New York</v>
      </c>
      <c r="H12" s="87" t="s">
        <v>345</v>
      </c>
      <c r="I12" s="86">
        <f>IF(NOT(ISBLANK(Table3[[#This Row],[Unique Type]])),COUNTIFS(Table7[[Manually Extract Type ]],Table3[[#This Row],[Unique Type]]),"")</f>
        <v>18</v>
      </c>
      <c r="J12" s="87" t="str">
        <f>IF(ISBLANK(Table3[[#This Row],[Unique Type]]),"",IF(Table3[[#This Row],[Count unique types]]&gt;1,Table3[[#This Row],[Unique Type]],"Miscellaneous"))</f>
        <v>Deposit Branch 0447 New York</v>
      </c>
      <c r="L12" s="92" t="s">
        <v>545</v>
      </c>
      <c r="N12" t="str">
        <v>Miscellaneous</v>
      </c>
    </row>
    <row r="13" spans="2:14" x14ac:dyDescent="0.5">
      <c r="B13" s="19" t="s">
        <v>338</v>
      </c>
      <c r="C13" s="19" t="s">
        <v>338</v>
      </c>
      <c r="D13" s="83" t="s">
        <v>543</v>
      </c>
      <c r="F13" t="str">
        <v>Dfsdirectpaymentdfspayment</v>
      </c>
      <c r="H13" s="88" t="s">
        <v>556</v>
      </c>
      <c r="I13" s="86">
        <f>IF(NOT(ISBLANK(Table3[[#This Row],[Unique Type]])),COUNTIFS(Table7[[Manually Extract Type ]],Table3[[#This Row],[Unique Type]]),"")</f>
        <v>1</v>
      </c>
      <c r="J13" s="87" t="str">
        <f>IF(ISBLANK(Table3[[#This Row],[Unique Type]]),"",IF(Table3[[#This Row],[Count unique types]]&gt;1,Table3[[#This Row],[Unique Type]],"Miscellaneous"))</f>
        <v>Miscellaneous</v>
      </c>
      <c r="L13" s="92" t="s">
        <v>343</v>
      </c>
      <c r="N13" t="str">
        <v>Mobile Check Deposit</v>
      </c>
    </row>
    <row r="14" spans="2:14" x14ac:dyDescent="0.5">
      <c r="B14" s="19" t="s">
        <v>449</v>
      </c>
      <c r="C14" s="19" t="s">
        <v>449</v>
      </c>
      <c r="D14" t="s">
        <v>562</v>
      </c>
      <c r="F14" t="str">
        <v xml:space="preserve">Flagstar Bank </v>
      </c>
      <c r="H14" s="87" t="s">
        <v>550</v>
      </c>
      <c r="I14" s="86">
        <f>IF(NOT(ISBLANK(Table3[[#This Row],[Unique Type]])),COUNTIFS(Table7[[Manually Extract Type ]],Table3[[#This Row],[Unique Type]]),"")</f>
        <v>5</v>
      </c>
      <c r="J14" s="87" t="str">
        <f>IF(ISBLANK(Table3[[#This Row],[Unique Type]]),"",IF(Table3[[#This Row],[Count unique types]]&gt;1,Table3[[#This Row],[Unique Type]],"Miscellaneous"))</f>
        <v xml:space="preserve">Flagstar Bank </v>
      </c>
      <c r="L14" s="92" t="s">
        <v>544</v>
      </c>
      <c r="N14" t="str">
        <v xml:space="preserve">Orange &amp; Rockland </v>
      </c>
    </row>
    <row r="15" spans="2:14" x14ac:dyDescent="0.5">
      <c r="B15" s="19" t="s">
        <v>450</v>
      </c>
      <c r="C15" s="19" t="s">
        <v>450</v>
      </c>
      <c r="D15" t="s">
        <v>562</v>
      </c>
      <c r="F15" t="str">
        <v xml:space="preserve">Home Depot </v>
      </c>
      <c r="H15" s="88" t="s">
        <v>548</v>
      </c>
      <c r="I15" s="86">
        <f>IF(NOT(ISBLANK(Table3[[#This Row],[Unique Type]])),COUNTIFS(Table7[[Manually Extract Type ]],Table3[[#This Row],[Unique Type]]),"")</f>
        <v>11</v>
      </c>
      <c r="J15" s="87" t="str">
        <f>IF(ISBLANK(Table3[[#This Row],[Unique Type]]),"",IF(Table3[[#This Row],[Count unique types]]&gt;1,Table3[[#This Row],[Unique Type]],"Miscellaneous"))</f>
        <v xml:space="preserve">Home Depot </v>
      </c>
      <c r="L15" s="92" t="s">
        <v>547</v>
      </c>
      <c r="N15" t="str">
        <v xml:space="preserve">US Small Business </v>
      </c>
    </row>
    <row r="16" spans="2:14" x14ac:dyDescent="0.5">
      <c r="B16" s="19"/>
      <c r="C16" s="19" t="s">
        <v>571</v>
      </c>
      <c r="D16" s="19" t="s">
        <v>571</v>
      </c>
      <c r="F16" t="str">
        <v>Internet Trf 0000000476720427 3290</v>
      </c>
      <c r="H16" s="87" t="s">
        <v>560</v>
      </c>
      <c r="I16" s="86">
        <f>IF(NOT(ISBLANK(Table3[[#This Row],[Unique Type]])),COUNTIFS(Table7[[Manually Extract Type ]],Table3[[#This Row],[Unique Type]]),"")</f>
        <v>18</v>
      </c>
      <c r="J16" s="87" t="str">
        <f>IF(ISBLANK(Table3[[#This Row],[Unique Type]]),"",IF(Table3[[#This Row],[Count unique types]]&gt;1,Table3[[#This Row],[Unique Type]],"Miscellaneous"))</f>
        <v>Internet Trf 0000000476720427 3290</v>
      </c>
      <c r="L16" s="92" t="s">
        <v>543</v>
      </c>
      <c r="N16" t="str">
        <v>Verizon Payment</v>
      </c>
    </row>
    <row r="17" spans="2:14" x14ac:dyDescent="0.5">
      <c r="B17" s="19"/>
      <c r="C17" s="19" t="s">
        <v>571</v>
      </c>
      <c r="D17" s="19" t="s">
        <v>571</v>
      </c>
      <c r="F17" t="str">
        <v xml:space="preserve">Lowes </v>
      </c>
      <c r="H17" s="88" t="s">
        <v>545</v>
      </c>
      <c r="I17" s="86">
        <f>IF(NOT(ISBLANK(Table3[[#This Row],[Unique Type]])),COUNTIFS(Table7[[Manually Extract Type ]],Table3[[#This Row],[Unique Type]]),"")</f>
        <v>9</v>
      </c>
      <c r="J17" s="87" t="str">
        <f>IF(ISBLANK(Table3[[#This Row],[Unique Type]]),"",IF(Table3[[#This Row],[Count unique types]]&gt;1,Table3[[#This Row],[Unique Type]],"Miscellaneous"))</f>
        <v xml:space="preserve">Lowes </v>
      </c>
      <c r="L17" s="92" t="s">
        <v>557</v>
      </c>
      <c r="N17" t="str">
        <v>Western Union Capture</v>
      </c>
    </row>
    <row r="18" spans="2:14" x14ac:dyDescent="0.5">
      <c r="B18" s="19" t="s">
        <v>343</v>
      </c>
      <c r="C18" s="19" t="s">
        <v>343</v>
      </c>
      <c r="D18" s="83" t="s">
        <v>343</v>
      </c>
      <c r="F18" t="str">
        <v>Marangi Disposal</v>
      </c>
      <c r="H18" s="87" t="s">
        <v>551</v>
      </c>
      <c r="I18" s="86">
        <f>IF(NOT(ISBLANK(Table3[[#This Row],[Unique Type]])),COUNTIFS(Table7[[Manually Extract Type ]],Table3[[#This Row],[Unique Type]]),"")</f>
        <v>1</v>
      </c>
      <c r="J18" s="87" t="str">
        <f>IF(ISBLANK(Table3[[#This Row],[Unique Type]]),"",IF(Table3[[#This Row],[Count unique types]]&gt;1,Table3[[#This Row],[Unique Type]],"Miscellaneous"))</f>
        <v>Miscellaneous</v>
      </c>
      <c r="L18" s="94" t="s">
        <v>559</v>
      </c>
      <c r="N18" t="str">
        <v>Wilkinmanagemweb Pmts</v>
      </c>
    </row>
    <row r="19" spans="2:14" x14ac:dyDescent="0.5">
      <c r="B19" s="19" t="s">
        <v>344</v>
      </c>
      <c r="C19" s="19" t="s">
        <v>344</v>
      </c>
      <c r="D19" s="83" t="s">
        <v>560</v>
      </c>
      <c r="F19" t="str">
        <v>Mobile Check Deposit</v>
      </c>
      <c r="H19" s="88" t="s">
        <v>343</v>
      </c>
      <c r="I19" s="86">
        <f>IF(NOT(ISBLANK(Table3[[#This Row],[Unique Type]])),COUNTIFS(Table7[[Manually Extract Type ]],Table3[[#This Row],[Unique Type]]),"")</f>
        <v>13</v>
      </c>
      <c r="J19" s="87" t="str">
        <f>IF(ISBLANK(Table3[[#This Row],[Unique Type]]),"",IF(Table3[[#This Row],[Count unique types]]&gt;1,Table3[[#This Row],[Unique Type]],"Miscellaneous"))</f>
        <v>Mobile Check Deposit</v>
      </c>
    </row>
    <row r="20" spans="2:14" x14ac:dyDescent="0.5">
      <c r="B20" s="19" t="s">
        <v>344</v>
      </c>
      <c r="C20" s="19" t="s">
        <v>344</v>
      </c>
      <c r="D20" s="83" t="s">
        <v>560</v>
      </c>
      <c r="F20" t="str">
        <v>Mountainview Conownerdraft</v>
      </c>
      <c r="H20" s="87" t="s">
        <v>558</v>
      </c>
      <c r="I20" s="86">
        <f>IF(NOT(ISBLANK(Table3[[#This Row],[Unique Type]])),COUNTIFS(Table7[[Manually Extract Type ]],Table3[[#This Row],[Unique Type]]),"")</f>
        <v>1</v>
      </c>
      <c r="J20" s="87" t="str">
        <f>IF(ISBLANK(Table3[[#This Row],[Unique Type]]),"",IF(Table3[[#This Row],[Count unique types]]&gt;1,Table3[[#This Row],[Unique Type]],"Miscellaneous"))</f>
        <v>Miscellaneous</v>
      </c>
      <c r="L20" s="93" t="s">
        <v>15</v>
      </c>
    </row>
    <row r="21" spans="2:14" x14ac:dyDescent="0.5">
      <c r="B21" s="19" t="s">
        <v>351</v>
      </c>
      <c r="C21" s="19" t="s">
        <v>351</v>
      </c>
      <c r="D21" s="83" t="s">
        <v>544</v>
      </c>
      <c r="F21" t="str">
        <v>Nys Dtf CT Tax Paymnt</v>
      </c>
      <c r="H21" s="88" t="s">
        <v>554</v>
      </c>
      <c r="I21" s="86">
        <f>IF(NOT(ISBLANK(Table3[[#This Row],[Unique Type]])),COUNTIFS(Table7[[Manually Extract Type ]],Table3[[#This Row],[Unique Type]]),"")</f>
        <v>1</v>
      </c>
      <c r="J21" s="87" t="str">
        <f>IF(ISBLANK(Table3[[#This Row],[Unique Type]]),"",IF(Table3[[#This Row],[Count unique types]]&gt;1,Table3[[#This Row],[Unique Type]],"Miscellaneous"))</f>
        <v>Miscellaneous</v>
      </c>
    </row>
    <row r="22" spans="2:14" x14ac:dyDescent="0.5">
      <c r="B22" s="19" t="s">
        <v>332</v>
      </c>
      <c r="C22" s="19" t="s">
        <v>332</v>
      </c>
      <c r="D22" s="84" t="s">
        <v>559</v>
      </c>
      <c r="F22" t="str">
        <v>Opening/Closing</v>
      </c>
      <c r="H22" s="87" t="s">
        <v>571</v>
      </c>
      <c r="I22" s="86">
        <f>IF(NOT(ISBLANK(Table3[[#This Row],[Unique Type]])),COUNTIFS(Table7[[Manually Extract Type ]],Table3[[#This Row],[Unique Type]]),"")</f>
        <v>25</v>
      </c>
      <c r="J22" s="87" t="str">
        <f>IF(ISBLANK(Table3[[#This Row],[Unique Type]]),"",IF(Table3[[#This Row],[Count unique types]]&gt;1,Table3[[#This Row],[Unique Type]],"Miscellaneous"))</f>
        <v>Opening/Closing</v>
      </c>
    </row>
    <row r="23" spans="2:14" x14ac:dyDescent="0.5">
      <c r="B23" s="19" t="s">
        <v>522</v>
      </c>
      <c r="C23" s="19" t="s">
        <v>522</v>
      </c>
      <c r="D23" t="s">
        <v>12</v>
      </c>
      <c r="F23" t="str">
        <v xml:space="preserve">Orange &amp; Rockland </v>
      </c>
      <c r="H23" s="88" t="s">
        <v>544</v>
      </c>
      <c r="I23" s="86">
        <f>IF(NOT(ISBLANK(Table3[[#This Row],[Unique Type]])),COUNTIFS(Table7[[Manually Extract Type ]],Table3[[#This Row],[Unique Type]]),"")</f>
        <v>12</v>
      </c>
      <c r="J23" s="87" t="str">
        <f>IF(ISBLANK(Table3[[#This Row],[Unique Type]]),"",IF(Table3[[#This Row],[Count unique types]]&gt;1,Table3[[#This Row],[Unique Type]],"Miscellaneous"))</f>
        <v xml:space="preserve">Orange &amp; Rockland </v>
      </c>
    </row>
    <row r="24" spans="2:14" x14ac:dyDescent="0.5">
      <c r="B24" s="19" t="s">
        <v>523</v>
      </c>
      <c r="C24" s="19" t="s">
        <v>523</v>
      </c>
      <c r="D24" t="s">
        <v>12</v>
      </c>
      <c r="F24" t="str">
        <v>Paper Statement Fee</v>
      </c>
      <c r="H24" s="87" t="s">
        <v>562</v>
      </c>
      <c r="I24" s="86">
        <f>IF(NOT(ISBLANK(Table3[[#This Row],[Unique Type]])),COUNTIFS(Table7[[Manually Extract Type ]],Table3[[#This Row],[Unique Type]]),"")</f>
        <v>14</v>
      </c>
      <c r="J24" s="87"/>
    </row>
    <row r="25" spans="2:14" x14ac:dyDescent="0.5">
      <c r="B25" s="19" t="s">
        <v>524</v>
      </c>
      <c r="C25" s="19" t="s">
        <v>524</v>
      </c>
      <c r="D25" t="s">
        <v>12</v>
      </c>
      <c r="F25" t="str">
        <v xml:space="preserve">Sterling Insurance </v>
      </c>
      <c r="H25" s="88" t="s">
        <v>552</v>
      </c>
      <c r="I25" s="86">
        <f>IF(NOT(ISBLANK(Table3[[#This Row],[Unique Type]])),COUNTIFS(Table7[[Manually Extract Type ]],Table3[[#This Row],[Unique Type]]),"")</f>
        <v>1</v>
      </c>
      <c r="J25" s="87" t="str">
        <f>IF(ISBLANK(Table3[[#This Row],[Unique Type]]),"",IF(Table3[[#This Row],[Count unique types]]&gt;1,Table3[[#This Row],[Unique Type]],"Miscellaneous"))</f>
        <v>Miscellaneous</v>
      </c>
    </row>
    <row r="26" spans="2:14" x14ac:dyDescent="0.5">
      <c r="B26" s="19" t="s">
        <v>344</v>
      </c>
      <c r="C26" s="19" t="s">
        <v>344</v>
      </c>
      <c r="D26" s="83" t="s">
        <v>560</v>
      </c>
      <c r="F26" t="str">
        <v xml:space="preserve">US Small Business </v>
      </c>
      <c r="H26" s="87" t="s">
        <v>547</v>
      </c>
      <c r="I26" s="86">
        <f>IF(NOT(ISBLANK(Table3[[#This Row],[Unique Type]])),COUNTIFS(Table7[[Manually Extract Type ]],Table3[[#This Row],[Unique Type]]),"")</f>
        <v>12</v>
      </c>
      <c r="J26" s="87" t="str">
        <f>IF(ISBLANK(Table3[[#This Row],[Unique Type]]),"",IF(Table3[[#This Row],[Count unique types]]&gt;1,Table3[[#This Row],[Unique Type]],"Miscellaneous"))</f>
        <v xml:space="preserve">US Small Business </v>
      </c>
    </row>
    <row r="27" spans="2:14" x14ac:dyDescent="0.5">
      <c r="B27" s="19" t="s">
        <v>345</v>
      </c>
      <c r="C27" s="19" t="s">
        <v>345</v>
      </c>
      <c r="D27" t="s">
        <v>345</v>
      </c>
      <c r="F27" t="str">
        <v>Utica First Insura Art</v>
      </c>
      <c r="H27" s="88" t="s">
        <v>549</v>
      </c>
      <c r="I27" s="86">
        <f>IF(NOT(ISBLANK(Table3[[#This Row],[Unique Type]])),COUNTIFS(Table7[[Manually Extract Type ]],Table3[[#This Row],[Unique Type]]),"")</f>
        <v>1</v>
      </c>
      <c r="J27" s="87" t="str">
        <f>IF(ISBLANK(Table3[[#This Row],[Unique Type]]),"",IF(Table3[[#This Row],[Count unique types]]&gt;1,Table3[[#This Row],[Unique Type]],"Miscellaneous"))</f>
        <v>Miscellaneous</v>
      </c>
    </row>
    <row r="28" spans="2:14" x14ac:dyDescent="0.5">
      <c r="B28" s="19" t="s">
        <v>335</v>
      </c>
      <c r="C28" s="19" t="s">
        <v>335</v>
      </c>
      <c r="D28" s="83" t="s">
        <v>542</v>
      </c>
      <c r="F28" t="str">
        <v>Verizon Payment</v>
      </c>
      <c r="H28" s="87" t="s">
        <v>543</v>
      </c>
      <c r="I28" s="86">
        <f>IF(NOT(ISBLANK(Table3[[#This Row],[Unique Type]])),COUNTIFS(Table7[[Manually Extract Type ]],Table3[[#This Row],[Unique Type]]),"")</f>
        <v>12</v>
      </c>
      <c r="J28" s="87" t="str">
        <f>IF(ISBLANK(Table3[[#This Row],[Unique Type]]),"",IF(Table3[[#This Row],[Count unique types]]&gt;1,Table3[[#This Row],[Unique Type]],"Miscellaneous"))</f>
        <v>Verizon Payment</v>
      </c>
    </row>
    <row r="29" spans="2:14" x14ac:dyDescent="0.5">
      <c r="B29" s="19" t="s">
        <v>345</v>
      </c>
      <c r="C29" s="19" t="s">
        <v>345</v>
      </c>
      <c r="D29" t="s">
        <v>345</v>
      </c>
      <c r="F29" t="str">
        <v>Western Union Capture</v>
      </c>
      <c r="H29" s="88" t="s">
        <v>557</v>
      </c>
      <c r="I29" s="86">
        <f>IF(NOT(ISBLANK(Table3[[#This Row],[Unique Type]])),COUNTIFS(Table7[[Manually Extract Type ]],Table3[[#This Row],[Unique Type]]),"")</f>
        <v>2</v>
      </c>
      <c r="J29" s="87" t="str">
        <f>IF(ISBLANK(Table3[[#This Row],[Unique Type]]),"",IF(Table3[[#This Row],[Count unique types]]&gt;1,Table3[[#This Row],[Unique Type]],"Miscellaneous"))</f>
        <v>Western Union Capture</v>
      </c>
    </row>
    <row r="30" spans="2:14" x14ac:dyDescent="0.5">
      <c r="B30" s="19" t="s">
        <v>353</v>
      </c>
      <c r="C30" s="19" t="s">
        <v>353</v>
      </c>
      <c r="D30" s="83" t="s">
        <v>547</v>
      </c>
      <c r="F30" t="str">
        <v>Wilkinmanagemweb Pmts</v>
      </c>
      <c r="H30" s="87" t="s">
        <v>559</v>
      </c>
      <c r="I30" s="86">
        <f>IF(NOT(ISBLANK(Table3[[#This Row],[Unique Type]])),COUNTIFS(Table7[[Manually Extract Type ]],Table3[[#This Row],[Unique Type]]),"")</f>
        <v>18</v>
      </c>
      <c r="J30" s="87" t="str">
        <f>IF(ISBLANK(Table3[[#This Row],[Unique Type]]),"",IF(Table3[[#This Row],[Count unique types]]&gt;1,Table3[[#This Row],[Unique Type]],"Miscellaneous"))</f>
        <v>Wilkinmanagemweb Pmts</v>
      </c>
    </row>
    <row r="31" spans="2:14" x14ac:dyDescent="0.5">
      <c r="B31" s="19" t="s">
        <v>343</v>
      </c>
      <c r="C31" s="19" t="s">
        <v>343</v>
      </c>
      <c r="D31" s="83" t="s">
        <v>343</v>
      </c>
      <c r="H31" s="88"/>
      <c r="I31" s="86" t="str">
        <f>IF(NOT(ISBLANK(Table3[[#This Row],[Unique Type]])),COUNTIFS(Table7[[Manually Extract Type ]],Table3[[#This Row],[Unique Type]]),"")</f>
        <v/>
      </c>
      <c r="J31" s="87" t="str">
        <f>IF(ISBLANK(Table3[[#This Row],[Unique Type]]),"",IF(Table3[[#This Row],[Count unique types]]&gt;1,Table3[[#This Row],[Unique Type]],"Miscellaneous"))</f>
        <v/>
      </c>
    </row>
    <row r="32" spans="2:14" x14ac:dyDescent="0.5">
      <c r="B32" s="19" t="s">
        <v>354</v>
      </c>
      <c r="C32" s="19" t="s">
        <v>354</v>
      </c>
      <c r="D32" s="83" t="s">
        <v>545</v>
      </c>
      <c r="H32" s="87"/>
      <c r="I32" s="86" t="str">
        <f>IF(NOT(ISBLANK(Table3[[#This Row],[Unique Type]])),COUNTIFS(Table7[[Manually Extract Type ]],Table3[[#This Row],[Unique Type]]),"")</f>
        <v/>
      </c>
      <c r="J32" s="87" t="str">
        <f>IF(ISBLANK(Table3[[#This Row],[Unique Type]]),"",IF(Table3[[#This Row],[Count unique types]]&gt;1,Table3[[#This Row],[Unique Type]],"Miscellaneous"))</f>
        <v/>
      </c>
    </row>
    <row r="33" spans="2:10" x14ac:dyDescent="0.5">
      <c r="B33" s="19" t="s">
        <v>355</v>
      </c>
      <c r="C33" s="19" t="s">
        <v>355</v>
      </c>
      <c r="D33" s="83" t="s">
        <v>548</v>
      </c>
      <c r="H33" s="88"/>
      <c r="I33" s="86" t="str">
        <f>IF(NOT(ISBLANK(Table3[[#This Row],[Unique Type]])),COUNTIFS(Table7[[Manually Extract Type ]],Table3[[#This Row],[Unique Type]]),"")</f>
        <v/>
      </c>
      <c r="J33" s="87" t="str">
        <f>IF(ISBLANK(Table3[[#This Row],[Unique Type]]),"",IF(Table3[[#This Row],[Count unique types]]&gt;1,Table3[[#This Row],[Unique Type]],"Miscellaneous"))</f>
        <v/>
      </c>
    </row>
    <row r="34" spans="2:10" x14ac:dyDescent="0.5">
      <c r="B34" s="19" t="s">
        <v>338</v>
      </c>
      <c r="C34" s="19" t="s">
        <v>338</v>
      </c>
      <c r="D34" s="83" t="s">
        <v>543</v>
      </c>
      <c r="H34" s="87"/>
      <c r="I34" s="86" t="str">
        <f>IF(NOT(ISBLANK(Table3[[#This Row],[Unique Type]])),COUNTIFS(Table7[[Manually Extract Type ]],Table3[[#This Row],[Unique Type]]),"")</f>
        <v/>
      </c>
      <c r="J34" s="87" t="str">
        <f>IF(ISBLANK(Table3[[#This Row],[Unique Type]]),"",IF(Table3[[#This Row],[Count unique types]]&gt;1,Table3[[#This Row],[Unique Type]],"Miscellaneous"))</f>
        <v/>
      </c>
    </row>
    <row r="35" spans="2:10" x14ac:dyDescent="0.5">
      <c r="B35" s="19" t="s">
        <v>449</v>
      </c>
      <c r="C35" s="19" t="s">
        <v>449</v>
      </c>
      <c r="D35" t="s">
        <v>562</v>
      </c>
      <c r="H35" s="88"/>
      <c r="I35" s="86" t="str">
        <f>IF(NOT(ISBLANK(Table3[[#This Row],[Unique Type]])),COUNTIFS(Table7[[Manually Extract Type ]],Table3[[#This Row],[Unique Type]]),"")</f>
        <v/>
      </c>
      <c r="J35" s="87" t="str">
        <f>IF(ISBLANK(Table3[[#This Row],[Unique Type]]),"",IF(Table3[[#This Row],[Count unique types]]&gt;1,Table3[[#This Row],[Unique Type]],"Miscellaneous"))</f>
        <v/>
      </c>
    </row>
    <row r="36" spans="2:10" x14ac:dyDescent="0.5">
      <c r="B36" s="19" t="s">
        <v>450</v>
      </c>
      <c r="C36" s="19" t="s">
        <v>450</v>
      </c>
      <c r="D36" t="s">
        <v>562</v>
      </c>
      <c r="H36" s="87"/>
      <c r="I36" s="86" t="str">
        <f>IF(NOT(ISBLANK(Table3[[#This Row],[Unique Type]])),COUNTIFS(Table7[[Manually Extract Type ]],Table3[[#This Row],[Unique Type]]),"")</f>
        <v/>
      </c>
      <c r="J36" s="87" t="str">
        <f>IF(ISBLANK(Table3[[#This Row],[Unique Type]]),"",IF(Table3[[#This Row],[Count unique types]]&gt;1,Table3[[#This Row],[Unique Type]],"Miscellaneous"))</f>
        <v/>
      </c>
    </row>
    <row r="37" spans="2:10" x14ac:dyDescent="0.5">
      <c r="B37" s="19"/>
      <c r="C37" s="19" t="s">
        <v>571</v>
      </c>
      <c r="D37" s="19" t="s">
        <v>571</v>
      </c>
      <c r="H37" s="88"/>
      <c r="I37" s="86" t="str">
        <f>IF(NOT(ISBLANK(Table3[[#This Row],[Unique Type]])),COUNTIFS(Table7[[Manually Extract Type ]],Table3[[#This Row],[Unique Type]]),"")</f>
        <v/>
      </c>
      <c r="J37" s="87" t="str">
        <f>IF(ISBLANK(Table3[[#This Row],[Unique Type]]),"",IF(Table3[[#This Row],[Count unique types]]&gt;1,Table3[[#This Row],[Unique Type]],"Miscellaneous"))</f>
        <v/>
      </c>
    </row>
    <row r="38" spans="2:10" x14ac:dyDescent="0.5">
      <c r="B38" s="19"/>
      <c r="C38" s="19" t="s">
        <v>571</v>
      </c>
      <c r="D38" s="19" t="s">
        <v>571</v>
      </c>
      <c r="H38" s="87"/>
      <c r="I38" s="86" t="str">
        <f>IF(NOT(ISBLANK(Table3[[#This Row],[Unique Type]])),COUNTIFS(Table7[[Manually Extract Type ]],Table3[[#This Row],[Unique Type]]),"")</f>
        <v/>
      </c>
      <c r="J38" s="87" t="str">
        <f>IF(ISBLANK(Table3[[#This Row],[Unique Type]]),"",IF(Table3[[#This Row],[Count unique types]]&gt;1,Table3[[#This Row],[Unique Type]],"Miscellaneous"))</f>
        <v/>
      </c>
    </row>
    <row r="39" spans="2:10" x14ac:dyDescent="0.5">
      <c r="B39" s="19" t="s">
        <v>462</v>
      </c>
      <c r="C39" s="19" t="s">
        <v>462</v>
      </c>
      <c r="D39" t="s">
        <v>12</v>
      </c>
      <c r="H39" s="88"/>
      <c r="I39" s="86" t="str">
        <f>IF(NOT(ISBLANK(Table3[[#This Row],[Unique Type]])),COUNTIFS(Table7[[Manually Extract Type ]],Table3[[#This Row],[Unique Type]]),"")</f>
        <v/>
      </c>
      <c r="J39" s="87" t="str">
        <f>IF(ISBLANK(Table3[[#This Row],[Unique Type]]),"",IF(Table3[[#This Row],[Count unique types]]&gt;1,Table3[[#This Row],[Unique Type]],"Miscellaneous"))</f>
        <v/>
      </c>
    </row>
    <row r="40" spans="2:10" x14ac:dyDescent="0.5">
      <c r="B40" s="19" t="s">
        <v>332</v>
      </c>
      <c r="C40" s="19" t="s">
        <v>332</v>
      </c>
      <c r="D40" s="84" t="s">
        <v>559</v>
      </c>
      <c r="H40" s="87"/>
      <c r="I40" s="86" t="str">
        <f>IF(NOT(ISBLANK(Table3[[#This Row],[Unique Type]])),COUNTIFS(Table7[[Manually Extract Type ]],Table3[[#This Row],[Unique Type]]),"")</f>
        <v/>
      </c>
      <c r="J40" s="87" t="str">
        <f>IF(ISBLANK(Table3[[#This Row],[Unique Type]]),"",IF(Table3[[#This Row],[Count unique types]]&gt;1,Table3[[#This Row],[Unique Type]],"Miscellaneous"))</f>
        <v/>
      </c>
    </row>
    <row r="41" spans="2:10" x14ac:dyDescent="0.5">
      <c r="B41" s="19" t="s">
        <v>335</v>
      </c>
      <c r="C41" s="19" t="s">
        <v>335</v>
      </c>
      <c r="D41" s="83" t="s">
        <v>542</v>
      </c>
      <c r="H41" s="88"/>
      <c r="I41" s="86" t="str">
        <f>IF(NOT(ISBLANK(Table3[[#This Row],[Unique Type]])),COUNTIFS(Table7[[Manually Extract Type ]],Table3[[#This Row],[Unique Type]]),"")</f>
        <v/>
      </c>
      <c r="J41" s="87" t="str">
        <f>IF(ISBLANK(Table3[[#This Row],[Unique Type]]),"",IF(Table3[[#This Row],[Count unique types]]&gt;1,Table3[[#This Row],[Unique Type]],"Miscellaneous"))</f>
        <v/>
      </c>
    </row>
    <row r="42" spans="2:10" x14ac:dyDescent="0.5">
      <c r="B42" s="19" t="s">
        <v>359</v>
      </c>
      <c r="C42" s="19" t="s">
        <v>359</v>
      </c>
      <c r="D42" s="84" t="s">
        <v>554</v>
      </c>
      <c r="H42" s="87"/>
      <c r="I42" s="86" t="str">
        <f>IF(NOT(ISBLANK(Table3[[#This Row],[Unique Type]])),COUNTIFS(Table7[[Manually Extract Type ]],Table3[[#This Row],[Unique Type]]),"")</f>
        <v/>
      </c>
      <c r="J42" s="87" t="str">
        <f>IF(ISBLANK(Table3[[#This Row],[Unique Type]]),"",IF(Table3[[#This Row],[Count unique types]]&gt;1,Table3[[#This Row],[Unique Type]],"Miscellaneous"))</f>
        <v/>
      </c>
    </row>
    <row r="43" spans="2:10" x14ac:dyDescent="0.5">
      <c r="B43" s="19" t="s">
        <v>360</v>
      </c>
      <c r="C43" s="19" t="s">
        <v>360</v>
      </c>
      <c r="D43" s="83" t="s">
        <v>547</v>
      </c>
      <c r="H43" s="88"/>
      <c r="I43" s="86" t="str">
        <f>IF(NOT(ISBLANK(Table3[[#This Row],[Unique Type]])),COUNTIFS(Table7[[Manually Extract Type ]],Table3[[#This Row],[Unique Type]]),"")</f>
        <v/>
      </c>
      <c r="J43" s="87" t="str">
        <f>IF(ISBLANK(Table3[[#This Row],[Unique Type]]),"",IF(Table3[[#This Row],[Count unique types]]&gt;1,Table3[[#This Row],[Unique Type]],"Miscellaneous"))</f>
        <v/>
      </c>
    </row>
    <row r="44" spans="2:10" x14ac:dyDescent="0.5">
      <c r="B44" s="19" t="s">
        <v>344</v>
      </c>
      <c r="C44" s="19" t="s">
        <v>344</v>
      </c>
      <c r="D44" s="83" t="s">
        <v>560</v>
      </c>
      <c r="H44" s="87"/>
      <c r="I44" s="86" t="str">
        <f>IF(NOT(ISBLANK(Table3[[#This Row],[Unique Type]])),COUNTIFS(Table7[[Manually Extract Type ]],Table3[[#This Row],[Unique Type]]),"")</f>
        <v/>
      </c>
      <c r="J44" s="87" t="str">
        <f>IF(ISBLANK(Table3[[#This Row],[Unique Type]]),"",IF(Table3[[#This Row],[Count unique types]]&gt;1,Table3[[#This Row],[Unique Type]],"Miscellaneous"))</f>
        <v/>
      </c>
    </row>
    <row r="45" spans="2:10" x14ac:dyDescent="0.5">
      <c r="B45" s="19" t="s">
        <v>361</v>
      </c>
      <c r="C45" s="19" t="s">
        <v>361</v>
      </c>
      <c r="D45" s="83" t="s">
        <v>544</v>
      </c>
      <c r="H45" s="88"/>
      <c r="I45" s="86" t="str">
        <f>IF(NOT(ISBLANK(Table3[[#This Row],[Unique Type]])),COUNTIFS(Table7[[Manually Extract Type ]],Table3[[#This Row],[Unique Type]]),"")</f>
        <v/>
      </c>
      <c r="J45" s="87" t="str">
        <f>IF(ISBLANK(Table3[[#This Row],[Unique Type]]),"",IF(Table3[[#This Row],[Count unique types]]&gt;1,Table3[[#This Row],[Unique Type]],"Miscellaneous"))</f>
        <v/>
      </c>
    </row>
    <row r="46" spans="2:10" x14ac:dyDescent="0.5">
      <c r="B46" s="19" t="s">
        <v>343</v>
      </c>
      <c r="C46" s="19" t="s">
        <v>343</v>
      </c>
      <c r="D46" s="83" t="s">
        <v>343</v>
      </c>
      <c r="H46" s="87"/>
      <c r="I46" s="86" t="str">
        <f>IF(NOT(ISBLANK(Table3[[#This Row],[Unique Type]])),COUNTIFS(Table7[[Manually Extract Type ]],Table3[[#This Row],[Unique Type]]),"")</f>
        <v/>
      </c>
      <c r="J46" s="87" t="str">
        <f>IF(ISBLANK(Table3[[#This Row],[Unique Type]]),"",IF(Table3[[#This Row],[Count unique types]]&gt;1,Table3[[#This Row],[Unique Type]],"Miscellaneous"))</f>
        <v/>
      </c>
    </row>
    <row r="47" spans="2:10" x14ac:dyDescent="0.5">
      <c r="B47" s="19" t="s">
        <v>362</v>
      </c>
      <c r="C47" s="19" t="s">
        <v>362</v>
      </c>
      <c r="D47" s="83" t="s">
        <v>548</v>
      </c>
      <c r="H47" s="88"/>
      <c r="I47" s="86" t="str">
        <f>IF(NOT(ISBLANK(Table3[[#This Row],[Unique Type]])),COUNTIFS(Table7[[Manually Extract Type ]],Table3[[#This Row],[Unique Type]]),"")</f>
        <v/>
      </c>
      <c r="J47" s="87" t="str">
        <f>IF(ISBLANK(Table3[[#This Row],[Unique Type]]),"",IF(Table3[[#This Row],[Count unique types]]&gt;1,Table3[[#This Row],[Unique Type]],"Miscellaneous"))</f>
        <v/>
      </c>
    </row>
    <row r="48" spans="2:10" x14ac:dyDescent="0.5">
      <c r="B48" s="19" t="s">
        <v>332</v>
      </c>
      <c r="C48" s="19" t="s">
        <v>332</v>
      </c>
      <c r="D48" s="84" t="s">
        <v>559</v>
      </c>
      <c r="H48" s="87"/>
      <c r="I48" s="86" t="str">
        <f>IF(NOT(ISBLANK(Table3[[#This Row],[Unique Type]])),COUNTIFS(Table7[[Manually Extract Type ]],Table3[[#This Row],[Unique Type]]),"")</f>
        <v/>
      </c>
      <c r="J48" s="87" t="str">
        <f>IF(ISBLANK(Table3[[#This Row],[Unique Type]]),"",IF(Table3[[#This Row],[Count unique types]]&gt;1,Table3[[#This Row],[Unique Type]],"Miscellaneous"))</f>
        <v/>
      </c>
    </row>
    <row r="49" spans="2:10" x14ac:dyDescent="0.5">
      <c r="B49" s="19" t="s">
        <v>343</v>
      </c>
      <c r="C49" s="19" t="s">
        <v>343</v>
      </c>
      <c r="D49" s="83" t="s">
        <v>343</v>
      </c>
      <c r="H49" s="88"/>
      <c r="I49" s="86" t="str">
        <f>IF(NOT(ISBLANK(Table3[[#This Row],[Unique Type]])),COUNTIFS(Table7[[Manually Extract Type ]],Table3[[#This Row],[Unique Type]]),"")</f>
        <v/>
      </c>
      <c r="J49" s="87" t="str">
        <f>IF(ISBLANK(Table3[[#This Row],[Unique Type]]),"",IF(Table3[[#This Row],[Count unique types]]&gt;1,Table3[[#This Row],[Unique Type]],"Miscellaneous"))</f>
        <v/>
      </c>
    </row>
    <row r="50" spans="2:10" x14ac:dyDescent="0.5">
      <c r="B50" s="19" t="s">
        <v>338</v>
      </c>
      <c r="C50" s="19" t="s">
        <v>338</v>
      </c>
      <c r="D50" s="83" t="s">
        <v>543</v>
      </c>
      <c r="H50" s="87"/>
      <c r="I50" s="86" t="str">
        <f>IF(NOT(ISBLANK(Table3[[#This Row],[Unique Type]])),COUNTIFS(Table7[[Manually Extract Type ]],Table3[[#This Row],[Unique Type]]),"")</f>
        <v/>
      </c>
      <c r="J50" s="87" t="str">
        <f>IF(ISBLANK(Table3[[#This Row],[Unique Type]]),"",IF(Table3[[#This Row],[Count unique types]]&gt;1,Table3[[#This Row],[Unique Type]],"Miscellaneous"))</f>
        <v/>
      </c>
    </row>
    <row r="51" spans="2:10" x14ac:dyDescent="0.5">
      <c r="B51" s="19" t="s">
        <v>357</v>
      </c>
      <c r="C51" s="19" t="s">
        <v>357</v>
      </c>
      <c r="D51" t="s">
        <v>563</v>
      </c>
      <c r="H51" s="88"/>
      <c r="I51" s="86" t="str">
        <f>IF(NOT(ISBLANK(Table3[[#This Row],[Unique Type]])),COUNTIFS(Table7[[Manually Extract Type ]],Table3[[#This Row],[Unique Type]]),"")</f>
        <v/>
      </c>
      <c r="J51" s="87" t="str">
        <f>IF(ISBLANK(Table3[[#This Row],[Unique Type]]),"",IF(Table3[[#This Row],[Count unique types]]&gt;1,Table3[[#This Row],[Unique Type]],"Miscellaneous"))</f>
        <v/>
      </c>
    </row>
    <row r="52" spans="2:10" x14ac:dyDescent="0.5">
      <c r="B52" s="19" t="s">
        <v>345</v>
      </c>
      <c r="C52" s="19" t="s">
        <v>345</v>
      </c>
      <c r="D52" t="s">
        <v>345</v>
      </c>
      <c r="H52" s="87"/>
      <c r="I52" s="86" t="str">
        <f>IF(NOT(ISBLANK(Table3[[#This Row],[Unique Type]])),COUNTIFS(Table7[[Manually Extract Type ]],Table3[[#This Row],[Unique Type]]),"")</f>
        <v/>
      </c>
      <c r="J52" s="87" t="str">
        <f>IF(ISBLANK(Table3[[#This Row],[Unique Type]]),"",IF(Table3[[#This Row],[Count unique types]]&gt;1,Table3[[#This Row],[Unique Type]],"Miscellaneous"))</f>
        <v/>
      </c>
    </row>
    <row r="53" spans="2:10" x14ac:dyDescent="0.5">
      <c r="B53" s="19" t="s">
        <v>449</v>
      </c>
      <c r="C53" s="19" t="s">
        <v>449</v>
      </c>
      <c r="D53" t="s">
        <v>562</v>
      </c>
      <c r="H53" s="88"/>
      <c r="I53" s="86" t="str">
        <f>IF(NOT(ISBLANK(Table3[[#This Row],[Unique Type]])),COUNTIFS(Table7[[Manually Extract Type ]],Table3[[#This Row],[Unique Type]]),"")</f>
        <v/>
      </c>
      <c r="J53" s="87" t="str">
        <f>IF(ISBLANK(Table3[[#This Row],[Unique Type]]),"",IF(Table3[[#This Row],[Count unique types]]&gt;1,Table3[[#This Row],[Unique Type]],"Miscellaneous"))</f>
        <v/>
      </c>
    </row>
    <row r="54" spans="2:10" x14ac:dyDescent="0.5">
      <c r="B54" s="19" t="s">
        <v>450</v>
      </c>
      <c r="C54" s="19" t="s">
        <v>450</v>
      </c>
      <c r="D54" t="s">
        <v>562</v>
      </c>
      <c r="H54" s="87"/>
      <c r="I54" s="86" t="str">
        <f>IF(NOT(ISBLANK(Table3[[#This Row],[Unique Type]])),COUNTIFS(Table7[[Manually Extract Type ]],Table3[[#This Row],[Unique Type]]),"")</f>
        <v/>
      </c>
      <c r="J54" s="87" t="str">
        <f>IF(ISBLANK(Table3[[#This Row],[Unique Type]]),"",IF(Table3[[#This Row],[Count unique types]]&gt;1,Table3[[#This Row],[Unique Type]],"Miscellaneous"))</f>
        <v/>
      </c>
    </row>
    <row r="55" spans="2:10" x14ac:dyDescent="0.5">
      <c r="B55" s="19"/>
      <c r="C55" s="19" t="s">
        <v>571</v>
      </c>
      <c r="D55" s="19" t="s">
        <v>571</v>
      </c>
      <c r="H55" s="88"/>
      <c r="I55" s="86" t="str">
        <f>IF(NOT(ISBLANK(Table3[[#This Row],[Unique Type]])),COUNTIFS(Table7[[Manually Extract Type ]],Table3[[#This Row],[Unique Type]]),"")</f>
        <v/>
      </c>
      <c r="J55" s="87" t="str">
        <f>IF(ISBLANK(Table3[[#This Row],[Unique Type]]),"",IF(Table3[[#This Row],[Count unique types]]&gt;1,Table3[[#This Row],[Unique Type]],"Miscellaneous"))</f>
        <v/>
      </c>
    </row>
    <row r="56" spans="2:10" x14ac:dyDescent="0.5">
      <c r="B56" s="19"/>
      <c r="C56" s="19" t="s">
        <v>571</v>
      </c>
      <c r="D56" s="19" t="s">
        <v>571</v>
      </c>
      <c r="H56" s="87"/>
      <c r="I56" s="86" t="str">
        <f>IF(NOT(ISBLANK(Table3[[#This Row],[Unique Type]])),COUNTIFS(Table7[[Manually Extract Type ]],Table3[[#This Row],[Unique Type]]),"")</f>
        <v/>
      </c>
      <c r="J56" s="87" t="str">
        <f>IF(ISBLANK(Table3[[#This Row],[Unique Type]]),"",IF(Table3[[#This Row],[Count unique types]]&gt;1,Table3[[#This Row],[Unique Type]],"Miscellaneous"))</f>
        <v/>
      </c>
    </row>
    <row r="57" spans="2:10" x14ac:dyDescent="0.5">
      <c r="B57" s="19" t="s">
        <v>363</v>
      </c>
      <c r="C57" s="19" t="s">
        <v>363</v>
      </c>
      <c r="D57" s="83" t="s">
        <v>544</v>
      </c>
      <c r="H57" s="88"/>
      <c r="I57" s="86" t="str">
        <f>IF(NOT(ISBLANK(Table3[[#This Row],[Unique Type]])),COUNTIFS(Table7[[Manually Extract Type ]],Table3[[#This Row],[Unique Type]]),"")</f>
        <v/>
      </c>
      <c r="J57" s="87" t="str">
        <f>IF(ISBLANK(Table3[[#This Row],[Unique Type]]),"",IF(Table3[[#This Row],[Count unique types]]&gt;1,Table3[[#This Row],[Unique Type]],"Miscellaneous"))</f>
        <v/>
      </c>
    </row>
    <row r="58" spans="2:10" x14ac:dyDescent="0.5">
      <c r="B58" s="19" t="s">
        <v>364</v>
      </c>
      <c r="C58" s="19" t="s">
        <v>364</v>
      </c>
      <c r="D58" s="83" t="s">
        <v>560</v>
      </c>
      <c r="H58" s="87"/>
      <c r="I58" s="86" t="str">
        <f>IF(NOT(ISBLANK(Table3[[#This Row],[Unique Type]])),COUNTIFS(Table7[[Manually Extract Type ]],Table3[[#This Row],[Unique Type]]),"")</f>
        <v/>
      </c>
      <c r="J58" s="87" t="str">
        <f>IF(ISBLANK(Table3[[#This Row],[Unique Type]]),"",IF(Table3[[#This Row],[Count unique types]]&gt;1,Table3[[#This Row],[Unique Type]],"Miscellaneous"))</f>
        <v/>
      </c>
    </row>
    <row r="59" spans="2:10" x14ac:dyDescent="0.5">
      <c r="B59" s="19" t="s">
        <v>332</v>
      </c>
      <c r="C59" s="19" t="s">
        <v>332</v>
      </c>
      <c r="D59" s="84" t="s">
        <v>559</v>
      </c>
      <c r="H59" s="88"/>
      <c r="I59" s="86" t="str">
        <f>IF(NOT(ISBLANK(Table3[[#This Row],[Unique Type]])),COUNTIFS(Table7[[Manually Extract Type ]],Table3[[#This Row],[Unique Type]]),"")</f>
        <v/>
      </c>
      <c r="J59" s="87" t="str">
        <f>IF(ISBLANK(Table3[[#This Row],[Unique Type]]),"",IF(Table3[[#This Row],[Count unique types]]&gt;1,Table3[[#This Row],[Unique Type]],"Miscellaneous"))</f>
        <v/>
      </c>
    </row>
    <row r="60" spans="2:10" x14ac:dyDescent="0.5">
      <c r="B60" s="19" t="s">
        <v>335</v>
      </c>
      <c r="C60" s="19" t="s">
        <v>335</v>
      </c>
      <c r="D60" s="83" t="s">
        <v>542</v>
      </c>
      <c r="H60" s="87"/>
      <c r="I60" s="86" t="str">
        <f>IF(NOT(ISBLANK(Table3[[#This Row],[Unique Type]])),COUNTIFS(Table7[[Manually Extract Type ]],Table3[[#This Row],[Unique Type]]),"")</f>
        <v/>
      </c>
      <c r="J60" s="87" t="str">
        <f>IF(ISBLANK(Table3[[#This Row],[Unique Type]]),"",IF(Table3[[#This Row],[Count unique types]]&gt;1,Table3[[#This Row],[Unique Type]],"Miscellaneous"))</f>
        <v/>
      </c>
    </row>
    <row r="61" spans="2:10" x14ac:dyDescent="0.5">
      <c r="B61" s="19" t="s">
        <v>344</v>
      </c>
      <c r="C61" s="19" t="s">
        <v>344</v>
      </c>
      <c r="D61" s="83" t="s">
        <v>560</v>
      </c>
      <c r="H61" s="88"/>
      <c r="I61" s="86" t="str">
        <f>IF(NOT(ISBLANK(Table3[[#This Row],[Unique Type]])),COUNTIFS(Table7[[Manually Extract Type ]],Table3[[#This Row],[Unique Type]]),"")</f>
        <v/>
      </c>
      <c r="J61" s="87" t="str">
        <f>IF(ISBLANK(Table3[[#This Row],[Unique Type]]),"",IF(Table3[[#This Row],[Count unique types]]&gt;1,Table3[[#This Row],[Unique Type]],"Miscellaneous"))</f>
        <v/>
      </c>
    </row>
    <row r="62" spans="2:10" x14ac:dyDescent="0.5">
      <c r="B62" s="19" t="s">
        <v>365</v>
      </c>
      <c r="C62" s="19" t="s">
        <v>365</v>
      </c>
      <c r="D62" s="83" t="s">
        <v>547</v>
      </c>
      <c r="H62" s="87"/>
      <c r="I62" s="86" t="str">
        <f>IF(NOT(ISBLANK(Table3[[#This Row],[Unique Type]])),COUNTIFS(Table7[[Manually Extract Type ]],Table3[[#This Row],[Unique Type]]),"")</f>
        <v/>
      </c>
      <c r="J62" s="87" t="str">
        <f>IF(ISBLANK(Table3[[#This Row],[Unique Type]]),"",IF(Table3[[#This Row],[Count unique types]]&gt;1,Table3[[#This Row],[Unique Type]],"Miscellaneous"))</f>
        <v/>
      </c>
    </row>
    <row r="63" spans="2:10" x14ac:dyDescent="0.5">
      <c r="B63" s="19" t="s">
        <v>345</v>
      </c>
      <c r="C63" s="19" t="s">
        <v>345</v>
      </c>
      <c r="D63" t="s">
        <v>345</v>
      </c>
      <c r="H63" s="88"/>
      <c r="I63" s="86" t="str">
        <f>IF(NOT(ISBLANK(Table3[[#This Row],[Unique Type]])),COUNTIFS(Table7[[Manually Extract Type ]],Table3[[#This Row],[Unique Type]]),"")</f>
        <v/>
      </c>
      <c r="J63" s="87" t="str">
        <f>IF(ISBLANK(Table3[[#This Row],[Unique Type]]),"",IF(Table3[[#This Row],[Count unique types]]&gt;1,Table3[[#This Row],[Unique Type]],"Miscellaneous"))</f>
        <v/>
      </c>
    </row>
    <row r="64" spans="2:10" x14ac:dyDescent="0.5">
      <c r="B64" s="19" t="s">
        <v>344</v>
      </c>
      <c r="C64" s="19" t="s">
        <v>344</v>
      </c>
      <c r="D64" s="83" t="s">
        <v>560</v>
      </c>
      <c r="H64" s="87"/>
      <c r="I64" s="86" t="str">
        <f>IF(NOT(ISBLANK(Table3[[#This Row],[Unique Type]])),COUNTIFS(Table7[[Manually Extract Type ]],Table3[[#This Row],[Unique Type]]),"")</f>
        <v/>
      </c>
      <c r="J64" s="87" t="str">
        <f>IF(ISBLANK(Table3[[#This Row],[Unique Type]]),"",IF(Table3[[#This Row],[Count unique types]]&gt;1,Table3[[#This Row],[Unique Type]],"Miscellaneous"))</f>
        <v/>
      </c>
    </row>
    <row r="65" spans="2:10" x14ac:dyDescent="0.5">
      <c r="B65" s="19" t="s">
        <v>366</v>
      </c>
      <c r="C65" s="19" t="s">
        <v>366</v>
      </c>
      <c r="D65" s="83" t="s">
        <v>548</v>
      </c>
      <c r="H65" s="88"/>
      <c r="I65" s="86" t="str">
        <f>IF(NOT(ISBLANK(Table3[[#This Row],[Unique Type]])),COUNTIFS(Table7[[Manually Extract Type ]],Table3[[#This Row],[Unique Type]]),"")</f>
        <v/>
      </c>
      <c r="J65" s="87" t="str">
        <f>IF(ISBLANK(Table3[[#This Row],[Unique Type]]),"",IF(Table3[[#This Row],[Count unique types]]&gt;1,Table3[[#This Row],[Unique Type]],"Miscellaneous"))</f>
        <v/>
      </c>
    </row>
    <row r="66" spans="2:10" x14ac:dyDescent="0.5">
      <c r="B66" s="19" t="s">
        <v>338</v>
      </c>
      <c r="C66" s="19" t="s">
        <v>338</v>
      </c>
      <c r="D66" s="83" t="s">
        <v>543</v>
      </c>
      <c r="H66" s="87"/>
      <c r="I66" s="86" t="str">
        <f>IF(NOT(ISBLANK(Table3[[#This Row],[Unique Type]])),COUNTIFS(Table7[[Manually Extract Type ]],Table3[[#This Row],[Unique Type]]),"")</f>
        <v/>
      </c>
      <c r="J66" s="87" t="str">
        <f>IF(ISBLANK(Table3[[#This Row],[Unique Type]]),"",IF(Table3[[#This Row],[Count unique types]]&gt;1,Table3[[#This Row],[Unique Type]],"Miscellaneous"))</f>
        <v/>
      </c>
    </row>
    <row r="67" spans="2:10" x14ac:dyDescent="0.5">
      <c r="B67" s="19" t="s">
        <v>449</v>
      </c>
      <c r="C67" s="19" t="s">
        <v>449</v>
      </c>
      <c r="D67" t="s">
        <v>562</v>
      </c>
      <c r="H67" s="88"/>
      <c r="I67" s="86" t="str">
        <f>IF(NOT(ISBLANK(Table3[[#This Row],[Unique Type]])),COUNTIFS(Table7[[Manually Extract Type ]],Table3[[#This Row],[Unique Type]]),"")</f>
        <v/>
      </c>
      <c r="J67" s="87" t="str">
        <f>IF(ISBLANK(Table3[[#This Row],[Unique Type]]),"",IF(Table3[[#This Row],[Count unique types]]&gt;1,Table3[[#This Row],[Unique Type]],"Miscellaneous"))</f>
        <v/>
      </c>
    </row>
    <row r="68" spans="2:10" x14ac:dyDescent="0.5">
      <c r="B68" s="19" t="s">
        <v>450</v>
      </c>
      <c r="C68" s="19" t="s">
        <v>450</v>
      </c>
      <c r="D68" t="s">
        <v>562</v>
      </c>
      <c r="H68" s="87"/>
      <c r="I68" s="86" t="str">
        <f>IF(NOT(ISBLANK(Table3[[#This Row],[Unique Type]])),COUNTIFS(Table7[[Manually Extract Type ]],Table3[[#This Row],[Unique Type]]),"")</f>
        <v/>
      </c>
      <c r="J68" s="87" t="str">
        <f>IF(ISBLANK(Table3[[#This Row],[Unique Type]]),"",IF(Table3[[#This Row],[Count unique types]]&gt;1,Table3[[#This Row],[Unique Type]],"Miscellaneous"))</f>
        <v/>
      </c>
    </row>
    <row r="69" spans="2:10" x14ac:dyDescent="0.5">
      <c r="B69" s="19"/>
      <c r="C69" s="19" t="s">
        <v>571</v>
      </c>
      <c r="D69" s="19" t="s">
        <v>571</v>
      </c>
      <c r="H69" s="88"/>
      <c r="I69" s="86" t="str">
        <f>IF(NOT(ISBLANK(Table3[[#This Row],[Unique Type]])),COUNTIFS(Table7[[Manually Extract Type ]],Table3[[#This Row],[Unique Type]]),"")</f>
        <v/>
      </c>
      <c r="J69" s="87" t="str">
        <f>IF(ISBLANK(Table3[[#This Row],[Unique Type]]),"",IF(Table3[[#This Row],[Count unique types]]&gt;1,Table3[[#This Row],[Unique Type]],"Miscellaneous"))</f>
        <v/>
      </c>
    </row>
    <row r="70" spans="2:10" x14ac:dyDescent="0.5">
      <c r="B70" s="19"/>
      <c r="C70" s="19" t="s">
        <v>571</v>
      </c>
      <c r="D70" s="19" t="s">
        <v>571</v>
      </c>
      <c r="H70" s="87"/>
      <c r="I70" s="86" t="str">
        <f>IF(NOT(ISBLANK(Table3[[#This Row],[Unique Type]])),COUNTIFS(Table7[[Manually Extract Type ]],Table3[[#This Row],[Unique Type]]),"")</f>
        <v/>
      </c>
      <c r="J70" s="87" t="str">
        <f>IF(ISBLANK(Table3[[#This Row],[Unique Type]]),"",IF(Table3[[#This Row],[Count unique types]]&gt;1,Table3[[#This Row],[Unique Type]],"Miscellaneous"))</f>
        <v/>
      </c>
    </row>
    <row r="71" spans="2:10" x14ac:dyDescent="0.5">
      <c r="B71" s="19" t="s">
        <v>343</v>
      </c>
      <c r="C71" s="19" t="s">
        <v>343</v>
      </c>
      <c r="D71" s="83" t="s">
        <v>343</v>
      </c>
      <c r="H71" s="88"/>
      <c r="I71" s="86" t="str">
        <f>IF(NOT(ISBLANK(Table3[[#This Row],[Unique Type]])),COUNTIFS(Table7[[Manually Extract Type ]],Table3[[#This Row],[Unique Type]]),"")</f>
        <v/>
      </c>
      <c r="J71" s="87" t="str">
        <f>IF(ISBLANK(Table3[[#This Row],[Unique Type]]),"",IF(Table3[[#This Row],[Count unique types]]&gt;1,Table3[[#This Row],[Unique Type]],"Miscellaneous"))</f>
        <v/>
      </c>
    </row>
    <row r="72" spans="2:10" x14ac:dyDescent="0.5">
      <c r="B72" s="19" t="s">
        <v>332</v>
      </c>
      <c r="C72" s="19" t="s">
        <v>332</v>
      </c>
      <c r="D72" s="84" t="s">
        <v>559</v>
      </c>
      <c r="H72" s="87"/>
      <c r="I72" s="86" t="str">
        <f>IF(NOT(ISBLANK(Table3[[#This Row],[Unique Type]])),COUNTIFS(Table7[[Manually Extract Type ]],Table3[[#This Row],[Unique Type]]),"")</f>
        <v/>
      </c>
      <c r="J72" s="87" t="str">
        <f>IF(ISBLANK(Table3[[#This Row],[Unique Type]]),"",IF(Table3[[#This Row],[Count unique types]]&gt;1,Table3[[#This Row],[Unique Type]],"Miscellaneous"))</f>
        <v/>
      </c>
    </row>
    <row r="73" spans="2:10" x14ac:dyDescent="0.5">
      <c r="B73" s="19" t="s">
        <v>369</v>
      </c>
      <c r="C73" s="19" t="s">
        <v>369</v>
      </c>
      <c r="D73" s="83" t="s">
        <v>542</v>
      </c>
      <c r="H73" s="88"/>
      <c r="I73" s="86" t="str">
        <f>IF(NOT(ISBLANK(Table3[[#This Row],[Unique Type]])),COUNTIFS(Table7[[Manually Extract Type ]],Table3[[#This Row],[Unique Type]]),"")</f>
        <v/>
      </c>
      <c r="J73" s="87" t="str">
        <f>IF(ISBLANK(Table3[[#This Row],[Unique Type]]),"",IF(Table3[[#This Row],[Count unique types]]&gt;1,Table3[[#This Row],[Unique Type]],"Miscellaneous"))</f>
        <v/>
      </c>
    </row>
    <row r="74" spans="2:10" x14ac:dyDescent="0.5">
      <c r="B74" s="19" t="s">
        <v>370</v>
      </c>
      <c r="C74" s="19" t="s">
        <v>370</v>
      </c>
      <c r="D74" s="83" t="s">
        <v>544</v>
      </c>
      <c r="H74" s="87"/>
      <c r="I74" s="86" t="str">
        <f>IF(NOT(ISBLANK(Table3[[#This Row],[Unique Type]])),COUNTIFS(Table7[[Manually Extract Type ]],Table3[[#This Row],[Unique Type]]),"")</f>
        <v/>
      </c>
      <c r="J74" s="87" t="str">
        <f>IF(ISBLANK(Table3[[#This Row],[Unique Type]]),"",IF(Table3[[#This Row],[Count unique types]]&gt;1,Table3[[#This Row],[Unique Type]],"Miscellaneous"))</f>
        <v/>
      </c>
    </row>
    <row r="75" spans="2:10" x14ac:dyDescent="0.5">
      <c r="B75" s="19" t="s">
        <v>371</v>
      </c>
      <c r="C75" s="19" t="s">
        <v>371</v>
      </c>
      <c r="D75" s="83" t="s">
        <v>545</v>
      </c>
      <c r="H75" s="88"/>
      <c r="I75" s="86" t="str">
        <f>IF(NOT(ISBLANK(Table3[[#This Row],[Unique Type]])),COUNTIFS(Table7[[Manually Extract Type ]],Table3[[#This Row],[Unique Type]]),"")</f>
        <v/>
      </c>
      <c r="J75" s="87" t="str">
        <f>IF(ISBLANK(Table3[[#This Row],[Unique Type]]),"",IF(Table3[[#This Row],[Count unique types]]&gt;1,Table3[[#This Row],[Unique Type]],"Miscellaneous"))</f>
        <v/>
      </c>
    </row>
    <row r="76" spans="2:10" x14ac:dyDescent="0.5">
      <c r="B76" s="19" t="s">
        <v>463</v>
      </c>
      <c r="C76" s="19" t="s">
        <v>463</v>
      </c>
      <c r="D76" t="s">
        <v>12</v>
      </c>
      <c r="H76" s="87"/>
      <c r="I76" s="86" t="str">
        <f>IF(NOT(ISBLANK(Table3[[#This Row],[Unique Type]])),COUNTIFS(Table7[[Manually Extract Type ]],Table3[[#This Row],[Unique Type]]),"")</f>
        <v/>
      </c>
      <c r="J76" s="87" t="str">
        <f>IF(ISBLANK(Table3[[#This Row],[Unique Type]]),"",IF(Table3[[#This Row],[Count unique types]]&gt;1,Table3[[#This Row],[Unique Type]],"Miscellaneous"))</f>
        <v/>
      </c>
    </row>
    <row r="77" spans="2:10" x14ac:dyDescent="0.5">
      <c r="B77" s="19" t="s">
        <v>372</v>
      </c>
      <c r="C77" s="19" t="s">
        <v>372</v>
      </c>
      <c r="D77" s="83" t="s">
        <v>547</v>
      </c>
      <c r="H77" s="88"/>
      <c r="I77" s="86" t="str">
        <f>IF(NOT(ISBLANK(Table3[[#This Row],[Unique Type]])),COUNTIFS(Table7[[Manually Extract Type ]],Table3[[#This Row],[Unique Type]]),"")</f>
        <v/>
      </c>
      <c r="J77" s="87" t="str">
        <f>IF(ISBLANK(Table3[[#This Row],[Unique Type]]),"",IF(Table3[[#This Row],[Count unique types]]&gt;1,Table3[[#This Row],[Unique Type]],"Miscellaneous"))</f>
        <v/>
      </c>
    </row>
    <row r="78" spans="2:10" x14ac:dyDescent="0.5">
      <c r="B78" s="19" t="s">
        <v>373</v>
      </c>
      <c r="C78" s="19" t="s">
        <v>373</v>
      </c>
      <c r="D78" s="83" t="s">
        <v>548</v>
      </c>
      <c r="H78" s="87"/>
      <c r="I78" s="86" t="str">
        <f>IF(NOT(ISBLANK(Table3[[#This Row],[Unique Type]])),COUNTIFS(Table7[[Manually Extract Type ]],Table3[[#This Row],[Unique Type]]),"")</f>
        <v/>
      </c>
      <c r="J78" s="87" t="str">
        <f>IF(ISBLANK(Table3[[#This Row],[Unique Type]]),"",IF(Table3[[#This Row],[Count unique types]]&gt;1,Table3[[#This Row],[Unique Type]],"Miscellaneous"))</f>
        <v/>
      </c>
    </row>
    <row r="79" spans="2:10" x14ac:dyDescent="0.5">
      <c r="B79" s="19" t="s">
        <v>338</v>
      </c>
      <c r="C79" s="19" t="s">
        <v>338</v>
      </c>
      <c r="D79" s="83" t="s">
        <v>543</v>
      </c>
      <c r="H79" s="88"/>
      <c r="I79" s="86" t="str">
        <f>IF(NOT(ISBLANK(Table3[[#This Row],[Unique Type]])),COUNTIFS(Table7[[Manually Extract Type ]],Table3[[#This Row],[Unique Type]]),"")</f>
        <v/>
      </c>
      <c r="J79" s="87" t="str">
        <f>IF(ISBLANK(Table3[[#This Row],[Unique Type]]),"",IF(Table3[[#This Row],[Count unique types]]&gt;1,Table3[[#This Row],[Unique Type]],"Miscellaneous"))</f>
        <v/>
      </c>
    </row>
    <row r="80" spans="2:10" x14ac:dyDescent="0.5">
      <c r="B80" s="19" t="s">
        <v>449</v>
      </c>
      <c r="C80" s="19" t="s">
        <v>449</v>
      </c>
      <c r="D80" t="s">
        <v>562</v>
      </c>
      <c r="H80" s="87"/>
      <c r="I80" s="86" t="str">
        <f>IF(NOT(ISBLANK(Table3[[#This Row],[Unique Type]])),COUNTIFS(Table7[[Manually Extract Type ]],Table3[[#This Row],[Unique Type]]),"")</f>
        <v/>
      </c>
      <c r="J80" s="87" t="str">
        <f>IF(ISBLANK(Table3[[#This Row],[Unique Type]]),"",IF(Table3[[#This Row],[Count unique types]]&gt;1,Table3[[#This Row],[Unique Type]],"Miscellaneous"))</f>
        <v/>
      </c>
    </row>
    <row r="81" spans="2:10" x14ac:dyDescent="0.5">
      <c r="B81" s="19" t="s">
        <v>450</v>
      </c>
      <c r="C81" s="19" t="s">
        <v>450</v>
      </c>
      <c r="D81" t="s">
        <v>562</v>
      </c>
      <c r="H81" s="88"/>
      <c r="I81" s="86" t="str">
        <f>IF(NOT(ISBLANK(Table3[[#This Row],[Unique Type]])),COUNTIFS(Table7[[Manually Extract Type ]],Table3[[#This Row],[Unique Type]]),"")</f>
        <v/>
      </c>
      <c r="J81" s="87" t="str">
        <f>IF(ISBLANK(Table3[[#This Row],[Unique Type]]),"",IF(Table3[[#This Row],[Count unique types]]&gt;1,Table3[[#This Row],[Unique Type]],"Miscellaneous"))</f>
        <v/>
      </c>
    </row>
    <row r="82" spans="2:10" x14ac:dyDescent="0.5">
      <c r="B82" s="19"/>
      <c r="C82" s="19" t="s">
        <v>571</v>
      </c>
      <c r="D82" s="19" t="s">
        <v>571</v>
      </c>
      <c r="H82" s="87"/>
      <c r="I82" s="86" t="str">
        <f>IF(NOT(ISBLANK(Table3[[#This Row],[Unique Type]])),COUNTIFS(Table7[[Manually Extract Type ]],Table3[[#This Row],[Unique Type]]),"")</f>
        <v/>
      </c>
      <c r="J82" s="87" t="str">
        <f>IF(ISBLANK(Table3[[#This Row],[Unique Type]]),"",IF(Table3[[#This Row],[Count unique types]]&gt;1,Table3[[#This Row],[Unique Type]],"Miscellaneous"))</f>
        <v/>
      </c>
    </row>
    <row r="83" spans="2:10" x14ac:dyDescent="0.5">
      <c r="B83" s="19"/>
      <c r="C83" s="19" t="s">
        <v>571</v>
      </c>
      <c r="D83" s="19" t="s">
        <v>571</v>
      </c>
      <c r="H83" s="88"/>
      <c r="I83" s="86" t="str">
        <f>IF(NOT(ISBLANK(Table3[[#This Row],[Unique Type]])),COUNTIFS(Table7[[Manually Extract Type ]],Table3[[#This Row],[Unique Type]]),"")</f>
        <v/>
      </c>
      <c r="J83" s="87" t="str">
        <f>IF(ISBLANK(Table3[[#This Row],[Unique Type]]),"",IF(Table3[[#This Row],[Count unique types]]&gt;1,Table3[[#This Row],[Unique Type]],"Miscellaneous"))</f>
        <v/>
      </c>
    </row>
    <row r="84" spans="2:10" x14ac:dyDescent="0.5">
      <c r="B84" s="19" t="s">
        <v>343</v>
      </c>
      <c r="C84" s="19" t="s">
        <v>343</v>
      </c>
      <c r="D84" s="83" t="s">
        <v>343</v>
      </c>
      <c r="H84" s="87"/>
      <c r="I84" s="86" t="str">
        <f>IF(NOT(ISBLANK(Table3[[#This Row],[Unique Type]])),COUNTIFS(Table7[[Manually Extract Type ]],Table3[[#This Row],[Unique Type]]),"")</f>
        <v/>
      </c>
      <c r="J84" s="87" t="str">
        <f>IF(ISBLANK(Table3[[#This Row],[Unique Type]]),"",IF(Table3[[#This Row],[Count unique types]]&gt;1,Table3[[#This Row],[Unique Type]],"Miscellaneous"))</f>
        <v/>
      </c>
    </row>
    <row r="85" spans="2:10" x14ac:dyDescent="0.5">
      <c r="B85" s="19" t="s">
        <v>332</v>
      </c>
      <c r="C85" s="19" t="s">
        <v>332</v>
      </c>
      <c r="D85" s="84" t="s">
        <v>559</v>
      </c>
      <c r="H85" s="88"/>
      <c r="I85" s="86" t="str">
        <f>IF(NOT(ISBLANK(Table3[[#This Row],[Unique Type]])),COUNTIFS(Table7[[Manually Extract Type ]],Table3[[#This Row],[Unique Type]]),"")</f>
        <v/>
      </c>
      <c r="J85" s="87" t="str">
        <f>IF(ISBLANK(Table3[[#This Row],[Unique Type]]),"",IF(Table3[[#This Row],[Count unique types]]&gt;1,Table3[[#This Row],[Unique Type]],"Miscellaneous"))</f>
        <v/>
      </c>
    </row>
    <row r="86" spans="2:10" x14ac:dyDescent="0.5">
      <c r="B86" s="19" t="s">
        <v>377</v>
      </c>
      <c r="C86" s="19" t="s">
        <v>377</v>
      </c>
      <c r="D86" s="83" t="s">
        <v>549</v>
      </c>
      <c r="H86" s="87"/>
      <c r="I86" s="86" t="str">
        <f>IF(NOT(ISBLANK(Table3[[#This Row],[Unique Type]])),COUNTIFS(Table7[[Manually Extract Type ]],Table3[[#This Row],[Unique Type]]),"")</f>
        <v/>
      </c>
      <c r="J86" s="87" t="str">
        <f>IF(ISBLANK(Table3[[#This Row],[Unique Type]]),"",IF(Table3[[#This Row],[Count unique types]]&gt;1,Table3[[#This Row],[Unique Type]],"Miscellaneous"))</f>
        <v/>
      </c>
    </row>
    <row r="87" spans="2:10" x14ac:dyDescent="0.5">
      <c r="B87" s="19" t="s">
        <v>335</v>
      </c>
      <c r="C87" s="19" t="s">
        <v>335</v>
      </c>
      <c r="D87" s="83" t="s">
        <v>542</v>
      </c>
      <c r="H87" s="88"/>
      <c r="I87" s="86" t="str">
        <f>IF(NOT(ISBLANK(Table3[[#This Row],[Unique Type]])),COUNTIFS(Table7[[Manually Extract Type ]],Table3[[#This Row],[Unique Type]]),"")</f>
        <v/>
      </c>
      <c r="J87" s="87" t="str">
        <f>IF(ISBLANK(Table3[[#This Row],[Unique Type]]),"",IF(Table3[[#This Row],[Count unique types]]&gt;1,Table3[[#This Row],[Unique Type]],"Miscellaneous"))</f>
        <v/>
      </c>
    </row>
    <row r="88" spans="2:10" x14ac:dyDescent="0.5">
      <c r="B88" s="19" t="s">
        <v>343</v>
      </c>
      <c r="C88" s="19" t="s">
        <v>343</v>
      </c>
      <c r="D88" s="83" t="s">
        <v>343</v>
      </c>
      <c r="H88" s="87"/>
      <c r="I88" s="86" t="str">
        <f>IF(NOT(ISBLANK(Table3[[#This Row],[Unique Type]])),COUNTIFS(Table7[[Manually Extract Type ]],Table3[[#This Row],[Unique Type]]),"")</f>
        <v/>
      </c>
      <c r="J88" s="87" t="str">
        <f>IF(ISBLANK(Table3[[#This Row],[Unique Type]]),"",IF(Table3[[#This Row],[Count unique types]]&gt;1,Table3[[#This Row],[Unique Type]],"Miscellaneous"))</f>
        <v/>
      </c>
    </row>
    <row r="89" spans="2:10" x14ac:dyDescent="0.5">
      <c r="B89" s="19" t="s">
        <v>378</v>
      </c>
      <c r="C89" s="19" t="s">
        <v>378</v>
      </c>
      <c r="D89" s="83" t="s">
        <v>544</v>
      </c>
      <c r="H89" s="88"/>
      <c r="I89" s="86" t="str">
        <f>IF(NOT(ISBLANK(Table3[[#This Row],[Unique Type]])),COUNTIFS(Table7[[Manually Extract Type ]],Table3[[#This Row],[Unique Type]]),"")</f>
        <v/>
      </c>
      <c r="J89" s="87" t="str">
        <f>IF(ISBLANK(Table3[[#This Row],[Unique Type]]),"",IF(Table3[[#This Row],[Count unique types]]&gt;1,Table3[[#This Row],[Unique Type]],"Miscellaneous"))</f>
        <v/>
      </c>
    </row>
    <row r="90" spans="2:10" x14ac:dyDescent="0.5">
      <c r="B90" s="19" t="s">
        <v>379</v>
      </c>
      <c r="C90" s="19" t="s">
        <v>379</v>
      </c>
      <c r="D90" s="83" t="s">
        <v>547</v>
      </c>
      <c r="H90" s="87"/>
      <c r="I90" s="86" t="str">
        <f>IF(NOT(ISBLANK(Table3[[#This Row],[Unique Type]])),COUNTIFS(Table7[[Manually Extract Type ]],Table3[[#This Row],[Unique Type]]),"")</f>
        <v/>
      </c>
      <c r="J90" s="87" t="str">
        <f>IF(ISBLANK(Table3[[#This Row],[Unique Type]]),"",IF(Table3[[#This Row],[Count unique types]]&gt;1,Table3[[#This Row],[Unique Type]],"Miscellaneous"))</f>
        <v/>
      </c>
    </row>
    <row r="91" spans="2:10" x14ac:dyDescent="0.5">
      <c r="B91" s="19" t="s">
        <v>466</v>
      </c>
      <c r="C91" s="19" t="s">
        <v>466</v>
      </c>
      <c r="D91" t="s">
        <v>12</v>
      </c>
      <c r="H91" s="88"/>
      <c r="I91" s="86" t="str">
        <f>IF(NOT(ISBLANK(Table3[[#This Row],[Unique Type]])),COUNTIFS(Table7[[Manually Extract Type ]],Table3[[#This Row],[Unique Type]]),"")</f>
        <v/>
      </c>
      <c r="J91" s="87" t="str">
        <f>IF(ISBLANK(Table3[[#This Row],[Unique Type]]),"",IF(Table3[[#This Row],[Count unique types]]&gt;1,Table3[[#This Row],[Unique Type]],"Miscellaneous"))</f>
        <v/>
      </c>
    </row>
    <row r="92" spans="2:10" x14ac:dyDescent="0.5">
      <c r="B92" s="19" t="s">
        <v>464</v>
      </c>
      <c r="C92" s="19" t="s">
        <v>464</v>
      </c>
      <c r="D92" t="s">
        <v>12</v>
      </c>
      <c r="H92" s="87"/>
      <c r="I92" s="86" t="str">
        <f>IF(NOT(ISBLANK(Table3[[#This Row],[Unique Type]])),COUNTIFS(Table7[[Manually Extract Type ]],Table3[[#This Row],[Unique Type]]),"")</f>
        <v/>
      </c>
      <c r="J92" s="87" t="str">
        <f>IF(ISBLANK(Table3[[#This Row],[Unique Type]]),"",IF(Table3[[#This Row],[Count unique types]]&gt;1,Table3[[#This Row],[Unique Type]],"Miscellaneous"))</f>
        <v/>
      </c>
    </row>
    <row r="93" spans="2:10" x14ac:dyDescent="0.5">
      <c r="B93" s="19" t="s">
        <v>374</v>
      </c>
      <c r="C93" s="19" t="s">
        <v>374</v>
      </c>
      <c r="D93" t="s">
        <v>345</v>
      </c>
      <c r="H93" s="88"/>
      <c r="I93" s="86" t="str">
        <f>IF(NOT(ISBLANK(Table3[[#This Row],[Unique Type]])),COUNTIFS(Table7[[Manually Extract Type ]],Table3[[#This Row],[Unique Type]]),"")</f>
        <v/>
      </c>
      <c r="J93" s="87" t="str">
        <f>IF(ISBLANK(Table3[[#This Row],[Unique Type]]),"",IF(Table3[[#This Row],[Count unique types]]&gt;1,Table3[[#This Row],[Unique Type]],"Miscellaneous"))</f>
        <v/>
      </c>
    </row>
    <row r="94" spans="2:10" x14ac:dyDescent="0.5">
      <c r="B94" s="19" t="s">
        <v>380</v>
      </c>
      <c r="C94" s="19" t="s">
        <v>380</v>
      </c>
      <c r="D94" s="84" t="s">
        <v>555</v>
      </c>
      <c r="H94" s="87"/>
      <c r="I94" s="86" t="str">
        <f>IF(NOT(ISBLANK(Table3[[#This Row],[Unique Type]])),COUNTIFS(Table7[[Manually Extract Type ]],Table3[[#This Row],[Unique Type]]),"")</f>
        <v/>
      </c>
      <c r="J94" s="87" t="str">
        <f>IF(ISBLANK(Table3[[#This Row],[Unique Type]]),"",IF(Table3[[#This Row],[Count unique types]]&gt;1,Table3[[#This Row],[Unique Type]],"Miscellaneous"))</f>
        <v/>
      </c>
    </row>
    <row r="95" spans="2:10" x14ac:dyDescent="0.5">
      <c r="B95" s="19" t="s">
        <v>381</v>
      </c>
      <c r="C95" s="19" t="s">
        <v>381</v>
      </c>
      <c r="D95" s="84" t="s">
        <v>556</v>
      </c>
      <c r="H95" s="88"/>
      <c r="I95" s="86" t="str">
        <f>IF(NOT(ISBLANK(Table3[[#This Row],[Unique Type]])),COUNTIFS(Table7[[Manually Extract Type ]],Table3[[#This Row],[Unique Type]]),"")</f>
        <v/>
      </c>
      <c r="J95" s="87" t="str">
        <f>IF(ISBLANK(Table3[[#This Row],[Unique Type]]),"",IF(Table3[[#This Row],[Count unique types]]&gt;1,Table3[[#This Row],[Unique Type]],"Miscellaneous"))</f>
        <v/>
      </c>
    </row>
    <row r="96" spans="2:10" x14ac:dyDescent="0.5">
      <c r="B96" s="19" t="s">
        <v>343</v>
      </c>
      <c r="C96" s="19" t="s">
        <v>343</v>
      </c>
      <c r="D96" s="83" t="s">
        <v>343</v>
      </c>
      <c r="H96" s="87"/>
      <c r="I96" s="86" t="str">
        <f>IF(NOT(ISBLANK(Table3[[#This Row],[Unique Type]])),COUNTIFS(Table7[[Manually Extract Type ]],Table3[[#This Row],[Unique Type]]),"")</f>
        <v/>
      </c>
      <c r="J96" s="87" t="str">
        <f>IF(ISBLANK(Table3[[#This Row],[Unique Type]]),"",IF(Table3[[#This Row],[Count unique types]]&gt;1,Table3[[#This Row],[Unique Type]],"Miscellaneous"))</f>
        <v/>
      </c>
    </row>
    <row r="97" spans="2:10" x14ac:dyDescent="0.5">
      <c r="B97" s="19" t="s">
        <v>382</v>
      </c>
      <c r="C97" s="19" t="s">
        <v>382</v>
      </c>
      <c r="D97" s="84" t="s">
        <v>557</v>
      </c>
      <c r="H97" s="88"/>
      <c r="I97" s="86" t="str">
        <f>IF(NOT(ISBLANK(Table3[[#This Row],[Unique Type]])),COUNTIFS(Table7[[Manually Extract Type ]],Table3[[#This Row],[Unique Type]]),"")</f>
        <v/>
      </c>
      <c r="J97" s="87" t="str">
        <f>IF(ISBLANK(Table3[[#This Row],[Unique Type]]),"",IF(Table3[[#This Row],[Count unique types]]&gt;1,Table3[[#This Row],[Unique Type]],"Miscellaneous"))</f>
        <v/>
      </c>
    </row>
    <row r="98" spans="2:10" x14ac:dyDescent="0.5">
      <c r="B98" s="19" t="s">
        <v>465</v>
      </c>
      <c r="C98" s="19" t="s">
        <v>465</v>
      </c>
      <c r="D98" t="s">
        <v>12</v>
      </c>
      <c r="H98" s="87"/>
      <c r="I98" s="86" t="str">
        <f>IF(NOT(ISBLANK(Table3[[#This Row],[Unique Type]])),COUNTIFS(Table7[[Manually Extract Type ]],Table3[[#This Row],[Unique Type]]),"")</f>
        <v/>
      </c>
      <c r="J98" s="87" t="str">
        <f>IF(ISBLANK(Table3[[#This Row],[Unique Type]]),"",IF(Table3[[#This Row],[Count unique types]]&gt;1,Table3[[#This Row],[Unique Type]],"Miscellaneous"))</f>
        <v/>
      </c>
    </row>
    <row r="99" spans="2:10" x14ac:dyDescent="0.5">
      <c r="B99" s="19" t="s">
        <v>383</v>
      </c>
      <c r="C99" s="19" t="s">
        <v>383</v>
      </c>
      <c r="D99" s="83" t="s">
        <v>545</v>
      </c>
      <c r="H99" s="88"/>
      <c r="I99" s="86" t="str">
        <f>IF(NOT(ISBLANK(Table3[[#This Row],[Unique Type]])),COUNTIFS(Table7[[Manually Extract Type ]],Table3[[#This Row],[Unique Type]]),"")</f>
        <v/>
      </c>
      <c r="J99" s="87" t="str">
        <f>IF(ISBLANK(Table3[[#This Row],[Unique Type]]),"",IF(Table3[[#This Row],[Count unique types]]&gt;1,Table3[[#This Row],[Unique Type]],"Miscellaneous"))</f>
        <v/>
      </c>
    </row>
    <row r="100" spans="2:10" x14ac:dyDescent="0.5">
      <c r="B100" s="19" t="s">
        <v>332</v>
      </c>
      <c r="C100" s="19" t="s">
        <v>332</v>
      </c>
      <c r="D100" s="84" t="s">
        <v>559</v>
      </c>
      <c r="H100" s="87"/>
      <c r="I100" s="86" t="str">
        <f>IF(NOT(ISBLANK(Table3[[#This Row],[Unique Type]])),COUNTIFS(Table7[[Manually Extract Type ]],Table3[[#This Row],[Unique Type]]),"")</f>
        <v/>
      </c>
      <c r="J100" s="87" t="str">
        <f>IF(ISBLANK(Table3[[#This Row],[Unique Type]]),"",IF(Table3[[#This Row],[Count unique types]]&gt;1,Table3[[#This Row],[Unique Type]],"Miscellaneous"))</f>
        <v/>
      </c>
    </row>
    <row r="101" spans="2:10" x14ac:dyDescent="0.5">
      <c r="B101" s="19" t="s">
        <v>338</v>
      </c>
      <c r="C101" s="19" t="s">
        <v>338</v>
      </c>
      <c r="D101" s="83" t="s">
        <v>543</v>
      </c>
      <c r="H101" s="88"/>
      <c r="I101" s="86" t="str">
        <f>IF(NOT(ISBLANK(Table3[[#This Row],[Unique Type]])),COUNTIFS(Table7[[Manually Extract Type ]],Table3[[#This Row],[Unique Type]]),"")</f>
        <v/>
      </c>
      <c r="J101" s="87" t="str">
        <f>IF(ISBLANK(Table3[[#This Row],[Unique Type]]),"",IF(Table3[[#This Row],[Count unique types]]&gt;1,Table3[[#This Row],[Unique Type]],"Miscellaneous"))</f>
        <v/>
      </c>
    </row>
    <row r="102" spans="2:10" x14ac:dyDescent="0.5">
      <c r="B102" s="19" t="s">
        <v>449</v>
      </c>
      <c r="C102" s="19" t="s">
        <v>449</v>
      </c>
      <c r="D102" t="s">
        <v>562</v>
      </c>
      <c r="H102" s="87"/>
      <c r="I102" s="86" t="str">
        <f>IF(NOT(ISBLANK(Table3[[#This Row],[Unique Type]])),COUNTIFS(Table7[[Manually Extract Type ]],Table3[[#This Row],[Unique Type]]),"")</f>
        <v/>
      </c>
      <c r="J102" s="87" t="str">
        <f>IF(ISBLANK(Table3[[#This Row],[Unique Type]]),"",IF(Table3[[#This Row],[Count unique types]]&gt;1,Table3[[#This Row],[Unique Type]],"Miscellaneous"))</f>
        <v/>
      </c>
    </row>
    <row r="103" spans="2:10" x14ac:dyDescent="0.5">
      <c r="B103" s="19" t="s">
        <v>450</v>
      </c>
      <c r="C103" s="19" t="s">
        <v>450</v>
      </c>
      <c r="D103" t="s">
        <v>562</v>
      </c>
      <c r="H103" s="88"/>
      <c r="I103" s="86" t="str">
        <f>IF(NOT(ISBLANK(Table3[[#This Row],[Unique Type]])),COUNTIFS(Table7[[Manually Extract Type ]],Table3[[#This Row],[Unique Type]]),"")</f>
        <v/>
      </c>
      <c r="J103" s="87" t="str">
        <f>IF(ISBLANK(Table3[[#This Row],[Unique Type]]),"",IF(Table3[[#This Row],[Count unique types]]&gt;1,Table3[[#This Row],[Unique Type]],"Miscellaneous"))</f>
        <v/>
      </c>
    </row>
    <row r="104" spans="2:10" x14ac:dyDescent="0.5">
      <c r="B104" s="19"/>
      <c r="C104" s="19" t="s">
        <v>571</v>
      </c>
      <c r="D104" s="19" t="s">
        <v>571</v>
      </c>
      <c r="H104" s="87"/>
      <c r="I104" s="86" t="str">
        <f>IF(NOT(ISBLANK(Table3[[#This Row],[Unique Type]])),COUNTIFS(Table7[[Manually Extract Type ]],Table3[[#This Row],[Unique Type]]),"")</f>
        <v/>
      </c>
      <c r="J104" s="87" t="str">
        <f>IF(ISBLANK(Table3[[#This Row],[Unique Type]]),"",IF(Table3[[#This Row],[Count unique types]]&gt;1,Table3[[#This Row],[Unique Type]],"Miscellaneous"))</f>
        <v/>
      </c>
    </row>
    <row r="105" spans="2:10" x14ac:dyDescent="0.5">
      <c r="B105" s="19"/>
      <c r="C105" s="19" t="s">
        <v>571</v>
      </c>
      <c r="D105" s="19" t="s">
        <v>571</v>
      </c>
      <c r="H105" s="88"/>
      <c r="I105" s="86" t="str">
        <f>IF(NOT(ISBLANK(Table3[[#This Row],[Unique Type]])),COUNTIFS(Table7[[Manually Extract Type ]],Table3[[#This Row],[Unique Type]]),"")</f>
        <v/>
      </c>
      <c r="J105" s="87" t="str">
        <f>IF(ISBLANK(Table3[[#This Row],[Unique Type]]),"",IF(Table3[[#This Row],[Count unique types]]&gt;1,Table3[[#This Row],[Unique Type]],"Miscellaneous"))</f>
        <v/>
      </c>
    </row>
    <row r="106" spans="2:10" x14ac:dyDescent="0.5">
      <c r="B106" s="19" t="s">
        <v>332</v>
      </c>
      <c r="C106" s="19" t="s">
        <v>332</v>
      </c>
      <c r="D106" s="84" t="s">
        <v>559</v>
      </c>
      <c r="H106" s="87"/>
      <c r="I106" s="86" t="str">
        <f>IF(NOT(ISBLANK(Table3[[#This Row],[Unique Type]])),COUNTIFS(Table7[[Manually Extract Type ]],Table3[[#This Row],[Unique Type]]),"")</f>
        <v/>
      </c>
      <c r="J106" s="87" t="str">
        <f>IF(ISBLANK(Table3[[#This Row],[Unique Type]]),"",IF(Table3[[#This Row],[Count unique types]]&gt;1,Table3[[#This Row],[Unique Type]],"Miscellaneous"))</f>
        <v/>
      </c>
    </row>
    <row r="107" spans="2:10" x14ac:dyDescent="0.5">
      <c r="B107" s="19" t="s">
        <v>335</v>
      </c>
      <c r="C107" s="19" t="s">
        <v>335</v>
      </c>
      <c r="D107" s="83" t="s">
        <v>542</v>
      </c>
      <c r="H107" s="88"/>
      <c r="I107" s="86" t="str">
        <f>IF(NOT(ISBLANK(Table3[[#This Row],[Unique Type]])),COUNTIFS(Table7[[Manually Extract Type ]],Table3[[#This Row],[Unique Type]]),"")</f>
        <v/>
      </c>
      <c r="J107" s="87" t="str">
        <f>IF(ISBLANK(Table3[[#This Row],[Unique Type]]),"",IF(Table3[[#This Row],[Count unique types]]&gt;1,Table3[[#This Row],[Unique Type]],"Miscellaneous"))</f>
        <v/>
      </c>
    </row>
    <row r="108" spans="2:10" x14ac:dyDescent="0.5">
      <c r="B108" s="19" t="s">
        <v>384</v>
      </c>
      <c r="C108" s="19" t="s">
        <v>384</v>
      </c>
      <c r="D108" s="83" t="s">
        <v>547</v>
      </c>
      <c r="H108" s="87"/>
      <c r="I108" s="86" t="str">
        <f>IF(NOT(ISBLANK(Table3[[#This Row],[Unique Type]])),COUNTIFS(Table7[[Manually Extract Type ]],Table3[[#This Row],[Unique Type]]),"")</f>
        <v/>
      </c>
      <c r="J108" s="87" t="str">
        <f>IF(ISBLANK(Table3[[#This Row],[Unique Type]]),"",IF(Table3[[#This Row],[Count unique types]]&gt;1,Table3[[#This Row],[Unique Type]],"Miscellaneous"))</f>
        <v/>
      </c>
    </row>
    <row r="109" spans="2:10" x14ac:dyDescent="0.5">
      <c r="B109" s="19" t="s">
        <v>345</v>
      </c>
      <c r="C109" s="19" t="s">
        <v>345</v>
      </c>
      <c r="D109" t="s">
        <v>345</v>
      </c>
      <c r="H109" s="88"/>
      <c r="I109" s="86" t="str">
        <f>IF(NOT(ISBLANK(Table3[[#This Row],[Unique Type]])),COUNTIFS(Table7[[Manually Extract Type ]],Table3[[#This Row],[Unique Type]]),"")</f>
        <v/>
      </c>
      <c r="J109" s="87" t="str">
        <f>IF(ISBLANK(Table3[[#This Row],[Unique Type]]),"",IF(Table3[[#This Row],[Count unique types]]&gt;1,Table3[[#This Row],[Unique Type]],"Miscellaneous"))</f>
        <v/>
      </c>
    </row>
    <row r="110" spans="2:10" x14ac:dyDescent="0.5">
      <c r="B110" s="19" t="s">
        <v>385</v>
      </c>
      <c r="C110" s="19" t="s">
        <v>385</v>
      </c>
      <c r="D110" s="83" t="s">
        <v>544</v>
      </c>
      <c r="H110" s="87"/>
      <c r="I110" s="86" t="str">
        <f>IF(NOT(ISBLANK(Table3[[#This Row],[Unique Type]])),COUNTIFS(Table7[[Manually Extract Type ]],Table3[[#This Row],[Unique Type]]),"")</f>
        <v/>
      </c>
      <c r="J110" s="87" t="str">
        <f>IF(ISBLANK(Table3[[#This Row],[Unique Type]]),"",IF(Table3[[#This Row],[Count unique types]]&gt;1,Table3[[#This Row],[Unique Type]],"Miscellaneous"))</f>
        <v/>
      </c>
    </row>
    <row r="111" spans="2:10" x14ac:dyDescent="0.5">
      <c r="B111" s="19" t="s">
        <v>386</v>
      </c>
      <c r="C111" s="19" t="s">
        <v>386</v>
      </c>
      <c r="D111" s="83" t="s">
        <v>545</v>
      </c>
      <c r="H111" s="88"/>
      <c r="I111" s="86" t="str">
        <f>IF(NOT(ISBLANK(Table3[[#This Row],[Unique Type]])),COUNTIFS(Table7[[Manually Extract Type ]],Table3[[#This Row],[Unique Type]]),"")</f>
        <v/>
      </c>
      <c r="J111" s="87" t="str">
        <f>IF(ISBLANK(Table3[[#This Row],[Unique Type]]),"",IF(Table3[[#This Row],[Count unique types]]&gt;1,Table3[[#This Row],[Unique Type]],"Miscellaneous"))</f>
        <v/>
      </c>
    </row>
    <row r="112" spans="2:10" x14ac:dyDescent="0.5">
      <c r="B112" s="19" t="s">
        <v>380</v>
      </c>
      <c r="C112" s="19" t="s">
        <v>380</v>
      </c>
      <c r="D112" s="84" t="s">
        <v>555</v>
      </c>
      <c r="H112" s="87"/>
      <c r="I112" s="86" t="str">
        <f>IF(NOT(ISBLANK(Table3[[#This Row],[Unique Type]])),COUNTIFS(Table7[[Manually Extract Type ]],Table3[[#This Row],[Unique Type]]),"")</f>
        <v/>
      </c>
      <c r="J112" s="87" t="str">
        <f>IF(ISBLANK(Table3[[#This Row],[Unique Type]]),"",IF(Table3[[#This Row],[Count unique types]]&gt;1,Table3[[#This Row],[Unique Type]],"Miscellaneous"))</f>
        <v/>
      </c>
    </row>
    <row r="113" spans="2:10" x14ac:dyDescent="0.5">
      <c r="B113" s="19" t="s">
        <v>382</v>
      </c>
      <c r="C113" s="19" t="s">
        <v>382</v>
      </c>
      <c r="D113" s="84" t="s">
        <v>557</v>
      </c>
      <c r="H113" s="88"/>
      <c r="I113" s="86" t="str">
        <f>IF(NOT(ISBLANK(Table3[[#This Row],[Unique Type]])),COUNTIFS(Table7[[Manually Extract Type ]],Table3[[#This Row],[Unique Type]]),"")</f>
        <v/>
      </c>
      <c r="J113" s="87" t="str">
        <f>IF(ISBLANK(Table3[[#This Row],[Unique Type]]),"",IF(Table3[[#This Row],[Count unique types]]&gt;1,Table3[[#This Row],[Unique Type]],"Miscellaneous"))</f>
        <v/>
      </c>
    </row>
    <row r="114" spans="2:10" x14ac:dyDescent="0.5">
      <c r="B114" s="19" t="s">
        <v>332</v>
      </c>
      <c r="C114" s="19" t="s">
        <v>332</v>
      </c>
      <c r="D114" s="84" t="s">
        <v>559</v>
      </c>
      <c r="H114" s="87"/>
      <c r="I114" s="86" t="str">
        <f>IF(NOT(ISBLANK(Table3[[#This Row],[Unique Type]])),COUNTIFS(Table7[[Manually Extract Type ]],Table3[[#This Row],[Unique Type]]),"")</f>
        <v/>
      </c>
      <c r="J114" s="87" t="str">
        <f>IF(ISBLANK(Table3[[#This Row],[Unique Type]]),"",IF(Table3[[#This Row],[Count unique types]]&gt;1,Table3[[#This Row],[Unique Type]],"Miscellaneous"))</f>
        <v/>
      </c>
    </row>
    <row r="115" spans="2:10" x14ac:dyDescent="0.5">
      <c r="B115" s="19" t="s">
        <v>343</v>
      </c>
      <c r="C115" s="19" t="s">
        <v>343</v>
      </c>
      <c r="D115" s="83" t="s">
        <v>343</v>
      </c>
      <c r="H115" s="88"/>
      <c r="I115" s="86" t="str">
        <f>IF(NOT(ISBLANK(Table3[[#This Row],[Unique Type]])),COUNTIFS(Table7[[Manually Extract Type ]],Table3[[#This Row],[Unique Type]]),"")</f>
        <v/>
      </c>
      <c r="J115" s="87" t="str">
        <f>IF(ISBLANK(Table3[[#This Row],[Unique Type]]),"",IF(Table3[[#This Row],[Count unique types]]&gt;1,Table3[[#This Row],[Unique Type]],"Miscellaneous"))</f>
        <v/>
      </c>
    </row>
    <row r="116" spans="2:10" x14ac:dyDescent="0.5">
      <c r="B116" s="19" t="s">
        <v>343</v>
      </c>
      <c r="C116" s="19" t="s">
        <v>343</v>
      </c>
      <c r="D116" s="83" t="s">
        <v>343</v>
      </c>
      <c r="H116" s="87"/>
      <c r="I116" s="86" t="str">
        <f>IF(NOT(ISBLANK(Table3[[#This Row],[Unique Type]])),COUNTIFS(Table7[[Manually Extract Type ]],Table3[[#This Row],[Unique Type]]),"")</f>
        <v/>
      </c>
      <c r="J116" s="87" t="str">
        <f>IF(ISBLANK(Table3[[#This Row],[Unique Type]]),"",IF(Table3[[#This Row],[Count unique types]]&gt;1,Table3[[#This Row],[Unique Type]],"Miscellaneous"))</f>
        <v/>
      </c>
    </row>
    <row r="117" spans="2:10" x14ac:dyDescent="0.5">
      <c r="B117" s="19" t="s">
        <v>338</v>
      </c>
      <c r="C117" s="19" t="s">
        <v>338</v>
      </c>
      <c r="D117" s="83" t="s">
        <v>543</v>
      </c>
      <c r="H117" s="88"/>
      <c r="I117" s="86" t="str">
        <f>IF(NOT(ISBLANK(Table3[[#This Row],[Unique Type]])),COUNTIFS(Table7[[Manually Extract Type ]],Table3[[#This Row],[Unique Type]]),"")</f>
        <v/>
      </c>
      <c r="J117" s="87" t="str">
        <f>IF(ISBLANK(Table3[[#This Row],[Unique Type]]),"",IF(Table3[[#This Row],[Count unique types]]&gt;1,Table3[[#This Row],[Unique Type]],"Miscellaneous"))</f>
        <v/>
      </c>
    </row>
    <row r="118" spans="2:10" x14ac:dyDescent="0.5">
      <c r="B118" s="19" t="s">
        <v>387</v>
      </c>
      <c r="C118" s="19" t="s">
        <v>387</v>
      </c>
      <c r="D118" s="83" t="s">
        <v>548</v>
      </c>
      <c r="H118" s="87"/>
      <c r="I118" s="86" t="str">
        <f>IF(NOT(ISBLANK(Table3[[#This Row],[Unique Type]])),COUNTIFS(Table7[[Manually Extract Type ]],Table3[[#This Row],[Unique Type]]),"")</f>
        <v/>
      </c>
      <c r="J118" s="87" t="str">
        <f>IF(ISBLANK(Table3[[#This Row],[Unique Type]]),"",IF(Table3[[#This Row],[Count unique types]]&gt;1,Table3[[#This Row],[Unique Type]],"Miscellaneous"))</f>
        <v/>
      </c>
    </row>
    <row r="119" spans="2:10" x14ac:dyDescent="0.5">
      <c r="B119" s="19" t="s">
        <v>345</v>
      </c>
      <c r="C119" s="19" t="s">
        <v>345</v>
      </c>
      <c r="D119" t="s">
        <v>345</v>
      </c>
      <c r="H119" s="88"/>
      <c r="I119" s="86" t="str">
        <f>IF(NOT(ISBLANK(Table3[[#This Row],[Unique Type]])),COUNTIFS(Table7[[Manually Extract Type ]],Table3[[#This Row],[Unique Type]]),"")</f>
        <v/>
      </c>
      <c r="J119" s="87" t="str">
        <f>IF(ISBLANK(Table3[[#This Row],[Unique Type]]),"",IF(Table3[[#This Row],[Count unique types]]&gt;1,Table3[[#This Row],[Unique Type]],"Miscellaneous"))</f>
        <v/>
      </c>
    </row>
    <row r="120" spans="2:10" x14ac:dyDescent="0.5">
      <c r="B120" s="19" t="s">
        <v>449</v>
      </c>
      <c r="C120" s="19" t="s">
        <v>449</v>
      </c>
      <c r="D120" t="s">
        <v>562</v>
      </c>
      <c r="H120" s="87"/>
      <c r="I120" s="86" t="str">
        <f>IF(NOT(ISBLANK(Table3[[#This Row],[Unique Type]])),COUNTIFS(Table7[[Manually Extract Type ]],Table3[[#This Row],[Unique Type]]),"")</f>
        <v/>
      </c>
      <c r="J120" s="87" t="str">
        <f>IF(ISBLANK(Table3[[#This Row],[Unique Type]]),"",IF(Table3[[#This Row],[Count unique types]]&gt;1,Table3[[#This Row],[Unique Type]],"Miscellaneous"))</f>
        <v/>
      </c>
    </row>
    <row r="121" spans="2:10" x14ac:dyDescent="0.5">
      <c r="B121" s="19" t="s">
        <v>450</v>
      </c>
      <c r="C121" s="19" t="s">
        <v>450</v>
      </c>
      <c r="D121" t="s">
        <v>562</v>
      </c>
      <c r="H121" s="88"/>
      <c r="I121" s="86" t="str">
        <f>IF(NOT(ISBLANK(Table3[[#This Row],[Unique Type]])),COUNTIFS(Table7[[Manually Extract Type ]],Table3[[#This Row],[Unique Type]]),"")</f>
        <v/>
      </c>
      <c r="J121" s="87" t="str">
        <f>IF(ISBLANK(Table3[[#This Row],[Unique Type]]),"",IF(Table3[[#This Row],[Count unique types]]&gt;1,Table3[[#This Row],[Unique Type]],"Miscellaneous"))</f>
        <v/>
      </c>
    </row>
    <row r="122" spans="2:10" x14ac:dyDescent="0.5">
      <c r="B122" s="19"/>
      <c r="C122" s="19" t="s">
        <v>571</v>
      </c>
      <c r="D122" s="19" t="s">
        <v>571</v>
      </c>
      <c r="H122" s="87"/>
      <c r="I122" s="86" t="str">
        <f>IF(NOT(ISBLANK(Table3[[#This Row],[Unique Type]])),COUNTIFS(Table7[[Manually Extract Type ]],Table3[[#This Row],[Unique Type]]),"")</f>
        <v/>
      </c>
      <c r="J122" s="87" t="str">
        <f>IF(ISBLANK(Table3[[#This Row],[Unique Type]]),"",IF(Table3[[#This Row],[Count unique types]]&gt;1,Table3[[#This Row],[Unique Type]],"Miscellaneous"))</f>
        <v/>
      </c>
    </row>
    <row r="123" spans="2:10" x14ac:dyDescent="0.5">
      <c r="B123" s="19"/>
      <c r="C123" s="19" t="s">
        <v>571</v>
      </c>
      <c r="D123" s="19" t="s">
        <v>571</v>
      </c>
      <c r="H123" s="88"/>
      <c r="I123" s="86" t="str">
        <f>IF(NOT(ISBLANK(Table3[[#This Row],[Unique Type]])),COUNTIFS(Table7[[Manually Extract Type ]],Table3[[#This Row],[Unique Type]]),"")</f>
        <v/>
      </c>
      <c r="J123" s="87" t="str">
        <f>IF(ISBLANK(Table3[[#This Row],[Unique Type]]),"",IF(Table3[[#This Row],[Count unique types]]&gt;1,Table3[[#This Row],[Unique Type]],"Miscellaneous"))</f>
        <v/>
      </c>
    </row>
    <row r="124" spans="2:10" x14ac:dyDescent="0.5">
      <c r="B124" s="19" t="s">
        <v>345</v>
      </c>
      <c r="C124" s="19" t="s">
        <v>345</v>
      </c>
      <c r="D124" t="s">
        <v>345</v>
      </c>
      <c r="H124" s="87"/>
      <c r="I124" s="86" t="str">
        <f>IF(NOT(ISBLANK(Table3[[#This Row],[Unique Type]])),COUNTIFS(Table7[[Manually Extract Type ]],Table3[[#This Row],[Unique Type]]),"")</f>
        <v/>
      </c>
      <c r="J124" s="87" t="str">
        <f>IF(ISBLANK(Table3[[#This Row],[Unique Type]]),"",IF(Table3[[#This Row],[Count unique types]]&gt;1,Table3[[#This Row],[Unique Type]],"Miscellaneous"))</f>
        <v/>
      </c>
    </row>
    <row r="125" spans="2:10" x14ac:dyDescent="0.5">
      <c r="B125" s="19" t="s">
        <v>332</v>
      </c>
      <c r="C125" s="19" t="s">
        <v>332</v>
      </c>
      <c r="D125" s="84" t="s">
        <v>559</v>
      </c>
      <c r="H125" s="88"/>
      <c r="I125" s="86" t="str">
        <f>IF(NOT(ISBLANK(Table3[[#This Row],[Unique Type]])),COUNTIFS(Table7[[Manually Extract Type ]],Table3[[#This Row],[Unique Type]]),"")</f>
        <v/>
      </c>
      <c r="J125" s="87" t="str">
        <f>IF(ISBLANK(Table3[[#This Row],[Unique Type]]),"",IF(Table3[[#This Row],[Count unique types]]&gt;1,Table3[[#This Row],[Unique Type]],"Miscellaneous"))</f>
        <v/>
      </c>
    </row>
    <row r="126" spans="2:10" x14ac:dyDescent="0.5">
      <c r="B126" s="19" t="s">
        <v>389</v>
      </c>
      <c r="C126" s="19" t="s">
        <v>389</v>
      </c>
      <c r="D126" s="83" t="s">
        <v>550</v>
      </c>
      <c r="H126" s="87"/>
      <c r="I126" s="86" t="str">
        <f>IF(NOT(ISBLANK(Table3[[#This Row],[Unique Type]])),COUNTIFS(Table7[[Manually Extract Type ]],Table3[[#This Row],[Unique Type]]),"")</f>
        <v/>
      </c>
      <c r="J126" s="87" t="str">
        <f>IF(ISBLANK(Table3[[#This Row],[Unique Type]]),"",IF(Table3[[#This Row],[Count unique types]]&gt;1,Table3[[#This Row],[Unique Type]],"Miscellaneous"))</f>
        <v/>
      </c>
    </row>
    <row r="127" spans="2:10" x14ac:dyDescent="0.5">
      <c r="B127" s="19" t="s">
        <v>335</v>
      </c>
      <c r="C127" s="19" t="s">
        <v>335</v>
      </c>
      <c r="D127" s="83" t="s">
        <v>542</v>
      </c>
      <c r="H127" s="88"/>
      <c r="I127" s="86" t="str">
        <f>IF(NOT(ISBLANK(Table3[[#This Row],[Unique Type]])),COUNTIFS(Table7[[Manually Extract Type ]],Table3[[#This Row],[Unique Type]]),"")</f>
        <v/>
      </c>
      <c r="J127" s="87" t="str">
        <f>IF(ISBLANK(Table3[[#This Row],[Unique Type]]),"",IF(Table3[[#This Row],[Count unique types]]&gt;1,Table3[[#This Row],[Unique Type]],"Miscellaneous"))</f>
        <v/>
      </c>
    </row>
    <row r="128" spans="2:10" x14ac:dyDescent="0.5">
      <c r="B128" s="19" t="s">
        <v>390</v>
      </c>
      <c r="C128" s="19" t="s">
        <v>390</v>
      </c>
      <c r="D128" s="83" t="s">
        <v>547</v>
      </c>
      <c r="H128" s="87"/>
      <c r="I128" s="86" t="str">
        <f>IF(NOT(ISBLANK(Table3[[#This Row],[Unique Type]])),COUNTIFS(Table7[[Manually Extract Type ]],Table3[[#This Row],[Unique Type]]),"")</f>
        <v/>
      </c>
      <c r="J128" s="87" t="str">
        <f>IF(ISBLANK(Table3[[#This Row],[Unique Type]]),"",IF(Table3[[#This Row],[Count unique types]]&gt;1,Table3[[#This Row],[Unique Type]],"Miscellaneous"))</f>
        <v/>
      </c>
    </row>
    <row r="129" spans="2:10" x14ac:dyDescent="0.5">
      <c r="B129" s="19" t="s">
        <v>380</v>
      </c>
      <c r="C129" s="19" t="s">
        <v>380</v>
      </c>
      <c r="D129" s="84" t="s">
        <v>555</v>
      </c>
      <c r="H129" s="88"/>
      <c r="I129" s="86" t="str">
        <f>IF(NOT(ISBLANK(Table3[[#This Row],[Unique Type]])),COUNTIFS(Table7[[Manually Extract Type ]],Table3[[#This Row],[Unique Type]]),"")</f>
        <v/>
      </c>
      <c r="J129" s="87" t="str">
        <f>IF(ISBLANK(Table3[[#This Row],[Unique Type]]),"",IF(Table3[[#This Row],[Count unique types]]&gt;1,Table3[[#This Row],[Unique Type]],"Miscellaneous"))</f>
        <v/>
      </c>
    </row>
    <row r="130" spans="2:10" x14ac:dyDescent="0.5">
      <c r="B130" s="19" t="s">
        <v>391</v>
      </c>
      <c r="C130" s="19" t="s">
        <v>391</v>
      </c>
      <c r="D130" s="83" t="s">
        <v>544</v>
      </c>
      <c r="H130" s="87"/>
      <c r="I130" s="86" t="str">
        <f>IF(NOT(ISBLANK(Table3[[#This Row],[Unique Type]])),COUNTIFS(Table7[[Manually Extract Type ]],Table3[[#This Row],[Unique Type]]),"")</f>
        <v/>
      </c>
      <c r="J130" s="87" t="str">
        <f>IF(ISBLANK(Table3[[#This Row],[Unique Type]]),"",IF(Table3[[#This Row],[Count unique types]]&gt;1,Table3[[#This Row],[Unique Type]],"Miscellaneous"))</f>
        <v/>
      </c>
    </row>
    <row r="131" spans="2:10" x14ac:dyDescent="0.5">
      <c r="B131" s="19" t="s">
        <v>364</v>
      </c>
      <c r="C131" s="19" t="s">
        <v>364</v>
      </c>
      <c r="D131" s="83" t="s">
        <v>560</v>
      </c>
      <c r="H131" s="88"/>
      <c r="I131" s="86" t="str">
        <f>IF(NOT(ISBLANK(Table3[[#This Row],[Unique Type]])),COUNTIFS(Table7[[Manually Extract Type ]],Table3[[#This Row],[Unique Type]]),"")</f>
        <v/>
      </c>
      <c r="J131" s="87" t="str">
        <f>IF(ISBLANK(Table3[[#This Row],[Unique Type]]),"",IF(Table3[[#This Row],[Count unique types]]&gt;1,Table3[[#This Row],[Unique Type]],"Miscellaneous"))</f>
        <v/>
      </c>
    </row>
    <row r="132" spans="2:10" x14ac:dyDescent="0.5">
      <c r="B132" s="19" t="s">
        <v>467</v>
      </c>
      <c r="C132" s="19" t="s">
        <v>467</v>
      </c>
      <c r="D132" t="s">
        <v>12</v>
      </c>
      <c r="H132" s="87"/>
      <c r="I132" s="86" t="str">
        <f>IF(NOT(ISBLANK(Table3[[#This Row],[Unique Type]])),COUNTIFS(Table7[[Manually Extract Type ]],Table3[[#This Row],[Unique Type]]),"")</f>
        <v/>
      </c>
      <c r="J132" s="87" t="str">
        <f>IF(ISBLANK(Table3[[#This Row],[Unique Type]]),"",IF(Table3[[#This Row],[Count unique types]]&gt;1,Table3[[#This Row],[Unique Type]],"Miscellaneous"))</f>
        <v/>
      </c>
    </row>
    <row r="133" spans="2:10" x14ac:dyDescent="0.5">
      <c r="B133" s="19" t="s">
        <v>392</v>
      </c>
      <c r="C133" s="19" t="s">
        <v>392</v>
      </c>
      <c r="D133" s="83" t="s">
        <v>552</v>
      </c>
      <c r="H133" s="88"/>
      <c r="I133" s="86" t="str">
        <f>IF(NOT(ISBLANK(Table3[[#This Row],[Unique Type]])),COUNTIFS(Table7[[Manually Extract Type ]],Table3[[#This Row],[Unique Type]]),"")</f>
        <v/>
      </c>
      <c r="J133" s="87" t="str">
        <f>IF(ISBLANK(Table3[[#This Row],[Unique Type]]),"",IF(Table3[[#This Row],[Count unique types]]&gt;1,Table3[[#This Row],[Unique Type]],"Miscellaneous"))</f>
        <v/>
      </c>
    </row>
    <row r="134" spans="2:10" x14ac:dyDescent="0.5">
      <c r="B134" s="19" t="s">
        <v>393</v>
      </c>
      <c r="C134" s="19" t="s">
        <v>393</v>
      </c>
      <c r="D134" s="83" t="s">
        <v>548</v>
      </c>
      <c r="H134" s="87"/>
      <c r="I134" s="86" t="str">
        <f>IF(NOT(ISBLANK(Table3[[#This Row],[Unique Type]])),COUNTIFS(Table7[[Manually Extract Type ]],Table3[[#This Row],[Unique Type]]),"")</f>
        <v/>
      </c>
      <c r="J134" s="87" t="str">
        <f>IF(ISBLANK(Table3[[#This Row],[Unique Type]]),"",IF(Table3[[#This Row],[Count unique types]]&gt;1,Table3[[#This Row],[Unique Type]],"Miscellaneous"))</f>
        <v/>
      </c>
    </row>
    <row r="135" spans="2:10" x14ac:dyDescent="0.5">
      <c r="B135" s="19" t="s">
        <v>332</v>
      </c>
      <c r="C135" s="19" t="s">
        <v>332</v>
      </c>
      <c r="D135" s="84" t="s">
        <v>559</v>
      </c>
      <c r="H135" s="88"/>
      <c r="I135" s="86" t="str">
        <f>IF(NOT(ISBLANK(Table3[[#This Row],[Unique Type]])),COUNTIFS(Table7[[Manually Extract Type ]],Table3[[#This Row],[Unique Type]]),"")</f>
        <v/>
      </c>
      <c r="J135" s="87" t="str">
        <f>IF(ISBLANK(Table3[[#This Row],[Unique Type]]),"",IF(Table3[[#This Row],[Count unique types]]&gt;1,Table3[[#This Row],[Unique Type]],"Miscellaneous"))</f>
        <v/>
      </c>
    </row>
    <row r="136" spans="2:10" x14ac:dyDescent="0.5">
      <c r="B136" s="19" t="s">
        <v>338</v>
      </c>
      <c r="C136" s="19" t="s">
        <v>338</v>
      </c>
      <c r="D136" s="83" t="s">
        <v>543</v>
      </c>
      <c r="H136" s="87"/>
      <c r="I136" s="86" t="str">
        <f>IF(NOT(ISBLANK(Table3[[#This Row],[Unique Type]])),COUNTIFS(Table7[[Manually Extract Type ]],Table3[[#This Row],[Unique Type]]),"")</f>
        <v/>
      </c>
      <c r="J136" s="87" t="str">
        <f>IF(ISBLANK(Table3[[#This Row],[Unique Type]]),"",IF(Table3[[#This Row],[Count unique types]]&gt;1,Table3[[#This Row],[Unique Type]],"Miscellaneous"))</f>
        <v/>
      </c>
    </row>
    <row r="137" spans="2:10" x14ac:dyDescent="0.5">
      <c r="B137" s="19" t="s">
        <v>345</v>
      </c>
      <c r="C137" s="19" t="s">
        <v>345</v>
      </c>
      <c r="D137" t="s">
        <v>345</v>
      </c>
      <c r="H137" s="88"/>
      <c r="I137" s="86" t="str">
        <f>IF(NOT(ISBLANK(Table3[[#This Row],[Unique Type]])),COUNTIFS(Table7[[Manually Extract Type ]],Table3[[#This Row],[Unique Type]]),"")</f>
        <v/>
      </c>
      <c r="J137" s="87" t="str">
        <f>IF(ISBLANK(Table3[[#This Row],[Unique Type]]),"",IF(Table3[[#This Row],[Count unique types]]&gt;1,Table3[[#This Row],[Unique Type]],"Miscellaneous"))</f>
        <v/>
      </c>
    </row>
    <row r="138" spans="2:10" x14ac:dyDescent="0.5">
      <c r="B138" s="19"/>
      <c r="C138" s="19" t="s">
        <v>571</v>
      </c>
      <c r="D138" s="19" t="s">
        <v>571</v>
      </c>
      <c r="H138" s="87"/>
      <c r="I138" s="86" t="str">
        <f>IF(NOT(ISBLANK(Table3[[#This Row],[Unique Type]])),COUNTIFS(Table7[[Manually Extract Type ]],Table3[[#This Row],[Unique Type]]),"")</f>
        <v/>
      </c>
      <c r="J138" s="87" t="str">
        <f>IF(ISBLANK(Table3[[#This Row],[Unique Type]]),"",IF(Table3[[#This Row],[Count unique types]]&gt;1,Table3[[#This Row],[Unique Type]],"Miscellaneous"))</f>
        <v/>
      </c>
    </row>
    <row r="139" spans="2:10" x14ac:dyDescent="0.5">
      <c r="B139" s="19"/>
      <c r="C139" s="19" t="s">
        <v>571</v>
      </c>
      <c r="D139" s="19" t="s">
        <v>571</v>
      </c>
      <c r="H139" s="88"/>
      <c r="I139" s="86" t="str">
        <f>IF(NOT(ISBLANK(Table3[[#This Row],[Unique Type]])),COUNTIFS(Table7[[Manually Extract Type ]],Table3[[#This Row],[Unique Type]]),"")</f>
        <v/>
      </c>
      <c r="J139" s="87" t="str">
        <f>IF(ISBLANK(Table3[[#This Row],[Unique Type]]),"",IF(Table3[[#This Row],[Count unique types]]&gt;1,Table3[[#This Row],[Unique Type]],"Miscellaneous"))</f>
        <v/>
      </c>
    </row>
    <row r="140" spans="2:10" x14ac:dyDescent="0.5">
      <c r="B140" s="19" t="s">
        <v>332</v>
      </c>
      <c r="C140" s="19" t="s">
        <v>332</v>
      </c>
      <c r="D140" s="84" t="s">
        <v>559</v>
      </c>
      <c r="H140" s="87"/>
      <c r="I140" s="86" t="str">
        <f>IF(NOT(ISBLANK(Table3[[#This Row],[Unique Type]])),COUNTIFS(Table7[[Manually Extract Type ]],Table3[[#This Row],[Unique Type]]),"")</f>
        <v/>
      </c>
      <c r="J140" s="87" t="str">
        <f>IF(ISBLANK(Table3[[#This Row],[Unique Type]]),"",IF(Table3[[#This Row],[Count unique types]]&gt;1,Table3[[#This Row],[Unique Type]],"Miscellaneous"))</f>
        <v/>
      </c>
    </row>
    <row r="141" spans="2:10" x14ac:dyDescent="0.5">
      <c r="B141" s="19" t="s">
        <v>335</v>
      </c>
      <c r="C141" s="19" t="s">
        <v>335</v>
      </c>
      <c r="D141" s="83" t="s">
        <v>542</v>
      </c>
      <c r="H141" s="88"/>
      <c r="I141" s="86" t="str">
        <f>IF(NOT(ISBLANK(Table3[[#This Row],[Unique Type]])),COUNTIFS(Table7[[Manually Extract Type ]],Table3[[#This Row],[Unique Type]]),"")</f>
        <v/>
      </c>
      <c r="J141" s="87" t="str">
        <f>IF(ISBLANK(Table3[[#This Row],[Unique Type]]),"",IF(Table3[[#This Row],[Count unique types]]&gt;1,Table3[[#This Row],[Unique Type]],"Miscellaneous"))</f>
        <v/>
      </c>
    </row>
    <row r="142" spans="2:10" x14ac:dyDescent="0.5">
      <c r="B142" s="19" t="s">
        <v>468</v>
      </c>
      <c r="C142" s="19" t="s">
        <v>468</v>
      </c>
      <c r="D142" t="s">
        <v>12</v>
      </c>
      <c r="H142" s="87"/>
      <c r="I142" s="86" t="str">
        <f>IF(NOT(ISBLANK(Table3[[#This Row],[Unique Type]])),COUNTIFS(Table7[[Manually Extract Type ]],Table3[[#This Row],[Unique Type]]),"")</f>
        <v/>
      </c>
      <c r="J142" s="87" t="str">
        <f>IF(ISBLANK(Table3[[#This Row],[Unique Type]]),"",IF(Table3[[#This Row],[Count unique types]]&gt;1,Table3[[#This Row],[Unique Type]],"Miscellaneous"))</f>
        <v/>
      </c>
    </row>
    <row r="143" spans="2:10" x14ac:dyDescent="0.5">
      <c r="B143" s="19" t="s">
        <v>343</v>
      </c>
      <c r="C143" s="19" t="s">
        <v>343</v>
      </c>
      <c r="D143" s="83" t="s">
        <v>343</v>
      </c>
      <c r="H143" s="88"/>
      <c r="I143" s="86" t="str">
        <f>IF(NOT(ISBLANK(Table3[[#This Row],[Unique Type]])),COUNTIFS(Table7[[Manually Extract Type ]],Table3[[#This Row],[Unique Type]]),"")</f>
        <v/>
      </c>
      <c r="J143" s="87" t="str">
        <f>IF(ISBLANK(Table3[[#This Row],[Unique Type]]),"",IF(Table3[[#This Row],[Count unique types]]&gt;1,Table3[[#This Row],[Unique Type]],"Miscellaneous"))</f>
        <v/>
      </c>
    </row>
    <row r="144" spans="2:10" x14ac:dyDescent="0.5">
      <c r="B144" s="19" t="s">
        <v>402</v>
      </c>
      <c r="C144" s="19" t="s">
        <v>402</v>
      </c>
      <c r="D144" s="19" t="s">
        <v>402</v>
      </c>
      <c r="H144" s="87"/>
      <c r="I144" s="86" t="str">
        <f>IF(NOT(ISBLANK(Table3[[#This Row],[Unique Type]])),COUNTIFS(Table7[[Manually Extract Type ]],Table3[[#This Row],[Unique Type]]),"")</f>
        <v/>
      </c>
      <c r="J144" s="87" t="str">
        <f>IF(ISBLANK(Table3[[#This Row],[Unique Type]]),"",IF(Table3[[#This Row],[Count unique types]]&gt;1,Table3[[#This Row],[Unique Type]],"Miscellaneous"))</f>
        <v/>
      </c>
    </row>
    <row r="145" spans="2:10" x14ac:dyDescent="0.5">
      <c r="B145" s="19" t="s">
        <v>397</v>
      </c>
      <c r="C145" s="19" t="s">
        <v>397</v>
      </c>
      <c r="D145" s="83" t="s">
        <v>547</v>
      </c>
      <c r="H145" s="88"/>
      <c r="I145" s="86" t="str">
        <f>IF(NOT(ISBLANK(Table3[[#This Row],[Unique Type]])),COUNTIFS(Table7[[Manually Extract Type ]],Table3[[#This Row],[Unique Type]]),"")</f>
        <v/>
      </c>
      <c r="J145" s="87" t="str">
        <f>IF(ISBLANK(Table3[[#This Row],[Unique Type]]),"",IF(Table3[[#This Row],[Count unique types]]&gt;1,Table3[[#This Row],[Unique Type]],"Miscellaneous"))</f>
        <v/>
      </c>
    </row>
    <row r="146" spans="2:10" x14ac:dyDescent="0.5">
      <c r="B146" s="19" t="s">
        <v>343</v>
      </c>
      <c r="C146" s="19" t="s">
        <v>343</v>
      </c>
      <c r="D146" s="83" t="s">
        <v>343</v>
      </c>
      <c r="H146" s="87"/>
      <c r="I146" s="86" t="str">
        <f>IF(NOT(ISBLANK(Table3[[#This Row],[Unique Type]])),COUNTIFS(Table7[[Manually Extract Type ]],Table3[[#This Row],[Unique Type]]),"")</f>
        <v/>
      </c>
      <c r="J146" s="87" t="str">
        <f>IF(ISBLANK(Table3[[#This Row],[Unique Type]]),"",IF(Table3[[#This Row],[Count unique types]]&gt;1,Table3[[#This Row],[Unique Type]],"Miscellaneous"))</f>
        <v/>
      </c>
    </row>
    <row r="147" spans="2:10" x14ac:dyDescent="0.5">
      <c r="B147" s="19" t="s">
        <v>343</v>
      </c>
      <c r="C147" s="19" t="s">
        <v>343</v>
      </c>
      <c r="D147" s="83" t="s">
        <v>343</v>
      </c>
      <c r="H147" s="88"/>
      <c r="I147" s="86" t="str">
        <f>IF(NOT(ISBLANK(Table3[[#This Row],[Unique Type]])),COUNTIFS(Table7[[Manually Extract Type ]],Table3[[#This Row],[Unique Type]]),"")</f>
        <v/>
      </c>
      <c r="J147" s="87" t="str">
        <f>IF(ISBLANK(Table3[[#This Row],[Unique Type]]),"",IF(Table3[[#This Row],[Count unique types]]&gt;1,Table3[[#This Row],[Unique Type]],"Miscellaneous"))</f>
        <v/>
      </c>
    </row>
    <row r="148" spans="2:10" x14ac:dyDescent="0.5">
      <c r="B148" s="19" t="s">
        <v>344</v>
      </c>
      <c r="C148" s="19" t="s">
        <v>344</v>
      </c>
      <c r="D148" s="83" t="s">
        <v>560</v>
      </c>
      <c r="H148" s="87"/>
      <c r="I148" s="86" t="str">
        <f>IF(NOT(ISBLANK(Table3[[#This Row],[Unique Type]])),COUNTIFS(Table7[[Manually Extract Type ]],Table3[[#This Row],[Unique Type]]),"")</f>
        <v/>
      </c>
      <c r="J148" s="87" t="str">
        <f>IF(ISBLANK(Table3[[#This Row],[Unique Type]]),"",IF(Table3[[#This Row],[Count unique types]]&gt;1,Table3[[#This Row],[Unique Type]],"Miscellaneous"))</f>
        <v/>
      </c>
    </row>
    <row r="149" spans="2:10" x14ac:dyDescent="0.5">
      <c r="B149" s="19" t="s">
        <v>398</v>
      </c>
      <c r="C149" s="19" t="s">
        <v>398</v>
      </c>
      <c r="D149" s="83" t="s">
        <v>545</v>
      </c>
      <c r="H149" s="88"/>
      <c r="I149" s="86" t="str">
        <f>IF(NOT(ISBLANK(Table3[[#This Row],[Unique Type]])),COUNTIFS(Table7[[Manually Extract Type ]],Table3[[#This Row],[Unique Type]]),"")</f>
        <v/>
      </c>
      <c r="J149" s="87" t="str">
        <f>IF(ISBLANK(Table3[[#This Row],[Unique Type]]),"",IF(Table3[[#This Row],[Count unique types]]&gt;1,Table3[[#This Row],[Unique Type]],"Miscellaneous"))</f>
        <v/>
      </c>
    </row>
    <row r="150" spans="2:10" x14ac:dyDescent="0.5">
      <c r="B150" s="19" t="s">
        <v>399</v>
      </c>
      <c r="C150" s="19" t="s">
        <v>399</v>
      </c>
      <c r="D150" s="83" t="s">
        <v>550</v>
      </c>
      <c r="H150" s="87"/>
      <c r="I150" s="86" t="str">
        <f>IF(NOT(ISBLANK(Table3[[#This Row],[Unique Type]])),COUNTIFS(Table7[[Manually Extract Type ]],Table3[[#This Row],[Unique Type]]),"")</f>
        <v/>
      </c>
      <c r="J150" s="87" t="str">
        <f>IF(ISBLANK(Table3[[#This Row],[Unique Type]]),"",IF(Table3[[#This Row],[Count unique types]]&gt;1,Table3[[#This Row],[Unique Type]],"Miscellaneous"))</f>
        <v/>
      </c>
    </row>
    <row r="151" spans="2:10" x14ac:dyDescent="0.5">
      <c r="B151" s="19" t="s">
        <v>469</v>
      </c>
      <c r="C151" s="19" t="s">
        <v>469</v>
      </c>
      <c r="D151" t="s">
        <v>12</v>
      </c>
      <c r="H151" s="88"/>
      <c r="I151" s="86" t="str">
        <f>IF(NOT(ISBLANK(Table3[[#This Row],[Unique Type]])),COUNTIFS(Table7[[Manually Extract Type ]],Table3[[#This Row],[Unique Type]]),"")</f>
        <v/>
      </c>
      <c r="J151" s="87" t="str">
        <f>IF(ISBLANK(Table3[[#This Row],[Unique Type]]),"",IF(Table3[[#This Row],[Count unique types]]&gt;1,Table3[[#This Row],[Unique Type]],"Miscellaneous"))</f>
        <v/>
      </c>
    </row>
    <row r="152" spans="2:10" x14ac:dyDescent="0.5">
      <c r="B152" s="19" t="s">
        <v>380</v>
      </c>
      <c r="C152" s="19" t="s">
        <v>380</v>
      </c>
      <c r="D152" s="84" t="s">
        <v>555</v>
      </c>
      <c r="H152" s="87"/>
      <c r="I152" s="86" t="str">
        <f>IF(NOT(ISBLANK(Table3[[#This Row],[Unique Type]])),COUNTIFS(Table7[[Manually Extract Type ]],Table3[[#This Row],[Unique Type]]),"")</f>
        <v/>
      </c>
      <c r="J152" s="87" t="str">
        <f>IF(ISBLANK(Table3[[#This Row],[Unique Type]]),"",IF(Table3[[#This Row],[Count unique types]]&gt;1,Table3[[#This Row],[Unique Type]],"Miscellaneous"))</f>
        <v/>
      </c>
    </row>
    <row r="153" spans="2:10" x14ac:dyDescent="0.5">
      <c r="B153" s="19" t="s">
        <v>470</v>
      </c>
      <c r="C153" s="19" t="s">
        <v>470</v>
      </c>
      <c r="D153" t="s">
        <v>12</v>
      </c>
      <c r="H153" s="88"/>
      <c r="I153" s="86" t="str">
        <f>IF(NOT(ISBLANK(Table3[[#This Row],[Unique Type]])),COUNTIFS(Table7[[Manually Extract Type ]],Table3[[#This Row],[Unique Type]]),"")</f>
        <v/>
      </c>
      <c r="J153" s="87" t="str">
        <f>IF(ISBLANK(Table3[[#This Row],[Unique Type]]),"",IF(Table3[[#This Row],[Count unique types]]&gt;1,Table3[[#This Row],[Unique Type]],"Miscellaneous"))</f>
        <v/>
      </c>
    </row>
    <row r="154" spans="2:10" x14ac:dyDescent="0.5">
      <c r="B154" s="19" t="s">
        <v>400</v>
      </c>
      <c r="C154" s="19" t="s">
        <v>400</v>
      </c>
      <c r="D154" s="83" t="s">
        <v>544</v>
      </c>
      <c r="H154" s="87"/>
      <c r="I154" s="86" t="str">
        <f>IF(NOT(ISBLANK(Table3[[#This Row],[Unique Type]])),COUNTIFS(Table7[[Manually Extract Type ]],Table3[[#This Row],[Unique Type]]),"")</f>
        <v/>
      </c>
      <c r="J154" s="87" t="str">
        <f>IF(ISBLANK(Table3[[#This Row],[Unique Type]]),"",IF(Table3[[#This Row],[Count unique types]]&gt;1,Table3[[#This Row],[Unique Type]],"Miscellaneous"))</f>
        <v/>
      </c>
    </row>
    <row r="155" spans="2:10" x14ac:dyDescent="0.5">
      <c r="B155" s="19" t="s">
        <v>332</v>
      </c>
      <c r="C155" s="19" t="s">
        <v>332</v>
      </c>
      <c r="D155" s="84" t="s">
        <v>559</v>
      </c>
      <c r="H155" s="88"/>
      <c r="I155" s="86" t="str">
        <f>IF(NOT(ISBLANK(Table3[[#This Row],[Unique Type]])),COUNTIFS(Table7[[Manually Extract Type ]],Table3[[#This Row],[Unique Type]]),"")</f>
        <v/>
      </c>
      <c r="J155" s="87" t="str">
        <f>IF(ISBLANK(Table3[[#This Row],[Unique Type]]),"",IF(Table3[[#This Row],[Count unique types]]&gt;1,Table3[[#This Row],[Unique Type]],"Miscellaneous"))</f>
        <v/>
      </c>
    </row>
    <row r="156" spans="2:10" x14ac:dyDescent="0.5">
      <c r="B156" s="19" t="s">
        <v>401</v>
      </c>
      <c r="C156" s="19" t="s">
        <v>401</v>
      </c>
      <c r="D156" s="83" t="s">
        <v>548</v>
      </c>
      <c r="H156" s="87"/>
      <c r="I156" s="86" t="str">
        <f>IF(NOT(ISBLANK(Table3[[#This Row],[Unique Type]])),COUNTIFS(Table7[[Manually Extract Type ]],Table3[[#This Row],[Unique Type]]),"")</f>
        <v/>
      </c>
      <c r="J156" s="87" t="str">
        <f>IF(ISBLANK(Table3[[#This Row],[Unique Type]]),"",IF(Table3[[#This Row],[Count unique types]]&gt;1,Table3[[#This Row],[Unique Type]],"Miscellaneous"))</f>
        <v/>
      </c>
    </row>
    <row r="157" spans="2:10" x14ac:dyDescent="0.5">
      <c r="B157" s="19" t="s">
        <v>401</v>
      </c>
      <c r="C157" s="19" t="s">
        <v>401</v>
      </c>
      <c r="D157" s="83" t="s">
        <v>548</v>
      </c>
      <c r="H157" s="88"/>
      <c r="I157" s="86" t="str">
        <f>IF(NOT(ISBLANK(Table3[[#This Row],[Unique Type]])),COUNTIFS(Table7[[Manually Extract Type ]],Table3[[#This Row],[Unique Type]]),"")</f>
        <v/>
      </c>
      <c r="J157" s="87" t="str">
        <f>IF(ISBLANK(Table3[[#This Row],[Unique Type]]),"",IF(Table3[[#This Row],[Count unique types]]&gt;1,Table3[[#This Row],[Unique Type]],"Miscellaneous"))</f>
        <v/>
      </c>
    </row>
    <row r="158" spans="2:10" x14ac:dyDescent="0.5">
      <c r="B158" s="19" t="s">
        <v>344</v>
      </c>
      <c r="C158" s="19" t="s">
        <v>344</v>
      </c>
      <c r="D158" s="83" t="s">
        <v>560</v>
      </c>
      <c r="H158" s="87"/>
      <c r="I158" s="86" t="str">
        <f>IF(NOT(ISBLANK(Table3[[#This Row],[Unique Type]])),COUNTIFS(Table7[[Manually Extract Type ]],Table3[[#This Row],[Unique Type]]),"")</f>
        <v/>
      </c>
      <c r="J158" s="87" t="str">
        <f>IF(ISBLANK(Table3[[#This Row],[Unique Type]]),"",IF(Table3[[#This Row],[Count unique types]]&gt;1,Table3[[#This Row],[Unique Type]],"Miscellaneous"))</f>
        <v/>
      </c>
    </row>
    <row r="159" spans="2:10" x14ac:dyDescent="0.5">
      <c r="B159" s="19" t="s">
        <v>338</v>
      </c>
      <c r="C159" s="19" t="s">
        <v>338</v>
      </c>
      <c r="D159" s="83" t="s">
        <v>543</v>
      </c>
      <c r="H159" s="88"/>
      <c r="I159" s="86" t="str">
        <f>IF(NOT(ISBLANK(Table3[[#This Row],[Unique Type]])),COUNTIFS(Table7[[Manually Extract Type ]],Table3[[#This Row],[Unique Type]]),"")</f>
        <v/>
      </c>
      <c r="J159" s="87" t="str">
        <f>IF(ISBLANK(Table3[[#This Row],[Unique Type]]),"",IF(Table3[[#This Row],[Count unique types]]&gt;1,Table3[[#This Row],[Unique Type]],"Miscellaneous"))</f>
        <v/>
      </c>
    </row>
    <row r="160" spans="2:10" x14ac:dyDescent="0.5">
      <c r="B160" s="19" t="s">
        <v>471</v>
      </c>
      <c r="C160" s="19" t="s">
        <v>471</v>
      </c>
      <c r="D160" t="s">
        <v>12</v>
      </c>
      <c r="H160" s="87"/>
      <c r="I160" s="86" t="str">
        <f>IF(NOT(ISBLANK(Table3[[#This Row],[Unique Type]])),COUNTIFS(Table7[[Manually Extract Type ]],Table3[[#This Row],[Unique Type]]),"")</f>
        <v/>
      </c>
      <c r="J160" s="87" t="str">
        <f>IF(ISBLANK(Table3[[#This Row],[Unique Type]]),"",IF(Table3[[#This Row],[Count unique types]]&gt;1,Table3[[#This Row],[Unique Type]],"Miscellaneous"))</f>
        <v/>
      </c>
    </row>
    <row r="161" spans="2:10" x14ac:dyDescent="0.5">
      <c r="B161" s="19"/>
      <c r="C161" s="19" t="s">
        <v>571</v>
      </c>
      <c r="D161" s="19" t="s">
        <v>571</v>
      </c>
      <c r="H161" s="88"/>
      <c r="I161" s="86" t="str">
        <f>IF(NOT(ISBLANK(Table3[[#This Row],[Unique Type]])),COUNTIFS(Table7[[Manually Extract Type ]],Table3[[#This Row],[Unique Type]]),"")</f>
        <v/>
      </c>
      <c r="J161" s="87" t="str">
        <f>IF(ISBLANK(Table3[[#This Row],[Unique Type]]),"",IF(Table3[[#This Row],[Count unique types]]&gt;1,Table3[[#This Row],[Unique Type]],"Miscellaneous"))</f>
        <v/>
      </c>
    </row>
    <row r="162" spans="2:10" x14ac:dyDescent="0.5">
      <c r="B162" s="19"/>
      <c r="C162" s="19" t="s">
        <v>571</v>
      </c>
      <c r="D162" s="19" t="s">
        <v>571</v>
      </c>
      <c r="H162" s="87"/>
      <c r="I162" s="86" t="str">
        <f>IF(NOT(ISBLANK(Table3[[#This Row],[Unique Type]])),COUNTIFS(Table7[[Manually Extract Type ]],Table3[[#This Row],[Unique Type]]),"")</f>
        <v/>
      </c>
      <c r="J162" s="87" t="str">
        <f>IF(ISBLANK(Table3[[#This Row],[Unique Type]]),"",IF(Table3[[#This Row],[Count unique types]]&gt;1,Table3[[#This Row],[Unique Type]],"Miscellaneous"))</f>
        <v/>
      </c>
    </row>
    <row r="163" spans="2:10" x14ac:dyDescent="0.5">
      <c r="B163" s="19" t="s">
        <v>472</v>
      </c>
      <c r="C163" s="19" t="s">
        <v>472</v>
      </c>
      <c r="D163" t="s">
        <v>12</v>
      </c>
      <c r="H163" s="88"/>
      <c r="I163" s="86" t="str">
        <f>IF(NOT(ISBLANK(Table3[[#This Row],[Unique Type]])),COUNTIFS(Table7[[Manually Extract Type ]],Table3[[#This Row],[Unique Type]]),"")</f>
        <v/>
      </c>
      <c r="J163" s="87" t="str">
        <f>IF(ISBLANK(Table3[[#This Row],[Unique Type]]),"",IF(Table3[[#This Row],[Count unique types]]&gt;1,Table3[[#This Row],[Unique Type]],"Miscellaneous"))</f>
        <v/>
      </c>
    </row>
    <row r="164" spans="2:10" x14ac:dyDescent="0.5">
      <c r="B164" s="19" t="s">
        <v>473</v>
      </c>
      <c r="C164" s="19" t="s">
        <v>473</v>
      </c>
      <c r="D164" t="s">
        <v>12</v>
      </c>
      <c r="H164" s="87"/>
      <c r="I164" s="86" t="str">
        <f>IF(NOT(ISBLANK(Table3[[#This Row],[Unique Type]])),COUNTIFS(Table7[[Manually Extract Type ]],Table3[[#This Row],[Unique Type]]),"")</f>
        <v/>
      </c>
      <c r="J164" s="87" t="str">
        <f>IF(ISBLANK(Table3[[#This Row],[Unique Type]]),"",IF(Table3[[#This Row],[Count unique types]]&gt;1,Table3[[#This Row],[Unique Type]],"Miscellaneous"))</f>
        <v/>
      </c>
    </row>
    <row r="165" spans="2:10" x14ac:dyDescent="0.5">
      <c r="B165" s="19" t="s">
        <v>332</v>
      </c>
      <c r="C165" s="19" t="s">
        <v>332</v>
      </c>
      <c r="D165" s="84" t="s">
        <v>559</v>
      </c>
      <c r="H165" s="88"/>
      <c r="I165" s="86" t="str">
        <f>IF(NOT(ISBLANK(Table3[[#This Row],[Unique Type]])),COUNTIFS(Table7[[Manually Extract Type ]],Table3[[#This Row],[Unique Type]]),"")</f>
        <v/>
      </c>
      <c r="J165" s="87" t="str">
        <f>IF(ISBLANK(Table3[[#This Row],[Unique Type]]),"",IF(Table3[[#This Row],[Count unique types]]&gt;1,Table3[[#This Row],[Unique Type]],"Miscellaneous"))</f>
        <v/>
      </c>
    </row>
    <row r="166" spans="2:10" x14ac:dyDescent="0.5">
      <c r="B166" s="19" t="s">
        <v>474</v>
      </c>
      <c r="C166" s="19" t="s">
        <v>474</v>
      </c>
      <c r="D166" t="s">
        <v>12</v>
      </c>
      <c r="H166" s="87"/>
      <c r="I166" s="86" t="str">
        <f>IF(NOT(ISBLANK(Table3[[#This Row],[Unique Type]])),COUNTIFS(Table7[[Manually Extract Type ]],Table3[[#This Row],[Unique Type]]),"")</f>
        <v/>
      </c>
      <c r="J166" s="87" t="str">
        <f>IF(ISBLANK(Table3[[#This Row],[Unique Type]]),"",IF(Table3[[#This Row],[Count unique types]]&gt;1,Table3[[#This Row],[Unique Type]],"Miscellaneous"))</f>
        <v/>
      </c>
    </row>
    <row r="167" spans="2:10" x14ac:dyDescent="0.5">
      <c r="B167" s="19" t="s">
        <v>409</v>
      </c>
      <c r="C167" s="19" t="s">
        <v>409</v>
      </c>
      <c r="D167" s="83" t="s">
        <v>550</v>
      </c>
      <c r="H167" s="88"/>
      <c r="I167" s="86" t="str">
        <f>IF(NOT(ISBLANK(Table3[[#This Row],[Unique Type]])),COUNTIFS(Table7[[Manually Extract Type ]],Table3[[#This Row],[Unique Type]]),"")</f>
        <v/>
      </c>
      <c r="J167" s="87" t="str">
        <f>IF(ISBLANK(Table3[[#This Row],[Unique Type]]),"",IF(Table3[[#This Row],[Count unique types]]&gt;1,Table3[[#This Row],[Unique Type]],"Miscellaneous"))</f>
        <v/>
      </c>
    </row>
    <row r="168" spans="2:10" x14ac:dyDescent="0.5">
      <c r="B168" s="19" t="s">
        <v>345</v>
      </c>
      <c r="C168" s="19" t="s">
        <v>345</v>
      </c>
      <c r="D168" t="s">
        <v>345</v>
      </c>
      <c r="H168" s="87"/>
      <c r="I168" s="86" t="str">
        <f>IF(NOT(ISBLANK(Table3[[#This Row],[Unique Type]])),COUNTIFS(Table7[[Manually Extract Type ]],Table3[[#This Row],[Unique Type]]),"")</f>
        <v/>
      </c>
      <c r="J168" s="87" t="str">
        <f>IF(ISBLANK(Table3[[#This Row],[Unique Type]]),"",IF(Table3[[#This Row],[Count unique types]]&gt;1,Table3[[#This Row],[Unique Type]],"Miscellaneous"))</f>
        <v/>
      </c>
    </row>
    <row r="169" spans="2:10" x14ac:dyDescent="0.5">
      <c r="B169" s="19" t="s">
        <v>344</v>
      </c>
      <c r="C169" s="19" t="s">
        <v>344</v>
      </c>
      <c r="D169" s="83" t="s">
        <v>560</v>
      </c>
      <c r="H169" s="88"/>
      <c r="I169" s="86" t="str">
        <f>IF(NOT(ISBLANK(Table3[[#This Row],[Unique Type]])),COUNTIFS(Table7[[Manually Extract Type ]],Table3[[#This Row],[Unique Type]]),"")</f>
        <v/>
      </c>
      <c r="J169" s="87" t="str">
        <f>IF(ISBLANK(Table3[[#This Row],[Unique Type]]),"",IF(Table3[[#This Row],[Count unique types]]&gt;1,Table3[[#This Row],[Unique Type]],"Miscellaneous"))</f>
        <v/>
      </c>
    </row>
    <row r="170" spans="2:10" x14ac:dyDescent="0.5">
      <c r="B170" s="19" t="s">
        <v>475</v>
      </c>
      <c r="C170" s="19" t="s">
        <v>475</v>
      </c>
      <c r="D170" t="s">
        <v>12</v>
      </c>
      <c r="H170" s="87"/>
      <c r="I170" s="86" t="str">
        <f>IF(NOT(ISBLANK(Table3[[#This Row],[Unique Type]])),COUNTIFS(Table7[[Manually Extract Type ]],Table3[[#This Row],[Unique Type]]),"")</f>
        <v/>
      </c>
      <c r="J170" s="87" t="str">
        <f>IF(ISBLANK(Table3[[#This Row],[Unique Type]]),"",IF(Table3[[#This Row],[Count unique types]]&gt;1,Table3[[#This Row],[Unique Type]],"Miscellaneous"))</f>
        <v/>
      </c>
    </row>
    <row r="171" spans="2:10" x14ac:dyDescent="0.5">
      <c r="B171" s="19" t="s">
        <v>335</v>
      </c>
      <c r="C171" s="19" t="s">
        <v>335</v>
      </c>
      <c r="D171" s="83" t="s">
        <v>542</v>
      </c>
      <c r="H171" s="88"/>
      <c r="I171" s="86" t="str">
        <f>IF(NOT(ISBLANK(Table3[[#This Row],[Unique Type]])),COUNTIFS(Table7[[Manually Extract Type ]],Table3[[#This Row],[Unique Type]]),"")</f>
        <v/>
      </c>
      <c r="J171" s="87" t="str">
        <f>IF(ISBLANK(Table3[[#This Row],[Unique Type]]),"",IF(Table3[[#This Row],[Count unique types]]&gt;1,Table3[[#This Row],[Unique Type]],"Miscellaneous"))</f>
        <v/>
      </c>
    </row>
    <row r="172" spans="2:10" x14ac:dyDescent="0.5">
      <c r="B172" s="19" t="s">
        <v>403</v>
      </c>
      <c r="C172" s="19" t="s">
        <v>403</v>
      </c>
      <c r="D172" t="s">
        <v>563</v>
      </c>
      <c r="H172" s="87"/>
      <c r="I172" s="86" t="str">
        <f>IF(NOT(ISBLANK(Table3[[#This Row],[Unique Type]])),COUNTIFS(Table7[[Manually Extract Type ]],Table3[[#This Row],[Unique Type]]),"")</f>
        <v/>
      </c>
      <c r="J172" s="87" t="str">
        <f>IF(ISBLANK(Table3[[#This Row],[Unique Type]]),"",IF(Table3[[#This Row],[Count unique types]]&gt;1,Table3[[#This Row],[Unique Type]],"Miscellaneous"))</f>
        <v/>
      </c>
    </row>
    <row r="173" spans="2:10" x14ac:dyDescent="0.5">
      <c r="B173" s="19" t="s">
        <v>410</v>
      </c>
      <c r="C173" s="19" t="s">
        <v>410</v>
      </c>
      <c r="D173" s="83" t="s">
        <v>544</v>
      </c>
      <c r="H173" s="88"/>
      <c r="I173" s="86" t="str">
        <f>IF(NOT(ISBLANK(Table3[[#This Row],[Unique Type]])),COUNTIFS(Table7[[Manually Extract Type ]],Table3[[#This Row],[Unique Type]]),"")</f>
        <v/>
      </c>
      <c r="J173" s="87" t="str">
        <f>IF(ISBLANK(Table3[[#This Row],[Unique Type]]),"",IF(Table3[[#This Row],[Count unique types]]&gt;1,Table3[[#This Row],[Unique Type]],"Miscellaneous"))</f>
        <v/>
      </c>
    </row>
    <row r="174" spans="2:10" x14ac:dyDescent="0.5">
      <c r="B174" s="19" t="s">
        <v>478</v>
      </c>
      <c r="C174" s="19" t="s">
        <v>478</v>
      </c>
      <c r="D174" t="s">
        <v>12</v>
      </c>
      <c r="H174" s="87"/>
      <c r="I174" s="86" t="str">
        <f>IF(NOT(ISBLANK(Table3[[#This Row],[Unique Type]])),COUNTIFS(Table7[[Manually Extract Type ]],Table3[[#This Row],[Unique Type]]),"")</f>
        <v/>
      </c>
      <c r="J174" s="87" t="str">
        <f>IF(ISBLANK(Table3[[#This Row],[Unique Type]]),"",IF(Table3[[#This Row],[Count unique types]]&gt;1,Table3[[#This Row],[Unique Type]],"Miscellaneous"))</f>
        <v/>
      </c>
    </row>
    <row r="175" spans="2:10" x14ac:dyDescent="0.5">
      <c r="B175" s="19" t="s">
        <v>344</v>
      </c>
      <c r="C175" s="19" t="s">
        <v>344</v>
      </c>
      <c r="D175" s="83" t="s">
        <v>560</v>
      </c>
      <c r="H175" s="88"/>
      <c r="I175" s="86" t="str">
        <f>IF(NOT(ISBLANK(Table3[[#This Row],[Unique Type]])),COUNTIFS(Table7[[Manually Extract Type ]],Table3[[#This Row],[Unique Type]]),"")</f>
        <v/>
      </c>
      <c r="J175" s="87" t="str">
        <f>IF(ISBLANK(Table3[[#This Row],[Unique Type]]),"",IF(Table3[[#This Row],[Count unique types]]&gt;1,Table3[[#This Row],[Unique Type]],"Miscellaneous"))</f>
        <v/>
      </c>
    </row>
    <row r="176" spans="2:10" x14ac:dyDescent="0.5">
      <c r="B176" s="19" t="s">
        <v>404</v>
      </c>
      <c r="C176" s="19" t="s">
        <v>404</v>
      </c>
      <c r="D176" t="s">
        <v>563</v>
      </c>
      <c r="H176" s="87"/>
      <c r="I176" s="86" t="str">
        <f>IF(NOT(ISBLANK(Table3[[#This Row],[Unique Type]])),COUNTIFS(Table7[[Manually Extract Type ]],Table3[[#This Row],[Unique Type]]),"")</f>
        <v/>
      </c>
      <c r="J176" s="87" t="str">
        <f>IF(ISBLANK(Table3[[#This Row],[Unique Type]]),"",IF(Table3[[#This Row],[Count unique types]]&gt;1,Table3[[#This Row],[Unique Type]],"Miscellaneous"))</f>
        <v/>
      </c>
    </row>
    <row r="177" spans="2:10" x14ac:dyDescent="0.5">
      <c r="B177" s="19" t="s">
        <v>411</v>
      </c>
      <c r="C177" s="19" t="s">
        <v>411</v>
      </c>
      <c r="D177" s="83" t="s">
        <v>547</v>
      </c>
      <c r="H177" s="88"/>
      <c r="I177" s="86" t="str">
        <f>IF(NOT(ISBLANK(Table3[[#This Row],[Unique Type]])),COUNTIFS(Table7[[Manually Extract Type ]],Table3[[#This Row],[Unique Type]]),"")</f>
        <v/>
      </c>
      <c r="J177" s="87" t="str">
        <f>IF(ISBLANK(Table3[[#This Row],[Unique Type]]),"",IF(Table3[[#This Row],[Count unique types]]&gt;1,Table3[[#This Row],[Unique Type]],"Miscellaneous"))</f>
        <v/>
      </c>
    </row>
    <row r="178" spans="2:10" x14ac:dyDescent="0.5">
      <c r="B178" s="19" t="s">
        <v>412</v>
      </c>
      <c r="C178" s="19" t="s">
        <v>412</v>
      </c>
      <c r="D178" s="83" t="s">
        <v>560</v>
      </c>
      <c r="H178" s="87"/>
      <c r="I178" s="86" t="str">
        <f>IF(NOT(ISBLANK(Table3[[#This Row],[Unique Type]])),COUNTIFS(Table7[[Manually Extract Type ]],Table3[[#This Row],[Unique Type]]),"")</f>
        <v/>
      </c>
      <c r="J178" s="87" t="str">
        <f>IF(ISBLANK(Table3[[#This Row],[Unique Type]]),"",IF(Table3[[#This Row],[Count unique types]]&gt;1,Table3[[#This Row],[Unique Type]],"Miscellaneous"))</f>
        <v/>
      </c>
    </row>
    <row r="179" spans="2:10" x14ac:dyDescent="0.5">
      <c r="B179" s="19" t="s">
        <v>345</v>
      </c>
      <c r="C179" s="19" t="s">
        <v>345</v>
      </c>
      <c r="D179" t="s">
        <v>345</v>
      </c>
      <c r="H179" s="88"/>
      <c r="I179" s="86" t="str">
        <f>IF(NOT(ISBLANK(Table3[[#This Row],[Unique Type]])),COUNTIFS(Table7[[Manually Extract Type ]],Table3[[#This Row],[Unique Type]]),"")</f>
        <v/>
      </c>
      <c r="J179" s="87" t="str">
        <f>IF(ISBLANK(Table3[[#This Row],[Unique Type]]),"",IF(Table3[[#This Row],[Count unique types]]&gt;1,Table3[[#This Row],[Unique Type]],"Miscellaneous"))</f>
        <v/>
      </c>
    </row>
    <row r="180" spans="2:10" x14ac:dyDescent="0.5">
      <c r="B180" s="19" t="s">
        <v>476</v>
      </c>
      <c r="C180" s="19" t="s">
        <v>476</v>
      </c>
      <c r="D180" t="s">
        <v>12</v>
      </c>
      <c r="H180" s="87"/>
      <c r="I180" s="86" t="str">
        <f>IF(NOT(ISBLANK(Table3[[#This Row],[Unique Type]])),COUNTIFS(Table7[[Manually Extract Type ]],Table3[[#This Row],[Unique Type]]),"")</f>
        <v/>
      </c>
      <c r="J180" s="87" t="str">
        <f>IF(ISBLANK(Table3[[#This Row],[Unique Type]]),"",IF(Table3[[#This Row],[Count unique types]]&gt;1,Table3[[#This Row],[Unique Type]],"Miscellaneous"))</f>
        <v/>
      </c>
    </row>
    <row r="181" spans="2:10" x14ac:dyDescent="0.5">
      <c r="B181" s="19" t="s">
        <v>477</v>
      </c>
      <c r="C181" s="19" t="s">
        <v>477</v>
      </c>
      <c r="D181" t="s">
        <v>12</v>
      </c>
      <c r="H181" s="88"/>
      <c r="I181" s="86" t="str">
        <f>IF(NOT(ISBLANK(Table3[[#This Row],[Unique Type]])),COUNTIFS(Table7[[Manually Extract Type ]],Table3[[#This Row],[Unique Type]]),"")</f>
        <v/>
      </c>
      <c r="J181" s="87" t="str">
        <f>IF(ISBLANK(Table3[[#This Row],[Unique Type]]),"",IF(Table3[[#This Row],[Count unique types]]&gt;1,Table3[[#This Row],[Unique Type]],"Miscellaneous"))</f>
        <v/>
      </c>
    </row>
    <row r="182" spans="2:10" x14ac:dyDescent="0.5">
      <c r="B182" s="19" t="s">
        <v>413</v>
      </c>
      <c r="C182" s="19" t="s">
        <v>413</v>
      </c>
      <c r="D182" s="83" t="s">
        <v>545</v>
      </c>
      <c r="H182" s="87"/>
      <c r="I182" s="86" t="str">
        <f>IF(NOT(ISBLANK(Table3[[#This Row],[Unique Type]])),COUNTIFS(Table7[[Manually Extract Type ]],Table3[[#This Row],[Unique Type]]),"")</f>
        <v/>
      </c>
      <c r="J182" s="87" t="str">
        <f>IF(ISBLANK(Table3[[#This Row],[Unique Type]]),"",IF(Table3[[#This Row],[Count unique types]]&gt;1,Table3[[#This Row],[Unique Type]],"Miscellaneous"))</f>
        <v/>
      </c>
    </row>
    <row r="183" spans="2:10" x14ac:dyDescent="0.5">
      <c r="B183" s="19" t="s">
        <v>338</v>
      </c>
      <c r="C183" s="19" t="s">
        <v>338</v>
      </c>
      <c r="D183" s="83" t="s">
        <v>543</v>
      </c>
      <c r="H183" s="88"/>
      <c r="I183" s="86" t="str">
        <f>IF(NOT(ISBLANK(Table3[[#This Row],[Unique Type]])),COUNTIFS(Table7[[Manually Extract Type ]],Table3[[#This Row],[Unique Type]]),"")</f>
        <v/>
      </c>
      <c r="J183" s="87" t="str">
        <f>IF(ISBLANK(Table3[[#This Row],[Unique Type]]),"",IF(Table3[[#This Row],[Count unique types]]&gt;1,Table3[[#This Row],[Unique Type]],"Miscellaneous"))</f>
        <v/>
      </c>
    </row>
    <row r="184" spans="2:10" x14ac:dyDescent="0.5">
      <c r="B184" s="19" t="s">
        <v>479</v>
      </c>
      <c r="C184" s="19" t="s">
        <v>479</v>
      </c>
      <c r="D184" t="s">
        <v>12</v>
      </c>
      <c r="H184" s="87"/>
      <c r="I184" s="86" t="str">
        <f>IF(NOT(ISBLANK(Table3[[#This Row],[Unique Type]])),COUNTIFS(Table7[[Manually Extract Type ]],Table3[[#This Row],[Unique Type]]),"")</f>
        <v/>
      </c>
      <c r="J184" s="87" t="str">
        <f>IF(ISBLANK(Table3[[#This Row],[Unique Type]]),"",IF(Table3[[#This Row],[Count unique types]]&gt;1,Table3[[#This Row],[Unique Type]],"Miscellaneous"))</f>
        <v/>
      </c>
    </row>
    <row r="185" spans="2:10" x14ac:dyDescent="0.5">
      <c r="B185" s="19" t="s">
        <v>480</v>
      </c>
      <c r="C185" s="19" t="s">
        <v>480</v>
      </c>
      <c r="D185" t="s">
        <v>12</v>
      </c>
      <c r="H185" s="88"/>
      <c r="I185" s="86" t="str">
        <f>IF(NOT(ISBLANK(Table3[[#This Row],[Unique Type]])),COUNTIFS(Table7[[Manually Extract Type ]],Table3[[#This Row],[Unique Type]]),"")</f>
        <v/>
      </c>
      <c r="J185" s="87" t="str">
        <f>IF(ISBLANK(Table3[[#This Row],[Unique Type]]),"",IF(Table3[[#This Row],[Count unique types]]&gt;1,Table3[[#This Row],[Unique Type]],"Miscellaneous"))</f>
        <v/>
      </c>
    </row>
    <row r="186" spans="2:10" x14ac:dyDescent="0.5">
      <c r="B186" s="19" t="s">
        <v>414</v>
      </c>
      <c r="C186" s="19" t="s">
        <v>414</v>
      </c>
      <c r="D186" s="83" t="s">
        <v>548</v>
      </c>
      <c r="H186" s="87"/>
      <c r="I186" s="86" t="str">
        <f>IF(NOT(ISBLANK(Table3[[#This Row],[Unique Type]])),COUNTIFS(Table7[[Manually Extract Type ]],Table3[[#This Row],[Unique Type]]),"")</f>
        <v/>
      </c>
      <c r="J186" s="87" t="str">
        <f>IF(ISBLANK(Table3[[#This Row],[Unique Type]]),"",IF(Table3[[#This Row],[Count unique types]]&gt;1,Table3[[#This Row],[Unique Type]],"Miscellaneous"))</f>
        <v/>
      </c>
    </row>
    <row r="187" spans="2:10" x14ac:dyDescent="0.5">
      <c r="B187" s="19" t="s">
        <v>364</v>
      </c>
      <c r="C187" s="19" t="s">
        <v>364</v>
      </c>
      <c r="D187" s="83" t="s">
        <v>560</v>
      </c>
      <c r="H187" s="88"/>
      <c r="I187" s="86" t="str">
        <f>IF(NOT(ISBLANK(Table3[[#This Row],[Unique Type]])),COUNTIFS(Table7[[Manually Extract Type ]],Table3[[#This Row],[Unique Type]]),"")</f>
        <v/>
      </c>
      <c r="J187" s="87" t="str">
        <f>IF(ISBLANK(Table3[[#This Row],[Unique Type]]),"",IF(Table3[[#This Row],[Count unique types]]&gt;1,Table3[[#This Row],[Unique Type]],"Miscellaneous"))</f>
        <v/>
      </c>
    </row>
    <row r="188" spans="2:10" x14ac:dyDescent="0.5">
      <c r="B188" s="19" t="s">
        <v>415</v>
      </c>
      <c r="C188" s="19" t="s">
        <v>415</v>
      </c>
      <c r="D188" t="s">
        <v>561</v>
      </c>
      <c r="H188" s="87"/>
      <c r="I188" s="86" t="str">
        <f>IF(NOT(ISBLANK(Table3[[#This Row],[Unique Type]])),COUNTIFS(Table7[[Manually Extract Type ]],Table3[[#This Row],[Unique Type]]),"")</f>
        <v/>
      </c>
      <c r="J188" s="87" t="str">
        <f>IF(ISBLANK(Table3[[#This Row],[Unique Type]]),"",IF(Table3[[#This Row],[Count unique types]]&gt;1,Table3[[#This Row],[Unique Type]],"Miscellaneous"))</f>
        <v/>
      </c>
    </row>
    <row r="189" spans="2:10" x14ac:dyDescent="0.5">
      <c r="B189" s="19"/>
      <c r="C189" s="19" t="s">
        <v>571</v>
      </c>
      <c r="D189" s="19" t="s">
        <v>571</v>
      </c>
      <c r="H189" s="88"/>
      <c r="I189" s="86" t="str">
        <f>IF(NOT(ISBLANK(Table3[[#This Row],[Unique Type]])),COUNTIFS(Table7[[Manually Extract Type ]],Table3[[#This Row],[Unique Type]]),"")</f>
        <v/>
      </c>
      <c r="J189" s="87" t="str">
        <f>IF(ISBLANK(Table3[[#This Row],[Unique Type]]),"",IF(Table3[[#This Row],[Count unique types]]&gt;1,Table3[[#This Row],[Unique Type]],"Miscellaneous"))</f>
        <v/>
      </c>
    </row>
    <row r="190" spans="2:10" x14ac:dyDescent="0.5">
      <c r="B190" s="19"/>
      <c r="C190" s="19" t="s">
        <v>571</v>
      </c>
      <c r="D190" s="19" t="s">
        <v>571</v>
      </c>
      <c r="H190" s="87"/>
      <c r="I190" s="86" t="str">
        <f>IF(NOT(ISBLANK(Table3[[#This Row],[Unique Type]])),COUNTIFS(Table7[[Manually Extract Type ]],Table3[[#This Row],[Unique Type]]),"")</f>
        <v/>
      </c>
      <c r="J190" s="87" t="str">
        <f>IF(ISBLANK(Table3[[#This Row],[Unique Type]]),"",IF(Table3[[#This Row],[Count unique types]]&gt;1,Table3[[#This Row],[Unique Type]],"Miscellaneous"))</f>
        <v/>
      </c>
    </row>
    <row r="191" spans="2:10" x14ac:dyDescent="0.5">
      <c r="B191" s="19" t="s">
        <v>481</v>
      </c>
      <c r="C191" s="19" t="s">
        <v>481</v>
      </c>
      <c r="D191" t="s">
        <v>12</v>
      </c>
      <c r="H191" s="88"/>
      <c r="I191" s="86" t="str">
        <f>IF(NOT(ISBLANK(Table3[[#This Row],[Unique Type]])),COUNTIFS(Table7[[Manually Extract Type ]],Table3[[#This Row],[Unique Type]]),"")</f>
        <v/>
      </c>
      <c r="J191" s="87" t="str">
        <f>IF(ISBLANK(Table3[[#This Row],[Unique Type]]),"",IF(Table3[[#This Row],[Count unique types]]&gt;1,Table3[[#This Row],[Unique Type]],"Miscellaneous"))</f>
        <v/>
      </c>
    </row>
    <row r="192" spans="2:10" x14ac:dyDescent="0.5">
      <c r="B192" s="19" t="s">
        <v>482</v>
      </c>
      <c r="C192" s="19" t="s">
        <v>482</v>
      </c>
      <c r="D192" t="s">
        <v>12</v>
      </c>
      <c r="H192" s="87"/>
      <c r="I192" s="86" t="str">
        <f>IF(NOT(ISBLANK(Table3[[#This Row],[Unique Type]])),COUNTIFS(Table7[[Manually Extract Type ]],Table3[[#This Row],[Unique Type]]),"")</f>
        <v/>
      </c>
      <c r="J192" s="87" t="str">
        <f>IF(ISBLANK(Table3[[#This Row],[Unique Type]]),"",IF(Table3[[#This Row],[Count unique types]]&gt;1,Table3[[#This Row],[Unique Type]],"Miscellaneous"))</f>
        <v/>
      </c>
    </row>
    <row r="193" spans="2:10" x14ac:dyDescent="0.5">
      <c r="B193" s="19" t="s">
        <v>364</v>
      </c>
      <c r="C193" s="19" t="s">
        <v>364</v>
      </c>
      <c r="D193" s="83" t="s">
        <v>560</v>
      </c>
      <c r="H193" s="88"/>
      <c r="I193" s="86" t="str">
        <f>IF(NOT(ISBLANK(Table3[[#This Row],[Unique Type]])),COUNTIFS(Table7[[Manually Extract Type ]],Table3[[#This Row],[Unique Type]]),"")</f>
        <v/>
      </c>
      <c r="J193" s="87" t="str">
        <f>IF(ISBLANK(Table3[[#This Row],[Unique Type]]),"",IF(Table3[[#This Row],[Count unique types]]&gt;1,Table3[[#This Row],[Unique Type]],"Miscellaneous"))</f>
        <v/>
      </c>
    </row>
    <row r="194" spans="2:10" x14ac:dyDescent="0.5">
      <c r="B194" s="19" t="s">
        <v>345</v>
      </c>
      <c r="C194" s="19" t="s">
        <v>345</v>
      </c>
      <c r="D194" t="s">
        <v>345</v>
      </c>
      <c r="H194" s="87"/>
      <c r="I194" s="86" t="str">
        <f>IF(NOT(ISBLANK(Table3[[#This Row],[Unique Type]])),COUNTIFS(Table7[[Manually Extract Type ]],Table3[[#This Row],[Unique Type]]),"")</f>
        <v/>
      </c>
      <c r="J194" s="87" t="str">
        <f>IF(ISBLANK(Table3[[#This Row],[Unique Type]]),"",IF(Table3[[#This Row],[Count unique types]]&gt;1,Table3[[#This Row],[Unique Type]],"Miscellaneous"))</f>
        <v/>
      </c>
    </row>
    <row r="195" spans="2:10" x14ac:dyDescent="0.5">
      <c r="B195" s="19" t="s">
        <v>332</v>
      </c>
      <c r="C195" s="19" t="s">
        <v>332</v>
      </c>
      <c r="D195" s="84" t="s">
        <v>559</v>
      </c>
      <c r="H195" s="88"/>
      <c r="I195" s="86" t="str">
        <f>IF(NOT(ISBLANK(Table3[[#This Row],[Unique Type]])),COUNTIFS(Table7[[Manually Extract Type ]],Table3[[#This Row],[Unique Type]]),"")</f>
        <v/>
      </c>
      <c r="J195" s="87" t="str">
        <f>IF(ISBLANK(Table3[[#This Row],[Unique Type]]),"",IF(Table3[[#This Row],[Count unique types]]&gt;1,Table3[[#This Row],[Unique Type]],"Miscellaneous"))</f>
        <v/>
      </c>
    </row>
    <row r="196" spans="2:10" x14ac:dyDescent="0.5">
      <c r="B196" s="19" t="s">
        <v>435</v>
      </c>
      <c r="C196" s="19" t="s">
        <v>435</v>
      </c>
      <c r="D196" s="83" t="s">
        <v>550</v>
      </c>
      <c r="H196" s="87"/>
      <c r="I196" s="86" t="str">
        <f>IF(NOT(ISBLANK(Table3[[#This Row],[Unique Type]])),COUNTIFS(Table7[[Manually Extract Type ]],Table3[[#This Row],[Unique Type]]),"")</f>
        <v/>
      </c>
      <c r="J196" s="87" t="str">
        <f>IF(ISBLANK(Table3[[#This Row],[Unique Type]]),"",IF(Table3[[#This Row],[Count unique types]]&gt;1,Table3[[#This Row],[Unique Type]],"Miscellaneous"))</f>
        <v/>
      </c>
    </row>
    <row r="197" spans="2:10" x14ac:dyDescent="0.5">
      <c r="B197" s="19" t="s">
        <v>335</v>
      </c>
      <c r="C197" s="19" t="s">
        <v>335</v>
      </c>
      <c r="D197" s="83" t="s">
        <v>542</v>
      </c>
      <c r="H197" s="88"/>
      <c r="I197" s="86" t="str">
        <f>IF(NOT(ISBLANK(Table3[[#This Row],[Unique Type]])),COUNTIFS(Table7[[Manually Extract Type ]],Table3[[#This Row],[Unique Type]]),"")</f>
        <v/>
      </c>
      <c r="J197" s="87" t="str">
        <f>IF(ISBLANK(Table3[[#This Row],[Unique Type]]),"",IF(Table3[[#This Row],[Count unique types]]&gt;1,Table3[[#This Row],[Unique Type]],"Miscellaneous"))</f>
        <v/>
      </c>
    </row>
    <row r="198" spans="2:10" x14ac:dyDescent="0.5">
      <c r="B198" s="19" t="s">
        <v>486</v>
      </c>
      <c r="C198" s="19" t="s">
        <v>486</v>
      </c>
      <c r="D198" t="s">
        <v>12</v>
      </c>
      <c r="H198" s="87"/>
      <c r="I198" s="86" t="str">
        <f>IF(NOT(ISBLANK(Table3[[#This Row],[Unique Type]])),COUNTIFS(Table7[[Manually Extract Type ]],Table3[[#This Row],[Unique Type]]),"")</f>
        <v/>
      </c>
      <c r="J198" s="87" t="str">
        <f>IF(ISBLANK(Table3[[#This Row],[Unique Type]]),"",IF(Table3[[#This Row],[Count unique types]]&gt;1,Table3[[#This Row],[Unique Type]],"Miscellaneous"))</f>
        <v/>
      </c>
    </row>
    <row r="199" spans="2:10" x14ac:dyDescent="0.5">
      <c r="B199" s="19" t="s">
        <v>484</v>
      </c>
      <c r="C199" s="19" t="s">
        <v>484</v>
      </c>
      <c r="D199" t="s">
        <v>12</v>
      </c>
      <c r="H199" s="88"/>
      <c r="I199" s="86" t="str">
        <f>IF(NOT(ISBLANK(Table3[[#This Row],[Unique Type]])),COUNTIFS(Table7[[Manually Extract Type ]],Table3[[#This Row],[Unique Type]]),"")</f>
        <v/>
      </c>
      <c r="J199" s="87" t="str">
        <f>IF(ISBLANK(Table3[[#This Row],[Unique Type]]),"",IF(Table3[[#This Row],[Count unique types]]&gt;1,Table3[[#This Row],[Unique Type]],"Miscellaneous"))</f>
        <v/>
      </c>
    </row>
    <row r="200" spans="2:10" x14ac:dyDescent="0.5">
      <c r="B200" s="19" t="s">
        <v>485</v>
      </c>
      <c r="C200" s="19" t="s">
        <v>485</v>
      </c>
      <c r="D200" t="s">
        <v>12</v>
      </c>
      <c r="H200" s="87"/>
      <c r="I200" s="86" t="str">
        <f>IF(NOT(ISBLANK(Table3[[#This Row],[Unique Type]])),COUNTIFS(Table7[[Manually Extract Type ]],Table3[[#This Row],[Unique Type]]),"")</f>
        <v/>
      </c>
      <c r="J200" s="87" t="str">
        <f>IF(ISBLANK(Table3[[#This Row],[Unique Type]]),"",IF(Table3[[#This Row],[Count unique types]]&gt;1,Table3[[#This Row],[Unique Type]],"Miscellaneous"))</f>
        <v/>
      </c>
    </row>
    <row r="201" spans="2:10" x14ac:dyDescent="0.5">
      <c r="B201" s="19" t="s">
        <v>483</v>
      </c>
      <c r="C201" s="19" t="s">
        <v>483</v>
      </c>
      <c r="D201" t="s">
        <v>12</v>
      </c>
      <c r="H201" s="88"/>
      <c r="I201" s="86" t="str">
        <f>IF(NOT(ISBLANK(Table3[[#This Row],[Unique Type]])),COUNTIFS(Table7[[Manually Extract Type ]],Table3[[#This Row],[Unique Type]]),"")</f>
        <v/>
      </c>
      <c r="J201" s="87" t="str">
        <f>IF(ISBLANK(Table3[[#This Row],[Unique Type]]),"",IF(Table3[[#This Row],[Count unique types]]&gt;1,Table3[[#This Row],[Unique Type]],"Miscellaneous"))</f>
        <v/>
      </c>
    </row>
    <row r="202" spans="2:10" x14ac:dyDescent="0.5">
      <c r="B202" s="19" t="s">
        <v>436</v>
      </c>
      <c r="C202" s="19" t="s">
        <v>436</v>
      </c>
      <c r="D202" s="83" t="s">
        <v>547</v>
      </c>
      <c r="H202" s="87"/>
      <c r="I202" s="86" t="str">
        <f>IF(NOT(ISBLANK(Table3[[#This Row],[Unique Type]])),COUNTIFS(Table7[[Manually Extract Type ]],Table3[[#This Row],[Unique Type]]),"")</f>
        <v/>
      </c>
      <c r="J202" s="87" t="str">
        <f>IF(ISBLANK(Table3[[#This Row],[Unique Type]]),"",IF(Table3[[#This Row],[Count unique types]]&gt;1,Table3[[#This Row],[Unique Type]],"Miscellaneous"))</f>
        <v/>
      </c>
    </row>
    <row r="203" spans="2:10" x14ac:dyDescent="0.5">
      <c r="B203" s="19" t="s">
        <v>437</v>
      </c>
      <c r="C203" s="19" t="s">
        <v>437</v>
      </c>
      <c r="D203" s="83" t="s">
        <v>544</v>
      </c>
      <c r="H203" s="88"/>
      <c r="I203" s="86" t="str">
        <f>IF(NOT(ISBLANK(Table3[[#This Row],[Unique Type]])),COUNTIFS(Table7[[Manually Extract Type ]],Table3[[#This Row],[Unique Type]]),"")</f>
        <v/>
      </c>
      <c r="J203" s="87" t="str">
        <f>IF(ISBLANK(Table3[[#This Row],[Unique Type]]),"",IF(Table3[[#This Row],[Count unique types]]&gt;1,Table3[[#This Row],[Unique Type]],"Miscellaneous"))</f>
        <v/>
      </c>
    </row>
    <row r="204" spans="2:10" x14ac:dyDescent="0.5">
      <c r="B204" s="19" t="s">
        <v>438</v>
      </c>
      <c r="C204" s="19" t="s">
        <v>438</v>
      </c>
      <c r="D204" s="83" t="s">
        <v>545</v>
      </c>
      <c r="H204" s="87"/>
      <c r="I204" s="86" t="str">
        <f>IF(NOT(ISBLANK(Table3[[#This Row],[Unique Type]])),COUNTIFS(Table7[[Manually Extract Type ]],Table3[[#This Row],[Unique Type]]),"")</f>
        <v/>
      </c>
      <c r="J204" s="87" t="str">
        <f>IF(ISBLANK(Table3[[#This Row],[Unique Type]]),"",IF(Table3[[#This Row],[Count unique types]]&gt;1,Table3[[#This Row],[Unique Type]],"Miscellaneous"))</f>
        <v/>
      </c>
    </row>
    <row r="205" spans="2:10" x14ac:dyDescent="0.5">
      <c r="B205" s="19" t="s">
        <v>364</v>
      </c>
      <c r="C205" s="19" t="s">
        <v>364</v>
      </c>
      <c r="D205" s="83" t="s">
        <v>560</v>
      </c>
      <c r="H205" s="88"/>
      <c r="I205" s="86" t="str">
        <f>IF(NOT(ISBLANK(Table3[[#This Row],[Unique Type]])),COUNTIFS(Table7[[Manually Extract Type ]],Table3[[#This Row],[Unique Type]]),"")</f>
        <v/>
      </c>
      <c r="J205" s="87" t="str">
        <f>IF(ISBLANK(Table3[[#This Row],[Unique Type]]),"",IF(Table3[[#This Row],[Count unique types]]&gt;1,Table3[[#This Row],[Unique Type]],"Miscellaneous"))</f>
        <v/>
      </c>
    </row>
    <row r="206" spans="2:10" x14ac:dyDescent="0.5">
      <c r="B206" s="19" t="s">
        <v>488</v>
      </c>
      <c r="C206" s="19" t="s">
        <v>488</v>
      </c>
      <c r="D206" t="s">
        <v>12</v>
      </c>
      <c r="H206" s="87"/>
      <c r="I206" s="86" t="str">
        <f>IF(NOT(ISBLANK(Table3[[#This Row],[Unique Type]])),COUNTIFS(Table7[[Manually Extract Type ]],Table3[[#This Row],[Unique Type]]),"")</f>
        <v/>
      </c>
      <c r="J206" s="87" t="str">
        <f>IF(ISBLANK(Table3[[#This Row],[Unique Type]]),"",IF(Table3[[#This Row],[Count unique types]]&gt;1,Table3[[#This Row],[Unique Type]],"Miscellaneous"))</f>
        <v/>
      </c>
    </row>
    <row r="207" spans="2:10" x14ac:dyDescent="0.5">
      <c r="B207" s="19" t="s">
        <v>489</v>
      </c>
      <c r="C207" s="19" t="s">
        <v>489</v>
      </c>
      <c r="D207" t="s">
        <v>12</v>
      </c>
      <c r="H207" s="88"/>
      <c r="I207" s="86" t="str">
        <f>IF(NOT(ISBLANK(Table3[[#This Row],[Unique Type]])),COUNTIFS(Table7[[Manually Extract Type ]],Table3[[#This Row],[Unique Type]]),"")</f>
        <v/>
      </c>
      <c r="J207" s="87" t="str">
        <f>IF(ISBLANK(Table3[[#This Row],[Unique Type]]),"",IF(Table3[[#This Row],[Count unique types]]&gt;1,Table3[[#This Row],[Unique Type]],"Miscellaneous"))</f>
        <v/>
      </c>
    </row>
    <row r="208" spans="2:10" x14ac:dyDescent="0.5">
      <c r="B208" s="19" t="s">
        <v>345</v>
      </c>
      <c r="C208" s="19" t="s">
        <v>345</v>
      </c>
      <c r="D208" t="s">
        <v>345</v>
      </c>
      <c r="H208" s="87"/>
      <c r="I208" s="86" t="str">
        <f>IF(NOT(ISBLANK(Table3[[#This Row],[Unique Type]])),COUNTIFS(Table7[[Manually Extract Type ]],Table3[[#This Row],[Unique Type]]),"")</f>
        <v/>
      </c>
      <c r="J208" s="87" t="str">
        <f>IF(ISBLANK(Table3[[#This Row],[Unique Type]]),"",IF(Table3[[#This Row],[Count unique types]]&gt;1,Table3[[#This Row],[Unique Type]],"Miscellaneous"))</f>
        <v/>
      </c>
    </row>
    <row r="209" spans="2:10" x14ac:dyDescent="0.5">
      <c r="B209" s="19" t="s">
        <v>440</v>
      </c>
      <c r="C209" s="19" t="s">
        <v>440</v>
      </c>
      <c r="D209" t="s">
        <v>563</v>
      </c>
      <c r="H209" s="88"/>
      <c r="I209" s="86" t="str">
        <f>IF(NOT(ISBLANK(Table3[[#This Row],[Unique Type]])),COUNTIFS(Table7[[Manually Extract Type ]],Table3[[#This Row],[Unique Type]]),"")</f>
        <v/>
      </c>
      <c r="J209" s="87" t="str">
        <f>IF(ISBLANK(Table3[[#This Row],[Unique Type]]),"",IF(Table3[[#This Row],[Count unique types]]&gt;1,Table3[[#This Row],[Unique Type]],"Miscellaneous"))</f>
        <v/>
      </c>
    </row>
    <row r="210" spans="2:10" x14ac:dyDescent="0.5">
      <c r="B210" s="19" t="s">
        <v>345</v>
      </c>
      <c r="C210" s="19" t="s">
        <v>345</v>
      </c>
      <c r="D210" t="s">
        <v>345</v>
      </c>
      <c r="H210" s="87"/>
      <c r="I210" s="86" t="str">
        <f>IF(NOT(ISBLANK(Table3[[#This Row],[Unique Type]])),COUNTIFS(Table7[[Manually Extract Type ]],Table3[[#This Row],[Unique Type]]),"")</f>
        <v/>
      </c>
      <c r="J210" s="87" t="str">
        <f>IF(ISBLANK(Table3[[#This Row],[Unique Type]]),"",IF(Table3[[#This Row],[Count unique types]]&gt;1,Table3[[#This Row],[Unique Type]],"Miscellaneous"))</f>
        <v/>
      </c>
    </row>
    <row r="211" spans="2:10" x14ac:dyDescent="0.5">
      <c r="B211" s="19" t="s">
        <v>338</v>
      </c>
      <c r="C211" s="19" t="s">
        <v>338</v>
      </c>
      <c r="D211" s="83" t="s">
        <v>543</v>
      </c>
      <c r="H211" s="88"/>
      <c r="I211" s="86" t="str">
        <f>IF(NOT(ISBLANK(Table3[[#This Row],[Unique Type]])),COUNTIFS(Table7[[Manually Extract Type ]],Table3[[#This Row],[Unique Type]]),"")</f>
        <v/>
      </c>
      <c r="J211" s="87" t="str">
        <f>IF(ISBLANK(Table3[[#This Row],[Unique Type]]),"",IF(Table3[[#This Row],[Count unique types]]&gt;1,Table3[[#This Row],[Unique Type]],"Miscellaneous"))</f>
        <v/>
      </c>
    </row>
    <row r="212" spans="2:10" x14ac:dyDescent="0.5">
      <c r="B212" s="19" t="s">
        <v>439</v>
      </c>
      <c r="C212" s="19" t="s">
        <v>439</v>
      </c>
      <c r="D212" s="83" t="s">
        <v>548</v>
      </c>
      <c r="H212" s="87"/>
      <c r="I212" s="86" t="str">
        <f>IF(NOT(ISBLANK(Table3[[#This Row],[Unique Type]])),COUNTIFS(Table7[[Manually Extract Type ]],Table3[[#This Row],[Unique Type]]),"")</f>
        <v/>
      </c>
      <c r="J212" s="87" t="str">
        <f>IF(ISBLANK(Table3[[#This Row],[Unique Type]]),"",IF(Table3[[#This Row],[Count unique types]]&gt;1,Table3[[#This Row],[Unique Type]],"Miscellaneous"))</f>
        <v/>
      </c>
    </row>
    <row r="213" spans="2:10" x14ac:dyDescent="0.5">
      <c r="B213" s="19" t="s">
        <v>487</v>
      </c>
      <c r="C213" s="19" t="s">
        <v>487</v>
      </c>
      <c r="D213" t="s">
        <v>12</v>
      </c>
      <c r="H213" s="88"/>
      <c r="I213" s="86" t="str">
        <f>IF(NOT(ISBLANK(Table3[[#This Row],[Unique Type]])),COUNTIFS(Table7[[Manually Extract Type ]],Table3[[#This Row],[Unique Type]]),"")</f>
        <v/>
      </c>
      <c r="J213" s="87" t="str">
        <f>IF(ISBLANK(Table3[[#This Row],[Unique Type]]),"",IF(Table3[[#This Row],[Count unique types]]&gt;1,Table3[[#This Row],[Unique Type]],"Miscellaneous"))</f>
        <v/>
      </c>
    </row>
    <row r="214" spans="2:10" x14ac:dyDescent="0.5">
      <c r="B214" s="19"/>
      <c r="C214" s="19" t="s">
        <v>571</v>
      </c>
      <c r="D214" s="19" t="s">
        <v>571</v>
      </c>
      <c r="H214" s="87"/>
      <c r="I214" s="86" t="str">
        <f>IF(NOT(ISBLANK(Table3[[#This Row],[Unique Type]])),COUNTIFS(Table7[[Manually Extract Type ]],Table3[[#This Row],[Unique Type]]),"")</f>
        <v/>
      </c>
      <c r="J214" s="87" t="str">
        <f>IF(ISBLANK(Table3[[#This Row],[Unique Type]]),"",IF(Table3[[#This Row],[Count unique types]]&gt;1,Table3[[#This Row],[Unique Type]],"Miscellaneous"))</f>
        <v/>
      </c>
    </row>
    <row r="215" spans="2:10" x14ac:dyDescent="0.5">
      <c r="B215" s="19"/>
      <c r="C215" s="19" t="s">
        <v>571</v>
      </c>
      <c r="D215" s="19" t="s">
        <v>571</v>
      </c>
      <c r="H215" s="88"/>
      <c r="I215" s="86" t="str">
        <f>IF(NOT(ISBLANK(Table3[[#This Row],[Unique Type]])),COUNTIFS(Table7[[Manually Extract Type ]],Table3[[#This Row],[Unique Type]]),"")</f>
        <v/>
      </c>
      <c r="J215" s="87" t="str">
        <f>IF(ISBLANK(Table3[[#This Row],[Unique Type]]),"",IF(Table3[[#This Row],[Count unique types]]&gt;1,Table3[[#This Row],[Unique Type]],"Miscellaneous"))</f>
        <v/>
      </c>
    </row>
    <row r="216" spans="2:10" x14ac:dyDescent="0.5">
      <c r="B216" s="19" t="s">
        <v>490</v>
      </c>
      <c r="C216" s="19" t="s">
        <v>490</v>
      </c>
      <c r="D216" t="s">
        <v>12</v>
      </c>
      <c r="H216" s="87"/>
      <c r="I216" s="86" t="str">
        <f>IF(NOT(ISBLANK(Table3[[#This Row],[Unique Type]])),COUNTIFS(Table7[[Manually Extract Type ]],Table3[[#This Row],[Unique Type]]),"")</f>
        <v/>
      </c>
      <c r="J216" s="87" t="str">
        <f>IF(ISBLANK(Table3[[#This Row],[Unique Type]]),"",IF(Table3[[#This Row],[Count unique types]]&gt;1,Table3[[#This Row],[Unique Type]],"Miscellaneous"))</f>
        <v/>
      </c>
    </row>
    <row r="217" spans="2:10" x14ac:dyDescent="0.5">
      <c r="B217" s="19" t="s">
        <v>491</v>
      </c>
      <c r="C217" s="19" t="s">
        <v>491</v>
      </c>
      <c r="D217" t="s">
        <v>12</v>
      </c>
      <c r="H217" s="88"/>
      <c r="I217" s="86" t="str">
        <f>IF(NOT(ISBLANK(Table3[[#This Row],[Unique Type]])),COUNTIFS(Table7[[Manually Extract Type ]],Table3[[#This Row],[Unique Type]]),"")</f>
        <v/>
      </c>
      <c r="J217" s="87" t="str">
        <f>IF(ISBLANK(Table3[[#This Row],[Unique Type]]),"",IF(Table3[[#This Row],[Count unique types]]&gt;1,Table3[[#This Row],[Unique Type]],"Miscellaneous"))</f>
        <v/>
      </c>
    </row>
    <row r="218" spans="2:10" x14ac:dyDescent="0.5">
      <c r="B218" s="19" t="s">
        <v>332</v>
      </c>
      <c r="C218" s="19" t="s">
        <v>332</v>
      </c>
      <c r="D218" s="84" t="s">
        <v>559</v>
      </c>
      <c r="H218" s="87"/>
      <c r="I218" s="86" t="str">
        <f>IF(NOT(ISBLANK(Table3[[#This Row],[Unique Type]])),COUNTIFS(Table7[[Manually Extract Type ]],Table3[[#This Row],[Unique Type]]),"")</f>
        <v/>
      </c>
      <c r="J218" s="87" t="str">
        <f>IF(ISBLANK(Table3[[#This Row],[Unique Type]]),"",IF(Table3[[#This Row],[Count unique types]]&gt;1,Table3[[#This Row],[Unique Type]],"Miscellaneous"))</f>
        <v/>
      </c>
    </row>
    <row r="219" spans="2:10" x14ac:dyDescent="0.5">
      <c r="B219" s="19" t="s">
        <v>442</v>
      </c>
      <c r="C219" s="19" t="s">
        <v>442</v>
      </c>
      <c r="D219" s="83" t="s">
        <v>550</v>
      </c>
      <c r="H219" s="88"/>
      <c r="I219" s="86" t="str">
        <f>IF(NOT(ISBLANK(Table3[[#This Row],[Unique Type]])),COUNTIFS(Table7[[Manually Extract Type ]],Table3[[#This Row],[Unique Type]]),"")</f>
        <v/>
      </c>
      <c r="J219" s="87" t="str">
        <f>IF(ISBLANK(Table3[[#This Row],[Unique Type]]),"",IF(Table3[[#This Row],[Count unique types]]&gt;1,Table3[[#This Row],[Unique Type]],"Miscellaneous"))</f>
        <v/>
      </c>
    </row>
    <row r="220" spans="2:10" x14ac:dyDescent="0.5">
      <c r="B220" s="19" t="s">
        <v>492</v>
      </c>
      <c r="C220" s="19" t="s">
        <v>492</v>
      </c>
      <c r="D220" t="s">
        <v>12</v>
      </c>
      <c r="H220" s="87"/>
      <c r="I220" s="86" t="str">
        <f>IF(NOT(ISBLANK(Table3[[#This Row],[Unique Type]])),COUNTIFS(Table7[[Manually Extract Type ]],Table3[[#This Row],[Unique Type]]),"")</f>
        <v/>
      </c>
      <c r="J220" s="87" t="str">
        <f>IF(ISBLANK(Table3[[#This Row],[Unique Type]]),"",IF(Table3[[#This Row],[Count unique types]]&gt;1,Table3[[#This Row],[Unique Type]],"Miscellaneous"))</f>
        <v/>
      </c>
    </row>
    <row r="221" spans="2:10" x14ac:dyDescent="0.5">
      <c r="B221" s="19" t="s">
        <v>345</v>
      </c>
      <c r="C221" s="19" t="s">
        <v>345</v>
      </c>
      <c r="D221" t="s">
        <v>345</v>
      </c>
      <c r="H221" s="88"/>
      <c r="I221" s="86" t="str">
        <f>IF(NOT(ISBLANK(Table3[[#This Row],[Unique Type]])),COUNTIFS(Table7[[Manually Extract Type ]],Table3[[#This Row],[Unique Type]]),"")</f>
        <v/>
      </c>
      <c r="J221" s="87" t="str">
        <f>IF(ISBLANK(Table3[[#This Row],[Unique Type]]),"",IF(Table3[[#This Row],[Count unique types]]&gt;1,Table3[[#This Row],[Unique Type]],"Miscellaneous"))</f>
        <v/>
      </c>
    </row>
    <row r="222" spans="2:10" x14ac:dyDescent="0.5">
      <c r="B222" s="19" t="s">
        <v>443</v>
      </c>
      <c r="C222" s="19" t="s">
        <v>443</v>
      </c>
      <c r="D222" s="84" t="s">
        <v>558</v>
      </c>
      <c r="H222" s="87"/>
      <c r="I222" s="86" t="str">
        <f>IF(NOT(ISBLANK(Table3[[#This Row],[Unique Type]])),COUNTIFS(Table7[[Manually Extract Type ]],Table3[[#This Row],[Unique Type]]),"")</f>
        <v/>
      </c>
      <c r="J222" s="87" t="str">
        <f>IF(ISBLANK(Table3[[#This Row],[Unique Type]]),"",IF(Table3[[#This Row],[Count unique types]]&gt;1,Table3[[#This Row],[Unique Type]],"Miscellaneous"))</f>
        <v/>
      </c>
    </row>
    <row r="223" spans="2:10" x14ac:dyDescent="0.5">
      <c r="B223" s="19" t="s">
        <v>444</v>
      </c>
      <c r="C223" s="19" t="s">
        <v>444</v>
      </c>
      <c r="D223" s="83" t="s">
        <v>551</v>
      </c>
      <c r="H223" s="88"/>
      <c r="I223" s="86" t="str">
        <f>IF(NOT(ISBLANK(Table3[[#This Row],[Unique Type]])),COUNTIFS(Table7[[Manually Extract Type ]],Table3[[#This Row],[Unique Type]]),"")</f>
        <v/>
      </c>
      <c r="J223" s="87" t="str">
        <f>IF(ISBLANK(Table3[[#This Row],[Unique Type]]),"",IF(Table3[[#This Row],[Count unique types]]&gt;1,Table3[[#This Row],[Unique Type]],"Miscellaneous"))</f>
        <v/>
      </c>
    </row>
    <row r="224" spans="2:10" x14ac:dyDescent="0.5">
      <c r="B224" s="19" t="s">
        <v>335</v>
      </c>
      <c r="C224" s="19" t="s">
        <v>335</v>
      </c>
      <c r="D224" s="83" t="s">
        <v>542</v>
      </c>
      <c r="H224" s="87"/>
      <c r="I224" s="86" t="str">
        <f>IF(NOT(ISBLANK(Table3[[#This Row],[Unique Type]])),COUNTIFS(Table7[[Manually Extract Type ]],Table3[[#This Row],[Unique Type]]),"")</f>
        <v/>
      </c>
      <c r="J224" s="87" t="str">
        <f>IF(ISBLANK(Table3[[#This Row],[Unique Type]]),"",IF(Table3[[#This Row],[Count unique types]]&gt;1,Table3[[#This Row],[Unique Type]],"Miscellaneous"))</f>
        <v/>
      </c>
    </row>
    <row r="225" spans="2:10" x14ac:dyDescent="0.5">
      <c r="B225" s="19" t="s">
        <v>445</v>
      </c>
      <c r="C225" s="19" t="s">
        <v>445</v>
      </c>
      <c r="D225" s="83" t="s">
        <v>547</v>
      </c>
      <c r="H225" s="88"/>
      <c r="I225" s="86" t="str">
        <f>IF(NOT(ISBLANK(Table3[[#This Row],[Unique Type]])),COUNTIFS(Table7[[Manually Extract Type ]],Table3[[#This Row],[Unique Type]]),"")</f>
        <v/>
      </c>
      <c r="J225" s="87" t="str">
        <f>IF(ISBLANK(Table3[[#This Row],[Unique Type]]),"",IF(Table3[[#This Row],[Count unique types]]&gt;1,Table3[[#This Row],[Unique Type]],"Miscellaneous"))</f>
        <v/>
      </c>
    </row>
    <row r="226" spans="2:10" x14ac:dyDescent="0.5">
      <c r="B226" s="19" t="s">
        <v>345</v>
      </c>
      <c r="C226" s="19" t="s">
        <v>345</v>
      </c>
      <c r="D226" t="s">
        <v>345</v>
      </c>
      <c r="H226" s="87"/>
      <c r="I226" s="86" t="str">
        <f>IF(NOT(ISBLANK(Table3[[#This Row],[Unique Type]])),COUNTIFS(Table7[[Manually Extract Type ]],Table3[[#This Row],[Unique Type]]),"")</f>
        <v/>
      </c>
      <c r="J226" s="87" t="str">
        <f>IF(ISBLANK(Table3[[#This Row],[Unique Type]]),"",IF(Table3[[#This Row],[Count unique types]]&gt;1,Table3[[#This Row],[Unique Type]],"Miscellaneous"))</f>
        <v/>
      </c>
    </row>
    <row r="227" spans="2:10" x14ac:dyDescent="0.5">
      <c r="B227" s="19" t="s">
        <v>446</v>
      </c>
      <c r="C227" s="19" t="s">
        <v>446</v>
      </c>
      <c r="D227" s="83" t="s">
        <v>544</v>
      </c>
      <c r="H227" s="88"/>
      <c r="I227" s="86" t="str">
        <f>IF(NOT(ISBLANK(Table3[[#This Row],[Unique Type]])),COUNTIFS(Table7[[Manually Extract Type ]],Table3[[#This Row],[Unique Type]]),"")</f>
        <v/>
      </c>
      <c r="J227" s="87" t="str">
        <f>IF(ISBLANK(Table3[[#This Row],[Unique Type]]),"",IF(Table3[[#This Row],[Count unique types]]&gt;1,Table3[[#This Row],[Unique Type]],"Miscellaneous"))</f>
        <v/>
      </c>
    </row>
    <row r="228" spans="2:10" x14ac:dyDescent="0.5">
      <c r="B228" s="19" t="s">
        <v>345</v>
      </c>
      <c r="C228" s="19" t="s">
        <v>345</v>
      </c>
      <c r="D228" t="s">
        <v>345</v>
      </c>
      <c r="H228" s="87"/>
      <c r="I228" s="86" t="str">
        <f>IF(NOT(ISBLANK(Table3[[#This Row],[Unique Type]])),COUNTIFS(Table7[[Manually Extract Type ]],Table3[[#This Row],[Unique Type]]),"")</f>
        <v/>
      </c>
      <c r="J228" s="87" t="str">
        <f>IF(ISBLANK(Table3[[#This Row],[Unique Type]]),"",IF(Table3[[#This Row],[Count unique types]]&gt;1,Table3[[#This Row],[Unique Type]],"Miscellaneous"))</f>
        <v/>
      </c>
    </row>
    <row r="229" spans="2:10" x14ac:dyDescent="0.5">
      <c r="B229" s="19" t="s">
        <v>447</v>
      </c>
      <c r="C229" s="19" t="s">
        <v>447</v>
      </c>
      <c r="D229" s="83" t="s">
        <v>545</v>
      </c>
      <c r="H229" s="88"/>
      <c r="I229" s="86" t="str">
        <f>IF(NOT(ISBLANK(Table3[[#This Row],[Unique Type]])),COUNTIFS(Table7[[Manually Extract Type ]],Table3[[#This Row],[Unique Type]]),"")</f>
        <v/>
      </c>
      <c r="J229" s="87" t="str">
        <f>IF(ISBLANK(Table3[[#This Row],[Unique Type]]),"",IF(Table3[[#This Row],[Count unique types]]&gt;1,Table3[[#This Row],[Unique Type]],"Miscellaneous"))</f>
        <v/>
      </c>
    </row>
    <row r="230" spans="2:10" x14ac:dyDescent="0.5">
      <c r="B230" s="19"/>
      <c r="C230" s="19" t="s">
        <v>571</v>
      </c>
      <c r="D230" s="19" t="s">
        <v>571</v>
      </c>
      <c r="H230" s="87"/>
      <c r="I230" s="86" t="str">
        <f>IF(NOT(ISBLANK(Table3[[#This Row],[Unique Type]])),COUNTIFS(Table7[[Manually Extract Type ]],Table3[[#This Row],[Unique Type]]),"")</f>
        <v/>
      </c>
      <c r="J230" s="87" t="str">
        <f>IF(ISBLANK(Table3[[#This Row],[Unique Type]]),"",IF(Table3[[#This Row],[Count unique types]]&gt;1,Table3[[#This Row],[Unique Type]],"Miscellaneous"))</f>
        <v/>
      </c>
    </row>
    <row r="231" spans="2:10" x14ac:dyDescent="0.5">
      <c r="B231" s="19" t="s">
        <v>338</v>
      </c>
      <c r="C231" s="19" t="s">
        <v>338</v>
      </c>
      <c r="D231" s="85" t="s">
        <v>543</v>
      </c>
      <c r="H231" s="88"/>
      <c r="I231" s="86" t="str">
        <f>IF(NOT(ISBLANK(Table3[[#This Row],[Unique Type]])),COUNTIFS(Table7[[Manually Extract Type ]],Table3[[#This Row],[Unique Type]]),"")</f>
        <v/>
      </c>
      <c r="J231" s="87" t="str">
        <f>IF(ISBLANK(Table3[[#This Row],[Unique Type]]),"",IF(Table3[[#This Row],[Count unique types]]&gt;1,Table3[[#This Row],[Unique Type]],"Miscellaneous"))</f>
        <v/>
      </c>
    </row>
    <row r="232" spans="2:10" x14ac:dyDescent="0.5">
      <c r="B232" s="19" t="s">
        <v>401</v>
      </c>
      <c r="C232" s="19" t="s">
        <v>401</v>
      </c>
      <c r="D232" s="85" t="s">
        <v>548</v>
      </c>
      <c r="H232" s="87"/>
      <c r="I232" s="86" t="str">
        <f>IF(NOT(ISBLANK(Table3[[#This Row],[Unique Type]])),COUNTIFS(Table7[[Manually Extract Type ]],Table3[[#This Row],[Unique Type]]),"")</f>
        <v/>
      </c>
      <c r="J232" s="87" t="str">
        <f>IF(ISBLANK(Table3[[#This Row],[Unique Type]]),"",IF(Table3[[#This Row],[Count unique types]]&gt;1,Table3[[#This Row],[Unique Type]],"Miscellaneous"))</f>
        <v/>
      </c>
    </row>
    <row r="233" spans="2:10" x14ac:dyDescent="0.5">
      <c r="B233" s="19" t="s">
        <v>345</v>
      </c>
      <c r="C233" s="19" t="s">
        <v>345</v>
      </c>
      <c r="D233" s="19" t="s">
        <v>345</v>
      </c>
      <c r="H233" s="88"/>
      <c r="I233" s="86" t="str">
        <f>IF(NOT(ISBLANK(Table3[[#This Row],[Unique Type]])),COUNTIFS(Table7[[Manually Extract Type ]],Table3[[#This Row],[Unique Type]]),"")</f>
        <v/>
      </c>
      <c r="J233" s="87" t="str">
        <f>IF(ISBLANK(Table3[[#This Row],[Unique Type]]),"",IF(Table3[[#This Row],[Count unique types]]&gt;1,Table3[[#This Row],[Unique Type]],"Miscellaneous"))</f>
        <v/>
      </c>
    </row>
    <row r="234" spans="2:10" x14ac:dyDescent="0.5">
      <c r="B234" s="19" t="s">
        <v>364</v>
      </c>
      <c r="C234" s="19" t="s">
        <v>364</v>
      </c>
      <c r="D234" s="85" t="s">
        <v>560</v>
      </c>
      <c r="H234" s="87"/>
      <c r="I234" s="86" t="str">
        <f>IF(NOT(ISBLANK(Table3[[#This Row],[Unique Type]])),COUNTIFS(Table7[[Manually Extract Type ]],Table3[[#This Row],[Unique Type]]),"")</f>
        <v/>
      </c>
      <c r="J234" s="87" t="str">
        <f>IF(ISBLANK(Table3[[#This Row],[Unique Type]]),"",IF(Table3[[#This Row],[Count unique types]]&gt;1,Table3[[#This Row],[Unique Type]],"Miscellaneous"))</f>
        <v/>
      </c>
    </row>
    <row r="235" spans="2:10" x14ac:dyDescent="0.5">
      <c r="B235" s="19" t="s">
        <v>364</v>
      </c>
      <c r="C235" s="19" t="s">
        <v>364</v>
      </c>
      <c r="D235" s="83" t="s">
        <v>560</v>
      </c>
      <c r="H235" s="88"/>
      <c r="I235" s="86" t="str">
        <f>IF(NOT(ISBLANK(Table3[[#This Row],[Unique Type]])),COUNTIFS(Table7[[Manually Extract Type ]],Table3[[#This Row],[Unique Type]]),"")</f>
        <v/>
      </c>
      <c r="J235" s="87" t="str">
        <f>IF(ISBLANK(Table3[[#This Row],[Unique Type]]),"",IF(Table3[[#This Row],[Count unique types]]&gt;1,Table3[[#This Row],[Unique Type]],"Miscellaneous"))</f>
        <v/>
      </c>
    </row>
    <row r="236" spans="2:10" x14ac:dyDescent="0.5">
      <c r="B236" s="19"/>
      <c r="C236" s="19" t="s">
        <v>571</v>
      </c>
      <c r="D236" s="19" t="s">
        <v>571</v>
      </c>
      <c r="H236" s="89"/>
      <c r="I236" s="86" t="str">
        <f>IF(NOT(ISBLANK(Table3[[#This Row],[Unique Type]])),COUNTIFS(Table7[[Manually Extract Type ]],Table3[[#This Row],[Unique Type]]),"")</f>
        <v/>
      </c>
      <c r="J236" s="87" t="str">
        <f>IF(ISBLANK(Table3[[#This Row],[Unique Type]]),"",IF(Table3[[#This Row],[Count unique types]]&gt;1,Table3[[#This Row],[Unique Type]],"Miscellaneous"))</f>
        <v/>
      </c>
    </row>
  </sheetData>
  <phoneticPr fontId="3" type="noConversion"/>
  <pageMargins left="0.7" right="0.7" top="0.75" bottom="0.75" header="0.3" footer="0.3"/>
  <ignoredErrors>
    <ignoredError sqref="I4:J4" calculatedColumn="1"/>
  </ignoredErrors>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A65C-D4F5-456B-88F6-1A996A16BD18}">
  <dimension ref="A1:O377"/>
  <sheetViews>
    <sheetView workbookViewId="0">
      <selection activeCell="I7" sqref="I7"/>
    </sheetView>
  </sheetViews>
  <sheetFormatPr defaultRowHeight="18" x14ac:dyDescent="0.5"/>
  <cols>
    <col min="1" max="1" width="1.44140625" customWidth="1"/>
    <col min="2" max="2" width="12.21875" bestFit="1" customWidth="1"/>
    <col min="3" max="3" width="42.6640625" bestFit="1" customWidth="1"/>
    <col min="4" max="4" width="13.77734375" bestFit="1" customWidth="1"/>
    <col min="5" max="5" width="1.44140625" customWidth="1"/>
    <col min="6" max="6" width="10.77734375" bestFit="1" customWidth="1"/>
    <col min="7" max="7" width="17.109375" bestFit="1" customWidth="1"/>
    <col min="8" max="8" width="12.5546875" customWidth="1"/>
    <col min="9" max="9" width="11" bestFit="1" customWidth="1"/>
    <col min="10" max="10" width="10" bestFit="1" customWidth="1"/>
    <col min="12" max="12" width="12.44140625" bestFit="1" customWidth="1"/>
    <col min="13" max="13" width="12.5546875" bestFit="1" customWidth="1"/>
  </cols>
  <sheetData>
    <row r="1" spans="1:15" ht="5.4" customHeight="1" x14ac:dyDescent="0.5">
      <c r="A1" s="15" t="s">
        <v>34</v>
      </c>
    </row>
    <row r="2" spans="1:15" ht="18" customHeight="1" x14ac:dyDescent="0.5">
      <c r="B2" t="s">
        <v>454</v>
      </c>
      <c r="C2">
        <v>2023</v>
      </c>
    </row>
    <row r="3" spans="1:15" ht="18" customHeight="1" x14ac:dyDescent="0.5">
      <c r="E3" t="s">
        <v>453</v>
      </c>
    </row>
    <row r="4" spans="1:15" ht="36" x14ac:dyDescent="0.5">
      <c r="B4" s="11" t="s">
        <v>5</v>
      </c>
      <c r="C4" s="11" t="s">
        <v>452</v>
      </c>
      <c r="D4" s="11" t="s">
        <v>67</v>
      </c>
      <c r="E4" s="17" t="s">
        <v>13</v>
      </c>
      <c r="F4" s="11" t="s">
        <v>457</v>
      </c>
      <c r="G4" s="11" t="s">
        <v>9</v>
      </c>
      <c r="H4" s="13" t="s">
        <v>460</v>
      </c>
      <c r="I4" s="14" t="s">
        <v>459</v>
      </c>
      <c r="J4" s="13" t="s">
        <v>458</v>
      </c>
      <c r="N4" t="s">
        <v>455</v>
      </c>
      <c r="O4" t="s">
        <v>456</v>
      </c>
    </row>
    <row r="5" spans="1:15" x14ac:dyDescent="0.5">
      <c r="B5" t="s">
        <v>17</v>
      </c>
      <c r="E5" s="16"/>
      <c r="K5" t="e">
        <f>AND(NOT(ISBLANK(#REF!)), OR(#REF!=365,#REF!= 366))</f>
        <v>#REF!</v>
      </c>
      <c r="L5" t="e">
        <f>#REF!</f>
        <v>#REF!</v>
      </c>
      <c r="N5" t="e">
        <f>AND(NOT(ISBLANK(#REF!)), OR(#REF!=365,#REF!= 366))</f>
        <v>#REF!</v>
      </c>
    </row>
    <row r="6" spans="1:15" x14ac:dyDescent="0.5">
      <c r="B6" t="s">
        <v>18</v>
      </c>
      <c r="C6" t="s">
        <v>330</v>
      </c>
      <c r="D6" t="s">
        <v>19</v>
      </c>
      <c r="E6" s="16"/>
      <c r="K6" t="b">
        <f>AND(NOT(ISBLANK(A2)), OR(A2=365, A2=366))</f>
        <v>0</v>
      </c>
    </row>
    <row r="7" spans="1:15" x14ac:dyDescent="0.5">
      <c r="B7" t="s">
        <v>20</v>
      </c>
      <c r="C7" t="s">
        <v>331</v>
      </c>
      <c r="D7" t="s">
        <v>21</v>
      </c>
      <c r="E7" s="16"/>
      <c r="F7" t="str">
        <f>RIGHT(Data[[#This Row],[Date]], LEN(Data[[#This Row],[Date]]) - SEARCH("-", Data[[#This Row],[Date]]))</f>
        <v>3</v>
      </c>
      <c r="G7" t="str">
        <f>LEFT(Data[[#This Row],[Date]], SEARCH("-", Data[[#This Row],[Date]]) - 1)</f>
        <v>1</v>
      </c>
      <c r="H7" s="10">
        <f>DATE($C$2,Data[[#This Row],[Month]],Data[[#This Row],[Day ]])</f>
        <v>44929</v>
      </c>
      <c r="J7" s="12">
        <f>IF(ISBLANK(Data[[#This Row],[Errors rectified]]),Data[[#This Row],[Date1]],Data[[#This Row],[Errors rectified]])</f>
        <v>44929</v>
      </c>
    </row>
    <row r="8" spans="1:15" x14ac:dyDescent="0.5">
      <c r="B8" t="s">
        <v>22</v>
      </c>
      <c r="C8" t="s">
        <v>332</v>
      </c>
      <c r="D8" t="s">
        <v>23</v>
      </c>
      <c r="E8" s="16"/>
      <c r="F8" t="str">
        <f>RIGHT(Data[[#This Row],[Date]], LEN(Data[[#This Row],[Date]]) - SEARCH("-", Data[[#This Row],[Date]]))</f>
        <v>4</v>
      </c>
      <c r="G8" t="str">
        <f>LEFT(Data[[#This Row],[Date]], SEARCH("-", Data[[#This Row],[Date]]) - 1)</f>
        <v>1</v>
      </c>
      <c r="H8" s="10">
        <f>DATE($C$2,Data[[#This Row],[Month]],Data[[#This Row],[Day ]])</f>
        <v>44930</v>
      </c>
      <c r="J8" s="12">
        <f>IF(ISBLANK(Data[[#This Row],[Errors rectified]]),Data[[#This Row],[Date1]],Data[[#This Row],[Errors rectified]])</f>
        <v>44930</v>
      </c>
    </row>
    <row r="9" spans="1:15" x14ac:dyDescent="0.5">
      <c r="B9" t="s">
        <v>24</v>
      </c>
      <c r="C9" t="s">
        <v>333</v>
      </c>
      <c r="D9" t="s">
        <v>25</v>
      </c>
      <c r="E9" s="16"/>
      <c r="F9" t="str">
        <f>RIGHT(Data[[#This Row],[Date]], LEN(Data[[#This Row],[Date]]) - SEARCH("-", Data[[#This Row],[Date]]))</f>
        <v>9</v>
      </c>
      <c r="G9" t="str">
        <f>LEFT(Data[[#This Row],[Date]], SEARCH("-", Data[[#This Row],[Date]]) - 1)</f>
        <v>1</v>
      </c>
      <c r="H9" s="10">
        <f>DATE($C$2,Data[[#This Row],[Month]],Data[[#This Row],[Day ]])</f>
        <v>44935</v>
      </c>
      <c r="J9" s="12">
        <f>IF(ISBLANK(Data[[#This Row],[Errors rectified]]),Data[[#This Row],[Date1]],Data[[#This Row],[Errors rectified]])</f>
        <v>44935</v>
      </c>
    </row>
    <row r="10" spans="1:15" x14ac:dyDescent="0.5">
      <c r="B10" t="s">
        <v>24</v>
      </c>
      <c r="C10" t="s">
        <v>334</v>
      </c>
      <c r="D10" t="s">
        <v>26</v>
      </c>
      <c r="E10" s="16"/>
      <c r="F10" t="str">
        <f>RIGHT(Data[[#This Row],[Date]], LEN(Data[[#This Row],[Date]]) - SEARCH("-", Data[[#This Row],[Date]]))</f>
        <v>9</v>
      </c>
      <c r="G10" t="str">
        <f>LEFT(Data[[#This Row],[Date]], SEARCH("-", Data[[#This Row],[Date]]) - 1)</f>
        <v>1</v>
      </c>
      <c r="H10" s="10">
        <f>DATE($C$2,Data[[#This Row],[Month]],Data[[#This Row],[Day ]])</f>
        <v>44935</v>
      </c>
      <c r="J10" s="12">
        <f>IF(ISBLANK(Data[[#This Row],[Errors rectified]]),Data[[#This Row],[Date1]],Data[[#This Row],[Errors rectified]])</f>
        <v>44935</v>
      </c>
    </row>
    <row r="11" spans="1:15" x14ac:dyDescent="0.5">
      <c r="B11" t="s">
        <v>24</v>
      </c>
      <c r="C11" t="s">
        <v>335</v>
      </c>
      <c r="D11" t="s">
        <v>28</v>
      </c>
      <c r="E11" s="16"/>
      <c r="F11" t="str">
        <f>RIGHT(Data[[#This Row],[Date]], LEN(Data[[#This Row],[Date]]) - SEARCH("-", Data[[#This Row],[Date]]))</f>
        <v>9</v>
      </c>
      <c r="G11" t="str">
        <f>LEFT(Data[[#This Row],[Date]], SEARCH("-", Data[[#This Row],[Date]]) - 1)</f>
        <v>1</v>
      </c>
      <c r="H11" s="10">
        <f>DATE($C$2,Data[[#This Row],[Month]],Data[[#This Row],[Day ]])</f>
        <v>44935</v>
      </c>
      <c r="J11" s="12">
        <f>IF(ISBLANK(Data[[#This Row],[Errors rectified]]),Data[[#This Row],[Date1]],Data[[#This Row],[Errors rectified]])</f>
        <v>44935</v>
      </c>
    </row>
    <row r="12" spans="1:15" x14ac:dyDescent="0.5">
      <c r="B12" t="s">
        <v>29</v>
      </c>
      <c r="C12" t="s">
        <v>336</v>
      </c>
      <c r="D12" t="s">
        <v>30</v>
      </c>
      <c r="E12" s="16"/>
      <c r="F12" t="str">
        <f>RIGHT(Data[[#This Row],[Date]], LEN(Data[[#This Row],[Date]]) - SEARCH("-", Data[[#This Row],[Date]]))</f>
        <v>11</v>
      </c>
      <c r="G12" t="str">
        <f>LEFT(Data[[#This Row],[Date]], SEARCH("-", Data[[#This Row],[Date]]) - 1)</f>
        <v>1</v>
      </c>
      <c r="H12" s="10">
        <f>DATE($C$2,Data[[#This Row],[Month]],Data[[#This Row],[Day ]])</f>
        <v>44937</v>
      </c>
      <c r="J12" s="12">
        <f>IF(ISBLANK(Data[[#This Row],[Errors rectified]]),Data[[#This Row],[Date1]],Data[[#This Row],[Errors rectified]])</f>
        <v>44937</v>
      </c>
    </row>
    <row r="13" spans="1:15" x14ac:dyDescent="0.5">
      <c r="B13" t="s">
        <v>29</v>
      </c>
      <c r="C13" t="s">
        <v>332</v>
      </c>
      <c r="D13" t="s">
        <v>31</v>
      </c>
      <c r="E13" s="16"/>
      <c r="F13" t="str">
        <f>RIGHT(Data[[#This Row],[Date]], LEN(Data[[#This Row],[Date]]) - SEARCH("-", Data[[#This Row],[Date]]))</f>
        <v>11</v>
      </c>
      <c r="G13" t="str">
        <f>LEFT(Data[[#This Row],[Date]], SEARCH("-", Data[[#This Row],[Date]]) - 1)</f>
        <v>1</v>
      </c>
      <c r="H13" s="10">
        <f>DATE($C$2,Data[[#This Row],[Month]],Data[[#This Row],[Day ]])</f>
        <v>44937</v>
      </c>
      <c r="J13" s="12">
        <f>IF(ISBLANK(Data[[#This Row],[Errors rectified]]),Data[[#This Row],[Date1]],Data[[#This Row],[Errors rectified]])</f>
        <v>44937</v>
      </c>
    </row>
    <row r="14" spans="1:15" x14ac:dyDescent="0.5">
      <c r="B14" t="s">
        <v>32</v>
      </c>
      <c r="C14" t="s">
        <v>337</v>
      </c>
      <c r="D14" t="s">
        <v>33</v>
      </c>
      <c r="E14" s="16"/>
      <c r="F14" t="str">
        <f>RIGHT(Data[[#This Row],[Date]], LEN(Data[[#This Row],[Date]]) - SEARCH("-", Data[[#This Row],[Date]]))</f>
        <v>12</v>
      </c>
      <c r="G14" t="str">
        <f>LEFT(Data[[#This Row],[Date]], SEARCH("-", Data[[#This Row],[Date]]) - 1)</f>
        <v>1</v>
      </c>
      <c r="H14" s="10">
        <f>DATE($C$2,Data[[#This Row],[Month]],Data[[#This Row],[Day ]])</f>
        <v>44938</v>
      </c>
      <c r="J14" s="12">
        <f>IF(ISBLANK(Data[[#This Row],[Errors rectified]]),Data[[#This Row],[Date1]],Data[[#This Row],[Errors rectified]])</f>
        <v>44938</v>
      </c>
    </row>
    <row r="15" spans="1:15" x14ac:dyDescent="0.5">
      <c r="B15" t="s">
        <v>34</v>
      </c>
      <c r="C15" t="s">
        <v>338</v>
      </c>
      <c r="D15" t="s">
        <v>35</v>
      </c>
      <c r="E15" s="16"/>
      <c r="F15" t="str">
        <f>RIGHT(Data[[#This Row],[Date]], LEN(Data[[#This Row],[Date]]) - SEARCH("-", Data[[#This Row],[Date]]))</f>
        <v>27</v>
      </c>
      <c r="G15" t="str">
        <f>LEFT(Data[[#This Row],[Date]], SEARCH("-", Data[[#This Row],[Date]]) - 1)</f>
        <v>1</v>
      </c>
      <c r="H15" s="10">
        <f>DATE($C$2,Data[[#This Row],[Month]],Data[[#This Row],[Day ]])</f>
        <v>44953</v>
      </c>
      <c r="J15" s="12">
        <f>IF(ISBLANK(Data[[#This Row],[Errors rectified]]),Data[[#This Row],[Date1]],Data[[#This Row],[Errors rectified]])</f>
        <v>44953</v>
      </c>
      <c r="N15" t="e">
        <f>LEFT(_xlfn.SINGLE(_xleta.DATE), SEARCH("-", _xlfn.SINGLE(_xleta.DATE)) - 1)</f>
        <v>#VALUE!</v>
      </c>
      <c r="O15" t="e">
        <f>RIGHT(_xlfn.SINGLE(_xleta.DATE), LEN(_xlfn.SINGLE(_xleta.DATE)) - SEARCH("-", _xlfn.SINGLE(_xleta.DATE)))</f>
        <v>#VALUE!</v>
      </c>
    </row>
    <row r="16" spans="1:15" x14ac:dyDescent="0.5">
      <c r="B16" t="s">
        <v>1</v>
      </c>
      <c r="C16" t="s">
        <v>36</v>
      </c>
      <c r="D16" t="s">
        <v>37</v>
      </c>
      <c r="E16" s="16"/>
    </row>
    <row r="17" spans="2:14" x14ac:dyDescent="0.5">
      <c r="B17" t="s">
        <v>38</v>
      </c>
      <c r="C17" t="s">
        <v>39</v>
      </c>
      <c r="E17" s="16"/>
    </row>
    <row r="18" spans="2:14" x14ac:dyDescent="0.5">
      <c r="B18" t="s">
        <v>40</v>
      </c>
      <c r="C18" t="s">
        <v>339</v>
      </c>
      <c r="D18" t="s">
        <v>41</v>
      </c>
      <c r="E18" s="16"/>
    </row>
    <row r="19" spans="2:14" x14ac:dyDescent="0.5">
      <c r="B19" t="s">
        <v>42</v>
      </c>
      <c r="C19" t="s">
        <v>340</v>
      </c>
      <c r="D19" t="s">
        <v>45</v>
      </c>
      <c r="E19" s="16"/>
      <c r="F19" t="str">
        <f>RIGHT(Data[[#This Row],[Date]], LEN(Data[[#This Row],[Date]]) - SEARCH("-", Data[[#This Row],[Date]]))</f>
        <v>31-23</v>
      </c>
      <c r="G19" t="str">
        <f>LEFT(Data[[#This Row],[Date]], SEARCH("-", Data[[#This Row],[Date]]) - 1)</f>
        <v>1</v>
      </c>
      <c r="H19" s="10" t="e">
        <f>DATE($C$2,Data[[#This Row],[Month]],Data[[#This Row],[Day ]])</f>
        <v>#VALUE!</v>
      </c>
      <c r="I19" s="10">
        <f>DATE($C$2,LEFT(Data[[#This Row],[Date]],FIND("-",Data[[#This Row],[Date]])-1),MID(Data[[#This Row],[Date]], FIND("-",Data[[#This Row],[Date]])+1, LEN(Data[[#This Row],[Date]])-5))</f>
        <v>44957</v>
      </c>
      <c r="J19" s="12">
        <f>IF(ISBLANK(Data[[#This Row],[Errors rectified]]),Data[[#This Row],[Date1]],Data[[#This Row],[Errors rectified]])</f>
        <v>44957</v>
      </c>
    </row>
    <row r="20" spans="2:14" x14ac:dyDescent="0.5">
      <c r="B20" t="s">
        <v>42</v>
      </c>
      <c r="C20" t="s">
        <v>341</v>
      </c>
      <c r="D20" t="s">
        <v>46</v>
      </c>
      <c r="E20" s="16"/>
      <c r="F20" t="str">
        <f>RIGHT(Data[[#This Row],[Date]], LEN(Data[[#This Row],[Date]]) - SEARCH("-", Data[[#This Row],[Date]]))</f>
        <v>31-23</v>
      </c>
      <c r="G20" t="str">
        <f>LEFT(Data[[#This Row],[Date]], SEARCH("-", Data[[#This Row],[Date]]) - 1)</f>
        <v>1</v>
      </c>
      <c r="H20" s="10" t="e">
        <f>DATE($C$2,Data[[#This Row],[Month]],Data[[#This Row],[Day ]])</f>
        <v>#VALUE!</v>
      </c>
      <c r="I20" s="10">
        <f>DATE($C$2,LEFT(Data[[#This Row],[Date]],FIND("-",Data[[#This Row],[Date]])-1),MID(Data[[#This Row],[Date]], FIND("-",Data[[#This Row],[Date]])+1, LEN(Data[[#This Row],[Date]])-5))</f>
        <v>44957</v>
      </c>
      <c r="J20" s="12">
        <f>IF(ISBLANK(Data[[#This Row],[Errors rectified]]),Data[[#This Row],[Date1]],Data[[#This Row],[Errors rectified]])</f>
        <v>44957</v>
      </c>
    </row>
    <row r="21" spans="2:14" x14ac:dyDescent="0.5">
      <c r="B21" t="s">
        <v>15</v>
      </c>
      <c r="C21" t="s">
        <v>342</v>
      </c>
      <c r="D21" t="s">
        <v>48</v>
      </c>
      <c r="E21" s="16"/>
    </row>
    <row r="22" spans="2:14" x14ac:dyDescent="0.5">
      <c r="B22" t="s">
        <v>15</v>
      </c>
      <c r="E22" s="16"/>
    </row>
    <row r="23" spans="2:14" x14ac:dyDescent="0.5">
      <c r="B23" t="s">
        <v>15</v>
      </c>
      <c r="E23" s="16"/>
    </row>
    <row r="24" spans="2:14" x14ac:dyDescent="0.5">
      <c r="B24" t="s">
        <v>49</v>
      </c>
      <c r="E24" s="16"/>
    </row>
    <row r="25" spans="2:14" x14ac:dyDescent="0.5">
      <c r="B25" t="s">
        <v>50</v>
      </c>
      <c r="C25" t="s">
        <v>330</v>
      </c>
      <c r="D25" t="s">
        <v>51</v>
      </c>
      <c r="E25" s="16"/>
    </row>
    <row r="26" spans="2:14" x14ac:dyDescent="0.5">
      <c r="B26" t="s">
        <v>52</v>
      </c>
      <c r="C26" t="s">
        <v>343</v>
      </c>
      <c r="D26" t="s">
        <v>53</v>
      </c>
      <c r="E26" s="16"/>
      <c r="F26" t="str">
        <f>RIGHT(Data[[#This Row],[Date]], LEN(Data[[#This Row],[Date]]) - SEARCH("-", Data[[#This Row],[Date]]))</f>
        <v>2</v>
      </c>
      <c r="G26" t="str">
        <f>LEFT(Data[[#This Row],[Date]], SEARCH("-", Data[[#This Row],[Date]]) - 1)</f>
        <v>2</v>
      </c>
      <c r="H26" s="10">
        <f>DATE($C$2,Data[[#This Row],[Month]],Data[[#This Row],[Day ]])</f>
        <v>44959</v>
      </c>
      <c r="J26" s="12">
        <f>IF(ISBLANK(Data[[#This Row],[Errors rectified]]),Data[[#This Row],[Date1]],Data[[#This Row],[Errors rectified]])</f>
        <v>44959</v>
      </c>
    </row>
    <row r="27" spans="2:14" x14ac:dyDescent="0.5">
      <c r="B27" t="s">
        <v>52</v>
      </c>
      <c r="C27" t="s">
        <v>344</v>
      </c>
      <c r="D27" t="s">
        <v>54</v>
      </c>
      <c r="E27" s="16"/>
      <c r="F27" t="str">
        <f>RIGHT(Data[[#This Row],[Date]], LEN(Data[[#This Row],[Date]]) - SEARCH("-", Data[[#This Row],[Date]]))</f>
        <v>2</v>
      </c>
      <c r="G27" t="str">
        <f>LEFT(Data[[#This Row],[Date]], SEARCH("-", Data[[#This Row],[Date]]) - 1)</f>
        <v>2</v>
      </c>
      <c r="H27" s="10">
        <f>DATE($C$2,Data[[#This Row],[Month]],Data[[#This Row],[Day ]])</f>
        <v>44959</v>
      </c>
      <c r="J27" s="12">
        <f>IF(ISBLANK(Data[[#This Row],[Errors rectified]]),Data[[#This Row],[Date1]],Data[[#This Row],[Errors rectified]])</f>
        <v>44959</v>
      </c>
    </row>
    <row r="28" spans="2:14" x14ac:dyDescent="0.5">
      <c r="B28" t="s">
        <v>55</v>
      </c>
      <c r="C28" t="s">
        <v>344</v>
      </c>
      <c r="D28" t="s">
        <v>56</v>
      </c>
      <c r="E28" s="16"/>
      <c r="F28" t="str">
        <f>RIGHT(Data[[#This Row],[Date]], LEN(Data[[#This Row],[Date]]) - SEARCH("-", Data[[#This Row],[Date]]))</f>
        <v>3</v>
      </c>
      <c r="G28" t="str">
        <f>LEFT(Data[[#This Row],[Date]], SEARCH("-", Data[[#This Row],[Date]]) - 1)</f>
        <v>2</v>
      </c>
      <c r="H28" s="10">
        <f>DATE($C$2,Data[[#This Row],[Month]],Data[[#This Row],[Day ]])</f>
        <v>44960</v>
      </c>
      <c r="J28" s="12">
        <f>IF(ISBLANK(Data[[#This Row],[Errors rectified]]),Data[[#This Row],[Date1]],Data[[#This Row],[Errors rectified]])</f>
        <v>44960</v>
      </c>
    </row>
    <row r="29" spans="2:14" x14ac:dyDescent="0.5">
      <c r="B29" t="s">
        <v>57</v>
      </c>
      <c r="C29" t="s">
        <v>344</v>
      </c>
      <c r="D29" t="s">
        <v>58</v>
      </c>
      <c r="E29" s="16"/>
      <c r="F29" t="str">
        <f>RIGHT(Data[[#This Row],[Date]], LEN(Data[[#This Row],[Date]]) - SEARCH("-", Data[[#This Row],[Date]]))</f>
        <v>7</v>
      </c>
      <c r="G29" t="str">
        <f>LEFT(Data[[#This Row],[Date]], SEARCH("-", Data[[#This Row],[Date]]) - 1)</f>
        <v>2</v>
      </c>
      <c r="H29" s="10">
        <f>DATE($C$2,Data[[#This Row],[Month]],Data[[#This Row],[Day ]])</f>
        <v>44964</v>
      </c>
      <c r="J29" s="12">
        <f>IF(ISBLANK(Data[[#This Row],[Errors rectified]]),Data[[#This Row],[Date1]],Data[[#This Row],[Errors rectified]])</f>
        <v>44964</v>
      </c>
    </row>
    <row r="30" spans="2:14" x14ac:dyDescent="0.5">
      <c r="B30" t="s">
        <v>57</v>
      </c>
      <c r="C30" t="s">
        <v>345</v>
      </c>
      <c r="D30" t="s">
        <v>59</v>
      </c>
      <c r="E30" s="16"/>
      <c r="F30" t="str">
        <f>RIGHT(Data[[#This Row],[Date]], LEN(Data[[#This Row],[Date]]) - SEARCH("-", Data[[#This Row],[Date]]))</f>
        <v>7</v>
      </c>
      <c r="G30" t="str">
        <f>LEFT(Data[[#This Row],[Date]], SEARCH("-", Data[[#This Row],[Date]]) - 1)</f>
        <v>2</v>
      </c>
      <c r="H30" s="10">
        <f>DATE($C$2,Data[[#This Row],[Month]],Data[[#This Row],[Day ]])</f>
        <v>44964</v>
      </c>
      <c r="J30" s="12">
        <f>IF(ISBLANK(Data[[#This Row],[Errors rectified]]),Data[[#This Row],[Date1]],Data[[#This Row],[Errors rectified]])</f>
        <v>44964</v>
      </c>
    </row>
    <row r="31" spans="2:14" x14ac:dyDescent="0.5">
      <c r="B31" t="s">
        <v>60</v>
      </c>
      <c r="C31" t="s">
        <v>345</v>
      </c>
      <c r="D31" t="s">
        <v>61</v>
      </c>
      <c r="E31" s="16"/>
      <c r="F31" t="str">
        <f>RIGHT(Data[[#This Row],[Date]], LEN(Data[[#This Row],[Date]]) - SEARCH("-", Data[[#This Row],[Date]]))</f>
        <v>9</v>
      </c>
      <c r="G31" t="str">
        <f>LEFT(Data[[#This Row],[Date]], SEARCH("-", Data[[#This Row],[Date]]) - 1)</f>
        <v>2</v>
      </c>
      <c r="H31" s="10">
        <f>DATE($C$2,Data[[#This Row],[Month]],Data[[#This Row],[Day ]])</f>
        <v>44966</v>
      </c>
      <c r="J31" s="12">
        <f>IF(ISBLANK(Data[[#This Row],[Errors rectified]]),Data[[#This Row],[Date1]],Data[[#This Row],[Errors rectified]])</f>
        <v>44966</v>
      </c>
    </row>
    <row r="32" spans="2:14" x14ac:dyDescent="0.5">
      <c r="B32" t="s">
        <v>62</v>
      </c>
      <c r="C32" t="s">
        <v>343</v>
      </c>
      <c r="D32" t="s">
        <v>63</v>
      </c>
      <c r="E32" s="16"/>
      <c r="F32" t="str">
        <f>RIGHT(Data[[#This Row],[Date]], LEN(Data[[#This Row],[Date]]) - SEARCH("-", Data[[#This Row],[Date]]))</f>
        <v>14</v>
      </c>
      <c r="G32" t="str">
        <f>LEFT(Data[[#This Row],[Date]], SEARCH("-", Data[[#This Row],[Date]]) - 1)</f>
        <v>2</v>
      </c>
      <c r="H32" s="10">
        <f>DATE($C$2,Data[[#This Row],[Month]],Data[[#This Row],[Day ]])</f>
        <v>44971</v>
      </c>
      <c r="J32" s="12">
        <f>IF(ISBLANK(Data[[#This Row],[Errors rectified]]),Data[[#This Row],[Date1]],Data[[#This Row],[Errors rectified]])</f>
        <v>44971</v>
      </c>
      <c r="N32" s="15"/>
    </row>
    <row r="33" spans="2:10" x14ac:dyDescent="0.5">
      <c r="B33" t="s">
        <v>1</v>
      </c>
      <c r="C33" t="s">
        <v>64</v>
      </c>
      <c r="D33" t="s">
        <v>65</v>
      </c>
      <c r="E33" s="16"/>
    </row>
    <row r="34" spans="2:10" x14ac:dyDescent="0.5">
      <c r="B34" t="s">
        <v>17</v>
      </c>
      <c r="E34" s="16"/>
    </row>
    <row r="35" spans="2:10" x14ac:dyDescent="0.5">
      <c r="B35" t="s">
        <v>43</v>
      </c>
      <c r="C35" t="s">
        <v>346</v>
      </c>
      <c r="D35" t="s">
        <v>66</v>
      </c>
      <c r="E35" s="16"/>
    </row>
    <row r="36" spans="2:10" x14ac:dyDescent="0.5">
      <c r="B36" t="s">
        <v>12</v>
      </c>
      <c r="C36" t="s">
        <v>347</v>
      </c>
      <c r="D36" t="s">
        <v>67</v>
      </c>
      <c r="E36" s="16"/>
    </row>
    <row r="37" spans="2:10" x14ac:dyDescent="0.5">
      <c r="B37" t="s">
        <v>15</v>
      </c>
      <c r="C37" t="s">
        <v>348</v>
      </c>
      <c r="D37" t="s">
        <v>349</v>
      </c>
      <c r="E37" s="16"/>
    </row>
    <row r="38" spans="2:10" x14ac:dyDescent="0.5">
      <c r="B38" t="s">
        <v>43</v>
      </c>
      <c r="C38" t="s">
        <v>350</v>
      </c>
      <c r="D38" t="s">
        <v>69</v>
      </c>
      <c r="E38" s="16"/>
    </row>
    <row r="39" spans="2:10" x14ac:dyDescent="0.5">
      <c r="B39" t="s">
        <v>18</v>
      </c>
      <c r="C39" t="s">
        <v>330</v>
      </c>
      <c r="D39" t="s">
        <v>19</v>
      </c>
      <c r="E39" s="16"/>
    </row>
    <row r="40" spans="2:10" x14ac:dyDescent="0.5">
      <c r="B40" t="s">
        <v>55</v>
      </c>
      <c r="C40" t="s">
        <v>351</v>
      </c>
      <c r="D40" t="s">
        <v>70</v>
      </c>
      <c r="E40" s="16"/>
      <c r="F40" t="str">
        <f>RIGHT(Data[[#This Row],[Date]], LEN(Data[[#This Row],[Date]]) - SEARCH("-", Data[[#This Row],[Date]]))</f>
        <v>3</v>
      </c>
      <c r="G40" t="str">
        <f>LEFT(Data[[#This Row],[Date]], SEARCH("-", Data[[#This Row],[Date]]) - 1)</f>
        <v>2</v>
      </c>
      <c r="H40" s="10">
        <f>DATE($C$2,Data[[#This Row],[Month]],Data[[#This Row],[Day ]])</f>
        <v>44960</v>
      </c>
      <c r="J40" s="12">
        <f>IF(ISBLANK(Data[[#This Row],[Errors rectified]]),Data[[#This Row],[Date1]],Data[[#This Row],[Errors rectified]])</f>
        <v>44960</v>
      </c>
    </row>
    <row r="41" spans="2:10" x14ac:dyDescent="0.5">
      <c r="B41" t="s">
        <v>68</v>
      </c>
      <c r="C41" t="s">
        <v>332</v>
      </c>
      <c r="D41" t="s">
        <v>23</v>
      </c>
      <c r="E41" s="16"/>
      <c r="F41" t="str">
        <f>RIGHT(Data[[#This Row],[Date]], LEN(Data[[#This Row],[Date]]) - SEARCH("-", Data[[#This Row],[Date]]))</f>
        <v>6</v>
      </c>
      <c r="G41" t="str">
        <f>LEFT(Data[[#This Row],[Date]], SEARCH("-", Data[[#This Row],[Date]]) - 1)</f>
        <v>2</v>
      </c>
      <c r="H41" s="10">
        <f>DATE($C$2,Data[[#This Row],[Month]],Data[[#This Row],[Day ]])</f>
        <v>44963</v>
      </c>
      <c r="J41" s="12">
        <f>IF(ISBLANK(Data[[#This Row],[Errors rectified]]),Data[[#This Row],[Date1]],Data[[#This Row],[Errors rectified]])</f>
        <v>44963</v>
      </c>
    </row>
    <row r="42" spans="2:10" x14ac:dyDescent="0.5">
      <c r="B42" t="s">
        <v>57</v>
      </c>
      <c r="C42" t="s">
        <v>352</v>
      </c>
      <c r="D42" t="s">
        <v>27</v>
      </c>
      <c r="E42" s="16"/>
      <c r="F42" t="str">
        <f>RIGHT(Data[[#This Row],[Date]], LEN(Data[[#This Row],[Date]]) - SEARCH("-", Data[[#This Row],[Date]]))</f>
        <v>7</v>
      </c>
      <c r="G42" t="str">
        <f>LEFT(Data[[#This Row],[Date]], SEARCH("-", Data[[#This Row],[Date]]) - 1)</f>
        <v>2</v>
      </c>
      <c r="H42" s="10">
        <f>DATE($C$2,Data[[#This Row],[Month]],Data[[#This Row],[Day ]])</f>
        <v>44964</v>
      </c>
      <c r="J42" s="12">
        <f>IF(ISBLANK(Data[[#This Row],[Errors rectified]]),Data[[#This Row],[Date1]],Data[[#This Row],[Errors rectified]])</f>
        <v>44964</v>
      </c>
    </row>
    <row r="43" spans="2:10" x14ac:dyDescent="0.5">
      <c r="B43" t="s">
        <v>18</v>
      </c>
      <c r="C43" t="s">
        <v>330</v>
      </c>
      <c r="D43" t="s">
        <v>19</v>
      </c>
      <c r="E43" s="16"/>
    </row>
    <row r="44" spans="2:10" x14ac:dyDescent="0.5">
      <c r="B44" t="s">
        <v>71</v>
      </c>
      <c r="C44" t="s">
        <v>353</v>
      </c>
      <c r="D44" t="s">
        <v>33</v>
      </c>
      <c r="E44" s="16"/>
      <c r="F44" t="str">
        <f>RIGHT(Data[[#This Row],[Date]], LEN(Data[[#This Row],[Date]]) - SEARCH("-", Data[[#This Row],[Date]]))</f>
        <v>13</v>
      </c>
      <c r="G44" t="str">
        <f>LEFT(Data[[#This Row],[Date]], SEARCH("-", Data[[#This Row],[Date]]) - 1)</f>
        <v>2</v>
      </c>
      <c r="H44" s="10">
        <f>DATE($C$2,Data[[#This Row],[Month]],Data[[#This Row],[Day ]])</f>
        <v>44970</v>
      </c>
      <c r="J44" s="12">
        <f>IF(ISBLANK(Data[[#This Row],[Errors rectified]]),Data[[#This Row],[Date1]],Data[[#This Row],[Errors rectified]])</f>
        <v>44970</v>
      </c>
    </row>
    <row r="45" spans="2:10" x14ac:dyDescent="0.5">
      <c r="B45" t="s">
        <v>62</v>
      </c>
      <c r="C45" t="s">
        <v>354</v>
      </c>
      <c r="D45" t="s">
        <v>72</v>
      </c>
      <c r="E45" s="16"/>
      <c r="F45" t="str">
        <f>RIGHT(Data[[#This Row],[Date]], LEN(Data[[#This Row],[Date]]) - SEARCH("-", Data[[#This Row],[Date]]))</f>
        <v>14</v>
      </c>
      <c r="G45" t="str">
        <f>LEFT(Data[[#This Row],[Date]], SEARCH("-", Data[[#This Row],[Date]]) - 1)</f>
        <v>2</v>
      </c>
      <c r="H45" s="10">
        <f>DATE($C$2,Data[[#This Row],[Month]],Data[[#This Row],[Day ]])</f>
        <v>44971</v>
      </c>
      <c r="J45" s="12">
        <f>IF(ISBLANK(Data[[#This Row],[Errors rectified]]),Data[[#This Row],[Date1]],Data[[#This Row],[Errors rectified]])</f>
        <v>44971</v>
      </c>
    </row>
    <row r="46" spans="2:10" x14ac:dyDescent="0.5">
      <c r="B46" t="s">
        <v>73</v>
      </c>
      <c r="C46" t="s">
        <v>355</v>
      </c>
      <c r="D46" t="s">
        <v>74</v>
      </c>
      <c r="E46" s="16"/>
      <c r="F46" t="str">
        <f>RIGHT(Data[[#This Row],[Date]], LEN(Data[[#This Row],[Date]]) - SEARCH("-", Data[[#This Row],[Date]]))</f>
        <v>24</v>
      </c>
      <c r="G46" t="str">
        <f>LEFT(Data[[#This Row],[Date]], SEARCH("-", Data[[#This Row],[Date]]) - 1)</f>
        <v>2</v>
      </c>
      <c r="H46" s="10">
        <f>DATE($C$2,Data[[#This Row],[Month]],Data[[#This Row],[Day ]])</f>
        <v>44981</v>
      </c>
      <c r="J46" s="12">
        <f>IF(ISBLANK(Data[[#This Row],[Errors rectified]]),Data[[#This Row],[Date1]],Data[[#This Row],[Errors rectified]])</f>
        <v>44981</v>
      </c>
    </row>
    <row r="47" spans="2:10" x14ac:dyDescent="0.5">
      <c r="B47" t="s">
        <v>75</v>
      </c>
      <c r="C47" t="s">
        <v>338</v>
      </c>
      <c r="D47" t="s">
        <v>35</v>
      </c>
      <c r="E47" s="16"/>
      <c r="F47" t="str">
        <f>RIGHT(Data[[#This Row],[Date]], LEN(Data[[#This Row],[Date]]) - SEARCH("-", Data[[#This Row],[Date]]))</f>
        <v>28</v>
      </c>
      <c r="G47" t="str">
        <f>LEFT(Data[[#This Row],[Date]], SEARCH("-", Data[[#This Row],[Date]]) - 1)</f>
        <v>2</v>
      </c>
      <c r="H47" s="10">
        <f>DATE($C$2,Data[[#This Row],[Month]],Data[[#This Row],[Day ]])</f>
        <v>44985</v>
      </c>
      <c r="J47" s="12">
        <f>IF(ISBLANK(Data[[#This Row],[Errors rectified]]),Data[[#This Row],[Date1]],Data[[#This Row],[Errors rectified]])</f>
        <v>44985</v>
      </c>
    </row>
    <row r="48" spans="2:10" x14ac:dyDescent="0.5">
      <c r="B48" t="s">
        <v>1</v>
      </c>
      <c r="C48" t="s">
        <v>36</v>
      </c>
      <c r="D48" t="s">
        <v>76</v>
      </c>
      <c r="E48" s="16"/>
    </row>
    <row r="49" spans="2:10" x14ac:dyDescent="0.5">
      <c r="B49" t="s">
        <v>38</v>
      </c>
      <c r="C49" t="s">
        <v>39</v>
      </c>
      <c r="E49" s="16"/>
    </row>
    <row r="50" spans="2:10" x14ac:dyDescent="0.5">
      <c r="B50" t="s">
        <v>40</v>
      </c>
      <c r="C50" t="s">
        <v>339</v>
      </c>
      <c r="D50" t="s">
        <v>41</v>
      </c>
      <c r="E50" s="16"/>
    </row>
    <row r="51" spans="2:10" x14ac:dyDescent="0.5">
      <c r="B51" t="s">
        <v>77</v>
      </c>
      <c r="C51" t="s">
        <v>340</v>
      </c>
      <c r="D51" t="s">
        <v>45</v>
      </c>
      <c r="E51" s="16"/>
      <c r="F51" t="str">
        <f>RIGHT(Data[[#This Row],[Date]], LEN(Data[[#This Row],[Date]]) - SEARCH("-", Data[[#This Row],[Date]]))</f>
        <v>28-23</v>
      </c>
      <c r="G51" t="str">
        <f>LEFT(Data[[#This Row],[Date]], SEARCH("-", Data[[#This Row],[Date]]) - 1)</f>
        <v>2</v>
      </c>
      <c r="H51" s="10" t="e">
        <f>DATE($C$2,Data[[#This Row],[Month]],Data[[#This Row],[Day ]])</f>
        <v>#VALUE!</v>
      </c>
      <c r="I51" s="10">
        <f>DATE($C$2,LEFT(Data[[#This Row],[Date]],FIND("-",Data[[#This Row],[Date]])-1),MID(Data[[#This Row],[Date]], FIND("-",Data[[#This Row],[Date]])+1, LEN(Data[[#This Row],[Date]])-5))</f>
        <v>44985</v>
      </c>
      <c r="J51" s="12">
        <f>IF(ISBLANK(Data[[#This Row],[Errors rectified]]),Data[[#This Row],[Date1]],Data[[#This Row],[Errors rectified]])</f>
        <v>44985</v>
      </c>
    </row>
    <row r="52" spans="2:10" x14ac:dyDescent="0.5">
      <c r="B52" t="s">
        <v>77</v>
      </c>
      <c r="C52" t="s">
        <v>341</v>
      </c>
      <c r="D52" t="s">
        <v>46</v>
      </c>
      <c r="E52" s="16"/>
      <c r="F52" t="str">
        <f>RIGHT(Data[[#This Row],[Date]], LEN(Data[[#This Row],[Date]]) - SEARCH("-", Data[[#This Row],[Date]]))</f>
        <v>28-23</v>
      </c>
      <c r="G52" t="str">
        <f>LEFT(Data[[#This Row],[Date]], SEARCH("-", Data[[#This Row],[Date]]) - 1)</f>
        <v>2</v>
      </c>
      <c r="H52" s="10" t="e">
        <f>DATE($C$2,Data[[#This Row],[Month]],Data[[#This Row],[Day ]])</f>
        <v>#VALUE!</v>
      </c>
      <c r="I52" s="10">
        <f>DATE($C$2,LEFT(Data[[#This Row],[Date]],FIND("-",Data[[#This Row],[Date]])-1),MID(Data[[#This Row],[Date]], FIND("-",Data[[#This Row],[Date]])+1, LEN(Data[[#This Row],[Date]])-5))</f>
        <v>44985</v>
      </c>
      <c r="J52" s="12">
        <f>IF(ISBLANK(Data[[#This Row],[Errors rectified]]),Data[[#This Row],[Date1]],Data[[#This Row],[Errors rectified]])</f>
        <v>44985</v>
      </c>
    </row>
    <row r="53" spans="2:10" x14ac:dyDescent="0.5">
      <c r="B53" t="s">
        <v>15</v>
      </c>
      <c r="C53" t="s">
        <v>356</v>
      </c>
      <c r="D53" t="s">
        <v>47</v>
      </c>
      <c r="E53" s="16"/>
    </row>
    <row r="54" spans="2:10" x14ac:dyDescent="0.5">
      <c r="B54" t="s">
        <v>15</v>
      </c>
      <c r="E54" s="16"/>
    </row>
    <row r="55" spans="2:10" x14ac:dyDescent="0.5">
      <c r="B55" t="s">
        <v>49</v>
      </c>
      <c r="E55" s="16"/>
    </row>
    <row r="56" spans="2:10" x14ac:dyDescent="0.5">
      <c r="B56" t="s">
        <v>50</v>
      </c>
      <c r="C56" t="s">
        <v>330</v>
      </c>
      <c r="D56" t="s">
        <v>51</v>
      </c>
      <c r="E56" s="16"/>
    </row>
    <row r="57" spans="2:10" x14ac:dyDescent="0.5">
      <c r="B57" t="s">
        <v>78</v>
      </c>
      <c r="C57" t="s">
        <v>344</v>
      </c>
      <c r="D57" t="s">
        <v>79</v>
      </c>
      <c r="E57" s="16"/>
      <c r="F57" t="str">
        <f>RIGHT(Data[[#This Row],[Date]], LEN(Data[[#This Row],[Date]]) - SEARCH("-", Data[[#This Row],[Date]]))</f>
        <v>14</v>
      </c>
      <c r="G57" t="str">
        <f>LEFT(Data[[#This Row],[Date]], SEARCH("-", Data[[#This Row],[Date]]) - 1)</f>
        <v>3</v>
      </c>
      <c r="H57" s="10">
        <f>DATE($C$2,Data[[#This Row],[Month]],Data[[#This Row],[Day ]])</f>
        <v>44999</v>
      </c>
      <c r="J57" s="12">
        <f>IF(ISBLANK(Data[[#This Row],[Errors rectified]]),Data[[#This Row],[Date1]],Data[[#This Row],[Errors rectified]])</f>
        <v>44999</v>
      </c>
    </row>
    <row r="58" spans="2:10" x14ac:dyDescent="0.5">
      <c r="B58" t="s">
        <v>80</v>
      </c>
      <c r="C58" t="s">
        <v>343</v>
      </c>
      <c r="D58" t="s">
        <v>81</v>
      </c>
      <c r="E58" s="16"/>
      <c r="F58" t="str">
        <f>RIGHT(Data[[#This Row],[Date]], LEN(Data[[#This Row],[Date]]) - SEARCH("-", Data[[#This Row],[Date]]))</f>
        <v>20</v>
      </c>
      <c r="G58" t="str">
        <f>LEFT(Data[[#This Row],[Date]], SEARCH("-", Data[[#This Row],[Date]]) - 1)</f>
        <v>3</v>
      </c>
      <c r="H58" s="10">
        <f>DATE($C$2,Data[[#This Row],[Month]],Data[[#This Row],[Day ]])</f>
        <v>45005</v>
      </c>
      <c r="J58" s="12">
        <f>IF(ISBLANK(Data[[#This Row],[Errors rectified]]),Data[[#This Row],[Date1]],Data[[#This Row],[Errors rectified]])</f>
        <v>45005</v>
      </c>
    </row>
    <row r="59" spans="2:10" x14ac:dyDescent="0.5">
      <c r="B59" t="s">
        <v>82</v>
      </c>
      <c r="C59" t="s">
        <v>343</v>
      </c>
      <c r="D59" t="s">
        <v>83</v>
      </c>
      <c r="E59" s="16"/>
      <c r="F59" t="str">
        <f>RIGHT(Data[[#This Row],[Date]], LEN(Data[[#This Row],[Date]]) - SEARCH("-", Data[[#This Row],[Date]]))</f>
        <v>28</v>
      </c>
      <c r="G59" t="str">
        <f>LEFT(Data[[#This Row],[Date]], SEARCH("-", Data[[#This Row],[Date]]) - 1)</f>
        <v>3</v>
      </c>
      <c r="H59" s="10">
        <f>DATE($C$2,Data[[#This Row],[Month]],Data[[#This Row],[Day ]])</f>
        <v>45013</v>
      </c>
      <c r="J59" s="12">
        <f>IF(ISBLANK(Data[[#This Row],[Errors rectified]]),Data[[#This Row],[Date1]],Data[[#This Row],[Errors rectified]])</f>
        <v>45013</v>
      </c>
    </row>
    <row r="60" spans="2:10" x14ac:dyDescent="0.5">
      <c r="B60" t="s">
        <v>84</v>
      </c>
      <c r="C60" t="s">
        <v>357</v>
      </c>
      <c r="D60" t="s">
        <v>86</v>
      </c>
      <c r="E60" s="16"/>
      <c r="F60" t="str">
        <f>RIGHT(Data[[#This Row],[Date]], LEN(Data[[#This Row],[Date]]) - SEARCH("-", Data[[#This Row],[Date]]))</f>
        <v>30</v>
      </c>
      <c r="G60" t="str">
        <f>LEFT(Data[[#This Row],[Date]], SEARCH("-", Data[[#This Row],[Date]]) - 1)</f>
        <v>3</v>
      </c>
      <c r="H60" s="10">
        <f>DATE($C$2,Data[[#This Row],[Month]],Data[[#This Row],[Day ]])</f>
        <v>45015</v>
      </c>
      <c r="J60" s="12">
        <f>IF(ISBLANK(Data[[#This Row],[Errors rectified]]),Data[[#This Row],[Date1]],Data[[#This Row],[Errors rectified]])</f>
        <v>45015</v>
      </c>
    </row>
    <row r="61" spans="2:10" x14ac:dyDescent="0.5">
      <c r="B61" t="s">
        <v>84</v>
      </c>
      <c r="C61" t="s">
        <v>345</v>
      </c>
      <c r="D61" t="s">
        <v>87</v>
      </c>
      <c r="E61" s="16"/>
      <c r="F61" t="str">
        <f>RIGHT(Data[[#This Row],[Date]], LEN(Data[[#This Row],[Date]]) - SEARCH("-", Data[[#This Row],[Date]]))</f>
        <v>30</v>
      </c>
      <c r="G61" t="str">
        <f>LEFT(Data[[#This Row],[Date]], SEARCH("-", Data[[#This Row],[Date]]) - 1)</f>
        <v>3</v>
      </c>
      <c r="H61" s="10">
        <f>DATE($C$2,Data[[#This Row],[Month]],Data[[#This Row],[Day ]])</f>
        <v>45015</v>
      </c>
      <c r="J61" s="12">
        <f>IF(ISBLANK(Data[[#This Row],[Errors rectified]]),Data[[#This Row],[Date1]],Data[[#This Row],[Errors rectified]])</f>
        <v>45015</v>
      </c>
    </row>
    <row r="62" spans="2:10" x14ac:dyDescent="0.5">
      <c r="B62" t="s">
        <v>1</v>
      </c>
      <c r="C62" t="s">
        <v>64</v>
      </c>
      <c r="D62" t="s">
        <v>88</v>
      </c>
      <c r="E62" s="16"/>
    </row>
    <row r="63" spans="2:10" x14ac:dyDescent="0.5">
      <c r="B63" t="s">
        <v>17</v>
      </c>
      <c r="E63" s="16"/>
    </row>
    <row r="64" spans="2:10" x14ac:dyDescent="0.5">
      <c r="B64" t="s">
        <v>43</v>
      </c>
      <c r="C64" t="s">
        <v>346</v>
      </c>
      <c r="D64" t="s">
        <v>66</v>
      </c>
      <c r="E64" s="16"/>
    </row>
    <row r="65" spans="2:10" x14ac:dyDescent="0.5">
      <c r="B65" t="s">
        <v>12</v>
      </c>
      <c r="C65" t="s">
        <v>5</v>
      </c>
      <c r="D65" t="s">
        <v>67</v>
      </c>
      <c r="E65" s="16"/>
    </row>
    <row r="66" spans="2:10" x14ac:dyDescent="0.5">
      <c r="B66" t="s">
        <v>15</v>
      </c>
      <c r="C66" t="s">
        <v>358</v>
      </c>
      <c r="D66" t="s">
        <v>90</v>
      </c>
      <c r="E66" s="16"/>
    </row>
    <row r="67" spans="2:10" x14ac:dyDescent="0.5">
      <c r="B67" t="s">
        <v>43</v>
      </c>
      <c r="C67" t="s">
        <v>350</v>
      </c>
      <c r="D67" t="s">
        <v>90</v>
      </c>
      <c r="E67" s="16"/>
    </row>
    <row r="68" spans="2:10" x14ac:dyDescent="0.5">
      <c r="B68" t="s">
        <v>18</v>
      </c>
      <c r="C68" t="s">
        <v>330</v>
      </c>
      <c r="D68" t="s">
        <v>19</v>
      </c>
      <c r="E68" s="16"/>
    </row>
    <row r="69" spans="2:10" x14ac:dyDescent="0.5">
      <c r="B69" t="s">
        <v>89</v>
      </c>
      <c r="C69" t="s">
        <v>332</v>
      </c>
      <c r="D69" t="s">
        <v>91</v>
      </c>
      <c r="E69" s="16"/>
      <c r="F69" t="str">
        <f>RIGHT(Data[[#This Row],[Date]], LEN(Data[[#This Row],[Date]]) - SEARCH("-", Data[[#This Row],[Date]]))</f>
        <v>6</v>
      </c>
      <c r="G69" t="str">
        <f>LEFT(Data[[#This Row],[Date]], SEARCH("-", Data[[#This Row],[Date]]) - 1)</f>
        <v>3</v>
      </c>
      <c r="H69" s="10">
        <f>DATE($C$2,Data[[#This Row],[Month]],Data[[#This Row],[Day ]])</f>
        <v>44991</v>
      </c>
      <c r="J69" s="12">
        <f>IF(ISBLANK(Data[[#This Row],[Errors rectified]]),Data[[#This Row],[Date1]],Data[[#This Row],[Errors rectified]])</f>
        <v>44991</v>
      </c>
    </row>
    <row r="70" spans="2:10" x14ac:dyDescent="0.5">
      <c r="B70" t="s">
        <v>92</v>
      </c>
      <c r="C70" t="s">
        <v>335</v>
      </c>
      <c r="D70" t="s">
        <v>93</v>
      </c>
      <c r="E70" s="16"/>
      <c r="F70" t="str">
        <f>RIGHT(Data[[#This Row],[Date]], LEN(Data[[#This Row],[Date]]) - SEARCH("-", Data[[#This Row],[Date]]))</f>
        <v>7</v>
      </c>
      <c r="G70" t="str">
        <f>LEFT(Data[[#This Row],[Date]], SEARCH("-", Data[[#This Row],[Date]]) - 1)</f>
        <v>3</v>
      </c>
      <c r="H70" s="10">
        <f>DATE($C$2,Data[[#This Row],[Month]],Data[[#This Row],[Day ]])</f>
        <v>44992</v>
      </c>
      <c r="J70" s="12">
        <f>IF(ISBLANK(Data[[#This Row],[Errors rectified]]),Data[[#This Row],[Date1]],Data[[#This Row],[Errors rectified]])</f>
        <v>44992</v>
      </c>
    </row>
    <row r="71" spans="2:10" x14ac:dyDescent="0.5">
      <c r="B71" t="s">
        <v>94</v>
      </c>
      <c r="C71" t="s">
        <v>359</v>
      </c>
      <c r="D71" t="s">
        <v>95</v>
      </c>
      <c r="E71" s="16"/>
      <c r="F71" t="str">
        <f>RIGHT(Data[[#This Row],[Date]], LEN(Data[[#This Row],[Date]]) - SEARCH("-", Data[[#This Row],[Date]]))</f>
        <v>10</v>
      </c>
      <c r="G71" t="str">
        <f>LEFT(Data[[#This Row],[Date]], SEARCH("-", Data[[#This Row],[Date]]) - 1)</f>
        <v>3</v>
      </c>
      <c r="H71" s="10">
        <f>DATE($C$2,Data[[#This Row],[Month]],Data[[#This Row],[Day ]])</f>
        <v>44995</v>
      </c>
      <c r="J71" s="12">
        <f>IF(ISBLANK(Data[[#This Row],[Errors rectified]]),Data[[#This Row],[Date1]],Data[[#This Row],[Errors rectified]])</f>
        <v>44995</v>
      </c>
    </row>
    <row r="72" spans="2:10" x14ac:dyDescent="0.5">
      <c r="B72" t="s">
        <v>96</v>
      </c>
      <c r="C72" t="s">
        <v>360</v>
      </c>
      <c r="D72" t="s">
        <v>33</v>
      </c>
      <c r="E72" s="16"/>
      <c r="F72" t="str">
        <f>RIGHT(Data[[#This Row],[Date]], LEN(Data[[#This Row],[Date]]) - SEARCH("-", Data[[#This Row],[Date]]))</f>
        <v>13</v>
      </c>
      <c r="G72" t="str">
        <f>LEFT(Data[[#This Row],[Date]], SEARCH("-", Data[[#This Row],[Date]]) - 1)</f>
        <v>3</v>
      </c>
      <c r="H72" s="10">
        <f>DATE($C$2,Data[[#This Row],[Month]],Data[[#This Row],[Day ]])</f>
        <v>44998</v>
      </c>
      <c r="J72" s="12">
        <f>IF(ISBLANK(Data[[#This Row],[Errors rectified]]),Data[[#This Row],[Date1]],Data[[#This Row],[Errors rectified]])</f>
        <v>44998</v>
      </c>
    </row>
    <row r="73" spans="2:10" x14ac:dyDescent="0.5">
      <c r="B73" t="s">
        <v>78</v>
      </c>
      <c r="C73" t="s">
        <v>361</v>
      </c>
      <c r="D73" t="s">
        <v>97</v>
      </c>
      <c r="E73" s="16"/>
      <c r="F73" t="str">
        <f>RIGHT(Data[[#This Row],[Date]], LEN(Data[[#This Row],[Date]]) - SEARCH("-", Data[[#This Row],[Date]]))</f>
        <v>14</v>
      </c>
      <c r="G73" t="str">
        <f>LEFT(Data[[#This Row],[Date]], SEARCH("-", Data[[#This Row],[Date]]) - 1)</f>
        <v>3</v>
      </c>
      <c r="H73" s="10">
        <f>DATE($C$2,Data[[#This Row],[Month]],Data[[#This Row],[Day ]])</f>
        <v>44999</v>
      </c>
      <c r="J73" s="12">
        <f>IF(ISBLANK(Data[[#This Row],[Errors rectified]]),Data[[#This Row],[Date1]],Data[[#This Row],[Errors rectified]])</f>
        <v>44999</v>
      </c>
    </row>
    <row r="74" spans="2:10" x14ac:dyDescent="0.5">
      <c r="B74" t="s">
        <v>17</v>
      </c>
      <c r="E74" s="16"/>
    </row>
    <row r="75" spans="2:10" x14ac:dyDescent="0.5">
      <c r="B75" t="s">
        <v>98</v>
      </c>
      <c r="E75" s="16"/>
    </row>
    <row r="76" spans="2:10" x14ac:dyDescent="0.5">
      <c r="B76" t="s">
        <v>18</v>
      </c>
      <c r="C76" t="s">
        <v>330</v>
      </c>
      <c r="D76" t="s">
        <v>19</v>
      </c>
      <c r="E76" s="16"/>
    </row>
    <row r="77" spans="2:10" x14ac:dyDescent="0.5">
      <c r="B77" t="s">
        <v>99</v>
      </c>
      <c r="C77" t="s">
        <v>362</v>
      </c>
      <c r="D77" t="s">
        <v>100</v>
      </c>
      <c r="E77" s="16"/>
      <c r="F77" t="str">
        <f>RIGHT(Data[[#This Row],[Date]], LEN(Data[[#This Row],[Date]]) - SEARCH("-", Data[[#This Row],[Date]]))</f>
        <v>21</v>
      </c>
      <c r="G77" t="str">
        <f>LEFT(Data[[#This Row],[Date]], SEARCH("-", Data[[#This Row],[Date]]) - 1)</f>
        <v>3</v>
      </c>
      <c r="H77" s="10">
        <f>DATE($C$2,Data[[#This Row],[Month]],Data[[#This Row],[Day ]])</f>
        <v>45006</v>
      </c>
      <c r="J77" s="12">
        <f>IF(ISBLANK(Data[[#This Row],[Errors rectified]]),Data[[#This Row],[Date1]],Data[[#This Row],[Errors rectified]])</f>
        <v>45006</v>
      </c>
    </row>
    <row r="78" spans="2:10" x14ac:dyDescent="0.5">
      <c r="B78" t="s">
        <v>101</v>
      </c>
      <c r="C78" t="s">
        <v>332</v>
      </c>
      <c r="D78" t="s">
        <v>31</v>
      </c>
      <c r="E78" s="16"/>
      <c r="F78" t="str">
        <f>RIGHT(Data[[#This Row],[Date]], LEN(Data[[#This Row],[Date]]) - SEARCH("-", Data[[#This Row],[Date]]))</f>
        <v>23</v>
      </c>
      <c r="G78" t="str">
        <f>LEFT(Data[[#This Row],[Date]], SEARCH("-", Data[[#This Row],[Date]]) - 1)</f>
        <v>3</v>
      </c>
      <c r="H78" s="10">
        <f>DATE($C$2,Data[[#This Row],[Month]],Data[[#This Row],[Day ]])</f>
        <v>45008</v>
      </c>
      <c r="J78" s="12">
        <f>IF(ISBLANK(Data[[#This Row],[Errors rectified]]),Data[[#This Row],[Date1]],Data[[#This Row],[Errors rectified]])</f>
        <v>45008</v>
      </c>
    </row>
    <row r="79" spans="2:10" x14ac:dyDescent="0.5">
      <c r="B79" t="s">
        <v>82</v>
      </c>
      <c r="C79" t="s">
        <v>338</v>
      </c>
      <c r="D79" t="s">
        <v>35</v>
      </c>
      <c r="E79" s="16"/>
      <c r="F79" t="str">
        <f>RIGHT(Data[[#This Row],[Date]], LEN(Data[[#This Row],[Date]]) - SEARCH("-", Data[[#This Row],[Date]]))</f>
        <v>28</v>
      </c>
      <c r="G79" t="str">
        <f>LEFT(Data[[#This Row],[Date]], SEARCH("-", Data[[#This Row],[Date]]) - 1)</f>
        <v>3</v>
      </c>
      <c r="H79" s="10">
        <f>DATE($C$2,Data[[#This Row],[Month]],Data[[#This Row],[Day ]])</f>
        <v>45013</v>
      </c>
      <c r="J79" s="12">
        <f>IF(ISBLANK(Data[[#This Row],[Errors rectified]]),Data[[#This Row],[Date1]],Data[[#This Row],[Errors rectified]])</f>
        <v>45013</v>
      </c>
    </row>
    <row r="80" spans="2:10" x14ac:dyDescent="0.5">
      <c r="B80" t="s">
        <v>1</v>
      </c>
      <c r="C80" t="s">
        <v>36</v>
      </c>
      <c r="D80" t="s">
        <v>102</v>
      </c>
      <c r="E80" s="16"/>
    </row>
    <row r="81" spans="2:10" x14ac:dyDescent="0.5">
      <c r="B81" t="s">
        <v>38</v>
      </c>
      <c r="C81" t="s">
        <v>39</v>
      </c>
      <c r="E81" s="16"/>
    </row>
    <row r="82" spans="2:10" x14ac:dyDescent="0.5">
      <c r="B82" t="s">
        <v>40</v>
      </c>
      <c r="C82" t="s">
        <v>339</v>
      </c>
      <c r="D82" t="s">
        <v>41</v>
      </c>
      <c r="E82" s="16"/>
    </row>
    <row r="83" spans="2:10" x14ac:dyDescent="0.5">
      <c r="B83" t="s">
        <v>103</v>
      </c>
      <c r="C83" t="s">
        <v>340</v>
      </c>
      <c r="D83" t="s">
        <v>45</v>
      </c>
      <c r="E83" s="16"/>
      <c r="F83" t="str">
        <f>RIGHT(Data[[#This Row],[Date]], LEN(Data[[#This Row],[Date]]) - SEARCH("-", Data[[#This Row],[Date]]))</f>
        <v>31-23</v>
      </c>
      <c r="G83" t="str">
        <f>LEFT(Data[[#This Row],[Date]], SEARCH("-", Data[[#This Row],[Date]]) - 1)</f>
        <v>3</v>
      </c>
      <c r="H83" s="10" t="e">
        <f>DATE($C$2,Data[[#This Row],[Month]],Data[[#This Row],[Day ]])</f>
        <v>#VALUE!</v>
      </c>
      <c r="I83" s="10">
        <f>DATE($C$2,LEFT(Data[[#This Row],[Date]],FIND("-",Data[[#This Row],[Date]])-1),MID(Data[[#This Row],[Date]], FIND("-",Data[[#This Row],[Date]])+1, LEN(Data[[#This Row],[Date]])-5))</f>
        <v>45016</v>
      </c>
      <c r="J83" s="12">
        <f>IF(ISBLANK(Data[[#This Row],[Errors rectified]]),Data[[#This Row],[Date1]],Data[[#This Row],[Errors rectified]])</f>
        <v>45016</v>
      </c>
    </row>
    <row r="84" spans="2:10" x14ac:dyDescent="0.5">
      <c r="B84" t="s">
        <v>103</v>
      </c>
      <c r="C84" t="s">
        <v>341</v>
      </c>
      <c r="D84" t="s">
        <v>46</v>
      </c>
      <c r="E84" s="16"/>
      <c r="F84" t="str">
        <f>RIGHT(Data[[#This Row],[Date]], LEN(Data[[#This Row],[Date]]) - SEARCH("-", Data[[#This Row],[Date]]))</f>
        <v>31-23</v>
      </c>
      <c r="G84" t="str">
        <f>LEFT(Data[[#This Row],[Date]], SEARCH("-", Data[[#This Row],[Date]]) - 1)</f>
        <v>3</v>
      </c>
      <c r="H84" s="10" t="e">
        <f>DATE($C$2,Data[[#This Row],[Month]],Data[[#This Row],[Day ]])</f>
        <v>#VALUE!</v>
      </c>
      <c r="I84" s="10">
        <f>DATE($C$2,LEFT(Data[[#This Row],[Date]],FIND("-",Data[[#This Row],[Date]])-1),MID(Data[[#This Row],[Date]], FIND("-",Data[[#This Row],[Date]])+1, LEN(Data[[#This Row],[Date]])-5))</f>
        <v>45016</v>
      </c>
      <c r="J84" s="12">
        <f>IF(ISBLANK(Data[[#This Row],[Errors rectified]]),Data[[#This Row],[Date1]],Data[[#This Row],[Errors rectified]])</f>
        <v>45016</v>
      </c>
    </row>
    <row r="85" spans="2:10" x14ac:dyDescent="0.5">
      <c r="B85" t="s">
        <v>15</v>
      </c>
      <c r="C85" t="s">
        <v>342</v>
      </c>
      <c r="D85" t="s">
        <v>104</v>
      </c>
      <c r="E85" s="16"/>
    </row>
    <row r="86" spans="2:10" x14ac:dyDescent="0.5">
      <c r="B86" t="s">
        <v>15</v>
      </c>
      <c r="E86" s="16"/>
    </row>
    <row r="87" spans="2:10" x14ac:dyDescent="0.5">
      <c r="B87" t="s">
        <v>15</v>
      </c>
      <c r="E87" s="16"/>
    </row>
    <row r="88" spans="2:10" x14ac:dyDescent="0.5">
      <c r="B88" t="s">
        <v>49</v>
      </c>
      <c r="E88" s="16"/>
    </row>
    <row r="89" spans="2:10" x14ac:dyDescent="0.5">
      <c r="B89" t="s">
        <v>50</v>
      </c>
      <c r="C89" t="s">
        <v>330</v>
      </c>
      <c r="D89" t="s">
        <v>51</v>
      </c>
      <c r="E89" s="16"/>
    </row>
    <row r="90" spans="2:10" x14ac:dyDescent="0.5">
      <c r="B90" t="s">
        <v>105</v>
      </c>
      <c r="C90" t="s">
        <v>344</v>
      </c>
      <c r="D90" t="s">
        <v>79</v>
      </c>
      <c r="E90" s="16"/>
      <c r="F90" t="str">
        <f>RIGHT(Data[[#This Row],[Date]], LEN(Data[[#This Row],[Date]]) - SEARCH("-", Data[[#This Row],[Date]]))</f>
        <v>11</v>
      </c>
      <c r="G90" t="str">
        <f>LEFT(Data[[#This Row],[Date]], SEARCH("-", Data[[#This Row],[Date]]) - 1)</f>
        <v>4</v>
      </c>
      <c r="H90" s="10">
        <f>DATE($C$2,Data[[#This Row],[Month]],Data[[#This Row],[Day ]])</f>
        <v>45027</v>
      </c>
      <c r="J90" s="12">
        <f>IF(ISBLANK(Data[[#This Row],[Errors rectified]]),Data[[#This Row],[Date1]],Data[[#This Row],[Errors rectified]])</f>
        <v>45027</v>
      </c>
    </row>
    <row r="91" spans="2:10" x14ac:dyDescent="0.5">
      <c r="B91" t="s">
        <v>106</v>
      </c>
      <c r="C91" t="s">
        <v>345</v>
      </c>
      <c r="D91" t="s">
        <v>107</v>
      </c>
      <c r="E91" s="16"/>
      <c r="F91" t="str">
        <f>RIGHT(Data[[#This Row],[Date]], LEN(Data[[#This Row],[Date]]) - SEARCH("-", Data[[#This Row],[Date]]))</f>
        <v>24</v>
      </c>
      <c r="G91" t="str">
        <f>LEFT(Data[[#This Row],[Date]], SEARCH("-", Data[[#This Row],[Date]]) - 1)</f>
        <v>4</v>
      </c>
      <c r="H91" s="10">
        <f>DATE($C$2,Data[[#This Row],[Month]],Data[[#This Row],[Day ]])</f>
        <v>45040</v>
      </c>
      <c r="J91" s="12">
        <f>IF(ISBLANK(Data[[#This Row],[Errors rectified]]),Data[[#This Row],[Date1]],Data[[#This Row],[Errors rectified]])</f>
        <v>45040</v>
      </c>
    </row>
    <row r="92" spans="2:10" x14ac:dyDescent="0.5">
      <c r="B92" t="s">
        <v>106</v>
      </c>
      <c r="C92" t="s">
        <v>344</v>
      </c>
      <c r="D92" t="s">
        <v>108</v>
      </c>
      <c r="E92" s="16"/>
      <c r="F92" t="str">
        <f>RIGHT(Data[[#This Row],[Date]], LEN(Data[[#This Row],[Date]]) - SEARCH("-", Data[[#This Row],[Date]]))</f>
        <v>24</v>
      </c>
      <c r="G92" t="str">
        <f>LEFT(Data[[#This Row],[Date]], SEARCH("-", Data[[#This Row],[Date]]) - 1)</f>
        <v>4</v>
      </c>
      <c r="H92" s="10">
        <f>DATE($C$2,Data[[#This Row],[Month]],Data[[#This Row],[Day ]])</f>
        <v>45040</v>
      </c>
      <c r="J92" s="12">
        <f>IF(ISBLANK(Data[[#This Row],[Errors rectified]]),Data[[#This Row],[Date1]],Data[[#This Row],[Errors rectified]])</f>
        <v>45040</v>
      </c>
    </row>
    <row r="93" spans="2:10" x14ac:dyDescent="0.5">
      <c r="B93" t="s">
        <v>1</v>
      </c>
      <c r="C93" t="s">
        <v>64</v>
      </c>
      <c r="D93" t="s">
        <v>109</v>
      </c>
      <c r="E93" s="16"/>
    </row>
    <row r="94" spans="2:10" x14ac:dyDescent="0.5">
      <c r="B94" t="s">
        <v>17</v>
      </c>
      <c r="E94" s="16"/>
    </row>
    <row r="95" spans="2:10" x14ac:dyDescent="0.5">
      <c r="B95" t="s">
        <v>18</v>
      </c>
      <c r="C95" t="s">
        <v>330</v>
      </c>
      <c r="D95" t="s">
        <v>19</v>
      </c>
      <c r="E95" s="16"/>
    </row>
    <row r="96" spans="2:10" x14ac:dyDescent="0.5">
      <c r="B96" t="s">
        <v>110</v>
      </c>
      <c r="C96" t="s">
        <v>363</v>
      </c>
      <c r="D96" t="s">
        <v>111</v>
      </c>
      <c r="E96" s="16"/>
      <c r="F96" t="str">
        <f>RIGHT(Data[[#This Row],[Date]], LEN(Data[[#This Row],[Date]]) - SEARCH("-", Data[[#This Row],[Date]]))</f>
        <v>3</v>
      </c>
      <c r="G96" t="str">
        <f>LEFT(Data[[#This Row],[Date]], SEARCH("-", Data[[#This Row],[Date]]) - 1)</f>
        <v>4</v>
      </c>
      <c r="H96" s="10">
        <f>DATE($C$2,Data[[#This Row],[Month]],Data[[#This Row],[Day ]])</f>
        <v>45019</v>
      </c>
      <c r="J96" s="12">
        <f>IF(ISBLANK(Data[[#This Row],[Errors rectified]]),Data[[#This Row],[Date1]],Data[[#This Row],[Errors rectified]])</f>
        <v>45019</v>
      </c>
    </row>
    <row r="97" spans="2:10" x14ac:dyDescent="0.5">
      <c r="B97" t="s">
        <v>110</v>
      </c>
      <c r="C97" t="s">
        <v>364</v>
      </c>
      <c r="D97" t="s">
        <v>108</v>
      </c>
      <c r="E97" s="16"/>
      <c r="F97" t="str">
        <f>RIGHT(Data[[#This Row],[Date]], LEN(Data[[#This Row],[Date]]) - SEARCH("-", Data[[#This Row],[Date]]))</f>
        <v>3</v>
      </c>
      <c r="G97" t="str">
        <f>LEFT(Data[[#This Row],[Date]], SEARCH("-", Data[[#This Row],[Date]]) - 1)</f>
        <v>4</v>
      </c>
      <c r="H97" s="10">
        <f>DATE($C$2,Data[[#This Row],[Month]],Data[[#This Row],[Day ]])</f>
        <v>45019</v>
      </c>
      <c r="J97" s="12">
        <f>IF(ISBLANK(Data[[#This Row],[Errors rectified]]),Data[[#This Row],[Date1]],Data[[#This Row],[Errors rectified]])</f>
        <v>45019</v>
      </c>
    </row>
    <row r="98" spans="2:10" x14ac:dyDescent="0.5">
      <c r="B98" t="s">
        <v>112</v>
      </c>
      <c r="C98" t="s">
        <v>332</v>
      </c>
      <c r="D98" t="s">
        <v>113</v>
      </c>
      <c r="E98" s="16"/>
      <c r="F98" t="str">
        <f>RIGHT(Data[[#This Row],[Date]], LEN(Data[[#This Row],[Date]]) - SEARCH("-", Data[[#This Row],[Date]]))</f>
        <v>4</v>
      </c>
      <c r="G98" t="str">
        <f>LEFT(Data[[#This Row],[Date]], SEARCH("-", Data[[#This Row],[Date]]) - 1)</f>
        <v>4</v>
      </c>
      <c r="H98" s="10">
        <f>DATE($C$2,Data[[#This Row],[Month]],Data[[#This Row],[Day ]])</f>
        <v>45020</v>
      </c>
      <c r="J98" s="12">
        <f>IF(ISBLANK(Data[[#This Row],[Errors rectified]]),Data[[#This Row],[Date1]],Data[[#This Row],[Errors rectified]])</f>
        <v>45020</v>
      </c>
    </row>
    <row r="99" spans="2:10" x14ac:dyDescent="0.5">
      <c r="B99" t="s">
        <v>114</v>
      </c>
      <c r="C99" t="s">
        <v>335</v>
      </c>
      <c r="D99" t="s">
        <v>115</v>
      </c>
      <c r="E99" s="16"/>
      <c r="F99" t="str">
        <f>RIGHT(Data[[#This Row],[Date]], LEN(Data[[#This Row],[Date]]) - SEARCH("-", Data[[#This Row],[Date]]))</f>
        <v>7</v>
      </c>
      <c r="G99" t="str">
        <f>LEFT(Data[[#This Row],[Date]], SEARCH("-", Data[[#This Row],[Date]]) - 1)</f>
        <v>4</v>
      </c>
      <c r="H99" s="10">
        <f>DATE($C$2,Data[[#This Row],[Month]],Data[[#This Row],[Day ]])</f>
        <v>45023</v>
      </c>
      <c r="J99" s="12">
        <f>IF(ISBLANK(Data[[#This Row],[Errors rectified]]),Data[[#This Row],[Date1]],Data[[#This Row],[Errors rectified]])</f>
        <v>45023</v>
      </c>
    </row>
    <row r="100" spans="2:10" x14ac:dyDescent="0.5">
      <c r="B100" t="s">
        <v>116</v>
      </c>
      <c r="C100" t="s">
        <v>365</v>
      </c>
      <c r="D100" t="s">
        <v>33</v>
      </c>
      <c r="E100" s="16"/>
      <c r="F100" t="str">
        <f>RIGHT(Data[[#This Row],[Date]], LEN(Data[[#This Row],[Date]]) - SEARCH("-", Data[[#This Row],[Date]]))</f>
        <v>12</v>
      </c>
      <c r="G100" t="str">
        <f>LEFT(Data[[#This Row],[Date]], SEARCH("-", Data[[#This Row],[Date]]) - 1)</f>
        <v>4</v>
      </c>
      <c r="H100" s="10">
        <f>DATE($C$2,Data[[#This Row],[Month]],Data[[#This Row],[Day ]])</f>
        <v>45028</v>
      </c>
      <c r="J100" s="12">
        <f>IF(ISBLANK(Data[[#This Row],[Errors rectified]]),Data[[#This Row],[Date1]],Data[[#This Row],[Errors rectified]])</f>
        <v>45028</v>
      </c>
    </row>
    <row r="101" spans="2:10" x14ac:dyDescent="0.5">
      <c r="B101" t="s">
        <v>106</v>
      </c>
      <c r="C101" t="s">
        <v>366</v>
      </c>
      <c r="D101" t="s">
        <v>117</v>
      </c>
      <c r="E101" s="16"/>
      <c r="F101" t="str">
        <f>RIGHT(Data[[#This Row],[Date]], LEN(Data[[#This Row],[Date]]) - SEARCH("-", Data[[#This Row],[Date]]))</f>
        <v>24</v>
      </c>
      <c r="G101" t="str">
        <f>LEFT(Data[[#This Row],[Date]], SEARCH("-", Data[[#This Row],[Date]]) - 1)</f>
        <v>4</v>
      </c>
      <c r="H101" s="10">
        <f>DATE($C$2,Data[[#This Row],[Month]],Data[[#This Row],[Day ]])</f>
        <v>45040</v>
      </c>
      <c r="J101" s="12">
        <f>IF(ISBLANK(Data[[#This Row],[Errors rectified]]),Data[[#This Row],[Date1]],Data[[#This Row],[Errors rectified]])</f>
        <v>45040</v>
      </c>
    </row>
    <row r="102" spans="2:10" x14ac:dyDescent="0.5">
      <c r="B102" t="s">
        <v>118</v>
      </c>
      <c r="C102" t="s">
        <v>338</v>
      </c>
      <c r="D102" t="s">
        <v>35</v>
      </c>
      <c r="E102" s="16"/>
      <c r="F102" t="str">
        <f>RIGHT(Data[[#This Row],[Date]], LEN(Data[[#This Row],[Date]]) - SEARCH("-", Data[[#This Row],[Date]]))</f>
        <v>27</v>
      </c>
      <c r="G102" t="str">
        <f>LEFT(Data[[#This Row],[Date]], SEARCH("-", Data[[#This Row],[Date]]) - 1)</f>
        <v>4</v>
      </c>
      <c r="H102" s="10">
        <f>DATE($C$2,Data[[#This Row],[Month]],Data[[#This Row],[Day ]])</f>
        <v>45043</v>
      </c>
      <c r="J102" s="12">
        <f>IF(ISBLANK(Data[[#This Row],[Errors rectified]]),Data[[#This Row],[Date1]],Data[[#This Row],[Errors rectified]])</f>
        <v>45043</v>
      </c>
    </row>
    <row r="103" spans="2:10" x14ac:dyDescent="0.5">
      <c r="B103" t="s">
        <v>1</v>
      </c>
      <c r="C103" t="s">
        <v>36</v>
      </c>
      <c r="D103" t="s">
        <v>119</v>
      </c>
      <c r="E103" s="16"/>
    </row>
    <row r="104" spans="2:10" x14ac:dyDescent="0.5">
      <c r="B104" t="s">
        <v>38</v>
      </c>
      <c r="C104" t="s">
        <v>39</v>
      </c>
      <c r="E104" s="16"/>
    </row>
    <row r="105" spans="2:10" x14ac:dyDescent="0.5">
      <c r="B105" t="s">
        <v>40</v>
      </c>
      <c r="C105" t="s">
        <v>339</v>
      </c>
      <c r="D105" t="s">
        <v>41</v>
      </c>
      <c r="E105" s="16"/>
    </row>
    <row r="106" spans="2:10" x14ac:dyDescent="0.5">
      <c r="B106" t="s">
        <v>120</v>
      </c>
      <c r="C106" t="s">
        <v>340</v>
      </c>
      <c r="D106" t="s">
        <v>45</v>
      </c>
      <c r="E106" s="16"/>
      <c r="F106" t="str">
        <f>RIGHT(Data[[#This Row],[Date]], LEN(Data[[#This Row],[Date]]) - SEARCH("-", Data[[#This Row],[Date]]))</f>
        <v>28-23</v>
      </c>
      <c r="G106" t="str">
        <f>LEFT(Data[[#This Row],[Date]], SEARCH("-", Data[[#This Row],[Date]]) - 1)</f>
        <v>4</v>
      </c>
      <c r="H106" s="10" t="e">
        <f>DATE($C$2,Data[[#This Row],[Month]],Data[[#This Row],[Day ]])</f>
        <v>#VALUE!</v>
      </c>
      <c r="I106" s="10">
        <f>DATE($C$2,LEFT(Data[[#This Row],[Date]],FIND("-",Data[[#This Row],[Date]])-1),MID(Data[[#This Row],[Date]], FIND("-",Data[[#This Row],[Date]])+1, LEN(Data[[#This Row],[Date]])-5))</f>
        <v>45044</v>
      </c>
      <c r="J106" s="12">
        <f>IF(ISBLANK(Data[[#This Row],[Errors rectified]]),Data[[#This Row],[Date1]],Data[[#This Row],[Errors rectified]])</f>
        <v>45044</v>
      </c>
    </row>
    <row r="107" spans="2:10" x14ac:dyDescent="0.5">
      <c r="B107" t="s">
        <v>120</v>
      </c>
      <c r="C107" t="s">
        <v>367</v>
      </c>
      <c r="D107" t="s">
        <v>46</v>
      </c>
      <c r="E107" s="16"/>
      <c r="F107" t="str">
        <f>RIGHT(Data[[#This Row],[Date]], LEN(Data[[#This Row],[Date]]) - SEARCH("-", Data[[#This Row],[Date]]))</f>
        <v>28-23</v>
      </c>
      <c r="G107" t="str">
        <f>LEFT(Data[[#This Row],[Date]], SEARCH("-", Data[[#This Row],[Date]]) - 1)</f>
        <v>4</v>
      </c>
      <c r="H107" s="10" t="e">
        <f>DATE($C$2,Data[[#This Row],[Month]],Data[[#This Row],[Day ]])</f>
        <v>#VALUE!</v>
      </c>
      <c r="I107" s="10">
        <f>DATE($C$2,LEFT(Data[[#This Row],[Date]],FIND("-",Data[[#This Row],[Date]])-1),MID(Data[[#This Row],[Date]], FIND("-",Data[[#This Row],[Date]])+1, LEN(Data[[#This Row],[Date]])-5))</f>
        <v>45044</v>
      </c>
      <c r="J107" s="12">
        <f>IF(ISBLANK(Data[[#This Row],[Errors rectified]]),Data[[#This Row],[Date1]],Data[[#This Row],[Errors rectified]])</f>
        <v>45044</v>
      </c>
    </row>
    <row r="108" spans="2:10" x14ac:dyDescent="0.5">
      <c r="B108" t="s">
        <v>15</v>
      </c>
      <c r="C108" t="s">
        <v>342</v>
      </c>
      <c r="D108" t="s">
        <v>104</v>
      </c>
      <c r="E108" s="16"/>
    </row>
    <row r="109" spans="2:10" x14ac:dyDescent="0.5">
      <c r="B109" t="s">
        <v>15</v>
      </c>
      <c r="E109" s="16"/>
    </row>
    <row r="110" spans="2:10" x14ac:dyDescent="0.5">
      <c r="B110" t="s">
        <v>15</v>
      </c>
      <c r="E110" s="16"/>
    </row>
    <row r="111" spans="2:10" x14ac:dyDescent="0.5">
      <c r="B111" t="s">
        <v>49</v>
      </c>
      <c r="E111" s="16"/>
    </row>
    <row r="112" spans="2:10" x14ac:dyDescent="0.5">
      <c r="B112" t="s">
        <v>50</v>
      </c>
      <c r="C112" t="s">
        <v>330</v>
      </c>
      <c r="D112" t="s">
        <v>51</v>
      </c>
      <c r="E112" s="16"/>
    </row>
    <row r="113" spans="2:10" x14ac:dyDescent="0.5">
      <c r="B113" t="s">
        <v>121</v>
      </c>
      <c r="C113" t="s">
        <v>343</v>
      </c>
      <c r="D113" t="s">
        <v>53</v>
      </c>
      <c r="E113" s="16"/>
      <c r="F113" t="str">
        <f>RIGHT(Data[[#This Row],[Date]], LEN(Data[[#This Row],[Date]]) - SEARCH("-", Data[[#This Row],[Date]]))</f>
        <v>4</v>
      </c>
      <c r="G113" t="str">
        <f>LEFT(Data[[#This Row],[Date]], SEARCH("-", Data[[#This Row],[Date]]) - 1)</f>
        <v>5</v>
      </c>
      <c r="H113" s="10">
        <f>DATE($C$2,Data[[#This Row],[Month]],Data[[#This Row],[Day ]])</f>
        <v>45050</v>
      </c>
      <c r="J113" s="12">
        <f>IF(ISBLANK(Data[[#This Row],[Errors rectified]]),Data[[#This Row],[Date1]],Data[[#This Row],[Errors rectified]])</f>
        <v>45050</v>
      </c>
    </row>
    <row r="114" spans="2:10" x14ac:dyDescent="0.5">
      <c r="B114" t="s">
        <v>1</v>
      </c>
      <c r="C114" t="s">
        <v>64</v>
      </c>
      <c r="D114" t="s">
        <v>53</v>
      </c>
      <c r="E114" s="16"/>
    </row>
    <row r="115" spans="2:10" x14ac:dyDescent="0.5">
      <c r="B115" t="s">
        <v>17</v>
      </c>
      <c r="E115" s="16"/>
    </row>
    <row r="116" spans="2:10" x14ac:dyDescent="0.5">
      <c r="B116" t="s">
        <v>43</v>
      </c>
      <c r="C116" t="s">
        <v>346</v>
      </c>
      <c r="D116" t="s">
        <v>66</v>
      </c>
      <c r="E116" s="16"/>
    </row>
    <row r="117" spans="2:10" x14ac:dyDescent="0.5">
      <c r="B117" t="s">
        <v>12</v>
      </c>
      <c r="C117" t="s">
        <v>5</v>
      </c>
      <c r="D117" t="s">
        <v>67</v>
      </c>
      <c r="E117" s="16"/>
    </row>
    <row r="118" spans="2:10" x14ac:dyDescent="0.5">
      <c r="B118" t="s">
        <v>15</v>
      </c>
      <c r="C118" t="s">
        <v>368</v>
      </c>
      <c r="D118" t="s">
        <v>123</v>
      </c>
      <c r="E118" s="16"/>
    </row>
    <row r="119" spans="2:10" x14ac:dyDescent="0.5">
      <c r="B119" t="s">
        <v>43</v>
      </c>
      <c r="C119" t="s">
        <v>350</v>
      </c>
      <c r="D119" t="s">
        <v>123</v>
      </c>
      <c r="E119" s="16"/>
    </row>
    <row r="120" spans="2:10" x14ac:dyDescent="0.5">
      <c r="B120" t="s">
        <v>18</v>
      </c>
      <c r="C120" t="s">
        <v>330</v>
      </c>
      <c r="D120" t="s">
        <v>19</v>
      </c>
      <c r="E120" s="16"/>
    </row>
    <row r="121" spans="2:10" x14ac:dyDescent="0.5">
      <c r="B121" t="s">
        <v>121</v>
      </c>
      <c r="C121" t="s">
        <v>332</v>
      </c>
      <c r="D121" t="s">
        <v>124</v>
      </c>
      <c r="E121" s="16"/>
      <c r="F121" t="str">
        <f>RIGHT(Data[[#This Row],[Date]], LEN(Data[[#This Row],[Date]]) - SEARCH("-", Data[[#This Row],[Date]]))</f>
        <v>4</v>
      </c>
      <c r="G121" t="str">
        <f>LEFT(Data[[#This Row],[Date]], SEARCH("-", Data[[#This Row],[Date]]) - 1)</f>
        <v>5</v>
      </c>
      <c r="H121" s="10">
        <f>DATE($C$2,Data[[#This Row],[Month]],Data[[#This Row],[Day ]])</f>
        <v>45050</v>
      </c>
      <c r="J121" s="12">
        <f>IF(ISBLANK(Data[[#This Row],[Errors rectified]]),Data[[#This Row],[Date1]],Data[[#This Row],[Errors rectified]])</f>
        <v>45050</v>
      </c>
    </row>
    <row r="122" spans="2:10" x14ac:dyDescent="0.5">
      <c r="B122" t="s">
        <v>121</v>
      </c>
      <c r="C122" t="s">
        <v>369</v>
      </c>
      <c r="D122" t="s">
        <v>125</v>
      </c>
      <c r="E122" s="16"/>
      <c r="F122" t="str">
        <f>RIGHT(Data[[#This Row],[Date]], LEN(Data[[#This Row],[Date]]) - SEARCH("-", Data[[#This Row],[Date]]))</f>
        <v>4</v>
      </c>
      <c r="G122" t="str">
        <f>LEFT(Data[[#This Row],[Date]], SEARCH("-", Data[[#This Row],[Date]]) - 1)</f>
        <v>5</v>
      </c>
      <c r="H122" s="10">
        <f>DATE($C$2,Data[[#This Row],[Month]],Data[[#This Row],[Day ]])</f>
        <v>45050</v>
      </c>
      <c r="J122" s="12">
        <f>IF(ISBLANK(Data[[#This Row],[Errors rectified]]),Data[[#This Row],[Date1]],Data[[#This Row],[Errors rectified]])</f>
        <v>45050</v>
      </c>
    </row>
    <row r="123" spans="2:10" x14ac:dyDescent="0.5">
      <c r="B123" t="s">
        <v>126</v>
      </c>
      <c r="C123" t="s">
        <v>370</v>
      </c>
      <c r="D123" t="s">
        <v>127</v>
      </c>
      <c r="E123" s="16"/>
      <c r="F123" t="str">
        <f>RIGHT(Data[[#This Row],[Date]], LEN(Data[[#This Row],[Date]]) - SEARCH("-", Data[[#This Row],[Date]]))</f>
        <v>8</v>
      </c>
      <c r="G123" t="str">
        <f>LEFT(Data[[#This Row],[Date]], SEARCH("-", Data[[#This Row],[Date]]) - 1)</f>
        <v>5</v>
      </c>
      <c r="H123" s="10">
        <f>DATE($C$2,Data[[#This Row],[Month]],Data[[#This Row],[Day ]])</f>
        <v>45054</v>
      </c>
      <c r="J123" s="12">
        <f>IF(ISBLANK(Data[[#This Row],[Errors rectified]]),Data[[#This Row],[Date1]],Data[[#This Row],[Errors rectified]])</f>
        <v>45054</v>
      </c>
    </row>
    <row r="124" spans="2:10" x14ac:dyDescent="0.5">
      <c r="B124" t="s">
        <v>122</v>
      </c>
      <c r="C124" t="s">
        <v>371</v>
      </c>
      <c r="D124" t="s">
        <v>128</v>
      </c>
      <c r="E124" s="16"/>
      <c r="F124" t="str">
        <f>RIGHT(Data[[#This Row],[Date]], LEN(Data[[#This Row],[Date]]) - SEARCH("-", Data[[#This Row],[Date]]))</f>
        <v>9</v>
      </c>
      <c r="G124" t="str">
        <f>LEFT(Data[[#This Row],[Date]], SEARCH("-", Data[[#This Row],[Date]]) - 1)</f>
        <v>5</v>
      </c>
      <c r="H124" s="10">
        <f>DATE($C$2,Data[[#This Row],[Month]],Data[[#This Row],[Day ]])</f>
        <v>45055</v>
      </c>
      <c r="J124" s="12">
        <f>IF(ISBLANK(Data[[#This Row],[Errors rectified]]),Data[[#This Row],[Date1]],Data[[#This Row],[Errors rectified]])</f>
        <v>45055</v>
      </c>
    </row>
    <row r="125" spans="2:10" x14ac:dyDescent="0.5">
      <c r="B125" t="s">
        <v>129</v>
      </c>
      <c r="C125" t="s">
        <v>372</v>
      </c>
      <c r="D125" t="s">
        <v>33</v>
      </c>
      <c r="E125" s="16"/>
      <c r="F125" t="str">
        <f>RIGHT(Data[[#This Row],[Date]], LEN(Data[[#This Row],[Date]]) - SEARCH("-", Data[[#This Row],[Date]]))</f>
        <v>12</v>
      </c>
      <c r="G125" t="str">
        <f>LEFT(Data[[#This Row],[Date]], SEARCH("-", Data[[#This Row],[Date]]) - 1)</f>
        <v>5</v>
      </c>
      <c r="H125" s="10">
        <f>DATE($C$2,Data[[#This Row],[Month]],Data[[#This Row],[Day ]])</f>
        <v>45058</v>
      </c>
      <c r="J125" s="12">
        <f>IF(ISBLANK(Data[[#This Row],[Errors rectified]]),Data[[#This Row],[Date1]],Data[[#This Row],[Errors rectified]])</f>
        <v>45058</v>
      </c>
    </row>
    <row r="126" spans="2:10" x14ac:dyDescent="0.5">
      <c r="B126" t="s">
        <v>130</v>
      </c>
      <c r="C126" t="s">
        <v>373</v>
      </c>
      <c r="D126" t="s">
        <v>131</v>
      </c>
      <c r="E126" s="16"/>
      <c r="F126" t="str">
        <f>RIGHT(Data[[#This Row],[Date]], LEN(Data[[#This Row],[Date]]) - SEARCH("-", Data[[#This Row],[Date]]))</f>
        <v>23</v>
      </c>
      <c r="G126" t="str">
        <f>LEFT(Data[[#This Row],[Date]], SEARCH("-", Data[[#This Row],[Date]]) - 1)</f>
        <v>5</v>
      </c>
      <c r="H126" s="10">
        <f>DATE($C$2,Data[[#This Row],[Month]],Data[[#This Row],[Day ]])</f>
        <v>45069</v>
      </c>
      <c r="J126" s="12">
        <f>IF(ISBLANK(Data[[#This Row],[Errors rectified]]),Data[[#This Row],[Date1]],Data[[#This Row],[Errors rectified]])</f>
        <v>45069</v>
      </c>
    </row>
    <row r="127" spans="2:10" x14ac:dyDescent="0.5">
      <c r="B127" t="s">
        <v>132</v>
      </c>
      <c r="C127" t="s">
        <v>338</v>
      </c>
      <c r="D127" t="s">
        <v>133</v>
      </c>
      <c r="E127" s="16"/>
      <c r="F127" t="str">
        <f>RIGHT(Data[[#This Row],[Date]], LEN(Data[[#This Row],[Date]]) - SEARCH("-", Data[[#This Row],[Date]]))</f>
        <v>30</v>
      </c>
      <c r="G127" t="str">
        <f>LEFT(Data[[#This Row],[Date]], SEARCH("-", Data[[#This Row],[Date]]) - 1)</f>
        <v>5</v>
      </c>
      <c r="H127" s="10">
        <f>DATE($C$2,Data[[#This Row],[Month]],Data[[#This Row],[Day ]])</f>
        <v>45076</v>
      </c>
      <c r="J127" s="12">
        <f>IF(ISBLANK(Data[[#This Row],[Errors rectified]]),Data[[#This Row],[Date1]],Data[[#This Row],[Errors rectified]])</f>
        <v>45076</v>
      </c>
    </row>
    <row r="128" spans="2:10" x14ac:dyDescent="0.5">
      <c r="B128" t="s">
        <v>1</v>
      </c>
      <c r="C128" t="s">
        <v>36</v>
      </c>
      <c r="D128" t="s">
        <v>134</v>
      </c>
      <c r="E128" s="16"/>
    </row>
    <row r="129" spans="2:10" x14ac:dyDescent="0.5">
      <c r="B129" t="s">
        <v>38</v>
      </c>
      <c r="C129" t="s">
        <v>39</v>
      </c>
      <c r="E129" s="16"/>
    </row>
    <row r="130" spans="2:10" x14ac:dyDescent="0.5">
      <c r="B130" t="s">
        <v>40</v>
      </c>
      <c r="C130" t="s">
        <v>339</v>
      </c>
      <c r="D130" t="s">
        <v>41</v>
      </c>
      <c r="E130" s="16"/>
    </row>
    <row r="131" spans="2:10" x14ac:dyDescent="0.5">
      <c r="B131" t="s">
        <v>135</v>
      </c>
      <c r="C131" t="s">
        <v>340</v>
      </c>
      <c r="D131" t="s">
        <v>45</v>
      </c>
      <c r="E131" s="16"/>
      <c r="F131" t="str">
        <f>RIGHT(Data[[#This Row],[Date]], LEN(Data[[#This Row],[Date]]) - SEARCH("-", Data[[#This Row],[Date]]))</f>
        <v>31-23</v>
      </c>
      <c r="G131" t="str">
        <f>LEFT(Data[[#This Row],[Date]], SEARCH("-", Data[[#This Row],[Date]]) - 1)</f>
        <v>5</v>
      </c>
      <c r="H131" s="10" t="e">
        <f>DATE($C$2,Data[[#This Row],[Month]],Data[[#This Row],[Day ]])</f>
        <v>#VALUE!</v>
      </c>
      <c r="I131" s="10">
        <f>DATE($C$2,LEFT(Data[[#This Row],[Date]],FIND("-",Data[[#This Row],[Date]])-1),MID(Data[[#This Row],[Date]], FIND("-",Data[[#This Row],[Date]])+1, LEN(Data[[#This Row],[Date]])-5))</f>
        <v>45077</v>
      </c>
      <c r="J131" s="12">
        <f>IF(ISBLANK(Data[[#This Row],[Errors rectified]]),Data[[#This Row],[Date1]],Data[[#This Row],[Errors rectified]])</f>
        <v>45077</v>
      </c>
    </row>
    <row r="132" spans="2:10" x14ac:dyDescent="0.5">
      <c r="B132" t="s">
        <v>135</v>
      </c>
      <c r="C132" t="s">
        <v>367</v>
      </c>
      <c r="D132" t="s">
        <v>46</v>
      </c>
      <c r="E132" s="16"/>
      <c r="F132" t="str">
        <f>RIGHT(Data[[#This Row],[Date]], LEN(Data[[#This Row],[Date]]) - SEARCH("-", Data[[#This Row],[Date]]))</f>
        <v>31-23</v>
      </c>
      <c r="G132" t="str">
        <f>LEFT(Data[[#This Row],[Date]], SEARCH("-", Data[[#This Row],[Date]]) - 1)</f>
        <v>5</v>
      </c>
      <c r="H132" s="10" t="e">
        <f>DATE($C$2,Data[[#This Row],[Month]],Data[[#This Row],[Day ]])</f>
        <v>#VALUE!</v>
      </c>
      <c r="I132" s="10">
        <f>DATE($C$2,LEFT(Data[[#This Row],[Date]],FIND("-",Data[[#This Row],[Date]])-1),MID(Data[[#This Row],[Date]], FIND("-",Data[[#This Row],[Date]])+1, LEN(Data[[#This Row],[Date]])-5))</f>
        <v>45077</v>
      </c>
      <c r="J132" s="12">
        <f>IF(ISBLANK(Data[[#This Row],[Errors rectified]]),Data[[#This Row],[Date1]],Data[[#This Row],[Errors rectified]])</f>
        <v>45077</v>
      </c>
    </row>
    <row r="133" spans="2:10" x14ac:dyDescent="0.5">
      <c r="B133" t="s">
        <v>15</v>
      </c>
      <c r="C133" t="s">
        <v>342</v>
      </c>
      <c r="D133" t="s">
        <v>104</v>
      </c>
      <c r="E133" s="16"/>
    </row>
    <row r="134" spans="2:10" x14ac:dyDescent="0.5">
      <c r="B134" t="s">
        <v>15</v>
      </c>
      <c r="E134" s="16"/>
    </row>
    <row r="135" spans="2:10" x14ac:dyDescent="0.5">
      <c r="B135" t="s">
        <v>49</v>
      </c>
      <c r="E135" s="16"/>
    </row>
    <row r="136" spans="2:10" x14ac:dyDescent="0.5">
      <c r="B136" t="s">
        <v>50</v>
      </c>
      <c r="C136" t="s">
        <v>330</v>
      </c>
      <c r="D136" t="s">
        <v>51</v>
      </c>
      <c r="E136" s="16"/>
    </row>
    <row r="137" spans="2:10" x14ac:dyDescent="0.5">
      <c r="B137" t="s">
        <v>136</v>
      </c>
      <c r="C137" t="s">
        <v>343</v>
      </c>
      <c r="D137" t="s">
        <v>53</v>
      </c>
      <c r="E137" s="16"/>
      <c r="F137" t="str">
        <f>RIGHT(Data[[#This Row],[Date]], LEN(Data[[#This Row],[Date]]) - SEARCH("-", Data[[#This Row],[Date]]))</f>
        <v>1</v>
      </c>
      <c r="G137" t="str">
        <f>LEFT(Data[[#This Row],[Date]], SEARCH("-", Data[[#This Row],[Date]]) - 1)</f>
        <v>6</v>
      </c>
      <c r="H137" s="10">
        <f>DATE($C$2,Data[[#This Row],[Month]],Data[[#This Row],[Day ]])</f>
        <v>45078</v>
      </c>
      <c r="J137" s="12">
        <f>IF(ISBLANK(Data[[#This Row],[Errors rectified]]),Data[[#This Row],[Date1]],Data[[#This Row],[Errors rectified]])</f>
        <v>45078</v>
      </c>
    </row>
    <row r="138" spans="2:10" x14ac:dyDescent="0.5">
      <c r="B138" t="s">
        <v>137</v>
      </c>
      <c r="C138" t="s">
        <v>343</v>
      </c>
      <c r="D138" t="s">
        <v>138</v>
      </c>
      <c r="E138" s="16"/>
      <c r="F138" t="str">
        <f>RIGHT(Data[[#This Row],[Date]], LEN(Data[[#This Row],[Date]]) - SEARCH("-", Data[[#This Row],[Date]]))</f>
        <v>8</v>
      </c>
      <c r="G138" t="str">
        <f>LEFT(Data[[#This Row],[Date]], SEARCH("-", Data[[#This Row],[Date]]) - 1)</f>
        <v>6</v>
      </c>
      <c r="H138" s="10">
        <f>DATE($C$2,Data[[#This Row],[Month]],Data[[#This Row],[Day ]])</f>
        <v>45085</v>
      </c>
      <c r="J138" s="12">
        <f>IF(ISBLANK(Data[[#This Row],[Errors rectified]]),Data[[#This Row],[Date1]],Data[[#This Row],[Errors rectified]])</f>
        <v>45085</v>
      </c>
    </row>
    <row r="139" spans="2:10" x14ac:dyDescent="0.5">
      <c r="B139" t="s">
        <v>139</v>
      </c>
      <c r="C139" t="s">
        <v>374</v>
      </c>
      <c r="D139" t="s">
        <v>140</v>
      </c>
      <c r="E139" s="16"/>
      <c r="F139" t="str">
        <f>RIGHT(Data[[#This Row],[Date]], LEN(Data[[#This Row],[Date]]) - SEARCH("-", Data[[#This Row],[Date]]))</f>
        <v>16</v>
      </c>
      <c r="G139" t="str">
        <f>LEFT(Data[[#This Row],[Date]], SEARCH("-", Data[[#This Row],[Date]]) - 1)</f>
        <v>6</v>
      </c>
      <c r="H139" s="10">
        <f>DATE($C$2,Data[[#This Row],[Month]],Data[[#This Row],[Day ]])</f>
        <v>45093</v>
      </c>
      <c r="J139" s="12">
        <f>IF(ISBLANK(Data[[#This Row],[Errors rectified]]),Data[[#This Row],[Date1]],Data[[#This Row],[Errors rectified]])</f>
        <v>45093</v>
      </c>
    </row>
    <row r="140" spans="2:10" x14ac:dyDescent="0.5">
      <c r="B140" t="s">
        <v>141</v>
      </c>
      <c r="C140" t="s">
        <v>343</v>
      </c>
      <c r="D140" t="s">
        <v>142</v>
      </c>
      <c r="E140" s="16"/>
      <c r="F140" t="str">
        <f>RIGHT(Data[[#This Row],[Date]], LEN(Data[[#This Row],[Date]]) - SEARCH("-", Data[[#This Row],[Date]]))</f>
        <v>20</v>
      </c>
      <c r="G140" t="str">
        <f>LEFT(Data[[#This Row],[Date]], SEARCH("-", Data[[#This Row],[Date]]) - 1)</f>
        <v>6</v>
      </c>
      <c r="H140" s="10">
        <f>DATE($C$2,Data[[#This Row],[Month]],Data[[#This Row],[Day ]])</f>
        <v>45097</v>
      </c>
      <c r="J140" s="12">
        <f>IF(ISBLANK(Data[[#This Row],[Errors rectified]]),Data[[#This Row],[Date1]],Data[[#This Row],[Errors rectified]])</f>
        <v>45097</v>
      </c>
    </row>
    <row r="141" spans="2:10" x14ac:dyDescent="0.5">
      <c r="B141" t="s">
        <v>1</v>
      </c>
      <c r="C141" t="s">
        <v>64</v>
      </c>
      <c r="D141" t="s">
        <v>143</v>
      </c>
      <c r="E141" s="16"/>
    </row>
    <row r="142" spans="2:10" x14ac:dyDescent="0.5">
      <c r="B142" t="s">
        <v>17</v>
      </c>
      <c r="E142" s="16"/>
    </row>
    <row r="143" spans="2:10" x14ac:dyDescent="0.5">
      <c r="B143" t="s">
        <v>43</v>
      </c>
      <c r="C143" t="s">
        <v>346</v>
      </c>
      <c r="D143" t="s">
        <v>66</v>
      </c>
      <c r="E143" s="16"/>
    </row>
    <row r="144" spans="2:10" x14ac:dyDescent="0.5">
      <c r="B144" t="s">
        <v>12</v>
      </c>
      <c r="C144" t="s">
        <v>347</v>
      </c>
      <c r="D144" t="s">
        <v>67</v>
      </c>
      <c r="E144" s="16"/>
    </row>
    <row r="145" spans="2:10" x14ac:dyDescent="0.5">
      <c r="B145" t="s">
        <v>15</v>
      </c>
      <c r="C145" t="s">
        <v>375</v>
      </c>
      <c r="D145" t="s">
        <v>376</v>
      </c>
      <c r="E145" s="16"/>
    </row>
    <row r="146" spans="2:10" x14ac:dyDescent="0.5">
      <c r="B146" t="s">
        <v>43</v>
      </c>
      <c r="C146" t="s">
        <v>350</v>
      </c>
      <c r="D146" t="s">
        <v>145</v>
      </c>
      <c r="E146" s="16"/>
    </row>
    <row r="147" spans="2:10" x14ac:dyDescent="0.5">
      <c r="B147" t="s">
        <v>18</v>
      </c>
      <c r="C147" t="s">
        <v>330</v>
      </c>
      <c r="D147" t="s">
        <v>19</v>
      </c>
      <c r="E147" s="16"/>
    </row>
    <row r="148" spans="2:10" x14ac:dyDescent="0.5">
      <c r="B148" t="s">
        <v>146</v>
      </c>
      <c r="C148" t="s">
        <v>332</v>
      </c>
      <c r="D148" t="s">
        <v>124</v>
      </c>
      <c r="E148" s="16"/>
      <c r="F148" t="str">
        <f>RIGHT(Data[[#This Row],[Date]], LEN(Data[[#This Row],[Date]]) - SEARCH("-", Data[[#This Row],[Date]]))</f>
        <v>6</v>
      </c>
      <c r="G148" t="str">
        <f>LEFT(Data[[#This Row],[Date]], SEARCH("-", Data[[#This Row],[Date]]) - 1)</f>
        <v>6</v>
      </c>
      <c r="H148" s="10">
        <f>DATE($C$2,Data[[#This Row],[Month]],Data[[#This Row],[Day ]])</f>
        <v>45083</v>
      </c>
      <c r="J148" s="12">
        <f>IF(ISBLANK(Data[[#This Row],[Errors rectified]]),Data[[#This Row],[Date1]],Data[[#This Row],[Errors rectified]])</f>
        <v>45083</v>
      </c>
    </row>
    <row r="149" spans="2:10" x14ac:dyDescent="0.5">
      <c r="B149" t="s">
        <v>146</v>
      </c>
      <c r="C149" t="s">
        <v>377</v>
      </c>
      <c r="D149" t="s">
        <v>147</v>
      </c>
      <c r="E149" s="16"/>
      <c r="F149" t="str">
        <f>RIGHT(Data[[#This Row],[Date]], LEN(Data[[#This Row],[Date]]) - SEARCH("-", Data[[#This Row],[Date]]))</f>
        <v>6</v>
      </c>
      <c r="G149" t="str">
        <f>LEFT(Data[[#This Row],[Date]], SEARCH("-", Data[[#This Row],[Date]]) - 1)</f>
        <v>6</v>
      </c>
      <c r="H149" s="10">
        <f>DATE($C$2,Data[[#This Row],[Month]],Data[[#This Row],[Day ]])</f>
        <v>45083</v>
      </c>
      <c r="J149" s="12">
        <f>IF(ISBLANK(Data[[#This Row],[Errors rectified]]),Data[[#This Row],[Date1]],Data[[#This Row],[Errors rectified]])</f>
        <v>45083</v>
      </c>
    </row>
    <row r="150" spans="2:10" x14ac:dyDescent="0.5">
      <c r="B150" t="s">
        <v>148</v>
      </c>
      <c r="C150" t="s">
        <v>335</v>
      </c>
      <c r="D150" t="s">
        <v>149</v>
      </c>
      <c r="E150" s="16"/>
      <c r="F150" t="str">
        <f>RIGHT(Data[[#This Row],[Date]], LEN(Data[[#This Row],[Date]]) - SEARCH("-", Data[[#This Row],[Date]]))</f>
        <v>7</v>
      </c>
      <c r="G150" t="str">
        <f>LEFT(Data[[#This Row],[Date]], SEARCH("-", Data[[#This Row],[Date]]) - 1)</f>
        <v>6</v>
      </c>
      <c r="H150" s="10">
        <f>DATE($C$2,Data[[#This Row],[Month]],Data[[#This Row],[Day ]])</f>
        <v>45084</v>
      </c>
      <c r="J150" s="12">
        <f>IF(ISBLANK(Data[[#This Row],[Errors rectified]]),Data[[#This Row],[Date1]],Data[[#This Row],[Errors rectified]])</f>
        <v>45084</v>
      </c>
    </row>
    <row r="151" spans="2:10" x14ac:dyDescent="0.5">
      <c r="B151" t="s">
        <v>150</v>
      </c>
      <c r="C151" t="s">
        <v>378</v>
      </c>
      <c r="D151" t="s">
        <v>151</v>
      </c>
      <c r="E151" s="16"/>
      <c r="F151" t="str">
        <f>RIGHT(Data[[#This Row],[Date]], LEN(Data[[#This Row],[Date]]) - SEARCH("-", Data[[#This Row],[Date]]))</f>
        <v>9</v>
      </c>
      <c r="G151" t="str">
        <f>LEFT(Data[[#This Row],[Date]], SEARCH("-", Data[[#This Row],[Date]]) - 1)</f>
        <v>6</v>
      </c>
      <c r="H151" s="10">
        <f>DATE($C$2,Data[[#This Row],[Month]],Data[[#This Row],[Day ]])</f>
        <v>45086</v>
      </c>
      <c r="J151" s="12">
        <f>IF(ISBLANK(Data[[#This Row],[Errors rectified]]),Data[[#This Row],[Date1]],Data[[#This Row],[Errors rectified]])</f>
        <v>45086</v>
      </c>
    </row>
    <row r="152" spans="2:10" x14ac:dyDescent="0.5">
      <c r="B152" t="s">
        <v>144</v>
      </c>
      <c r="C152" t="s">
        <v>379</v>
      </c>
      <c r="D152" t="s">
        <v>33</v>
      </c>
      <c r="E152" s="16"/>
      <c r="F152" t="str">
        <f>RIGHT(Data[[#This Row],[Date]], LEN(Data[[#This Row],[Date]]) - SEARCH("-", Data[[#This Row],[Date]]))</f>
        <v>12</v>
      </c>
      <c r="G152" t="str">
        <f>LEFT(Data[[#This Row],[Date]], SEARCH("-", Data[[#This Row],[Date]]) - 1)</f>
        <v>6</v>
      </c>
      <c r="H152" s="10">
        <f>DATE($C$2,Data[[#This Row],[Month]],Data[[#This Row],[Day ]])</f>
        <v>45089</v>
      </c>
      <c r="J152" s="12">
        <f>IF(ISBLANK(Data[[#This Row],[Errors rectified]]),Data[[#This Row],[Date1]],Data[[#This Row],[Errors rectified]])</f>
        <v>45089</v>
      </c>
    </row>
    <row r="153" spans="2:10" x14ac:dyDescent="0.5">
      <c r="B153" t="s">
        <v>139</v>
      </c>
      <c r="C153" t="s">
        <v>380</v>
      </c>
      <c r="D153" t="s">
        <v>152</v>
      </c>
      <c r="E153" s="16"/>
      <c r="F153" t="str">
        <f>RIGHT(Data[[#This Row],[Date]], LEN(Data[[#This Row],[Date]]) - SEARCH("-", Data[[#This Row],[Date]]))</f>
        <v>16</v>
      </c>
      <c r="G153" t="str">
        <f>LEFT(Data[[#This Row],[Date]], SEARCH("-", Data[[#This Row],[Date]]) - 1)</f>
        <v>6</v>
      </c>
      <c r="H153" s="10">
        <f>DATE($C$2,Data[[#This Row],[Month]],Data[[#This Row],[Day ]])</f>
        <v>45093</v>
      </c>
      <c r="J153" s="12">
        <f>IF(ISBLANK(Data[[#This Row],[Errors rectified]]),Data[[#This Row],[Date1]],Data[[#This Row],[Errors rectified]])</f>
        <v>45093</v>
      </c>
    </row>
    <row r="154" spans="2:10" x14ac:dyDescent="0.5">
      <c r="B154" t="s">
        <v>17</v>
      </c>
      <c r="E154" s="16"/>
    </row>
    <row r="155" spans="2:10" x14ac:dyDescent="0.5">
      <c r="B155" t="s">
        <v>98</v>
      </c>
      <c r="E155" s="16"/>
    </row>
    <row r="156" spans="2:10" x14ac:dyDescent="0.5">
      <c r="B156" t="s">
        <v>18</v>
      </c>
      <c r="C156" t="s">
        <v>330</v>
      </c>
      <c r="D156" t="s">
        <v>19</v>
      </c>
      <c r="E156" s="16"/>
    </row>
    <row r="157" spans="2:10" x14ac:dyDescent="0.5">
      <c r="B157" t="s">
        <v>139</v>
      </c>
      <c r="C157" t="s">
        <v>381</v>
      </c>
      <c r="D157" t="s">
        <v>153</v>
      </c>
      <c r="E157" s="16"/>
      <c r="F157" t="str">
        <f>RIGHT(Data[[#This Row],[Date]], LEN(Data[[#This Row],[Date]]) - SEARCH("-", Data[[#This Row],[Date]]))</f>
        <v>16</v>
      </c>
      <c r="G157" t="str">
        <f>LEFT(Data[[#This Row],[Date]], SEARCH("-", Data[[#This Row],[Date]]) - 1)</f>
        <v>6</v>
      </c>
      <c r="H157" s="10">
        <f>DATE($C$2,Data[[#This Row],[Month]],Data[[#This Row],[Day ]])</f>
        <v>45093</v>
      </c>
      <c r="J157" s="12">
        <f>IF(ISBLANK(Data[[#This Row],[Errors rectified]]),Data[[#This Row],[Date1]],Data[[#This Row],[Errors rectified]])</f>
        <v>45093</v>
      </c>
    </row>
    <row r="158" spans="2:10" x14ac:dyDescent="0.5">
      <c r="B158" t="s">
        <v>141</v>
      </c>
      <c r="C158" t="s">
        <v>382</v>
      </c>
      <c r="D158" t="s">
        <v>154</v>
      </c>
      <c r="E158" s="16"/>
      <c r="F158" t="str">
        <f>RIGHT(Data[[#This Row],[Date]], LEN(Data[[#This Row],[Date]]) - SEARCH("-", Data[[#This Row],[Date]]))</f>
        <v>20</v>
      </c>
      <c r="G158" t="str">
        <f>LEFT(Data[[#This Row],[Date]], SEARCH("-", Data[[#This Row],[Date]]) - 1)</f>
        <v>6</v>
      </c>
      <c r="H158" s="10">
        <f>DATE($C$2,Data[[#This Row],[Month]],Data[[#This Row],[Day ]])</f>
        <v>45097</v>
      </c>
      <c r="J158" s="12">
        <f>IF(ISBLANK(Data[[#This Row],[Errors rectified]]),Data[[#This Row],[Date1]],Data[[#This Row],[Errors rectified]])</f>
        <v>45097</v>
      </c>
    </row>
    <row r="159" spans="2:10" x14ac:dyDescent="0.5">
      <c r="B159" t="s">
        <v>155</v>
      </c>
      <c r="C159" t="s">
        <v>383</v>
      </c>
      <c r="D159" t="s">
        <v>156</v>
      </c>
      <c r="E159" s="16"/>
      <c r="F159" t="str">
        <f>RIGHT(Data[[#This Row],[Date]], LEN(Data[[#This Row],[Date]]) - SEARCH("-", Data[[#This Row],[Date]]))</f>
        <v>23</v>
      </c>
      <c r="G159" t="str">
        <f>LEFT(Data[[#This Row],[Date]], SEARCH("-", Data[[#This Row],[Date]]) - 1)</f>
        <v>6</v>
      </c>
      <c r="H159" s="10">
        <f>DATE($C$2,Data[[#This Row],[Month]],Data[[#This Row],[Day ]])</f>
        <v>45100</v>
      </c>
      <c r="J159" s="12">
        <f>IF(ISBLANK(Data[[#This Row],[Errors rectified]]),Data[[#This Row],[Date1]],Data[[#This Row],[Errors rectified]])</f>
        <v>45100</v>
      </c>
    </row>
    <row r="160" spans="2:10" x14ac:dyDescent="0.5">
      <c r="B160" t="s">
        <v>157</v>
      </c>
      <c r="C160" t="s">
        <v>332</v>
      </c>
      <c r="D160" t="s">
        <v>158</v>
      </c>
      <c r="E160" s="16"/>
      <c r="F160" t="str">
        <f>RIGHT(Data[[#This Row],[Date]], LEN(Data[[#This Row],[Date]]) - SEARCH("-", Data[[#This Row],[Date]]))</f>
        <v>26</v>
      </c>
      <c r="G160" t="str">
        <f>LEFT(Data[[#This Row],[Date]], SEARCH("-", Data[[#This Row],[Date]]) - 1)</f>
        <v>6</v>
      </c>
      <c r="H160" s="10">
        <f>DATE($C$2,Data[[#This Row],[Month]],Data[[#This Row],[Day ]])</f>
        <v>45103</v>
      </c>
      <c r="J160" s="12">
        <f>IF(ISBLANK(Data[[#This Row],[Errors rectified]]),Data[[#This Row],[Date1]],Data[[#This Row],[Errors rectified]])</f>
        <v>45103</v>
      </c>
    </row>
    <row r="161" spans="2:10" x14ac:dyDescent="0.5">
      <c r="B161" t="s">
        <v>159</v>
      </c>
      <c r="C161" t="s">
        <v>338</v>
      </c>
      <c r="D161" t="s">
        <v>160</v>
      </c>
      <c r="E161" s="16"/>
      <c r="F161" t="str">
        <f>RIGHT(Data[[#This Row],[Date]], LEN(Data[[#This Row],[Date]]) - SEARCH("-", Data[[#This Row],[Date]]))</f>
        <v>27</v>
      </c>
      <c r="G161" t="str">
        <f>LEFT(Data[[#This Row],[Date]], SEARCH("-", Data[[#This Row],[Date]]) - 1)</f>
        <v>6</v>
      </c>
      <c r="H161" s="10">
        <f>DATE($C$2,Data[[#This Row],[Month]],Data[[#This Row],[Day ]])</f>
        <v>45104</v>
      </c>
      <c r="J161" s="12">
        <f>IF(ISBLANK(Data[[#This Row],[Errors rectified]]),Data[[#This Row],[Date1]],Data[[#This Row],[Errors rectified]])</f>
        <v>45104</v>
      </c>
    </row>
    <row r="162" spans="2:10" x14ac:dyDescent="0.5">
      <c r="B162" t="s">
        <v>1</v>
      </c>
      <c r="C162" t="s">
        <v>36</v>
      </c>
      <c r="D162" t="s">
        <v>161</v>
      </c>
      <c r="E162" s="16"/>
    </row>
    <row r="163" spans="2:10" x14ac:dyDescent="0.5">
      <c r="B163" t="s">
        <v>38</v>
      </c>
      <c r="C163" t="s">
        <v>39</v>
      </c>
      <c r="E163" s="16"/>
    </row>
    <row r="164" spans="2:10" x14ac:dyDescent="0.5">
      <c r="B164" t="s">
        <v>40</v>
      </c>
      <c r="C164" t="s">
        <v>339</v>
      </c>
      <c r="D164" t="s">
        <v>41</v>
      </c>
      <c r="E164" s="16"/>
    </row>
    <row r="165" spans="2:10" x14ac:dyDescent="0.5">
      <c r="B165" t="s">
        <v>162</v>
      </c>
      <c r="C165" t="s">
        <v>340</v>
      </c>
      <c r="D165" t="s">
        <v>45</v>
      </c>
      <c r="E165" s="16"/>
      <c r="F165" t="str">
        <f>RIGHT(Data[[#This Row],[Date]], LEN(Data[[#This Row],[Date]]) - SEARCH("-", Data[[#This Row],[Date]]))</f>
        <v>30-23</v>
      </c>
      <c r="G165" t="str">
        <f>LEFT(Data[[#This Row],[Date]], SEARCH("-", Data[[#This Row],[Date]]) - 1)</f>
        <v>6</v>
      </c>
      <c r="H165" s="10" t="e">
        <f>DATE($C$2,Data[[#This Row],[Month]],Data[[#This Row],[Day ]])</f>
        <v>#VALUE!</v>
      </c>
      <c r="I165" s="10">
        <f>DATE($C$2,LEFT(Data[[#This Row],[Date]],FIND("-",Data[[#This Row],[Date]])-1),MID(Data[[#This Row],[Date]], FIND("-",Data[[#This Row],[Date]])+1, LEN(Data[[#This Row],[Date]])-5))</f>
        <v>45107</v>
      </c>
      <c r="J165" s="12">
        <f>IF(ISBLANK(Data[[#This Row],[Errors rectified]]),Data[[#This Row],[Date1]],Data[[#This Row],[Errors rectified]])</f>
        <v>45107</v>
      </c>
    </row>
    <row r="166" spans="2:10" x14ac:dyDescent="0.5">
      <c r="B166" t="s">
        <v>162</v>
      </c>
      <c r="C166" t="s">
        <v>367</v>
      </c>
      <c r="D166" t="s">
        <v>46</v>
      </c>
      <c r="E166" s="16"/>
      <c r="F166" t="str">
        <f>RIGHT(Data[[#This Row],[Date]], LEN(Data[[#This Row],[Date]]) - SEARCH("-", Data[[#This Row],[Date]]))</f>
        <v>30-23</v>
      </c>
      <c r="G166" t="str">
        <f>LEFT(Data[[#This Row],[Date]], SEARCH("-", Data[[#This Row],[Date]]) - 1)</f>
        <v>6</v>
      </c>
      <c r="H166" s="10" t="e">
        <f>DATE($C$2,Data[[#This Row],[Month]],Data[[#This Row],[Day ]])</f>
        <v>#VALUE!</v>
      </c>
      <c r="I166" s="10">
        <f>DATE($C$2,LEFT(Data[[#This Row],[Date]],FIND("-",Data[[#This Row],[Date]])-1),MID(Data[[#This Row],[Date]], FIND("-",Data[[#This Row],[Date]])+1, LEN(Data[[#This Row],[Date]])-5))</f>
        <v>45107</v>
      </c>
      <c r="J166" s="12">
        <f>IF(ISBLANK(Data[[#This Row],[Errors rectified]]),Data[[#This Row],[Date1]],Data[[#This Row],[Errors rectified]])</f>
        <v>45107</v>
      </c>
    </row>
    <row r="167" spans="2:10" x14ac:dyDescent="0.5">
      <c r="B167" t="s">
        <v>15</v>
      </c>
      <c r="C167" t="s">
        <v>342</v>
      </c>
      <c r="D167" t="s">
        <v>104</v>
      </c>
      <c r="E167" s="16"/>
    </row>
    <row r="168" spans="2:10" x14ac:dyDescent="0.5">
      <c r="B168" t="s">
        <v>15</v>
      </c>
      <c r="E168" s="16"/>
    </row>
    <row r="169" spans="2:10" x14ac:dyDescent="0.5">
      <c r="B169" t="s">
        <v>49</v>
      </c>
      <c r="E169" s="16"/>
    </row>
    <row r="170" spans="2:10" x14ac:dyDescent="0.5">
      <c r="B170" t="s">
        <v>50</v>
      </c>
      <c r="C170" t="s">
        <v>330</v>
      </c>
      <c r="D170" t="s">
        <v>51</v>
      </c>
      <c r="E170" s="16"/>
    </row>
    <row r="171" spans="2:10" x14ac:dyDescent="0.5">
      <c r="B171" t="s">
        <v>163</v>
      </c>
      <c r="C171" t="s">
        <v>345</v>
      </c>
      <c r="D171" t="s">
        <v>164</v>
      </c>
      <c r="E171" s="16"/>
      <c r="F171" t="str">
        <f>RIGHT(Data[[#This Row],[Date]], LEN(Data[[#This Row],[Date]]) - SEARCH("-", Data[[#This Row],[Date]]))</f>
        <v>14</v>
      </c>
      <c r="G171" t="str">
        <f>LEFT(Data[[#This Row],[Date]], SEARCH("-", Data[[#This Row],[Date]]) - 1)</f>
        <v>7</v>
      </c>
      <c r="H171" s="10">
        <f>DATE($C$2,Data[[#This Row],[Month]],Data[[#This Row],[Day ]])</f>
        <v>45121</v>
      </c>
      <c r="J171" s="12">
        <f>IF(ISBLANK(Data[[#This Row],[Errors rectified]]),Data[[#This Row],[Date1]],Data[[#This Row],[Errors rectified]])</f>
        <v>45121</v>
      </c>
    </row>
    <row r="172" spans="2:10" x14ac:dyDescent="0.5">
      <c r="B172" t="s">
        <v>165</v>
      </c>
      <c r="C172" t="s">
        <v>343</v>
      </c>
      <c r="D172" t="s">
        <v>166</v>
      </c>
      <c r="E172" s="16"/>
      <c r="F172" t="str">
        <f>RIGHT(Data[[#This Row],[Date]], LEN(Data[[#This Row],[Date]]) - SEARCH("-", Data[[#This Row],[Date]]))</f>
        <v>27</v>
      </c>
      <c r="G172" t="str">
        <f>LEFT(Data[[#This Row],[Date]], SEARCH("-", Data[[#This Row],[Date]]) - 1)</f>
        <v>7</v>
      </c>
      <c r="H172" s="10">
        <f>DATE($C$2,Data[[#This Row],[Month]],Data[[#This Row],[Day ]])</f>
        <v>45134</v>
      </c>
      <c r="J172" s="12">
        <f>IF(ISBLANK(Data[[#This Row],[Errors rectified]]),Data[[#This Row],[Date1]],Data[[#This Row],[Errors rectified]])</f>
        <v>45134</v>
      </c>
    </row>
    <row r="173" spans="2:10" x14ac:dyDescent="0.5">
      <c r="B173" t="s">
        <v>165</v>
      </c>
      <c r="C173" t="s">
        <v>343</v>
      </c>
      <c r="D173" t="s">
        <v>56</v>
      </c>
      <c r="E173" s="16"/>
      <c r="F173" t="str">
        <f>RIGHT(Data[[#This Row],[Date]], LEN(Data[[#This Row],[Date]]) - SEARCH("-", Data[[#This Row],[Date]]))</f>
        <v>27</v>
      </c>
      <c r="G173" t="str">
        <f>LEFT(Data[[#This Row],[Date]], SEARCH("-", Data[[#This Row],[Date]]) - 1)</f>
        <v>7</v>
      </c>
      <c r="H173" s="10">
        <f>DATE($C$2,Data[[#This Row],[Month]],Data[[#This Row],[Day ]])</f>
        <v>45134</v>
      </c>
      <c r="J173" s="12">
        <f>IF(ISBLANK(Data[[#This Row],[Errors rectified]]),Data[[#This Row],[Date1]],Data[[#This Row],[Errors rectified]])</f>
        <v>45134</v>
      </c>
    </row>
    <row r="174" spans="2:10" x14ac:dyDescent="0.5">
      <c r="B174" t="s">
        <v>167</v>
      </c>
      <c r="C174" t="s">
        <v>345</v>
      </c>
      <c r="D174" t="s">
        <v>168</v>
      </c>
      <c r="E174" s="16"/>
      <c r="F174" t="str">
        <f>RIGHT(Data[[#This Row],[Date]], LEN(Data[[#This Row],[Date]]) - SEARCH("-", Data[[#This Row],[Date]]))</f>
        <v>31</v>
      </c>
      <c r="G174" t="str">
        <f>LEFT(Data[[#This Row],[Date]], SEARCH("-", Data[[#This Row],[Date]]) - 1)</f>
        <v>7</v>
      </c>
      <c r="H174" s="10">
        <f>DATE($C$2,Data[[#This Row],[Month]],Data[[#This Row],[Day ]])</f>
        <v>45138</v>
      </c>
      <c r="J174" s="12">
        <f>IF(ISBLANK(Data[[#This Row],[Errors rectified]]),Data[[#This Row],[Date1]],Data[[#This Row],[Errors rectified]])</f>
        <v>45138</v>
      </c>
    </row>
    <row r="175" spans="2:10" x14ac:dyDescent="0.5">
      <c r="B175" t="s">
        <v>1</v>
      </c>
      <c r="C175" t="s">
        <v>64</v>
      </c>
      <c r="D175" t="s">
        <v>169</v>
      </c>
      <c r="E175" s="16"/>
    </row>
    <row r="176" spans="2:10" x14ac:dyDescent="0.5">
      <c r="B176" t="s">
        <v>17</v>
      </c>
      <c r="E176" s="16"/>
    </row>
    <row r="177" spans="2:10" x14ac:dyDescent="0.5">
      <c r="B177" t="s">
        <v>18</v>
      </c>
      <c r="C177" t="s">
        <v>330</v>
      </c>
      <c r="D177" t="s">
        <v>19</v>
      </c>
      <c r="E177" s="16"/>
    </row>
    <row r="178" spans="2:10" x14ac:dyDescent="0.5">
      <c r="B178" t="s">
        <v>170</v>
      </c>
      <c r="C178" t="s">
        <v>332</v>
      </c>
      <c r="D178" t="s">
        <v>124</v>
      </c>
      <c r="E178" s="16"/>
      <c r="F178" t="str">
        <f>RIGHT(Data[[#This Row],[Date]], LEN(Data[[#This Row],[Date]]) - SEARCH("-", Data[[#This Row],[Date]]))</f>
        <v>5</v>
      </c>
      <c r="G178" t="str">
        <f>LEFT(Data[[#This Row],[Date]], SEARCH("-", Data[[#This Row],[Date]]) - 1)</f>
        <v>7</v>
      </c>
      <c r="H178" s="10">
        <f>DATE($C$2,Data[[#This Row],[Month]],Data[[#This Row],[Day ]])</f>
        <v>45112</v>
      </c>
      <c r="J178" s="12">
        <f>IF(ISBLANK(Data[[#This Row],[Errors rectified]]),Data[[#This Row],[Date1]],Data[[#This Row],[Errors rectified]])</f>
        <v>45112</v>
      </c>
    </row>
    <row r="179" spans="2:10" x14ac:dyDescent="0.5">
      <c r="B179" t="s">
        <v>171</v>
      </c>
      <c r="C179" t="s">
        <v>335</v>
      </c>
      <c r="D179" t="s">
        <v>172</v>
      </c>
      <c r="E179" s="16"/>
      <c r="F179" t="str">
        <f>RIGHT(Data[[#This Row],[Date]], LEN(Data[[#This Row],[Date]]) - SEARCH("-", Data[[#This Row],[Date]]))</f>
        <v>7</v>
      </c>
      <c r="G179" t="str">
        <f>LEFT(Data[[#This Row],[Date]], SEARCH("-", Data[[#This Row],[Date]]) - 1)</f>
        <v>7</v>
      </c>
      <c r="H179" s="10">
        <f>DATE($C$2,Data[[#This Row],[Month]],Data[[#This Row],[Day ]])</f>
        <v>45114</v>
      </c>
      <c r="J179" s="12">
        <f>IF(ISBLANK(Data[[#This Row],[Errors rectified]]),Data[[#This Row],[Date1]],Data[[#This Row],[Errors rectified]])</f>
        <v>45114</v>
      </c>
    </row>
    <row r="180" spans="2:10" x14ac:dyDescent="0.5">
      <c r="B180" t="s">
        <v>173</v>
      </c>
      <c r="C180" t="s">
        <v>384</v>
      </c>
      <c r="D180" t="s">
        <v>33</v>
      </c>
      <c r="E180" s="16"/>
      <c r="F180" t="str">
        <f>RIGHT(Data[[#This Row],[Date]], LEN(Data[[#This Row],[Date]]) - SEARCH("-", Data[[#This Row],[Date]]))</f>
        <v>12</v>
      </c>
      <c r="G180" t="str">
        <f>LEFT(Data[[#This Row],[Date]], SEARCH("-", Data[[#This Row],[Date]]) - 1)</f>
        <v>7</v>
      </c>
      <c r="H180" s="10">
        <f>DATE($C$2,Data[[#This Row],[Month]],Data[[#This Row],[Day ]])</f>
        <v>45119</v>
      </c>
      <c r="J180" s="12">
        <f>IF(ISBLANK(Data[[#This Row],[Errors rectified]]),Data[[#This Row],[Date1]],Data[[#This Row],[Errors rectified]])</f>
        <v>45119</v>
      </c>
    </row>
    <row r="181" spans="2:10" x14ac:dyDescent="0.5">
      <c r="B181" t="s">
        <v>163</v>
      </c>
      <c r="C181" t="s">
        <v>385</v>
      </c>
      <c r="D181" t="s">
        <v>174</v>
      </c>
      <c r="E181" s="16"/>
      <c r="F181" t="str">
        <f>RIGHT(Data[[#This Row],[Date]], LEN(Data[[#This Row],[Date]]) - SEARCH("-", Data[[#This Row],[Date]]))</f>
        <v>14</v>
      </c>
      <c r="G181" t="str">
        <f>LEFT(Data[[#This Row],[Date]], SEARCH("-", Data[[#This Row],[Date]]) - 1)</f>
        <v>7</v>
      </c>
      <c r="H181" s="10">
        <f>DATE($C$2,Data[[#This Row],[Month]],Data[[#This Row],[Day ]])</f>
        <v>45121</v>
      </c>
      <c r="J181" s="12">
        <f>IF(ISBLANK(Data[[#This Row],[Errors rectified]]),Data[[#This Row],[Date1]],Data[[#This Row],[Errors rectified]])</f>
        <v>45121</v>
      </c>
    </row>
    <row r="182" spans="2:10" x14ac:dyDescent="0.5">
      <c r="B182" t="s">
        <v>163</v>
      </c>
      <c r="C182" t="s">
        <v>386</v>
      </c>
      <c r="D182" t="s">
        <v>175</v>
      </c>
      <c r="E182" s="16"/>
      <c r="F182" t="str">
        <f>RIGHT(Data[[#This Row],[Date]], LEN(Data[[#This Row],[Date]]) - SEARCH("-", Data[[#This Row],[Date]]))</f>
        <v>14</v>
      </c>
      <c r="G182" t="str">
        <f>LEFT(Data[[#This Row],[Date]], SEARCH("-", Data[[#This Row],[Date]]) - 1)</f>
        <v>7</v>
      </c>
      <c r="H182" s="10">
        <f>DATE($C$2,Data[[#This Row],[Month]],Data[[#This Row],[Day ]])</f>
        <v>45121</v>
      </c>
      <c r="J182" s="12">
        <f>IF(ISBLANK(Data[[#This Row],[Errors rectified]]),Data[[#This Row],[Date1]],Data[[#This Row],[Errors rectified]])</f>
        <v>45121</v>
      </c>
    </row>
    <row r="183" spans="2:10" x14ac:dyDescent="0.5">
      <c r="B183" t="s">
        <v>176</v>
      </c>
      <c r="C183" t="s">
        <v>380</v>
      </c>
      <c r="D183" t="s">
        <v>177</v>
      </c>
      <c r="E183" s="16"/>
      <c r="F183" t="str">
        <f>RIGHT(Data[[#This Row],[Date]], LEN(Data[[#This Row],[Date]]) - SEARCH("-", Data[[#This Row],[Date]]))</f>
        <v>17</v>
      </c>
      <c r="G183" t="str">
        <f>LEFT(Data[[#This Row],[Date]], SEARCH("-", Data[[#This Row],[Date]]) - 1)</f>
        <v>7</v>
      </c>
      <c r="H183" s="10">
        <f>DATE($C$2,Data[[#This Row],[Month]],Data[[#This Row],[Day ]])</f>
        <v>45124</v>
      </c>
      <c r="J183" s="12">
        <f>IF(ISBLANK(Data[[#This Row],[Errors rectified]]),Data[[#This Row],[Date1]],Data[[#This Row],[Errors rectified]])</f>
        <v>45124</v>
      </c>
    </row>
    <row r="184" spans="2:10" x14ac:dyDescent="0.5">
      <c r="B184" t="s">
        <v>178</v>
      </c>
      <c r="C184" t="s">
        <v>382</v>
      </c>
      <c r="D184" t="s">
        <v>179</v>
      </c>
      <c r="E184" s="16"/>
      <c r="F184" t="str">
        <f>RIGHT(Data[[#This Row],[Date]], LEN(Data[[#This Row],[Date]]) - SEARCH("-", Data[[#This Row],[Date]]))</f>
        <v>18</v>
      </c>
      <c r="G184" t="str">
        <f>LEFT(Data[[#This Row],[Date]], SEARCH("-", Data[[#This Row],[Date]]) - 1)</f>
        <v>7</v>
      </c>
      <c r="H184" s="10">
        <f>DATE($C$2,Data[[#This Row],[Month]],Data[[#This Row],[Day ]])</f>
        <v>45125</v>
      </c>
      <c r="J184" s="12">
        <f>IF(ISBLANK(Data[[#This Row],[Errors rectified]]),Data[[#This Row],[Date1]],Data[[#This Row],[Errors rectified]])</f>
        <v>45125</v>
      </c>
    </row>
    <row r="185" spans="2:10" x14ac:dyDescent="0.5">
      <c r="B185" t="s">
        <v>180</v>
      </c>
      <c r="C185" t="s">
        <v>332</v>
      </c>
      <c r="D185" t="s">
        <v>158</v>
      </c>
      <c r="E185" s="16"/>
      <c r="F185" t="str">
        <f>RIGHT(Data[[#This Row],[Date]], LEN(Data[[#This Row],[Date]]) - SEARCH("-", Data[[#This Row],[Date]]))</f>
        <v>25</v>
      </c>
      <c r="G185" t="str">
        <f>LEFT(Data[[#This Row],[Date]], SEARCH("-", Data[[#This Row],[Date]]) - 1)</f>
        <v>7</v>
      </c>
      <c r="H185" s="10">
        <f>DATE($C$2,Data[[#This Row],[Month]],Data[[#This Row],[Day ]])</f>
        <v>45132</v>
      </c>
      <c r="J185" s="12">
        <f>IF(ISBLANK(Data[[#This Row],[Errors rectified]]),Data[[#This Row],[Date1]],Data[[#This Row],[Errors rectified]])</f>
        <v>45132</v>
      </c>
    </row>
    <row r="186" spans="2:10" x14ac:dyDescent="0.5">
      <c r="B186" t="s">
        <v>165</v>
      </c>
      <c r="C186" t="s">
        <v>338</v>
      </c>
      <c r="D186" t="s">
        <v>160</v>
      </c>
      <c r="E186" s="16"/>
      <c r="F186" t="str">
        <f>RIGHT(Data[[#This Row],[Date]], LEN(Data[[#This Row],[Date]]) - SEARCH("-", Data[[#This Row],[Date]]))</f>
        <v>27</v>
      </c>
      <c r="G186" t="str">
        <f>LEFT(Data[[#This Row],[Date]], SEARCH("-", Data[[#This Row],[Date]]) - 1)</f>
        <v>7</v>
      </c>
      <c r="H186" s="10">
        <f>DATE($C$2,Data[[#This Row],[Month]],Data[[#This Row],[Day ]])</f>
        <v>45134</v>
      </c>
      <c r="J186" s="12">
        <f>IF(ISBLANK(Data[[#This Row],[Errors rectified]]),Data[[#This Row],[Date1]],Data[[#This Row],[Errors rectified]])</f>
        <v>45134</v>
      </c>
    </row>
    <row r="187" spans="2:10" x14ac:dyDescent="0.5">
      <c r="B187" t="s">
        <v>165</v>
      </c>
      <c r="C187" t="s">
        <v>387</v>
      </c>
      <c r="D187" t="s">
        <v>181</v>
      </c>
      <c r="E187" s="16"/>
      <c r="F187" t="str">
        <f>RIGHT(Data[[#This Row],[Date]], LEN(Data[[#This Row],[Date]]) - SEARCH("-", Data[[#This Row],[Date]]))</f>
        <v>27</v>
      </c>
      <c r="G187" t="str">
        <f>LEFT(Data[[#This Row],[Date]], SEARCH("-", Data[[#This Row],[Date]]) - 1)</f>
        <v>7</v>
      </c>
      <c r="H187" s="10">
        <f>DATE($C$2,Data[[#This Row],[Month]],Data[[#This Row],[Day ]])</f>
        <v>45134</v>
      </c>
      <c r="J187" s="12">
        <f>IF(ISBLANK(Data[[#This Row],[Errors rectified]]),Data[[#This Row],[Date1]],Data[[#This Row],[Errors rectified]])</f>
        <v>45134</v>
      </c>
    </row>
    <row r="188" spans="2:10" x14ac:dyDescent="0.5">
      <c r="B188" t="s">
        <v>1</v>
      </c>
      <c r="C188" t="s">
        <v>36</v>
      </c>
      <c r="D188" t="s">
        <v>182</v>
      </c>
      <c r="E188" s="16"/>
    </row>
    <row r="189" spans="2:10" x14ac:dyDescent="0.5">
      <c r="B189" t="s">
        <v>15</v>
      </c>
      <c r="E189" s="16"/>
    </row>
    <row r="190" spans="2:10" x14ac:dyDescent="0.5">
      <c r="B190" t="s">
        <v>38</v>
      </c>
      <c r="C190" t="s">
        <v>39</v>
      </c>
      <c r="E190" s="16"/>
    </row>
    <row r="191" spans="2:10" x14ac:dyDescent="0.5">
      <c r="B191" t="s">
        <v>40</v>
      </c>
      <c r="C191" t="s">
        <v>339</v>
      </c>
      <c r="D191" t="s">
        <v>41</v>
      </c>
      <c r="E191" s="16"/>
    </row>
    <row r="192" spans="2:10" x14ac:dyDescent="0.5">
      <c r="B192" t="s">
        <v>183</v>
      </c>
      <c r="C192" t="s">
        <v>340</v>
      </c>
      <c r="D192" t="s">
        <v>45</v>
      </c>
      <c r="E192" s="16"/>
      <c r="F192" t="str">
        <f>RIGHT(Data[[#This Row],[Date]], LEN(Data[[#This Row],[Date]]) - SEARCH("-", Data[[#This Row],[Date]]))</f>
        <v>31-23</v>
      </c>
      <c r="G192" t="str">
        <f>LEFT(Data[[#This Row],[Date]], SEARCH("-", Data[[#This Row],[Date]]) - 1)</f>
        <v>7</v>
      </c>
      <c r="H192" s="10" t="e">
        <f>DATE($C$2,Data[[#This Row],[Month]],Data[[#This Row],[Day ]])</f>
        <v>#VALUE!</v>
      </c>
      <c r="I192" s="10">
        <f>DATE($C$2,LEFT(Data[[#This Row],[Date]],FIND("-",Data[[#This Row],[Date]])-1),MID(Data[[#This Row],[Date]], FIND("-",Data[[#This Row],[Date]])+1, LEN(Data[[#This Row],[Date]])-5))</f>
        <v>45138</v>
      </c>
      <c r="J192" s="12">
        <f>IF(ISBLANK(Data[[#This Row],[Errors rectified]]),Data[[#This Row],[Date1]],Data[[#This Row],[Errors rectified]])</f>
        <v>45138</v>
      </c>
    </row>
    <row r="193" spans="2:10" x14ac:dyDescent="0.5">
      <c r="B193" t="s">
        <v>183</v>
      </c>
      <c r="C193" t="s">
        <v>367</v>
      </c>
      <c r="D193" t="s">
        <v>46</v>
      </c>
      <c r="E193" s="16"/>
      <c r="F193" t="str">
        <f>RIGHT(Data[[#This Row],[Date]], LEN(Data[[#This Row],[Date]]) - SEARCH("-", Data[[#This Row],[Date]]))</f>
        <v>31-23</v>
      </c>
      <c r="G193" t="str">
        <f>LEFT(Data[[#This Row],[Date]], SEARCH("-", Data[[#This Row],[Date]]) - 1)</f>
        <v>7</v>
      </c>
      <c r="H193" s="10" t="e">
        <f>DATE($C$2,Data[[#This Row],[Month]],Data[[#This Row],[Day ]])</f>
        <v>#VALUE!</v>
      </c>
      <c r="I193" s="10">
        <f>DATE($C$2,LEFT(Data[[#This Row],[Date]],FIND("-",Data[[#This Row],[Date]])-1),MID(Data[[#This Row],[Date]], FIND("-",Data[[#This Row],[Date]])+1, LEN(Data[[#This Row],[Date]])-5))</f>
        <v>45138</v>
      </c>
      <c r="J193" s="12">
        <f>IF(ISBLANK(Data[[#This Row],[Errors rectified]]),Data[[#This Row],[Date1]],Data[[#This Row],[Errors rectified]])</f>
        <v>45138</v>
      </c>
    </row>
    <row r="194" spans="2:10" x14ac:dyDescent="0.5">
      <c r="B194" t="s">
        <v>15</v>
      </c>
      <c r="C194" t="s">
        <v>342</v>
      </c>
      <c r="D194" t="s">
        <v>104</v>
      </c>
      <c r="E194" s="16"/>
    </row>
    <row r="195" spans="2:10" x14ac:dyDescent="0.5">
      <c r="B195" t="s">
        <v>15</v>
      </c>
      <c r="E195" s="16"/>
    </row>
    <row r="196" spans="2:10" x14ac:dyDescent="0.5">
      <c r="B196" t="s">
        <v>15</v>
      </c>
      <c r="E196" s="16"/>
    </row>
    <row r="197" spans="2:10" x14ac:dyDescent="0.5">
      <c r="B197" t="s">
        <v>49</v>
      </c>
      <c r="E197" s="16"/>
    </row>
    <row r="198" spans="2:10" x14ac:dyDescent="0.5">
      <c r="B198" t="s">
        <v>50</v>
      </c>
      <c r="C198" t="s">
        <v>330</v>
      </c>
      <c r="D198" t="s">
        <v>51</v>
      </c>
      <c r="E198" s="16"/>
    </row>
    <row r="199" spans="2:10" x14ac:dyDescent="0.5">
      <c r="B199" t="s">
        <v>184</v>
      </c>
      <c r="C199" t="s">
        <v>345</v>
      </c>
      <c r="D199" t="s">
        <v>185</v>
      </c>
      <c r="E199" s="16"/>
      <c r="F199" t="str">
        <f>RIGHT(Data[[#This Row],[Date]], LEN(Data[[#This Row],[Date]]) - SEARCH("-", Data[[#This Row],[Date]]))</f>
        <v>1</v>
      </c>
      <c r="G199" t="str">
        <f>LEFT(Data[[#This Row],[Date]], SEARCH("-", Data[[#This Row],[Date]]) - 1)</f>
        <v>8</v>
      </c>
      <c r="H199" s="10">
        <f>DATE($C$2,Data[[#This Row],[Month]],Data[[#This Row],[Day ]])</f>
        <v>45139</v>
      </c>
      <c r="J199" s="12">
        <f>IF(ISBLANK(Data[[#This Row],[Errors rectified]]),Data[[#This Row],[Date1]],Data[[#This Row],[Errors rectified]])</f>
        <v>45139</v>
      </c>
    </row>
    <row r="200" spans="2:10" x14ac:dyDescent="0.5">
      <c r="B200" t="s">
        <v>186</v>
      </c>
      <c r="C200" t="s">
        <v>345</v>
      </c>
      <c r="D200" t="s">
        <v>187</v>
      </c>
      <c r="E200" s="16"/>
      <c r="F200" t="str">
        <f>RIGHT(Data[[#This Row],[Date]], LEN(Data[[#This Row],[Date]]) - SEARCH("-", Data[[#This Row],[Date]]))</f>
        <v>30</v>
      </c>
      <c r="G200" t="str">
        <f>LEFT(Data[[#This Row],[Date]], SEARCH("-", Data[[#This Row],[Date]]) - 1)</f>
        <v>8</v>
      </c>
      <c r="H200" s="10">
        <f>DATE($C$2,Data[[#This Row],[Month]],Data[[#This Row],[Day ]])</f>
        <v>45168</v>
      </c>
      <c r="J200" s="12">
        <f>IF(ISBLANK(Data[[#This Row],[Errors rectified]]),Data[[#This Row],[Date1]],Data[[#This Row],[Errors rectified]])</f>
        <v>45168</v>
      </c>
    </row>
    <row r="201" spans="2:10" x14ac:dyDescent="0.5">
      <c r="B201" t="s">
        <v>1</v>
      </c>
      <c r="C201" t="s">
        <v>64</v>
      </c>
      <c r="D201" t="s">
        <v>188</v>
      </c>
      <c r="E201" s="16"/>
    </row>
    <row r="202" spans="2:10" x14ac:dyDescent="0.5">
      <c r="B202" t="s">
        <v>17</v>
      </c>
      <c r="E202" s="16"/>
    </row>
    <row r="203" spans="2:10" x14ac:dyDescent="0.5">
      <c r="B203" t="s">
        <v>43</v>
      </c>
      <c r="C203" t="s">
        <v>346</v>
      </c>
      <c r="D203" t="s">
        <v>66</v>
      </c>
      <c r="E203" s="16"/>
    </row>
    <row r="204" spans="2:10" x14ac:dyDescent="0.5">
      <c r="B204" t="s">
        <v>12</v>
      </c>
      <c r="C204" t="s">
        <v>5</v>
      </c>
      <c r="D204" t="s">
        <v>67</v>
      </c>
      <c r="E204" s="16"/>
    </row>
    <row r="205" spans="2:10" x14ac:dyDescent="0.5">
      <c r="B205" t="s">
        <v>15</v>
      </c>
      <c r="C205" t="s">
        <v>388</v>
      </c>
      <c r="D205" t="s">
        <v>90</v>
      </c>
      <c r="E205" s="16"/>
    </row>
    <row r="206" spans="2:10" x14ac:dyDescent="0.5">
      <c r="B206" t="s">
        <v>43</v>
      </c>
      <c r="C206" t="s">
        <v>350</v>
      </c>
      <c r="D206" t="s">
        <v>90</v>
      </c>
      <c r="E206" s="16"/>
    </row>
    <row r="207" spans="2:10" x14ac:dyDescent="0.5">
      <c r="B207" t="s">
        <v>18</v>
      </c>
      <c r="C207" t="s">
        <v>330</v>
      </c>
      <c r="D207" t="s">
        <v>19</v>
      </c>
      <c r="E207" s="16"/>
    </row>
    <row r="208" spans="2:10" x14ac:dyDescent="0.5">
      <c r="B208" t="s">
        <v>190</v>
      </c>
      <c r="C208" t="s">
        <v>332</v>
      </c>
      <c r="D208" t="s">
        <v>124</v>
      </c>
      <c r="E208" s="16"/>
      <c r="F208" t="str">
        <f>RIGHT(Data[[#This Row],[Date]], LEN(Data[[#This Row],[Date]]) - SEARCH("-", Data[[#This Row],[Date]]))</f>
        <v>4</v>
      </c>
      <c r="G208" t="str">
        <f>LEFT(Data[[#This Row],[Date]], SEARCH("-", Data[[#This Row],[Date]]) - 1)</f>
        <v>8</v>
      </c>
      <c r="H208" s="10">
        <f>DATE($C$2,Data[[#This Row],[Month]],Data[[#This Row],[Day ]])</f>
        <v>45142</v>
      </c>
      <c r="J208" s="12">
        <f>IF(ISBLANK(Data[[#This Row],[Errors rectified]]),Data[[#This Row],[Date1]],Data[[#This Row],[Errors rectified]])</f>
        <v>45142</v>
      </c>
    </row>
    <row r="209" spans="2:10" x14ac:dyDescent="0.5">
      <c r="B209" t="s">
        <v>191</v>
      </c>
      <c r="C209" t="s">
        <v>389</v>
      </c>
      <c r="D209" t="s">
        <v>192</v>
      </c>
      <c r="E209" s="16"/>
      <c r="F209" t="str">
        <f>RIGHT(Data[[#This Row],[Date]], LEN(Data[[#This Row],[Date]]) - SEARCH("-", Data[[#This Row],[Date]]))</f>
        <v>8</v>
      </c>
      <c r="G209" t="str">
        <f>LEFT(Data[[#This Row],[Date]], SEARCH("-", Data[[#This Row],[Date]]) - 1)</f>
        <v>8</v>
      </c>
      <c r="H209" s="10">
        <f>DATE($C$2,Data[[#This Row],[Month]],Data[[#This Row],[Day ]])</f>
        <v>45146</v>
      </c>
      <c r="J209" s="12">
        <f>IF(ISBLANK(Data[[#This Row],[Errors rectified]]),Data[[#This Row],[Date1]],Data[[#This Row],[Errors rectified]])</f>
        <v>45146</v>
      </c>
    </row>
    <row r="210" spans="2:10" x14ac:dyDescent="0.5">
      <c r="B210" t="s">
        <v>191</v>
      </c>
      <c r="C210" t="s">
        <v>335</v>
      </c>
      <c r="D210" t="s">
        <v>193</v>
      </c>
      <c r="E210" s="16"/>
      <c r="F210" t="str">
        <f>RIGHT(Data[[#This Row],[Date]], LEN(Data[[#This Row],[Date]]) - SEARCH("-", Data[[#This Row],[Date]]))</f>
        <v>8</v>
      </c>
      <c r="G210" t="str">
        <f>LEFT(Data[[#This Row],[Date]], SEARCH("-", Data[[#This Row],[Date]]) - 1)</f>
        <v>8</v>
      </c>
      <c r="H210" s="10">
        <f>DATE($C$2,Data[[#This Row],[Month]],Data[[#This Row],[Day ]])</f>
        <v>45146</v>
      </c>
      <c r="J210" s="12">
        <f>IF(ISBLANK(Data[[#This Row],[Errors rectified]]),Data[[#This Row],[Date1]],Data[[#This Row],[Errors rectified]])</f>
        <v>45146</v>
      </c>
    </row>
    <row r="211" spans="2:10" x14ac:dyDescent="0.5">
      <c r="B211" t="s">
        <v>194</v>
      </c>
      <c r="C211" t="s">
        <v>390</v>
      </c>
      <c r="D211" t="s">
        <v>33</v>
      </c>
      <c r="E211" s="16"/>
      <c r="F211" t="str">
        <f>RIGHT(Data[[#This Row],[Date]], LEN(Data[[#This Row],[Date]]) - SEARCH("-", Data[[#This Row],[Date]]))</f>
        <v>14</v>
      </c>
      <c r="G211" t="str">
        <f>LEFT(Data[[#This Row],[Date]], SEARCH("-", Data[[#This Row],[Date]]) - 1)</f>
        <v>8</v>
      </c>
      <c r="H211" s="10">
        <f>DATE($C$2,Data[[#This Row],[Month]],Data[[#This Row],[Day ]])</f>
        <v>45152</v>
      </c>
      <c r="J211" s="12">
        <f>IF(ISBLANK(Data[[#This Row],[Errors rectified]]),Data[[#This Row],[Date1]],Data[[#This Row],[Errors rectified]])</f>
        <v>45152</v>
      </c>
    </row>
    <row r="212" spans="2:10" x14ac:dyDescent="0.5">
      <c r="B212" t="s">
        <v>195</v>
      </c>
      <c r="C212" t="s">
        <v>380</v>
      </c>
      <c r="D212" t="s">
        <v>196</v>
      </c>
      <c r="E212" s="16"/>
      <c r="F212" t="str">
        <f>RIGHT(Data[[#This Row],[Date]], LEN(Data[[#This Row],[Date]]) - SEARCH("-", Data[[#This Row],[Date]]))</f>
        <v>15</v>
      </c>
      <c r="G212" t="str">
        <f>LEFT(Data[[#This Row],[Date]], SEARCH("-", Data[[#This Row],[Date]]) - 1)</f>
        <v>8</v>
      </c>
      <c r="H212" s="10">
        <f>DATE($C$2,Data[[#This Row],[Month]],Data[[#This Row],[Day ]])</f>
        <v>45153</v>
      </c>
      <c r="J212" s="12">
        <f>IF(ISBLANK(Data[[#This Row],[Errors rectified]]),Data[[#This Row],[Date1]],Data[[#This Row],[Errors rectified]])</f>
        <v>45153</v>
      </c>
    </row>
    <row r="213" spans="2:10" x14ac:dyDescent="0.5">
      <c r="B213" t="s">
        <v>189</v>
      </c>
      <c r="C213" t="s">
        <v>391</v>
      </c>
      <c r="D213" t="s">
        <v>197</v>
      </c>
      <c r="E213" s="16"/>
      <c r="F213" t="str">
        <f>RIGHT(Data[[#This Row],[Date]], LEN(Data[[#This Row],[Date]]) - SEARCH("-", Data[[#This Row],[Date]]))</f>
        <v>18</v>
      </c>
      <c r="G213" t="str">
        <f>LEFT(Data[[#This Row],[Date]], SEARCH("-", Data[[#This Row],[Date]]) - 1)</f>
        <v>8</v>
      </c>
      <c r="H213" s="10">
        <f>DATE($C$2,Data[[#This Row],[Month]],Data[[#This Row],[Day ]])</f>
        <v>45156</v>
      </c>
      <c r="J213" s="12">
        <f>IF(ISBLANK(Data[[#This Row],[Errors rectified]]),Data[[#This Row],[Date1]],Data[[#This Row],[Errors rectified]])</f>
        <v>45156</v>
      </c>
    </row>
    <row r="214" spans="2:10" x14ac:dyDescent="0.5">
      <c r="B214" t="s">
        <v>189</v>
      </c>
      <c r="C214" t="s">
        <v>364</v>
      </c>
      <c r="D214" t="s">
        <v>198</v>
      </c>
      <c r="E214" s="16"/>
      <c r="F214" t="str">
        <f>RIGHT(Data[[#This Row],[Date]], LEN(Data[[#This Row],[Date]]) - SEARCH("-", Data[[#This Row],[Date]]))</f>
        <v>18</v>
      </c>
      <c r="G214" t="str">
        <f>LEFT(Data[[#This Row],[Date]], SEARCH("-", Data[[#This Row],[Date]]) - 1)</f>
        <v>8</v>
      </c>
      <c r="H214" s="10">
        <f>DATE($C$2,Data[[#This Row],[Month]],Data[[#This Row],[Day ]])</f>
        <v>45156</v>
      </c>
      <c r="J214" s="12">
        <f>IF(ISBLANK(Data[[#This Row],[Errors rectified]]),Data[[#This Row],[Date1]],Data[[#This Row],[Errors rectified]])</f>
        <v>45156</v>
      </c>
    </row>
    <row r="215" spans="2:10" x14ac:dyDescent="0.5">
      <c r="B215" t="s">
        <v>199</v>
      </c>
      <c r="C215" t="s">
        <v>392</v>
      </c>
      <c r="D215" t="s">
        <v>200</v>
      </c>
      <c r="E215" s="16"/>
      <c r="F215" t="str">
        <f>RIGHT(Data[[#This Row],[Date]], LEN(Data[[#This Row],[Date]]) - SEARCH("-", Data[[#This Row],[Date]]))</f>
        <v>22</v>
      </c>
      <c r="G215" t="str">
        <f>LEFT(Data[[#This Row],[Date]], SEARCH("-", Data[[#This Row],[Date]]) - 1)</f>
        <v>8</v>
      </c>
      <c r="H215" s="10">
        <f>DATE($C$2,Data[[#This Row],[Month]],Data[[#This Row],[Day ]])</f>
        <v>45160</v>
      </c>
      <c r="J215" s="12">
        <f>IF(ISBLANK(Data[[#This Row],[Errors rectified]]),Data[[#This Row],[Date1]],Data[[#This Row],[Errors rectified]])</f>
        <v>45160</v>
      </c>
    </row>
    <row r="216" spans="2:10" x14ac:dyDescent="0.5">
      <c r="B216" t="s">
        <v>17</v>
      </c>
      <c r="E216" s="16"/>
    </row>
    <row r="217" spans="2:10" x14ac:dyDescent="0.5">
      <c r="B217" t="s">
        <v>98</v>
      </c>
      <c r="E217" s="16"/>
    </row>
    <row r="218" spans="2:10" x14ac:dyDescent="0.5">
      <c r="B218" t="s">
        <v>18</v>
      </c>
      <c r="C218" t="s">
        <v>330</v>
      </c>
      <c r="D218" t="s">
        <v>19</v>
      </c>
      <c r="E218" s="16"/>
    </row>
    <row r="219" spans="2:10" x14ac:dyDescent="0.5">
      <c r="B219" t="s">
        <v>201</v>
      </c>
      <c r="C219" t="s">
        <v>393</v>
      </c>
      <c r="D219" t="s">
        <v>202</v>
      </c>
      <c r="E219" s="16"/>
      <c r="F219" t="str">
        <f>RIGHT(Data[[#This Row],[Date]], LEN(Data[[#This Row],[Date]]) - SEARCH("-", Data[[#This Row],[Date]]))</f>
        <v>23</v>
      </c>
      <c r="G219" t="str">
        <f>LEFT(Data[[#This Row],[Date]], SEARCH("-", Data[[#This Row],[Date]]) - 1)</f>
        <v>8</v>
      </c>
      <c r="H219" s="10">
        <f>DATE($C$2,Data[[#This Row],[Month]],Data[[#This Row],[Day ]])</f>
        <v>45161</v>
      </c>
      <c r="J219" s="12">
        <f>IF(ISBLANK(Data[[#This Row],[Errors rectified]]),Data[[#This Row],[Date1]],Data[[#This Row],[Errors rectified]])</f>
        <v>45161</v>
      </c>
    </row>
    <row r="220" spans="2:10" x14ac:dyDescent="0.5">
      <c r="B220" t="s">
        <v>203</v>
      </c>
      <c r="C220" t="s">
        <v>332</v>
      </c>
      <c r="D220" t="s">
        <v>158</v>
      </c>
      <c r="E220" s="16"/>
      <c r="F220" t="str">
        <f>RIGHT(Data[[#This Row],[Date]], LEN(Data[[#This Row],[Date]]) - SEARCH("-", Data[[#This Row],[Date]]))</f>
        <v>24</v>
      </c>
      <c r="G220" t="str">
        <f>LEFT(Data[[#This Row],[Date]], SEARCH("-", Data[[#This Row],[Date]]) - 1)</f>
        <v>8</v>
      </c>
      <c r="H220" s="10">
        <f>DATE($C$2,Data[[#This Row],[Month]],Data[[#This Row],[Day ]])</f>
        <v>45162</v>
      </c>
      <c r="J220" s="12">
        <f>IF(ISBLANK(Data[[#This Row],[Errors rectified]]),Data[[#This Row],[Date1]],Data[[#This Row],[Errors rectified]])</f>
        <v>45162</v>
      </c>
    </row>
    <row r="221" spans="2:10" x14ac:dyDescent="0.5">
      <c r="B221" t="s">
        <v>204</v>
      </c>
      <c r="C221" t="s">
        <v>338</v>
      </c>
      <c r="D221" t="s">
        <v>160</v>
      </c>
      <c r="E221" s="16"/>
      <c r="F221" t="str">
        <f>RIGHT(Data[[#This Row],[Date]], LEN(Data[[#This Row],[Date]]) - SEARCH("-", Data[[#This Row],[Date]]))</f>
        <v>29</v>
      </c>
      <c r="G221" t="str">
        <f>LEFT(Data[[#This Row],[Date]], SEARCH("-", Data[[#This Row],[Date]]) - 1)</f>
        <v>8</v>
      </c>
      <c r="H221" s="10">
        <f>DATE($C$2,Data[[#This Row],[Month]],Data[[#This Row],[Day ]])</f>
        <v>45167</v>
      </c>
      <c r="J221" s="12">
        <f>IF(ISBLANK(Data[[#This Row],[Errors rectified]]),Data[[#This Row],[Date1]],Data[[#This Row],[Errors rectified]])</f>
        <v>45167</v>
      </c>
    </row>
    <row r="222" spans="2:10" x14ac:dyDescent="0.5">
      <c r="B222" t="s">
        <v>1</v>
      </c>
      <c r="C222" t="s">
        <v>36</v>
      </c>
      <c r="D222" t="s">
        <v>205</v>
      </c>
      <c r="E222" s="16"/>
    </row>
    <row r="223" spans="2:10" x14ac:dyDescent="0.5">
      <c r="B223" t="s">
        <v>15</v>
      </c>
      <c r="E223" s="16"/>
    </row>
    <row r="224" spans="2:10" x14ac:dyDescent="0.5">
      <c r="B224" t="s">
        <v>15</v>
      </c>
      <c r="E224" s="16"/>
    </row>
    <row r="225" spans="2:10" x14ac:dyDescent="0.5">
      <c r="B225" t="s">
        <v>49</v>
      </c>
      <c r="E225" s="16"/>
    </row>
    <row r="226" spans="2:10" x14ac:dyDescent="0.5">
      <c r="B226" t="s">
        <v>50</v>
      </c>
      <c r="C226" t="s">
        <v>330</v>
      </c>
      <c r="D226" t="s">
        <v>51</v>
      </c>
      <c r="E226" s="16"/>
    </row>
    <row r="227" spans="2:10" x14ac:dyDescent="0.5">
      <c r="B227" t="s">
        <v>206</v>
      </c>
      <c r="C227" t="s">
        <v>343</v>
      </c>
      <c r="D227" t="s">
        <v>207</v>
      </c>
      <c r="E227" s="16"/>
      <c r="F227" t="str">
        <f>RIGHT(Data[[#This Row],[Date]], LEN(Data[[#This Row],[Date]]) - SEARCH("-", Data[[#This Row],[Date]]))</f>
        <v>8</v>
      </c>
      <c r="G227" t="str">
        <f>LEFT(Data[[#This Row],[Date]], SEARCH("-", Data[[#This Row],[Date]]) - 1)</f>
        <v>9</v>
      </c>
      <c r="H227" s="10">
        <f>DATE($C$2,Data[[#This Row],[Month]],Data[[#This Row],[Day ]])</f>
        <v>45177</v>
      </c>
      <c r="J227" s="12">
        <f>IF(ISBLANK(Data[[#This Row],[Errors rectified]]),Data[[#This Row],[Date1]],Data[[#This Row],[Errors rectified]])</f>
        <v>45177</v>
      </c>
    </row>
    <row r="228" spans="2:10" x14ac:dyDescent="0.5">
      <c r="B228" t="s">
        <v>208</v>
      </c>
      <c r="C228" t="s">
        <v>343</v>
      </c>
      <c r="D228" t="s">
        <v>209</v>
      </c>
      <c r="E228" s="16"/>
      <c r="F228" t="str">
        <f>RIGHT(Data[[#This Row],[Date]], LEN(Data[[#This Row],[Date]]) - SEARCH("-", Data[[#This Row],[Date]]))</f>
        <v>13</v>
      </c>
      <c r="G228" t="str">
        <f>LEFT(Data[[#This Row],[Date]], SEARCH("-", Data[[#This Row],[Date]]) - 1)</f>
        <v>9</v>
      </c>
      <c r="H228" s="10">
        <f>DATE($C$2,Data[[#This Row],[Month]],Data[[#This Row],[Day ]])</f>
        <v>45182</v>
      </c>
      <c r="J228" s="12">
        <f>IF(ISBLANK(Data[[#This Row],[Errors rectified]]),Data[[#This Row],[Date1]],Data[[#This Row],[Errors rectified]])</f>
        <v>45182</v>
      </c>
    </row>
    <row r="229" spans="2:10" x14ac:dyDescent="0.5">
      <c r="B229" t="s">
        <v>208</v>
      </c>
      <c r="C229" t="s">
        <v>343</v>
      </c>
      <c r="D229" t="s">
        <v>61</v>
      </c>
      <c r="E229" s="16"/>
      <c r="F229" t="str">
        <f>RIGHT(Data[[#This Row],[Date]], LEN(Data[[#This Row],[Date]]) - SEARCH("-", Data[[#This Row],[Date]]))</f>
        <v>13</v>
      </c>
      <c r="G229" t="str">
        <f>LEFT(Data[[#This Row],[Date]], SEARCH("-", Data[[#This Row],[Date]]) - 1)</f>
        <v>9</v>
      </c>
      <c r="H229" s="10">
        <f>DATE($C$2,Data[[#This Row],[Month]],Data[[#This Row],[Day ]])</f>
        <v>45182</v>
      </c>
      <c r="J229" s="12">
        <f>IF(ISBLANK(Data[[#This Row],[Errors rectified]]),Data[[#This Row],[Date1]],Data[[#This Row],[Errors rectified]])</f>
        <v>45182</v>
      </c>
    </row>
    <row r="230" spans="2:10" x14ac:dyDescent="0.5">
      <c r="B230" t="s">
        <v>208</v>
      </c>
      <c r="C230" t="s">
        <v>344</v>
      </c>
      <c r="D230" t="s">
        <v>108</v>
      </c>
      <c r="E230" s="16"/>
      <c r="F230" t="str">
        <f>RIGHT(Data[[#This Row],[Date]], LEN(Data[[#This Row],[Date]]) - SEARCH("-", Data[[#This Row],[Date]]))</f>
        <v>13</v>
      </c>
      <c r="G230" t="str">
        <f>LEFT(Data[[#This Row],[Date]], SEARCH("-", Data[[#This Row],[Date]]) - 1)</f>
        <v>9</v>
      </c>
      <c r="H230" s="10">
        <f>DATE($C$2,Data[[#This Row],[Month]],Data[[#This Row],[Day ]])</f>
        <v>45182</v>
      </c>
      <c r="J230" s="12">
        <f>IF(ISBLANK(Data[[#This Row],[Errors rectified]]),Data[[#This Row],[Date1]],Data[[#This Row],[Errors rectified]])</f>
        <v>45182</v>
      </c>
    </row>
    <row r="231" spans="2:10" x14ac:dyDescent="0.5">
      <c r="B231" t="s">
        <v>210</v>
      </c>
      <c r="C231" t="s">
        <v>344</v>
      </c>
      <c r="D231" t="s">
        <v>56</v>
      </c>
      <c r="E231" s="16"/>
      <c r="F231" t="str">
        <f>RIGHT(Data[[#This Row],[Date]], LEN(Data[[#This Row],[Date]]) - SEARCH("-", Data[[#This Row],[Date]]))</f>
        <v>26</v>
      </c>
      <c r="G231" t="str">
        <f>LEFT(Data[[#This Row],[Date]], SEARCH("-", Data[[#This Row],[Date]]) - 1)</f>
        <v>9</v>
      </c>
      <c r="H231" s="10">
        <f>DATE($C$2,Data[[#This Row],[Month]],Data[[#This Row],[Day ]])</f>
        <v>45195</v>
      </c>
      <c r="J231" s="12">
        <f>IF(ISBLANK(Data[[#This Row],[Errors rectified]]),Data[[#This Row],[Date1]],Data[[#This Row],[Errors rectified]])</f>
        <v>45195</v>
      </c>
    </row>
    <row r="232" spans="2:10" x14ac:dyDescent="0.5">
      <c r="B232" t="s">
        <v>1</v>
      </c>
      <c r="C232" t="s">
        <v>64</v>
      </c>
      <c r="D232" t="s">
        <v>211</v>
      </c>
      <c r="E232" s="16"/>
    </row>
    <row r="233" spans="2:10" x14ac:dyDescent="0.5">
      <c r="B233" t="s">
        <v>17</v>
      </c>
      <c r="E233" s="16"/>
    </row>
    <row r="234" spans="2:10" x14ac:dyDescent="0.5">
      <c r="B234" t="s">
        <v>43</v>
      </c>
      <c r="C234" t="s">
        <v>346</v>
      </c>
      <c r="D234" t="s">
        <v>66</v>
      </c>
      <c r="E234" s="16"/>
    </row>
    <row r="235" spans="2:10" x14ac:dyDescent="0.5">
      <c r="B235" t="s">
        <v>12</v>
      </c>
      <c r="C235" t="s">
        <v>347</v>
      </c>
      <c r="D235" t="s">
        <v>67</v>
      </c>
      <c r="E235" s="16"/>
    </row>
    <row r="236" spans="2:10" x14ac:dyDescent="0.5">
      <c r="B236" t="s">
        <v>15</v>
      </c>
      <c r="C236" t="s">
        <v>394</v>
      </c>
      <c r="D236" t="s">
        <v>395</v>
      </c>
      <c r="E236" s="16"/>
    </row>
    <row r="237" spans="2:10" x14ac:dyDescent="0.5">
      <c r="B237" t="s">
        <v>15</v>
      </c>
      <c r="C237" t="s">
        <v>396</v>
      </c>
      <c r="D237" t="s">
        <v>61</v>
      </c>
      <c r="E237" s="16"/>
    </row>
    <row r="238" spans="2:10" x14ac:dyDescent="0.5">
      <c r="B238" t="s">
        <v>43</v>
      </c>
      <c r="C238" t="s">
        <v>350</v>
      </c>
      <c r="D238" t="s">
        <v>215</v>
      </c>
      <c r="E238" s="16"/>
    </row>
    <row r="239" spans="2:10" x14ac:dyDescent="0.5">
      <c r="B239" t="s">
        <v>18</v>
      </c>
      <c r="C239" t="s">
        <v>330</v>
      </c>
      <c r="D239" t="s">
        <v>19</v>
      </c>
      <c r="E239" s="16"/>
    </row>
    <row r="240" spans="2:10" x14ac:dyDescent="0.5">
      <c r="B240" t="s">
        <v>216</v>
      </c>
      <c r="C240" t="s">
        <v>332</v>
      </c>
      <c r="D240" t="s">
        <v>124</v>
      </c>
      <c r="E240" s="16"/>
      <c r="F240" t="str">
        <f>RIGHT(Data[[#This Row],[Date]], LEN(Data[[#This Row],[Date]]) - SEARCH("-", Data[[#This Row],[Date]]))</f>
        <v>6</v>
      </c>
      <c r="G240" t="str">
        <f>LEFT(Data[[#This Row],[Date]], SEARCH("-", Data[[#This Row],[Date]]) - 1)</f>
        <v>9</v>
      </c>
      <c r="H240" s="10">
        <f>DATE($C$2,Data[[#This Row],[Month]],Data[[#This Row],[Day ]])</f>
        <v>45175</v>
      </c>
      <c r="J240" s="12">
        <f>IF(ISBLANK(Data[[#This Row],[Errors rectified]]),Data[[#This Row],[Date1]],Data[[#This Row],[Errors rectified]])</f>
        <v>45175</v>
      </c>
    </row>
    <row r="241" spans="2:10" x14ac:dyDescent="0.5">
      <c r="B241" t="s">
        <v>217</v>
      </c>
      <c r="C241" t="s">
        <v>335</v>
      </c>
      <c r="D241" t="s">
        <v>218</v>
      </c>
      <c r="E241" s="16"/>
      <c r="F241" t="str">
        <f>RIGHT(Data[[#This Row],[Date]], LEN(Data[[#This Row],[Date]]) - SEARCH("-", Data[[#This Row],[Date]]))</f>
        <v>7</v>
      </c>
      <c r="G241" t="str">
        <f>LEFT(Data[[#This Row],[Date]], SEARCH("-", Data[[#This Row],[Date]]) - 1)</f>
        <v>9</v>
      </c>
      <c r="H241" s="10">
        <f>DATE($C$2,Data[[#This Row],[Month]],Data[[#This Row],[Day ]])</f>
        <v>45176</v>
      </c>
      <c r="J241" s="12">
        <f>IF(ISBLANK(Data[[#This Row],[Errors rectified]]),Data[[#This Row],[Date1]],Data[[#This Row],[Errors rectified]])</f>
        <v>45176</v>
      </c>
    </row>
    <row r="242" spans="2:10" x14ac:dyDescent="0.5">
      <c r="B242" t="s">
        <v>219</v>
      </c>
      <c r="C242" t="s">
        <v>397</v>
      </c>
      <c r="D242" t="s">
        <v>33</v>
      </c>
      <c r="E242" s="16"/>
      <c r="F242" t="str">
        <f>RIGHT(Data[[#This Row],[Date]], LEN(Data[[#This Row],[Date]]) - SEARCH("-", Data[[#This Row],[Date]]))</f>
        <v>12</v>
      </c>
      <c r="G242" t="str">
        <f>LEFT(Data[[#This Row],[Date]], SEARCH("-", Data[[#This Row],[Date]]) - 1)</f>
        <v>9</v>
      </c>
      <c r="H242" s="10">
        <f>DATE($C$2,Data[[#This Row],[Month]],Data[[#This Row],[Day ]])</f>
        <v>45181</v>
      </c>
      <c r="J242" s="12">
        <f>IF(ISBLANK(Data[[#This Row],[Errors rectified]]),Data[[#This Row],[Date1]],Data[[#This Row],[Errors rectified]])</f>
        <v>45181</v>
      </c>
    </row>
    <row r="243" spans="2:10" x14ac:dyDescent="0.5">
      <c r="B243" t="s">
        <v>208</v>
      </c>
      <c r="C243" t="s">
        <v>398</v>
      </c>
      <c r="D243" t="s">
        <v>220</v>
      </c>
      <c r="E243" s="16"/>
      <c r="F243" t="str">
        <f>RIGHT(Data[[#This Row],[Date]], LEN(Data[[#This Row],[Date]]) - SEARCH("-", Data[[#This Row],[Date]]))</f>
        <v>13</v>
      </c>
      <c r="G243" t="str">
        <f>LEFT(Data[[#This Row],[Date]], SEARCH("-", Data[[#This Row],[Date]]) - 1)</f>
        <v>9</v>
      </c>
      <c r="H243" s="10">
        <f>DATE($C$2,Data[[#This Row],[Month]],Data[[#This Row],[Day ]])</f>
        <v>45182</v>
      </c>
      <c r="J243" s="12">
        <f>IF(ISBLANK(Data[[#This Row],[Errors rectified]]),Data[[#This Row],[Date1]],Data[[#This Row],[Errors rectified]])</f>
        <v>45182</v>
      </c>
    </row>
    <row r="244" spans="2:10" x14ac:dyDescent="0.5">
      <c r="B244" t="s">
        <v>17</v>
      </c>
      <c r="E244" s="16"/>
    </row>
    <row r="245" spans="2:10" x14ac:dyDescent="0.5">
      <c r="B245" t="s">
        <v>98</v>
      </c>
      <c r="E245" s="16"/>
    </row>
    <row r="246" spans="2:10" x14ac:dyDescent="0.5">
      <c r="B246" t="s">
        <v>18</v>
      </c>
      <c r="C246" t="s">
        <v>330</v>
      </c>
      <c r="D246" t="s">
        <v>19</v>
      </c>
      <c r="E246" s="16"/>
    </row>
    <row r="247" spans="2:10" x14ac:dyDescent="0.5">
      <c r="B247" t="s">
        <v>208</v>
      </c>
      <c r="C247" t="s">
        <v>399</v>
      </c>
      <c r="D247" t="s">
        <v>192</v>
      </c>
      <c r="E247" s="16"/>
      <c r="F247" t="str">
        <f>RIGHT(Data[[#This Row],[Date]], LEN(Data[[#This Row],[Date]]) - SEARCH("-", Data[[#This Row],[Date]]))</f>
        <v>13</v>
      </c>
      <c r="G247" t="str">
        <f>LEFT(Data[[#This Row],[Date]], SEARCH("-", Data[[#This Row],[Date]]) - 1)</f>
        <v>9</v>
      </c>
      <c r="H247" s="10">
        <f>DATE($C$2,Data[[#This Row],[Month]],Data[[#This Row],[Day ]])</f>
        <v>45182</v>
      </c>
      <c r="J247" s="12">
        <f>IF(ISBLANK(Data[[#This Row],[Errors rectified]]),Data[[#This Row],[Date1]],Data[[#This Row],[Errors rectified]])</f>
        <v>45182</v>
      </c>
    </row>
    <row r="248" spans="2:10" x14ac:dyDescent="0.5">
      <c r="B248" t="s">
        <v>214</v>
      </c>
      <c r="C248" t="s">
        <v>380</v>
      </c>
      <c r="D248" t="s">
        <v>221</v>
      </c>
      <c r="E248" s="16"/>
      <c r="F248" t="str">
        <f>RIGHT(Data[[#This Row],[Date]], LEN(Data[[#This Row],[Date]]) - SEARCH("-", Data[[#This Row],[Date]]))</f>
        <v>18</v>
      </c>
      <c r="G248" t="str">
        <f>LEFT(Data[[#This Row],[Date]], SEARCH("-", Data[[#This Row],[Date]]) - 1)</f>
        <v>9</v>
      </c>
      <c r="H248" s="10">
        <f>DATE($C$2,Data[[#This Row],[Month]],Data[[#This Row],[Day ]])</f>
        <v>45187</v>
      </c>
      <c r="J248" s="12">
        <f>IF(ISBLANK(Data[[#This Row],[Errors rectified]]),Data[[#This Row],[Date1]],Data[[#This Row],[Errors rectified]])</f>
        <v>45187</v>
      </c>
    </row>
    <row r="249" spans="2:10" x14ac:dyDescent="0.5">
      <c r="B249" t="s">
        <v>212</v>
      </c>
      <c r="C249" t="s">
        <v>400</v>
      </c>
      <c r="D249" t="s">
        <v>222</v>
      </c>
      <c r="E249" s="16"/>
      <c r="F249" t="str">
        <f>RIGHT(Data[[#This Row],[Date]], LEN(Data[[#This Row],[Date]]) - SEARCH("-", Data[[#This Row],[Date]]))</f>
        <v>19</v>
      </c>
      <c r="G249" t="str">
        <f>LEFT(Data[[#This Row],[Date]], SEARCH("-", Data[[#This Row],[Date]]) - 1)</f>
        <v>9</v>
      </c>
      <c r="H249" s="10">
        <f>DATE($C$2,Data[[#This Row],[Month]],Data[[#This Row],[Day ]])</f>
        <v>45188</v>
      </c>
      <c r="J249" s="12">
        <f>IF(ISBLANK(Data[[#This Row],[Errors rectified]]),Data[[#This Row],[Date1]],Data[[#This Row],[Errors rectified]])</f>
        <v>45188</v>
      </c>
    </row>
    <row r="250" spans="2:10" x14ac:dyDescent="0.5">
      <c r="B250" t="s">
        <v>223</v>
      </c>
      <c r="C250" t="s">
        <v>332</v>
      </c>
      <c r="D250" t="s">
        <v>158</v>
      </c>
      <c r="E250" s="16"/>
      <c r="F250" t="str">
        <f>RIGHT(Data[[#This Row],[Date]], LEN(Data[[#This Row],[Date]]) - SEARCH("-", Data[[#This Row],[Date]]))</f>
        <v>20</v>
      </c>
      <c r="G250" t="str">
        <f>LEFT(Data[[#This Row],[Date]], SEARCH("-", Data[[#This Row],[Date]]) - 1)</f>
        <v>9</v>
      </c>
      <c r="H250" s="10">
        <f>DATE($C$2,Data[[#This Row],[Month]],Data[[#This Row],[Day ]])</f>
        <v>45189</v>
      </c>
      <c r="J250" s="12">
        <f>IF(ISBLANK(Data[[#This Row],[Errors rectified]]),Data[[#This Row],[Date1]],Data[[#This Row],[Errors rectified]])</f>
        <v>45189</v>
      </c>
    </row>
    <row r="251" spans="2:10" x14ac:dyDescent="0.5">
      <c r="B251" t="s">
        <v>224</v>
      </c>
      <c r="C251" t="s">
        <v>401</v>
      </c>
      <c r="D251" t="s">
        <v>225</v>
      </c>
      <c r="E251" s="16"/>
      <c r="F251" t="str">
        <f>RIGHT(Data[[#This Row],[Date]], LEN(Data[[#This Row],[Date]]) - SEARCH("-", Data[[#This Row],[Date]]))</f>
        <v>22</v>
      </c>
      <c r="G251" t="str">
        <f>LEFT(Data[[#This Row],[Date]], SEARCH("-", Data[[#This Row],[Date]]) - 1)</f>
        <v>9</v>
      </c>
      <c r="H251" s="10">
        <f>DATE($C$2,Data[[#This Row],[Month]],Data[[#This Row],[Day ]])</f>
        <v>45191</v>
      </c>
      <c r="J251" s="12">
        <f>IF(ISBLANK(Data[[#This Row],[Errors rectified]]),Data[[#This Row],[Date1]],Data[[#This Row],[Errors rectified]])</f>
        <v>45191</v>
      </c>
    </row>
    <row r="252" spans="2:10" x14ac:dyDescent="0.5">
      <c r="B252" t="s">
        <v>224</v>
      </c>
      <c r="C252" t="s">
        <v>401</v>
      </c>
      <c r="D252" t="s">
        <v>226</v>
      </c>
      <c r="E252" s="16"/>
      <c r="F252" t="str">
        <f>RIGHT(Data[[#This Row],[Date]], LEN(Data[[#This Row],[Date]]) - SEARCH("-", Data[[#This Row],[Date]]))</f>
        <v>22</v>
      </c>
      <c r="G252" t="str">
        <f>LEFT(Data[[#This Row],[Date]], SEARCH("-", Data[[#This Row],[Date]]) - 1)</f>
        <v>9</v>
      </c>
      <c r="H252" s="10">
        <f>DATE($C$2,Data[[#This Row],[Month]],Data[[#This Row],[Day ]])</f>
        <v>45191</v>
      </c>
      <c r="J252" s="12">
        <f>IF(ISBLANK(Data[[#This Row],[Errors rectified]]),Data[[#This Row],[Date1]],Data[[#This Row],[Errors rectified]])</f>
        <v>45191</v>
      </c>
    </row>
    <row r="253" spans="2:10" x14ac:dyDescent="0.5">
      <c r="B253" t="s">
        <v>227</v>
      </c>
      <c r="C253" t="s">
        <v>338</v>
      </c>
      <c r="D253" t="s">
        <v>160</v>
      </c>
      <c r="E253" s="16"/>
      <c r="F253" t="str">
        <f>RIGHT(Data[[#This Row],[Date]], LEN(Data[[#This Row],[Date]]) - SEARCH("-", Data[[#This Row],[Date]]))</f>
        <v>27</v>
      </c>
      <c r="G253" t="str">
        <f>LEFT(Data[[#This Row],[Date]], SEARCH("-", Data[[#This Row],[Date]]) - 1)</f>
        <v>9</v>
      </c>
      <c r="H253" s="10">
        <f>DATE($C$2,Data[[#This Row],[Month]],Data[[#This Row],[Day ]])</f>
        <v>45196</v>
      </c>
      <c r="J253" s="12">
        <f>IF(ISBLANK(Data[[#This Row],[Errors rectified]]),Data[[#This Row],[Date1]],Data[[#This Row],[Errors rectified]])</f>
        <v>45196</v>
      </c>
    </row>
    <row r="254" spans="2:10" x14ac:dyDescent="0.5">
      <c r="B254" t="s">
        <v>228</v>
      </c>
      <c r="C254" t="s">
        <v>330</v>
      </c>
      <c r="D254" t="s">
        <v>229</v>
      </c>
      <c r="E254" s="16"/>
    </row>
    <row r="255" spans="2:10" x14ac:dyDescent="0.5">
      <c r="B255" t="s">
        <v>230</v>
      </c>
      <c r="C255" t="s">
        <v>402</v>
      </c>
      <c r="D255" t="s">
        <v>232</v>
      </c>
      <c r="E255" s="16"/>
      <c r="F255" t="str">
        <f>RIGHT(Data[[#This Row],[Date]], LEN(Data[[#This Row],[Date]]) - SEARCH("-", Data[[#This Row],[Date]]))</f>
        <v>11</v>
      </c>
      <c r="G255" t="str">
        <f>LEFT(Data[[#This Row],[Date]], SEARCH("-", Data[[#This Row],[Date]]) - 1)</f>
        <v>9</v>
      </c>
      <c r="H255" s="10">
        <f>DATE($C$2,Data[[#This Row],[Month]],Data[[#This Row],[Day ]])</f>
        <v>45180</v>
      </c>
      <c r="J255" s="12">
        <f>IF(ISBLANK(Data[[#This Row],[Errors rectified]]),Data[[#This Row],[Date1]],Data[[#This Row],[Errors rectified]])</f>
        <v>45180</v>
      </c>
    </row>
    <row r="256" spans="2:10" x14ac:dyDescent="0.5">
      <c r="B256" t="s">
        <v>1</v>
      </c>
      <c r="C256" t="s">
        <v>36</v>
      </c>
      <c r="D256" t="s">
        <v>233</v>
      </c>
      <c r="E256" s="16"/>
    </row>
    <row r="257" spans="2:10" x14ac:dyDescent="0.5">
      <c r="B257" t="s">
        <v>15</v>
      </c>
      <c r="E257" s="16"/>
    </row>
    <row r="258" spans="2:10" x14ac:dyDescent="0.5">
      <c r="B258" t="s">
        <v>15</v>
      </c>
      <c r="E258" s="16"/>
    </row>
    <row r="259" spans="2:10" x14ac:dyDescent="0.5">
      <c r="B259" t="s">
        <v>49</v>
      </c>
      <c r="E259" s="16"/>
    </row>
    <row r="260" spans="2:10" x14ac:dyDescent="0.5">
      <c r="B260" t="s">
        <v>50</v>
      </c>
      <c r="C260" t="s">
        <v>330</v>
      </c>
      <c r="D260" t="s">
        <v>51</v>
      </c>
      <c r="E260" s="16"/>
    </row>
    <row r="261" spans="2:10" x14ac:dyDescent="0.5">
      <c r="B261" t="s">
        <v>234</v>
      </c>
      <c r="C261" t="s">
        <v>345</v>
      </c>
      <c r="D261" t="s">
        <v>235</v>
      </c>
      <c r="E261" s="16"/>
      <c r="F261" t="str">
        <f>RIGHT(Data[[#This Row],[Date]], LEN(Data[[#This Row],[Date]]) - SEARCH("-", Data[[#This Row],[Date]]))</f>
        <v>6</v>
      </c>
      <c r="G261" t="str">
        <f>LEFT(Data[[#This Row],[Date]], SEARCH("-", Data[[#This Row],[Date]]) - 1)</f>
        <v>10</v>
      </c>
      <c r="H261" s="10">
        <f>DATE($C$2,Data[[#This Row],[Month]],Data[[#This Row],[Day ]])</f>
        <v>45205</v>
      </c>
      <c r="J261" s="12">
        <f>IF(ISBLANK(Data[[#This Row],[Errors rectified]]),Data[[#This Row],[Date1]],Data[[#This Row],[Errors rectified]])</f>
        <v>45205</v>
      </c>
    </row>
    <row r="262" spans="2:10" x14ac:dyDescent="0.5">
      <c r="B262" t="s">
        <v>234</v>
      </c>
      <c r="C262" t="s">
        <v>344</v>
      </c>
      <c r="D262" t="s">
        <v>236</v>
      </c>
      <c r="E262" s="16"/>
      <c r="F262" t="str">
        <f>RIGHT(Data[[#This Row],[Date]], LEN(Data[[#This Row],[Date]]) - SEARCH("-", Data[[#This Row],[Date]]))</f>
        <v>6</v>
      </c>
      <c r="G262" t="str">
        <f>LEFT(Data[[#This Row],[Date]], SEARCH("-", Data[[#This Row],[Date]]) - 1)</f>
        <v>10</v>
      </c>
      <c r="H262" s="10">
        <f>DATE($C$2,Data[[#This Row],[Month]],Data[[#This Row],[Day ]])</f>
        <v>45205</v>
      </c>
      <c r="J262" s="12">
        <f>IF(ISBLANK(Data[[#This Row],[Errors rectified]]),Data[[#This Row],[Date1]],Data[[#This Row],[Errors rectified]])</f>
        <v>45205</v>
      </c>
    </row>
    <row r="263" spans="2:10" x14ac:dyDescent="0.5">
      <c r="B263" t="s">
        <v>237</v>
      </c>
      <c r="C263" t="s">
        <v>344</v>
      </c>
      <c r="D263" t="s">
        <v>108</v>
      </c>
      <c r="E263" s="16"/>
      <c r="F263" t="str">
        <f>RIGHT(Data[[#This Row],[Date]], LEN(Data[[#This Row],[Date]]) - SEARCH("-", Data[[#This Row],[Date]]))</f>
        <v>12</v>
      </c>
      <c r="G263" t="str">
        <f>LEFT(Data[[#This Row],[Date]], SEARCH("-", Data[[#This Row],[Date]]) - 1)</f>
        <v>10</v>
      </c>
      <c r="H263" s="10">
        <f>DATE($C$2,Data[[#This Row],[Month]],Data[[#This Row],[Day ]])</f>
        <v>45211</v>
      </c>
      <c r="J263" s="12">
        <f>IF(ISBLANK(Data[[#This Row],[Errors rectified]]),Data[[#This Row],[Date1]],Data[[#This Row],[Errors rectified]])</f>
        <v>45211</v>
      </c>
    </row>
    <row r="264" spans="2:10" x14ac:dyDescent="0.5">
      <c r="B264" t="s">
        <v>238</v>
      </c>
      <c r="C264" t="s">
        <v>345</v>
      </c>
      <c r="D264" t="s">
        <v>239</v>
      </c>
      <c r="E264" s="16"/>
      <c r="F264" t="str">
        <f>RIGHT(Data[[#This Row],[Date]], LEN(Data[[#This Row],[Date]]) - SEARCH("-", Data[[#This Row],[Date]]))</f>
        <v>13</v>
      </c>
      <c r="G264" t="str">
        <f>LEFT(Data[[#This Row],[Date]], SEARCH("-", Data[[#This Row],[Date]]) - 1)</f>
        <v>10</v>
      </c>
      <c r="H264" s="10">
        <f>DATE($C$2,Data[[#This Row],[Month]],Data[[#This Row],[Day ]])</f>
        <v>45212</v>
      </c>
      <c r="J264" s="12">
        <f>IF(ISBLANK(Data[[#This Row],[Errors rectified]]),Data[[#This Row],[Date1]],Data[[#This Row],[Errors rectified]])</f>
        <v>45212</v>
      </c>
    </row>
    <row r="265" spans="2:10" x14ac:dyDescent="0.5">
      <c r="B265" t="s">
        <v>228</v>
      </c>
      <c r="C265" t="s">
        <v>330</v>
      </c>
      <c r="D265" t="s">
        <v>51</v>
      </c>
      <c r="E265" s="16"/>
    </row>
    <row r="266" spans="2:10" x14ac:dyDescent="0.5">
      <c r="B266" t="s">
        <v>240</v>
      </c>
      <c r="C266" t="s">
        <v>403</v>
      </c>
      <c r="D266" t="s">
        <v>242</v>
      </c>
      <c r="E266" s="16"/>
      <c r="F266" t="str">
        <f>RIGHT(Data[[#This Row],[Date]], LEN(Data[[#This Row],[Date]]) - SEARCH("-", Data[[#This Row],[Date]]))</f>
        <v>11</v>
      </c>
      <c r="G266" t="str">
        <f>LEFT(Data[[#This Row],[Date]], SEARCH("-", Data[[#This Row],[Date]]) - 1)</f>
        <v>10</v>
      </c>
      <c r="H266" s="10">
        <f>DATE($C$2,Data[[#This Row],[Month]],Data[[#This Row],[Day ]])</f>
        <v>45210</v>
      </c>
      <c r="J266" s="12">
        <f>IF(ISBLANK(Data[[#This Row],[Errors rectified]]),Data[[#This Row],[Date1]],Data[[#This Row],[Errors rectified]])</f>
        <v>45210</v>
      </c>
    </row>
    <row r="267" spans="2:10" x14ac:dyDescent="0.5">
      <c r="B267" t="s">
        <v>237</v>
      </c>
      <c r="C267" t="s">
        <v>404</v>
      </c>
      <c r="D267" t="s">
        <v>243</v>
      </c>
      <c r="E267" s="16"/>
      <c r="F267" t="str">
        <f>RIGHT(Data[[#This Row],[Date]], LEN(Data[[#This Row],[Date]]) - SEARCH("-", Data[[#This Row],[Date]]))</f>
        <v>12</v>
      </c>
      <c r="G267" t="str">
        <f>LEFT(Data[[#This Row],[Date]], SEARCH("-", Data[[#This Row],[Date]]) - 1)</f>
        <v>10</v>
      </c>
      <c r="H267" s="10">
        <f>DATE($C$2,Data[[#This Row],[Month]],Data[[#This Row],[Day ]])</f>
        <v>45211</v>
      </c>
      <c r="J267" s="12">
        <f>IF(ISBLANK(Data[[#This Row],[Errors rectified]]),Data[[#This Row],[Date1]],Data[[#This Row],[Errors rectified]])</f>
        <v>45211</v>
      </c>
    </row>
    <row r="268" spans="2:10" x14ac:dyDescent="0.5">
      <c r="B268" t="s">
        <v>1</v>
      </c>
      <c r="C268" t="s">
        <v>64</v>
      </c>
      <c r="D268" t="s">
        <v>244</v>
      </c>
      <c r="E268" s="16"/>
    </row>
    <row r="269" spans="2:10" x14ac:dyDescent="0.5">
      <c r="B269" t="s">
        <v>17</v>
      </c>
      <c r="E269" s="16"/>
    </row>
    <row r="270" spans="2:10" x14ac:dyDescent="0.5">
      <c r="B270" t="s">
        <v>43</v>
      </c>
      <c r="C270" t="s">
        <v>346</v>
      </c>
      <c r="D270" t="s">
        <v>66</v>
      </c>
      <c r="E270" s="16"/>
    </row>
    <row r="271" spans="2:10" x14ac:dyDescent="0.5">
      <c r="B271" t="s">
        <v>12</v>
      </c>
      <c r="C271" t="s">
        <v>347</v>
      </c>
      <c r="D271" t="s">
        <v>67</v>
      </c>
      <c r="E271" s="16"/>
    </row>
    <row r="272" spans="2:10" x14ac:dyDescent="0.5">
      <c r="B272" t="s">
        <v>15</v>
      </c>
      <c r="C272" t="s">
        <v>405</v>
      </c>
      <c r="D272" t="s">
        <v>406</v>
      </c>
      <c r="E272" s="16"/>
    </row>
    <row r="273" spans="2:10" x14ac:dyDescent="0.5">
      <c r="B273" t="s">
        <v>15</v>
      </c>
      <c r="C273" t="s">
        <v>407</v>
      </c>
      <c r="D273" t="s">
        <v>245</v>
      </c>
      <c r="E273" s="16"/>
    </row>
    <row r="274" spans="2:10" x14ac:dyDescent="0.5">
      <c r="B274" t="s">
        <v>15</v>
      </c>
      <c r="C274" t="s">
        <v>408</v>
      </c>
      <c r="D274" t="s">
        <v>376</v>
      </c>
      <c r="E274" s="16"/>
    </row>
    <row r="275" spans="2:10" x14ac:dyDescent="0.5">
      <c r="B275" t="s">
        <v>43</v>
      </c>
      <c r="C275" t="s">
        <v>350</v>
      </c>
      <c r="D275" t="s">
        <v>247</v>
      </c>
      <c r="E275" s="16"/>
    </row>
    <row r="276" spans="2:10" x14ac:dyDescent="0.5">
      <c r="B276" t="s">
        <v>18</v>
      </c>
      <c r="C276" t="s">
        <v>330</v>
      </c>
      <c r="D276" t="s">
        <v>19</v>
      </c>
      <c r="E276" s="16"/>
    </row>
    <row r="277" spans="2:10" x14ac:dyDescent="0.5">
      <c r="B277" t="s">
        <v>248</v>
      </c>
      <c r="C277" t="s">
        <v>332</v>
      </c>
      <c r="D277" t="s">
        <v>124</v>
      </c>
      <c r="E277" s="16"/>
      <c r="F277" t="str">
        <f>RIGHT(Data[[#This Row],[Date]], LEN(Data[[#This Row],[Date]]) - SEARCH("-", Data[[#This Row],[Date]]))</f>
        <v>4</v>
      </c>
      <c r="G277" t="str">
        <f>LEFT(Data[[#This Row],[Date]], SEARCH("-", Data[[#This Row],[Date]]) - 1)</f>
        <v>10</v>
      </c>
      <c r="H277" s="10">
        <f>DATE($C$2,Data[[#This Row],[Month]],Data[[#This Row],[Day ]])</f>
        <v>45203</v>
      </c>
      <c r="J277" s="12">
        <f>IF(ISBLANK(Data[[#This Row],[Errors rectified]]),Data[[#This Row],[Date1]],Data[[#This Row],[Errors rectified]])</f>
        <v>45203</v>
      </c>
    </row>
    <row r="278" spans="2:10" x14ac:dyDescent="0.5">
      <c r="B278" t="s">
        <v>246</v>
      </c>
      <c r="C278" t="s">
        <v>409</v>
      </c>
      <c r="D278" t="s">
        <v>54</v>
      </c>
      <c r="E278" s="16"/>
      <c r="F278" t="str">
        <f>RIGHT(Data[[#This Row],[Date]], LEN(Data[[#This Row],[Date]]) - SEARCH("-", Data[[#This Row],[Date]]))</f>
        <v>5</v>
      </c>
      <c r="G278" t="str">
        <f>LEFT(Data[[#This Row],[Date]], SEARCH("-", Data[[#This Row],[Date]]) - 1)</f>
        <v>10</v>
      </c>
      <c r="H278" s="10">
        <f>DATE($C$2,Data[[#This Row],[Month]],Data[[#This Row],[Day ]])</f>
        <v>45204</v>
      </c>
      <c r="J278" s="12">
        <f>IF(ISBLANK(Data[[#This Row],[Errors rectified]]),Data[[#This Row],[Date1]],Data[[#This Row],[Errors rectified]])</f>
        <v>45204</v>
      </c>
    </row>
    <row r="279" spans="2:10" x14ac:dyDescent="0.5">
      <c r="B279" t="s">
        <v>249</v>
      </c>
      <c r="C279" t="s">
        <v>335</v>
      </c>
      <c r="D279" t="s">
        <v>250</v>
      </c>
      <c r="E279" s="16"/>
      <c r="F279" t="str">
        <f>RIGHT(Data[[#This Row],[Date]], LEN(Data[[#This Row],[Date]]) - SEARCH("-", Data[[#This Row],[Date]]))</f>
        <v>10</v>
      </c>
      <c r="G279" t="str">
        <f>LEFT(Data[[#This Row],[Date]], SEARCH("-", Data[[#This Row],[Date]]) - 1)</f>
        <v>10</v>
      </c>
      <c r="H279" s="10">
        <f>DATE($C$2,Data[[#This Row],[Month]],Data[[#This Row],[Day ]])</f>
        <v>45209</v>
      </c>
      <c r="J279" s="12">
        <f>IF(ISBLANK(Data[[#This Row],[Errors rectified]]),Data[[#This Row],[Date1]],Data[[#This Row],[Errors rectified]])</f>
        <v>45209</v>
      </c>
    </row>
    <row r="280" spans="2:10" x14ac:dyDescent="0.5">
      <c r="B280" t="s">
        <v>240</v>
      </c>
      <c r="C280" t="s">
        <v>410</v>
      </c>
      <c r="D280" t="s">
        <v>251</v>
      </c>
      <c r="E280" s="16"/>
      <c r="F280" t="str">
        <f>RIGHT(Data[[#This Row],[Date]], LEN(Data[[#This Row],[Date]]) - SEARCH("-", Data[[#This Row],[Date]]))</f>
        <v>11</v>
      </c>
      <c r="G280" t="str">
        <f>LEFT(Data[[#This Row],[Date]], SEARCH("-", Data[[#This Row],[Date]]) - 1)</f>
        <v>10</v>
      </c>
      <c r="H280" s="10">
        <f>DATE($C$2,Data[[#This Row],[Month]],Data[[#This Row],[Day ]])</f>
        <v>45210</v>
      </c>
      <c r="J280" s="12">
        <f>IF(ISBLANK(Data[[#This Row],[Errors rectified]]),Data[[#This Row],[Date1]],Data[[#This Row],[Errors rectified]])</f>
        <v>45210</v>
      </c>
    </row>
    <row r="281" spans="2:10" x14ac:dyDescent="0.5">
      <c r="B281" t="s">
        <v>237</v>
      </c>
      <c r="C281" t="s">
        <v>411</v>
      </c>
      <c r="D281" t="s">
        <v>33</v>
      </c>
      <c r="E281" s="16"/>
      <c r="F281" t="str">
        <f>RIGHT(Data[[#This Row],[Date]], LEN(Data[[#This Row],[Date]]) - SEARCH("-", Data[[#This Row],[Date]]))</f>
        <v>12</v>
      </c>
      <c r="G281" t="str">
        <f>LEFT(Data[[#This Row],[Date]], SEARCH("-", Data[[#This Row],[Date]]) - 1)</f>
        <v>10</v>
      </c>
      <c r="H281" s="10">
        <f>DATE($C$2,Data[[#This Row],[Month]],Data[[#This Row],[Day ]])</f>
        <v>45211</v>
      </c>
      <c r="J281" s="12">
        <f>IF(ISBLANK(Data[[#This Row],[Errors rectified]]),Data[[#This Row],[Date1]],Data[[#This Row],[Errors rectified]])</f>
        <v>45211</v>
      </c>
    </row>
    <row r="282" spans="2:10" x14ac:dyDescent="0.5">
      <c r="B282" t="s">
        <v>237</v>
      </c>
      <c r="C282" t="s">
        <v>412</v>
      </c>
      <c r="D282" t="s">
        <v>252</v>
      </c>
      <c r="E282" s="16"/>
      <c r="F282" t="str">
        <f>RIGHT(Data[[#This Row],[Date]], LEN(Data[[#This Row],[Date]]) - SEARCH("-", Data[[#This Row],[Date]]))</f>
        <v>12</v>
      </c>
      <c r="G282" t="str">
        <f>LEFT(Data[[#This Row],[Date]], SEARCH("-", Data[[#This Row],[Date]]) - 1)</f>
        <v>10</v>
      </c>
      <c r="H282" s="10">
        <f>DATE($C$2,Data[[#This Row],[Month]],Data[[#This Row],[Day ]])</f>
        <v>45211</v>
      </c>
      <c r="J282" s="12">
        <f>IF(ISBLANK(Data[[#This Row],[Errors rectified]]),Data[[#This Row],[Date1]],Data[[#This Row],[Errors rectified]])</f>
        <v>45211</v>
      </c>
    </row>
    <row r="283" spans="2:10" x14ac:dyDescent="0.5">
      <c r="B283" t="s">
        <v>253</v>
      </c>
      <c r="C283" t="s">
        <v>413</v>
      </c>
      <c r="D283" t="s">
        <v>254</v>
      </c>
      <c r="E283" s="16"/>
      <c r="F283" t="str">
        <f>RIGHT(Data[[#This Row],[Date]], LEN(Data[[#This Row],[Date]]) - SEARCH("-", Data[[#This Row],[Date]]))</f>
        <v>25</v>
      </c>
      <c r="G283" t="str">
        <f>LEFT(Data[[#This Row],[Date]], SEARCH("-", Data[[#This Row],[Date]]) - 1)</f>
        <v>10</v>
      </c>
      <c r="H283" s="10">
        <f>DATE($C$2,Data[[#This Row],[Month]],Data[[#This Row],[Day ]])</f>
        <v>45224</v>
      </c>
      <c r="J283" s="12">
        <f>IF(ISBLANK(Data[[#This Row],[Errors rectified]]),Data[[#This Row],[Date1]],Data[[#This Row],[Errors rectified]])</f>
        <v>45224</v>
      </c>
    </row>
    <row r="284" spans="2:10" x14ac:dyDescent="0.5">
      <c r="B284" t="s">
        <v>255</v>
      </c>
      <c r="C284" t="s">
        <v>338</v>
      </c>
      <c r="D284" t="s">
        <v>160</v>
      </c>
      <c r="E284" s="16"/>
      <c r="F284" t="str">
        <f>RIGHT(Data[[#This Row],[Date]], LEN(Data[[#This Row],[Date]]) - SEARCH("-", Data[[#This Row],[Date]]))</f>
        <v>26</v>
      </c>
      <c r="G284" t="str">
        <f>LEFT(Data[[#This Row],[Date]], SEARCH("-", Data[[#This Row],[Date]]) - 1)</f>
        <v>10</v>
      </c>
      <c r="H284" s="10">
        <f>DATE($C$2,Data[[#This Row],[Month]],Data[[#This Row],[Day ]])</f>
        <v>45225</v>
      </c>
      <c r="J284" s="12">
        <f>IF(ISBLANK(Data[[#This Row],[Errors rectified]]),Data[[#This Row],[Date1]],Data[[#This Row],[Errors rectified]])</f>
        <v>45225</v>
      </c>
    </row>
    <row r="285" spans="2:10" x14ac:dyDescent="0.5">
      <c r="B285" t="s">
        <v>256</v>
      </c>
      <c r="C285" t="s">
        <v>414</v>
      </c>
      <c r="D285" t="s">
        <v>257</v>
      </c>
      <c r="E285" s="16"/>
      <c r="F285" t="str">
        <f>RIGHT(Data[[#This Row],[Date]], LEN(Data[[#This Row],[Date]]) - SEARCH("-", Data[[#This Row],[Date]]))</f>
        <v>30</v>
      </c>
      <c r="G285" t="str">
        <f>LEFT(Data[[#This Row],[Date]], SEARCH("-", Data[[#This Row],[Date]]) - 1)</f>
        <v>10</v>
      </c>
      <c r="H285" s="10">
        <f>DATE($C$2,Data[[#This Row],[Month]],Data[[#This Row],[Day ]])</f>
        <v>45229</v>
      </c>
      <c r="J285" s="12">
        <f>IF(ISBLANK(Data[[#This Row],[Errors rectified]]),Data[[#This Row],[Date1]],Data[[#This Row],[Errors rectified]])</f>
        <v>45229</v>
      </c>
    </row>
    <row r="286" spans="2:10" x14ac:dyDescent="0.5">
      <c r="B286" t="s">
        <v>256</v>
      </c>
      <c r="C286" t="s">
        <v>364</v>
      </c>
      <c r="D286" t="s">
        <v>56</v>
      </c>
      <c r="E286" s="16"/>
      <c r="F286" t="str">
        <f>RIGHT(Data[[#This Row],[Date]], LEN(Data[[#This Row],[Date]]) - SEARCH("-", Data[[#This Row],[Date]]))</f>
        <v>30</v>
      </c>
      <c r="G286" t="str">
        <f>LEFT(Data[[#This Row],[Date]], SEARCH("-", Data[[#This Row],[Date]]) - 1)</f>
        <v>10</v>
      </c>
      <c r="H286" s="10">
        <f>DATE($C$2,Data[[#This Row],[Month]],Data[[#This Row],[Day ]])</f>
        <v>45229</v>
      </c>
      <c r="J286" s="12">
        <f>IF(ISBLANK(Data[[#This Row],[Errors rectified]]),Data[[#This Row],[Date1]],Data[[#This Row],[Errors rectified]])</f>
        <v>45229</v>
      </c>
    </row>
    <row r="287" spans="2:10" x14ac:dyDescent="0.5">
      <c r="B287" t="s">
        <v>258</v>
      </c>
      <c r="C287" t="s">
        <v>415</v>
      </c>
      <c r="D287" t="s">
        <v>259</v>
      </c>
      <c r="E287" s="16"/>
      <c r="F287" t="str">
        <f>RIGHT(Data[[#This Row],[Date]], LEN(Data[[#This Row],[Date]]) - SEARCH("-", Data[[#This Row],[Date]]))</f>
        <v>31</v>
      </c>
      <c r="G287" t="str">
        <f>LEFT(Data[[#This Row],[Date]], SEARCH("-", Data[[#This Row],[Date]]) - 1)</f>
        <v>10</v>
      </c>
      <c r="H287" s="10">
        <f>DATE($C$2,Data[[#This Row],[Month]],Data[[#This Row],[Day ]])</f>
        <v>45230</v>
      </c>
      <c r="J287" s="12">
        <f>IF(ISBLANK(Data[[#This Row],[Errors rectified]]),Data[[#This Row],[Date1]],Data[[#This Row],[Errors rectified]])</f>
        <v>45230</v>
      </c>
    </row>
    <row r="288" spans="2:10" x14ac:dyDescent="0.5">
      <c r="B288" t="s">
        <v>1</v>
      </c>
      <c r="C288" t="s">
        <v>36</v>
      </c>
      <c r="D288" t="s">
        <v>260</v>
      </c>
      <c r="E288" s="16"/>
    </row>
    <row r="289" spans="2:10" x14ac:dyDescent="0.5">
      <c r="B289" t="s">
        <v>15</v>
      </c>
      <c r="E289" s="16"/>
    </row>
    <row r="290" spans="2:10" x14ac:dyDescent="0.5">
      <c r="B290" t="s">
        <v>15</v>
      </c>
      <c r="E290" s="16"/>
    </row>
    <row r="291" spans="2:10" x14ac:dyDescent="0.5">
      <c r="B291" t="s">
        <v>241</v>
      </c>
      <c r="C291" t="s">
        <v>416</v>
      </c>
      <c r="D291" t="s">
        <v>261</v>
      </c>
      <c r="E291" s="16"/>
    </row>
    <row r="292" spans="2:10" x14ac:dyDescent="0.5">
      <c r="B292" t="s">
        <v>262</v>
      </c>
      <c r="C292" t="s">
        <v>417</v>
      </c>
      <c r="D292" t="s">
        <v>104</v>
      </c>
      <c r="E292" s="16"/>
    </row>
    <row r="293" spans="2:10" x14ac:dyDescent="0.5">
      <c r="B293" t="s">
        <v>44</v>
      </c>
      <c r="C293" t="s">
        <v>418</v>
      </c>
      <c r="D293" t="s">
        <v>264</v>
      </c>
      <c r="E293" s="16"/>
    </row>
    <row r="294" spans="2:10" x14ac:dyDescent="0.5">
      <c r="B294" t="s">
        <v>265</v>
      </c>
      <c r="C294" t="s">
        <v>419</v>
      </c>
      <c r="D294" t="s">
        <v>267</v>
      </c>
      <c r="E294" s="16"/>
    </row>
    <row r="295" spans="2:10" x14ac:dyDescent="0.5">
      <c r="B295" t="s">
        <v>268</v>
      </c>
      <c r="C295" t="s">
        <v>269</v>
      </c>
      <c r="D295" t="s">
        <v>270</v>
      </c>
      <c r="E295" s="16"/>
    </row>
    <row r="296" spans="2:10" x14ac:dyDescent="0.5">
      <c r="B296" t="s">
        <v>271</v>
      </c>
      <c r="C296" t="s">
        <v>420</v>
      </c>
      <c r="D296" t="s">
        <v>272</v>
      </c>
      <c r="E296" s="16"/>
    </row>
    <row r="297" spans="2:10" x14ac:dyDescent="0.5">
      <c r="B297" t="s">
        <v>273</v>
      </c>
      <c r="C297" t="s">
        <v>421</v>
      </c>
      <c r="D297" t="s">
        <v>272</v>
      </c>
      <c r="E297" s="16"/>
    </row>
    <row r="298" spans="2:10" x14ac:dyDescent="0.5">
      <c r="B298" t="s">
        <v>231</v>
      </c>
      <c r="C298" t="s">
        <v>422</v>
      </c>
      <c r="D298" t="s">
        <v>274</v>
      </c>
      <c r="E298" s="16"/>
    </row>
    <row r="299" spans="2:10" x14ac:dyDescent="0.5">
      <c r="B299" t="s">
        <v>85</v>
      </c>
      <c r="C299" t="s">
        <v>275</v>
      </c>
      <c r="D299" t="s">
        <v>276</v>
      </c>
      <c r="E299" s="16"/>
    </row>
    <row r="300" spans="2:10" x14ac:dyDescent="0.5">
      <c r="B300" t="s">
        <v>85</v>
      </c>
      <c r="C300" t="s">
        <v>277</v>
      </c>
      <c r="D300" t="s">
        <v>278</v>
      </c>
      <c r="E300" s="16"/>
    </row>
    <row r="301" spans="2:10" x14ac:dyDescent="0.5">
      <c r="B301" t="s">
        <v>279</v>
      </c>
      <c r="C301" t="s">
        <v>39</v>
      </c>
      <c r="E301" s="16"/>
    </row>
    <row r="302" spans="2:10" x14ac:dyDescent="0.5">
      <c r="B302" t="s">
        <v>263</v>
      </c>
      <c r="C302" t="s">
        <v>423</v>
      </c>
      <c r="D302" t="s">
        <v>51</v>
      </c>
      <c r="E302" s="16"/>
    </row>
    <row r="303" spans="2:10" x14ac:dyDescent="0.5">
      <c r="B303" t="s">
        <v>237</v>
      </c>
      <c r="C303" t="s">
        <v>424</v>
      </c>
      <c r="D303" t="s">
        <v>280</v>
      </c>
      <c r="E303" s="16"/>
      <c r="F303" t="str">
        <f>RIGHT(Data[[#This Row],[Date]], LEN(Data[[#This Row],[Date]]) - SEARCH("-", Data[[#This Row],[Date]]))</f>
        <v>12</v>
      </c>
      <c r="G303" t="str">
        <f>LEFT(Data[[#This Row],[Date]], SEARCH("-", Data[[#This Row],[Date]]) - 1)</f>
        <v>10</v>
      </c>
      <c r="H303" s="10">
        <f>DATE($C$2,Data[[#This Row],[Month]],Data[[#This Row],[Day ]])</f>
        <v>45211</v>
      </c>
      <c r="J303" s="12">
        <f>IF(ISBLANK(Data[[#This Row],[Errors rectified]]),Data[[#This Row],[Date1]],Data[[#This Row],[Errors rectified]])</f>
        <v>45211</v>
      </c>
    </row>
    <row r="304" spans="2:10" x14ac:dyDescent="0.5">
      <c r="B304" t="s">
        <v>1</v>
      </c>
      <c r="C304" t="s">
        <v>280</v>
      </c>
      <c r="E304" s="16"/>
    </row>
    <row r="305" spans="2:10" x14ac:dyDescent="0.5">
      <c r="B305" t="s">
        <v>266</v>
      </c>
      <c r="C305" t="s">
        <v>39</v>
      </c>
      <c r="E305" s="16"/>
    </row>
    <row r="306" spans="2:10" x14ac:dyDescent="0.5">
      <c r="B306" t="s">
        <v>263</v>
      </c>
      <c r="C306" t="s">
        <v>425</v>
      </c>
      <c r="D306" t="s">
        <v>51</v>
      </c>
      <c r="E306" s="16"/>
    </row>
    <row r="307" spans="2:10" x14ac:dyDescent="0.5">
      <c r="B307" t="s">
        <v>240</v>
      </c>
      <c r="C307" t="s">
        <v>426</v>
      </c>
      <c r="D307" t="s">
        <v>242</v>
      </c>
      <c r="E307" s="16"/>
      <c r="F307" t="str">
        <f>RIGHT(Data[[#This Row],[Date]], LEN(Data[[#This Row],[Date]]) - SEARCH("-", Data[[#This Row],[Date]]))</f>
        <v>11</v>
      </c>
      <c r="G307" t="str">
        <f>LEFT(Data[[#This Row],[Date]], SEARCH("-", Data[[#This Row],[Date]]) - 1)</f>
        <v>10</v>
      </c>
      <c r="H307" s="10">
        <f>DATE($C$2,Data[[#This Row],[Month]],Data[[#This Row],[Day ]])</f>
        <v>45210</v>
      </c>
      <c r="J307" s="12">
        <f>IF(ISBLANK(Data[[#This Row],[Errors rectified]]),Data[[#This Row],[Date1]],Data[[#This Row],[Errors rectified]])</f>
        <v>45210</v>
      </c>
    </row>
    <row r="308" spans="2:10" x14ac:dyDescent="0.5">
      <c r="B308" t="s">
        <v>237</v>
      </c>
      <c r="C308" t="s">
        <v>404</v>
      </c>
      <c r="D308" t="s">
        <v>243</v>
      </c>
      <c r="E308" s="16"/>
      <c r="F308" t="str">
        <f>RIGHT(Data[[#This Row],[Date]], LEN(Data[[#This Row],[Date]]) - SEARCH("-", Data[[#This Row],[Date]]))</f>
        <v>12</v>
      </c>
      <c r="G308" t="str">
        <f>LEFT(Data[[#This Row],[Date]], SEARCH("-", Data[[#This Row],[Date]]) - 1)</f>
        <v>10</v>
      </c>
      <c r="H308" s="10">
        <f>DATE($C$2,Data[[#This Row],[Month]],Data[[#This Row],[Day ]])</f>
        <v>45211</v>
      </c>
      <c r="J308" s="12">
        <f>IF(ISBLANK(Data[[#This Row],[Errors rectified]]),Data[[#This Row],[Date1]],Data[[#This Row],[Errors rectified]])</f>
        <v>45211</v>
      </c>
    </row>
    <row r="309" spans="2:10" x14ac:dyDescent="0.5">
      <c r="B309" t="s">
        <v>1</v>
      </c>
      <c r="C309" t="s">
        <v>280</v>
      </c>
      <c r="E309" s="16"/>
    </row>
    <row r="310" spans="2:10" x14ac:dyDescent="0.5">
      <c r="B310" t="s">
        <v>268</v>
      </c>
      <c r="E310" s="16"/>
    </row>
    <row r="311" spans="2:10" x14ac:dyDescent="0.5">
      <c r="B311" t="s">
        <v>41</v>
      </c>
      <c r="C311" t="s">
        <v>427</v>
      </c>
      <c r="D311" t="s">
        <v>428</v>
      </c>
      <c r="E311" s="16"/>
    </row>
    <row r="312" spans="2:10" x14ac:dyDescent="0.5">
      <c r="B312" t="s">
        <v>281</v>
      </c>
      <c r="C312" t="s">
        <v>429</v>
      </c>
      <c r="D312" t="s">
        <v>282</v>
      </c>
      <c r="E312" s="16"/>
    </row>
    <row r="313" spans="2:10" x14ac:dyDescent="0.5">
      <c r="B313" t="s">
        <v>283</v>
      </c>
      <c r="C313" t="s">
        <v>430</v>
      </c>
      <c r="D313" t="s">
        <v>272</v>
      </c>
      <c r="E313" s="16"/>
    </row>
    <row r="314" spans="2:10" x14ac:dyDescent="0.5">
      <c r="B314" t="s">
        <v>15</v>
      </c>
      <c r="E314" s="16"/>
    </row>
    <row r="315" spans="2:10" x14ac:dyDescent="0.5">
      <c r="B315" t="s">
        <v>15</v>
      </c>
      <c r="E315" s="16"/>
    </row>
    <row r="316" spans="2:10" x14ac:dyDescent="0.5">
      <c r="B316" t="s">
        <v>49</v>
      </c>
      <c r="E316" s="16"/>
    </row>
    <row r="317" spans="2:10" x14ac:dyDescent="0.5">
      <c r="B317" t="s">
        <v>50</v>
      </c>
      <c r="C317" t="s">
        <v>330</v>
      </c>
      <c r="D317" t="s">
        <v>51</v>
      </c>
      <c r="E317" s="16"/>
    </row>
    <row r="318" spans="2:10" x14ac:dyDescent="0.5">
      <c r="B318" t="s">
        <v>284</v>
      </c>
      <c r="C318" t="s">
        <v>345</v>
      </c>
      <c r="D318" t="s">
        <v>285</v>
      </c>
      <c r="E318" s="16"/>
      <c r="F318" t="str">
        <f>RIGHT(Data[[#This Row],[Date]], LEN(Data[[#This Row],[Date]]) - SEARCH("-", Data[[#This Row],[Date]]))</f>
        <v>6</v>
      </c>
      <c r="G318" t="str">
        <f>LEFT(Data[[#This Row],[Date]], SEARCH("-", Data[[#This Row],[Date]]) - 1)</f>
        <v>11</v>
      </c>
      <c r="H318" s="10">
        <f>DATE($C$2,Data[[#This Row],[Month]],Data[[#This Row],[Day ]])</f>
        <v>45236</v>
      </c>
      <c r="J318" s="12">
        <f>IF(ISBLANK(Data[[#This Row],[Errors rectified]]),Data[[#This Row],[Date1]],Data[[#This Row],[Errors rectified]])</f>
        <v>45236</v>
      </c>
    </row>
    <row r="319" spans="2:10" x14ac:dyDescent="0.5">
      <c r="B319" t="s">
        <v>286</v>
      </c>
      <c r="C319" t="s">
        <v>345</v>
      </c>
      <c r="D319" t="s">
        <v>287</v>
      </c>
      <c r="E319" s="16"/>
      <c r="F319" t="str">
        <f>RIGHT(Data[[#This Row],[Date]], LEN(Data[[#This Row],[Date]]) - SEARCH("-", Data[[#This Row],[Date]]))</f>
        <v>21</v>
      </c>
      <c r="G319" t="str">
        <f>LEFT(Data[[#This Row],[Date]], SEARCH("-", Data[[#This Row],[Date]]) - 1)</f>
        <v>11</v>
      </c>
      <c r="H319" s="10">
        <f>DATE($C$2,Data[[#This Row],[Month]],Data[[#This Row],[Day ]])</f>
        <v>45251</v>
      </c>
      <c r="J319" s="12">
        <f>IF(ISBLANK(Data[[#This Row],[Errors rectified]]),Data[[#This Row],[Date1]],Data[[#This Row],[Errors rectified]])</f>
        <v>45251</v>
      </c>
    </row>
    <row r="320" spans="2:10" x14ac:dyDescent="0.5">
      <c r="B320" t="s">
        <v>288</v>
      </c>
      <c r="C320" t="s">
        <v>345</v>
      </c>
      <c r="D320" t="s">
        <v>289</v>
      </c>
      <c r="E320" s="16"/>
      <c r="F320" t="str">
        <f>RIGHT(Data[[#This Row],[Date]], LEN(Data[[#This Row],[Date]]) - SEARCH("-", Data[[#This Row],[Date]]))</f>
        <v>28</v>
      </c>
      <c r="G320" t="str">
        <f>LEFT(Data[[#This Row],[Date]], SEARCH("-", Data[[#This Row],[Date]]) - 1)</f>
        <v>11</v>
      </c>
      <c r="H320" s="10">
        <f>DATE($C$2,Data[[#This Row],[Month]],Data[[#This Row],[Day ]])</f>
        <v>45258</v>
      </c>
      <c r="J320" s="12">
        <f>IF(ISBLANK(Data[[#This Row],[Errors rectified]]),Data[[#This Row],[Date1]],Data[[#This Row],[Errors rectified]])</f>
        <v>45258</v>
      </c>
    </row>
    <row r="321" spans="2:10" x14ac:dyDescent="0.5">
      <c r="B321" t="s">
        <v>1</v>
      </c>
      <c r="C321" t="s">
        <v>64</v>
      </c>
      <c r="D321" t="s">
        <v>290</v>
      </c>
      <c r="E321" s="16"/>
    </row>
    <row r="322" spans="2:10" x14ac:dyDescent="0.5">
      <c r="B322" t="s">
        <v>17</v>
      </c>
      <c r="E322" s="16"/>
    </row>
    <row r="323" spans="2:10" x14ac:dyDescent="0.5">
      <c r="B323" t="s">
        <v>43</v>
      </c>
      <c r="C323" t="s">
        <v>346</v>
      </c>
      <c r="D323" t="s">
        <v>66</v>
      </c>
      <c r="E323" s="16"/>
    </row>
    <row r="324" spans="2:10" x14ac:dyDescent="0.5">
      <c r="B324" t="s">
        <v>12</v>
      </c>
      <c r="C324" t="s">
        <v>347</v>
      </c>
      <c r="D324" t="s">
        <v>67</v>
      </c>
      <c r="E324" s="16"/>
    </row>
    <row r="325" spans="2:10" x14ac:dyDescent="0.5">
      <c r="B325" t="s">
        <v>15</v>
      </c>
      <c r="C325" t="s">
        <v>431</v>
      </c>
      <c r="D325" t="s">
        <v>213</v>
      </c>
      <c r="E325" s="16"/>
    </row>
    <row r="326" spans="2:10" x14ac:dyDescent="0.5">
      <c r="B326" t="s">
        <v>291</v>
      </c>
      <c r="C326" t="s">
        <v>432</v>
      </c>
      <c r="D326" t="s">
        <v>293</v>
      </c>
      <c r="E326" s="16"/>
    </row>
    <row r="327" spans="2:10" x14ac:dyDescent="0.5">
      <c r="B327" t="s">
        <v>15</v>
      </c>
      <c r="C327" t="s">
        <v>433</v>
      </c>
      <c r="D327" t="s">
        <v>434</v>
      </c>
      <c r="E327" s="16"/>
    </row>
    <row r="328" spans="2:10" x14ac:dyDescent="0.5">
      <c r="B328" t="s">
        <v>43</v>
      </c>
      <c r="C328" t="s">
        <v>350</v>
      </c>
      <c r="D328" t="s">
        <v>295</v>
      </c>
      <c r="E328" s="16"/>
    </row>
    <row r="329" spans="2:10" x14ac:dyDescent="0.5">
      <c r="B329" t="s">
        <v>18</v>
      </c>
      <c r="C329" t="s">
        <v>330</v>
      </c>
      <c r="D329" t="s">
        <v>19</v>
      </c>
      <c r="E329" s="16"/>
    </row>
    <row r="330" spans="2:10" x14ac:dyDescent="0.5">
      <c r="B330" t="s">
        <v>296</v>
      </c>
      <c r="C330" t="s">
        <v>364</v>
      </c>
      <c r="D330" t="s">
        <v>79</v>
      </c>
      <c r="E330" s="16"/>
      <c r="F330" t="str">
        <f>RIGHT(Data[[#This Row],[Date]], LEN(Data[[#This Row],[Date]]) - SEARCH("-", Data[[#This Row],[Date]]))</f>
        <v>2</v>
      </c>
      <c r="G330" t="str">
        <f>LEFT(Data[[#This Row],[Date]], SEARCH("-", Data[[#This Row],[Date]]) - 1)</f>
        <v>11</v>
      </c>
      <c r="H330" s="10">
        <f>DATE($C$2,Data[[#This Row],[Month]],Data[[#This Row],[Day ]])</f>
        <v>45232</v>
      </c>
      <c r="J330" s="12">
        <f>IF(ISBLANK(Data[[#This Row],[Errors rectified]]),Data[[#This Row],[Date1]],Data[[#This Row],[Errors rectified]])</f>
        <v>45232</v>
      </c>
    </row>
    <row r="331" spans="2:10" x14ac:dyDescent="0.5">
      <c r="B331" t="s">
        <v>284</v>
      </c>
      <c r="C331" t="s">
        <v>332</v>
      </c>
      <c r="D331" t="s">
        <v>113</v>
      </c>
      <c r="E331" s="16"/>
      <c r="F331" t="str">
        <f>RIGHT(Data[[#This Row],[Date]], LEN(Data[[#This Row],[Date]]) - SEARCH("-", Data[[#This Row],[Date]]))</f>
        <v>6</v>
      </c>
      <c r="G331" t="str">
        <f>LEFT(Data[[#This Row],[Date]], SEARCH("-", Data[[#This Row],[Date]]) - 1)</f>
        <v>11</v>
      </c>
      <c r="H331" s="10">
        <f>DATE($C$2,Data[[#This Row],[Month]],Data[[#This Row],[Day ]])</f>
        <v>45236</v>
      </c>
      <c r="J331" s="12">
        <f>IF(ISBLANK(Data[[#This Row],[Errors rectified]]),Data[[#This Row],[Date1]],Data[[#This Row],[Errors rectified]])</f>
        <v>45236</v>
      </c>
    </row>
    <row r="332" spans="2:10" x14ac:dyDescent="0.5">
      <c r="B332" t="s">
        <v>284</v>
      </c>
      <c r="C332" t="s">
        <v>435</v>
      </c>
      <c r="D332" t="s">
        <v>54</v>
      </c>
      <c r="E332" s="16"/>
      <c r="F332" t="str">
        <f>RIGHT(Data[[#This Row],[Date]], LEN(Data[[#This Row],[Date]]) - SEARCH("-", Data[[#This Row],[Date]]))</f>
        <v>6</v>
      </c>
      <c r="G332" t="str">
        <f>LEFT(Data[[#This Row],[Date]], SEARCH("-", Data[[#This Row],[Date]]) - 1)</f>
        <v>11</v>
      </c>
      <c r="H332" s="10">
        <f>DATE($C$2,Data[[#This Row],[Month]],Data[[#This Row],[Day ]])</f>
        <v>45236</v>
      </c>
      <c r="J332" s="12">
        <f>IF(ISBLANK(Data[[#This Row],[Errors rectified]]),Data[[#This Row],[Date1]],Data[[#This Row],[Errors rectified]])</f>
        <v>45236</v>
      </c>
    </row>
    <row r="333" spans="2:10" x14ac:dyDescent="0.5">
      <c r="B333" t="s">
        <v>294</v>
      </c>
      <c r="C333" t="s">
        <v>335</v>
      </c>
      <c r="D333" t="s">
        <v>297</v>
      </c>
      <c r="E333" s="16"/>
      <c r="F333" t="str">
        <f>RIGHT(Data[[#This Row],[Date]], LEN(Data[[#This Row],[Date]]) - SEARCH("-", Data[[#This Row],[Date]]))</f>
        <v>7</v>
      </c>
      <c r="G333" t="str">
        <f>LEFT(Data[[#This Row],[Date]], SEARCH("-", Data[[#This Row],[Date]]) - 1)</f>
        <v>11</v>
      </c>
      <c r="H333" s="10">
        <f>DATE($C$2,Data[[#This Row],[Month]],Data[[#This Row],[Day ]])</f>
        <v>45237</v>
      </c>
      <c r="J333" s="12">
        <f>IF(ISBLANK(Data[[#This Row],[Errors rectified]]),Data[[#This Row],[Date1]],Data[[#This Row],[Errors rectified]])</f>
        <v>45237</v>
      </c>
    </row>
    <row r="334" spans="2:10" x14ac:dyDescent="0.5">
      <c r="B334" t="s">
        <v>292</v>
      </c>
      <c r="C334" t="s">
        <v>436</v>
      </c>
      <c r="D334" t="s">
        <v>33</v>
      </c>
      <c r="E334" s="16"/>
      <c r="F334" t="str">
        <f>RIGHT(Data[[#This Row],[Date]], LEN(Data[[#This Row],[Date]]) - SEARCH("-", Data[[#This Row],[Date]]))</f>
        <v>13</v>
      </c>
      <c r="G334" t="str">
        <f>LEFT(Data[[#This Row],[Date]], SEARCH("-", Data[[#This Row],[Date]]) - 1)</f>
        <v>11</v>
      </c>
      <c r="H334" s="10">
        <f>DATE($C$2,Data[[#This Row],[Month]],Data[[#This Row],[Day ]])</f>
        <v>45243</v>
      </c>
      <c r="J334" s="12">
        <f>IF(ISBLANK(Data[[#This Row],[Errors rectified]]),Data[[#This Row],[Date1]],Data[[#This Row],[Errors rectified]])</f>
        <v>45243</v>
      </c>
    </row>
    <row r="335" spans="2:10" x14ac:dyDescent="0.5">
      <c r="B335" t="s">
        <v>17</v>
      </c>
      <c r="E335" s="16"/>
    </row>
    <row r="336" spans="2:10" x14ac:dyDescent="0.5">
      <c r="B336" t="s">
        <v>98</v>
      </c>
      <c r="E336" s="16"/>
    </row>
    <row r="337" spans="2:10" x14ac:dyDescent="0.5">
      <c r="B337" t="s">
        <v>18</v>
      </c>
      <c r="C337" t="s">
        <v>330</v>
      </c>
      <c r="D337" t="s">
        <v>19</v>
      </c>
      <c r="E337" s="16"/>
    </row>
    <row r="338" spans="2:10" x14ac:dyDescent="0.5">
      <c r="B338" t="s">
        <v>298</v>
      </c>
      <c r="C338" t="s">
        <v>437</v>
      </c>
      <c r="D338" t="s">
        <v>299</v>
      </c>
      <c r="E338" s="16"/>
      <c r="F338" t="str">
        <f>RIGHT(Data[[#This Row],[Date]], LEN(Data[[#This Row],[Date]]) - SEARCH("-", Data[[#This Row],[Date]]))</f>
        <v>14</v>
      </c>
      <c r="G338" t="str">
        <f>LEFT(Data[[#This Row],[Date]], SEARCH("-", Data[[#This Row],[Date]]) - 1)</f>
        <v>11</v>
      </c>
      <c r="H338" s="10">
        <f>DATE($C$2,Data[[#This Row],[Month]],Data[[#This Row],[Day ]])</f>
        <v>45244</v>
      </c>
      <c r="J338" s="12">
        <f>IF(ISBLANK(Data[[#This Row],[Errors rectified]]),Data[[#This Row],[Date1]],Data[[#This Row],[Errors rectified]])</f>
        <v>45244</v>
      </c>
    </row>
    <row r="339" spans="2:10" x14ac:dyDescent="0.5">
      <c r="B339" t="s">
        <v>298</v>
      </c>
      <c r="C339" t="s">
        <v>438</v>
      </c>
      <c r="D339" t="s">
        <v>300</v>
      </c>
      <c r="E339" s="16"/>
      <c r="F339" t="str">
        <f>RIGHT(Data[[#This Row],[Date]], LEN(Data[[#This Row],[Date]]) - SEARCH("-", Data[[#This Row],[Date]]))</f>
        <v>14</v>
      </c>
      <c r="G339" t="str">
        <f>LEFT(Data[[#This Row],[Date]], SEARCH("-", Data[[#This Row],[Date]]) - 1)</f>
        <v>11</v>
      </c>
      <c r="H339" s="10">
        <f>DATE($C$2,Data[[#This Row],[Month]],Data[[#This Row],[Day ]])</f>
        <v>45244</v>
      </c>
      <c r="J339" s="12">
        <f>IF(ISBLANK(Data[[#This Row],[Errors rectified]]),Data[[#This Row],[Date1]],Data[[#This Row],[Errors rectified]])</f>
        <v>45244</v>
      </c>
    </row>
    <row r="340" spans="2:10" x14ac:dyDescent="0.5">
      <c r="B340" t="s">
        <v>298</v>
      </c>
      <c r="C340" t="s">
        <v>364</v>
      </c>
      <c r="D340" t="s">
        <v>56</v>
      </c>
      <c r="E340" s="16"/>
      <c r="F340" t="str">
        <f>RIGHT(Data[[#This Row],[Date]], LEN(Data[[#This Row],[Date]]) - SEARCH("-", Data[[#This Row],[Date]]))</f>
        <v>14</v>
      </c>
      <c r="G340" t="str">
        <f>LEFT(Data[[#This Row],[Date]], SEARCH("-", Data[[#This Row],[Date]]) - 1)</f>
        <v>11</v>
      </c>
      <c r="H340" s="10">
        <f>DATE($C$2,Data[[#This Row],[Month]],Data[[#This Row],[Day ]])</f>
        <v>45244</v>
      </c>
      <c r="J340" s="12">
        <f>IF(ISBLANK(Data[[#This Row],[Errors rectified]]),Data[[#This Row],[Date1]],Data[[#This Row],[Errors rectified]])</f>
        <v>45244</v>
      </c>
    </row>
    <row r="341" spans="2:10" x14ac:dyDescent="0.5">
      <c r="B341" t="s">
        <v>288</v>
      </c>
      <c r="C341" t="s">
        <v>338</v>
      </c>
      <c r="D341" t="s">
        <v>160</v>
      </c>
      <c r="E341" s="16"/>
      <c r="F341" t="str">
        <f>RIGHT(Data[[#This Row],[Date]], LEN(Data[[#This Row],[Date]]) - SEARCH("-", Data[[#This Row],[Date]]))</f>
        <v>28</v>
      </c>
      <c r="G341" t="str">
        <f>LEFT(Data[[#This Row],[Date]], SEARCH("-", Data[[#This Row],[Date]]) - 1)</f>
        <v>11</v>
      </c>
      <c r="H341" s="10">
        <f>DATE($C$2,Data[[#This Row],[Month]],Data[[#This Row],[Day ]])</f>
        <v>45258</v>
      </c>
      <c r="J341" s="12">
        <f>IF(ISBLANK(Data[[#This Row],[Errors rectified]]),Data[[#This Row],[Date1]],Data[[#This Row],[Errors rectified]])</f>
        <v>45258</v>
      </c>
    </row>
    <row r="342" spans="2:10" x14ac:dyDescent="0.5">
      <c r="B342" t="s">
        <v>288</v>
      </c>
      <c r="C342" t="s">
        <v>439</v>
      </c>
      <c r="D342" t="s">
        <v>301</v>
      </c>
      <c r="E342" s="16"/>
      <c r="F342" t="str">
        <f>RIGHT(Data[[#This Row],[Date]], LEN(Data[[#This Row],[Date]]) - SEARCH("-", Data[[#This Row],[Date]]))</f>
        <v>28</v>
      </c>
      <c r="G342" t="str">
        <f>LEFT(Data[[#This Row],[Date]], SEARCH("-", Data[[#This Row],[Date]]) - 1)</f>
        <v>11</v>
      </c>
      <c r="H342" s="10">
        <f>DATE($C$2,Data[[#This Row],[Month]],Data[[#This Row],[Day ]])</f>
        <v>45258</v>
      </c>
      <c r="J342" s="12">
        <f>IF(ISBLANK(Data[[#This Row],[Errors rectified]]),Data[[#This Row],[Date1]],Data[[#This Row],[Errors rectified]])</f>
        <v>45258</v>
      </c>
    </row>
    <row r="343" spans="2:10" x14ac:dyDescent="0.5">
      <c r="B343" t="s">
        <v>228</v>
      </c>
      <c r="C343" t="s">
        <v>330</v>
      </c>
      <c r="D343" t="s">
        <v>229</v>
      </c>
      <c r="E343" s="16"/>
    </row>
    <row r="344" spans="2:10" x14ac:dyDescent="0.5">
      <c r="B344" t="s">
        <v>302</v>
      </c>
      <c r="C344" t="s">
        <v>440</v>
      </c>
      <c r="D344" t="s">
        <v>272</v>
      </c>
      <c r="E344" s="16"/>
      <c r="F344" t="str">
        <f>RIGHT(Data[[#This Row],[Date]], LEN(Data[[#This Row],[Date]]) - SEARCH("-", Data[[#This Row],[Date]]))</f>
        <v>27</v>
      </c>
      <c r="G344" t="str">
        <f>LEFT(Data[[#This Row],[Date]], SEARCH("-", Data[[#This Row],[Date]]) - 1)</f>
        <v>11</v>
      </c>
      <c r="H344" s="10">
        <f>DATE($C$2,Data[[#This Row],[Month]],Data[[#This Row],[Day ]])</f>
        <v>45257</v>
      </c>
      <c r="J344" s="12">
        <f>IF(ISBLANK(Data[[#This Row],[Errors rectified]]),Data[[#This Row],[Date1]],Data[[#This Row],[Errors rectified]])</f>
        <v>45257</v>
      </c>
    </row>
    <row r="345" spans="2:10" x14ac:dyDescent="0.5">
      <c r="B345" t="s">
        <v>1</v>
      </c>
      <c r="C345" t="s">
        <v>36</v>
      </c>
      <c r="D345" t="s">
        <v>303</v>
      </c>
      <c r="E345" s="16"/>
    </row>
    <row r="346" spans="2:10" x14ac:dyDescent="0.5">
      <c r="B346" t="s">
        <v>15</v>
      </c>
      <c r="E346" s="16"/>
    </row>
    <row r="347" spans="2:10" x14ac:dyDescent="0.5">
      <c r="B347" t="s">
        <v>15</v>
      </c>
      <c r="E347" s="16"/>
    </row>
    <row r="348" spans="2:10" x14ac:dyDescent="0.5">
      <c r="B348" t="s">
        <v>49</v>
      </c>
      <c r="E348" s="16"/>
    </row>
    <row r="349" spans="2:10" x14ac:dyDescent="0.5">
      <c r="B349" t="s">
        <v>50</v>
      </c>
      <c r="C349" t="s">
        <v>330</v>
      </c>
      <c r="D349" t="s">
        <v>51</v>
      </c>
      <c r="E349" s="16"/>
    </row>
    <row r="350" spans="2:10" x14ac:dyDescent="0.5">
      <c r="B350" t="s">
        <v>304</v>
      </c>
      <c r="C350" t="s">
        <v>345</v>
      </c>
      <c r="D350" t="s">
        <v>305</v>
      </c>
      <c r="E350" s="16"/>
      <c r="F350" t="str">
        <f>RIGHT(Data[[#This Row],[Date]], LEN(Data[[#This Row],[Date]]) - SEARCH("-", Data[[#This Row],[Date]]))</f>
        <v>6</v>
      </c>
      <c r="G350" t="str">
        <f>LEFT(Data[[#This Row],[Date]], SEARCH("-", Data[[#This Row],[Date]]) - 1)</f>
        <v>12</v>
      </c>
      <c r="H350" s="10">
        <f>DATE($C$2,Data[[#This Row],[Month]],Data[[#This Row],[Day ]])</f>
        <v>45266</v>
      </c>
      <c r="J350" s="12">
        <f>IF(ISBLANK(Data[[#This Row],[Errors rectified]]),Data[[#This Row],[Date1]],Data[[#This Row],[Errors rectified]])</f>
        <v>45266</v>
      </c>
    </row>
    <row r="351" spans="2:10" x14ac:dyDescent="0.5">
      <c r="B351" t="s">
        <v>306</v>
      </c>
      <c r="C351" t="s">
        <v>345</v>
      </c>
      <c r="D351" t="s">
        <v>307</v>
      </c>
      <c r="E351" s="16"/>
      <c r="F351" t="str">
        <f>RIGHT(Data[[#This Row],[Date]], LEN(Data[[#This Row],[Date]]) - SEARCH("-", Data[[#This Row],[Date]]))</f>
        <v>18</v>
      </c>
      <c r="G351" t="str">
        <f>LEFT(Data[[#This Row],[Date]], SEARCH("-", Data[[#This Row],[Date]]) - 1)</f>
        <v>12</v>
      </c>
      <c r="H351" s="10">
        <f>DATE($C$2,Data[[#This Row],[Month]],Data[[#This Row],[Day ]])</f>
        <v>45278</v>
      </c>
      <c r="J351" s="12">
        <f>IF(ISBLANK(Data[[#This Row],[Errors rectified]]),Data[[#This Row],[Date1]],Data[[#This Row],[Errors rectified]])</f>
        <v>45278</v>
      </c>
    </row>
    <row r="352" spans="2:10" x14ac:dyDescent="0.5">
      <c r="B352" t="s">
        <v>308</v>
      </c>
      <c r="C352" t="s">
        <v>345</v>
      </c>
      <c r="D352" t="s">
        <v>309</v>
      </c>
      <c r="E352" s="16"/>
      <c r="F352" t="str">
        <f>RIGHT(Data[[#This Row],[Date]], LEN(Data[[#This Row],[Date]]) - SEARCH("-", Data[[#This Row],[Date]]))</f>
        <v>22</v>
      </c>
      <c r="G352" t="str">
        <f>LEFT(Data[[#This Row],[Date]], SEARCH("-", Data[[#This Row],[Date]]) - 1)</f>
        <v>12</v>
      </c>
      <c r="H352" s="10">
        <f>DATE($C$2,Data[[#This Row],[Month]],Data[[#This Row],[Day ]])</f>
        <v>45282</v>
      </c>
      <c r="J352" s="12">
        <f>IF(ISBLANK(Data[[#This Row],[Errors rectified]]),Data[[#This Row],[Date1]],Data[[#This Row],[Errors rectified]])</f>
        <v>45282</v>
      </c>
    </row>
    <row r="353" spans="2:10" x14ac:dyDescent="0.5">
      <c r="B353" t="s">
        <v>310</v>
      </c>
      <c r="C353" t="s">
        <v>345</v>
      </c>
      <c r="D353" t="s">
        <v>311</v>
      </c>
      <c r="E353" s="16"/>
      <c r="F353" t="str">
        <f>RIGHT(Data[[#This Row],[Date]], LEN(Data[[#This Row],[Date]]) - SEARCH("-", Data[[#This Row],[Date]]))</f>
        <v>29</v>
      </c>
      <c r="G353" t="str">
        <f>LEFT(Data[[#This Row],[Date]], SEARCH("-", Data[[#This Row],[Date]]) - 1)</f>
        <v>12</v>
      </c>
      <c r="H353" s="10">
        <f>DATE($C$2,Data[[#This Row],[Month]],Data[[#This Row],[Day ]])</f>
        <v>45289</v>
      </c>
      <c r="J353" s="12">
        <f>IF(ISBLANK(Data[[#This Row],[Errors rectified]]),Data[[#This Row],[Date1]],Data[[#This Row],[Errors rectified]])</f>
        <v>45289</v>
      </c>
    </row>
    <row r="354" spans="2:10" x14ac:dyDescent="0.5">
      <c r="B354" t="s">
        <v>1</v>
      </c>
      <c r="C354" t="s">
        <v>64</v>
      </c>
      <c r="D354" t="s">
        <v>312</v>
      </c>
      <c r="E354" s="16"/>
    </row>
    <row r="355" spans="2:10" x14ac:dyDescent="0.5">
      <c r="B355" t="s">
        <v>17</v>
      </c>
      <c r="E355" s="16"/>
    </row>
    <row r="356" spans="2:10" x14ac:dyDescent="0.5">
      <c r="B356" t="s">
        <v>43</v>
      </c>
      <c r="C356" t="s">
        <v>346</v>
      </c>
      <c r="D356" t="s">
        <v>66</v>
      </c>
      <c r="E356" s="16"/>
    </row>
    <row r="357" spans="2:10" x14ac:dyDescent="0.5">
      <c r="B357" t="s">
        <v>12</v>
      </c>
      <c r="C357" t="s">
        <v>347</v>
      </c>
      <c r="D357" t="s">
        <v>67</v>
      </c>
      <c r="E357" s="16"/>
    </row>
    <row r="358" spans="2:10" x14ac:dyDescent="0.5">
      <c r="B358" t="s">
        <v>313</v>
      </c>
      <c r="C358" t="s">
        <v>441</v>
      </c>
      <c r="D358" t="s">
        <v>213</v>
      </c>
      <c r="E358" s="16"/>
      <c r="F358" t="str">
        <f>RIGHT(Data[[#This Row],[Date]], LEN(Data[[#This Row],[Date]]) - SEARCH("-", Data[[#This Row],[Date]]))</f>
        <v>26</v>
      </c>
      <c r="G358" t="str">
        <f>LEFT(Data[[#This Row],[Date]], SEARCH("-", Data[[#This Row],[Date]]) - 1)</f>
        <v>12</v>
      </c>
      <c r="H358" s="10">
        <f>DATE($C$2,Data[[#This Row],[Month]],Data[[#This Row],[Day ]])</f>
        <v>45286</v>
      </c>
      <c r="J358" s="12">
        <f>IF(ISBLANK(Data[[#This Row],[Errors rectified]]),Data[[#This Row],[Date1]],Data[[#This Row],[Errors rectified]])</f>
        <v>45286</v>
      </c>
    </row>
    <row r="359" spans="2:10" x14ac:dyDescent="0.5">
      <c r="B359" t="s">
        <v>315</v>
      </c>
      <c r="C359" t="s">
        <v>316</v>
      </c>
      <c r="D359" t="s">
        <v>317</v>
      </c>
      <c r="E359" s="16"/>
    </row>
    <row r="360" spans="2:10" x14ac:dyDescent="0.5">
      <c r="B360" t="s">
        <v>43</v>
      </c>
      <c r="C360" t="s">
        <v>350</v>
      </c>
      <c r="D360" t="s">
        <v>318</v>
      </c>
      <c r="E360" s="16"/>
    </row>
    <row r="361" spans="2:10" x14ac:dyDescent="0.5">
      <c r="B361" t="s">
        <v>18</v>
      </c>
      <c r="C361" t="s">
        <v>330</v>
      </c>
      <c r="D361" t="s">
        <v>19</v>
      </c>
      <c r="E361" s="16"/>
    </row>
    <row r="362" spans="2:10" x14ac:dyDescent="0.5">
      <c r="B362" t="s">
        <v>314</v>
      </c>
      <c r="C362" t="s">
        <v>332</v>
      </c>
      <c r="D362" t="s">
        <v>124</v>
      </c>
      <c r="E362" s="16"/>
      <c r="F362" t="str">
        <f>RIGHT(Data[[#This Row],[Date]], LEN(Data[[#This Row],[Date]]) - SEARCH("-", Data[[#This Row],[Date]]))</f>
        <v>5</v>
      </c>
      <c r="G362" t="str">
        <f>LEFT(Data[[#This Row],[Date]], SEARCH("-", Data[[#This Row],[Date]]) - 1)</f>
        <v>12</v>
      </c>
      <c r="H362" s="10">
        <f>DATE($C$2,Data[[#This Row],[Month]],Data[[#This Row],[Day ]])</f>
        <v>45265</v>
      </c>
      <c r="J362" s="12">
        <f>IF(ISBLANK(Data[[#This Row],[Errors rectified]]),Data[[#This Row],[Date1]],Data[[#This Row],[Errors rectified]])</f>
        <v>45265</v>
      </c>
    </row>
    <row r="363" spans="2:10" x14ac:dyDescent="0.5">
      <c r="B363" t="s">
        <v>314</v>
      </c>
      <c r="C363" t="s">
        <v>442</v>
      </c>
      <c r="D363" t="s">
        <v>54</v>
      </c>
      <c r="E363" s="16"/>
      <c r="F363" t="str">
        <f>RIGHT(Data[[#This Row],[Date]], LEN(Data[[#This Row],[Date]]) - SEARCH("-", Data[[#This Row],[Date]]))</f>
        <v>5</v>
      </c>
      <c r="G363" t="str">
        <f>LEFT(Data[[#This Row],[Date]], SEARCH("-", Data[[#This Row],[Date]]) - 1)</f>
        <v>12</v>
      </c>
      <c r="H363" s="10">
        <f>DATE($C$2,Data[[#This Row],[Month]],Data[[#This Row],[Day ]])</f>
        <v>45265</v>
      </c>
      <c r="J363" s="12">
        <f>IF(ISBLANK(Data[[#This Row],[Errors rectified]]),Data[[#This Row],[Date1]],Data[[#This Row],[Errors rectified]])</f>
        <v>45265</v>
      </c>
    </row>
    <row r="364" spans="2:10" x14ac:dyDescent="0.5">
      <c r="B364" t="s">
        <v>304</v>
      </c>
      <c r="C364" t="s">
        <v>443</v>
      </c>
      <c r="D364" t="s">
        <v>319</v>
      </c>
      <c r="E364" s="16"/>
      <c r="F364" t="str">
        <f>RIGHT(Data[[#This Row],[Date]], LEN(Data[[#This Row],[Date]]) - SEARCH("-", Data[[#This Row],[Date]]))</f>
        <v>6</v>
      </c>
      <c r="G364" t="str">
        <f>LEFT(Data[[#This Row],[Date]], SEARCH("-", Data[[#This Row],[Date]]) - 1)</f>
        <v>12</v>
      </c>
      <c r="H364" s="10">
        <f>DATE($C$2,Data[[#This Row],[Month]],Data[[#This Row],[Day ]])</f>
        <v>45266</v>
      </c>
      <c r="J364" s="12">
        <f>IF(ISBLANK(Data[[#This Row],[Errors rectified]]),Data[[#This Row],[Date1]],Data[[#This Row],[Errors rectified]])</f>
        <v>45266</v>
      </c>
    </row>
    <row r="365" spans="2:10" x14ac:dyDescent="0.5">
      <c r="B365" t="s">
        <v>304</v>
      </c>
      <c r="C365" t="s">
        <v>444</v>
      </c>
      <c r="D365" t="s">
        <v>320</v>
      </c>
      <c r="E365" s="16"/>
      <c r="F365" t="str">
        <f>RIGHT(Data[[#This Row],[Date]], LEN(Data[[#This Row],[Date]]) - SEARCH("-", Data[[#This Row],[Date]]))</f>
        <v>6</v>
      </c>
      <c r="G365" t="str">
        <f>LEFT(Data[[#This Row],[Date]], SEARCH("-", Data[[#This Row],[Date]]) - 1)</f>
        <v>12</v>
      </c>
      <c r="H365" s="10">
        <f>DATE($C$2,Data[[#This Row],[Month]],Data[[#This Row],[Day ]])</f>
        <v>45266</v>
      </c>
      <c r="J365" s="12">
        <f>IF(ISBLANK(Data[[#This Row],[Errors rectified]]),Data[[#This Row],[Date1]],Data[[#This Row],[Errors rectified]])</f>
        <v>45266</v>
      </c>
    </row>
    <row r="366" spans="2:10" x14ac:dyDescent="0.5">
      <c r="B366" t="s">
        <v>321</v>
      </c>
      <c r="C366" t="s">
        <v>335</v>
      </c>
      <c r="D366" t="s">
        <v>322</v>
      </c>
      <c r="E366" s="16"/>
      <c r="F366" t="str">
        <f>RIGHT(Data[[#This Row],[Date]], LEN(Data[[#This Row],[Date]]) - SEARCH("-", Data[[#This Row],[Date]]))</f>
        <v>7</v>
      </c>
      <c r="G366" t="str">
        <f>LEFT(Data[[#This Row],[Date]], SEARCH("-", Data[[#This Row],[Date]]) - 1)</f>
        <v>12</v>
      </c>
      <c r="H366" s="10">
        <f>DATE($C$2,Data[[#This Row],[Month]],Data[[#This Row],[Day ]])</f>
        <v>45267</v>
      </c>
      <c r="J366" s="12">
        <f>IF(ISBLANK(Data[[#This Row],[Errors rectified]]),Data[[#This Row],[Date1]],Data[[#This Row],[Errors rectified]])</f>
        <v>45267</v>
      </c>
    </row>
    <row r="367" spans="2:10" x14ac:dyDescent="0.5">
      <c r="B367" t="s">
        <v>17</v>
      </c>
      <c r="E367" s="16"/>
    </row>
    <row r="368" spans="2:10" x14ac:dyDescent="0.5">
      <c r="B368" t="s">
        <v>98</v>
      </c>
      <c r="E368" s="16"/>
    </row>
    <row r="369" spans="2:10" x14ac:dyDescent="0.5">
      <c r="B369" t="s">
        <v>18</v>
      </c>
      <c r="C369" t="s">
        <v>330</v>
      </c>
      <c r="D369" t="s">
        <v>19</v>
      </c>
      <c r="E369" s="16"/>
    </row>
    <row r="370" spans="2:10" x14ac:dyDescent="0.5">
      <c r="B370" t="s">
        <v>323</v>
      </c>
      <c r="C370" t="s">
        <v>445</v>
      </c>
      <c r="D370" t="s">
        <v>33</v>
      </c>
      <c r="E370" s="16"/>
      <c r="F370" t="str">
        <f>RIGHT(Data[[#This Row],[Date]], LEN(Data[[#This Row],[Date]]) - SEARCH("-", Data[[#This Row],[Date]]))</f>
        <v>12</v>
      </c>
      <c r="G370" t="str">
        <f>LEFT(Data[[#This Row],[Date]], SEARCH("-", Data[[#This Row],[Date]]) - 1)</f>
        <v>12</v>
      </c>
      <c r="H370" s="10">
        <f>DATE($C$2,Data[[#This Row],[Month]],Data[[#This Row],[Day ]])</f>
        <v>45272</v>
      </c>
      <c r="J370" s="12">
        <f>IF(ISBLANK(Data[[#This Row],[Errors rectified]]),Data[[#This Row],[Date1]],Data[[#This Row],[Errors rectified]])</f>
        <v>45272</v>
      </c>
    </row>
    <row r="371" spans="2:10" x14ac:dyDescent="0.5">
      <c r="B371" t="s">
        <v>306</v>
      </c>
      <c r="C371" t="s">
        <v>446</v>
      </c>
      <c r="D371" t="s">
        <v>324</v>
      </c>
      <c r="E371" s="16"/>
      <c r="F371" t="str">
        <f>RIGHT(Data[[#This Row],[Date]], LEN(Data[[#This Row],[Date]]) - SEARCH("-", Data[[#This Row],[Date]]))</f>
        <v>18</v>
      </c>
      <c r="G371" t="str">
        <f>LEFT(Data[[#This Row],[Date]], SEARCH("-", Data[[#This Row],[Date]]) - 1)</f>
        <v>12</v>
      </c>
      <c r="H371" s="10">
        <f>DATE($C$2,Data[[#This Row],[Month]],Data[[#This Row],[Day ]])</f>
        <v>45278</v>
      </c>
      <c r="J371" s="12">
        <f>IF(ISBLANK(Data[[#This Row],[Errors rectified]]),Data[[#This Row],[Date1]],Data[[#This Row],[Errors rectified]])</f>
        <v>45278</v>
      </c>
    </row>
    <row r="372" spans="2:10" x14ac:dyDescent="0.5">
      <c r="B372" t="s">
        <v>313</v>
      </c>
      <c r="C372" t="s">
        <v>447</v>
      </c>
      <c r="D372" t="s">
        <v>325</v>
      </c>
      <c r="E372" s="16"/>
      <c r="F372" t="str">
        <f>RIGHT(Data[[#This Row],[Date]], LEN(Data[[#This Row],[Date]]) - SEARCH("-", Data[[#This Row],[Date]]))</f>
        <v>26</v>
      </c>
      <c r="G372" t="str">
        <f>LEFT(Data[[#This Row],[Date]], SEARCH("-", Data[[#This Row],[Date]]) - 1)</f>
        <v>12</v>
      </c>
      <c r="H372" s="10">
        <f>DATE($C$2,Data[[#This Row],[Month]],Data[[#This Row],[Day ]])</f>
        <v>45286</v>
      </c>
      <c r="J372" s="12">
        <f>IF(ISBLANK(Data[[#This Row],[Errors rectified]]),Data[[#This Row],[Date1]],Data[[#This Row],[Errors rectified]])</f>
        <v>45286</v>
      </c>
    </row>
    <row r="373" spans="2:10" x14ac:dyDescent="0.5">
      <c r="B373" t="s">
        <v>326</v>
      </c>
      <c r="C373" t="s">
        <v>338</v>
      </c>
      <c r="D373" t="s">
        <v>160</v>
      </c>
      <c r="E373" s="16"/>
      <c r="F373" t="str">
        <f>RIGHT(Data[[#This Row],[Date]], LEN(Data[[#This Row],[Date]]) - SEARCH("-", Data[[#This Row],[Date]]))</f>
        <v>27</v>
      </c>
      <c r="G373" t="str">
        <f>LEFT(Data[[#This Row],[Date]], SEARCH("-", Data[[#This Row],[Date]]) - 1)</f>
        <v>12</v>
      </c>
      <c r="H373" s="10">
        <f>DATE($C$2,Data[[#This Row],[Month]],Data[[#This Row],[Day ]])</f>
        <v>45287</v>
      </c>
      <c r="J373" s="12">
        <f>IF(ISBLANK(Data[[#This Row],[Errors rectified]]),Data[[#This Row],[Date1]],Data[[#This Row],[Errors rectified]])</f>
        <v>45287</v>
      </c>
    </row>
    <row r="374" spans="2:10" x14ac:dyDescent="0.5">
      <c r="B374" t="s">
        <v>327</v>
      </c>
      <c r="C374" t="s">
        <v>401</v>
      </c>
      <c r="D374" t="s">
        <v>328</v>
      </c>
      <c r="E374" s="16"/>
      <c r="F374" t="str">
        <f>RIGHT(Data[[#This Row],[Date]], LEN(Data[[#This Row],[Date]]) - SEARCH("-", Data[[#This Row],[Date]]))</f>
        <v>28</v>
      </c>
      <c r="G374" t="str">
        <f>LEFT(Data[[#This Row],[Date]], SEARCH("-", Data[[#This Row],[Date]]) - 1)</f>
        <v>12</v>
      </c>
      <c r="H374" s="10">
        <f>DATE($C$2,Data[[#This Row],[Month]],Data[[#This Row],[Day ]])</f>
        <v>45288</v>
      </c>
      <c r="J374" s="12">
        <f>IF(ISBLANK(Data[[#This Row],[Errors rectified]]),Data[[#This Row],[Date1]],Data[[#This Row],[Errors rectified]])</f>
        <v>45288</v>
      </c>
    </row>
    <row r="375" spans="2:10" x14ac:dyDescent="0.5">
      <c r="B375" t="s">
        <v>310</v>
      </c>
      <c r="C375" t="s">
        <v>364</v>
      </c>
      <c r="D375" t="s">
        <v>56</v>
      </c>
      <c r="E375" s="16"/>
      <c r="F375" t="str">
        <f>RIGHT(Data[[#This Row],[Date]], LEN(Data[[#This Row],[Date]]) - SEARCH("-", Data[[#This Row],[Date]]))</f>
        <v>29</v>
      </c>
      <c r="G375" t="str">
        <f>LEFT(Data[[#This Row],[Date]], SEARCH("-", Data[[#This Row],[Date]]) - 1)</f>
        <v>12</v>
      </c>
      <c r="H375" s="10">
        <f>DATE($C$2,Data[[#This Row],[Month]],Data[[#This Row],[Day ]])</f>
        <v>45289</v>
      </c>
      <c r="J375" s="12">
        <f>IF(ISBLANK(Data[[#This Row],[Errors rectified]]),Data[[#This Row],[Date1]],Data[[#This Row],[Errors rectified]])</f>
        <v>45289</v>
      </c>
    </row>
    <row r="376" spans="2:10" x14ac:dyDescent="0.5">
      <c r="B376" t="s">
        <v>310</v>
      </c>
      <c r="C376" t="s">
        <v>364</v>
      </c>
      <c r="D376" t="s">
        <v>108</v>
      </c>
      <c r="E376" s="16"/>
      <c r="F376" t="str">
        <f>RIGHT(Data[[#This Row],[Date]], LEN(Data[[#This Row],[Date]]) - SEARCH("-", Data[[#This Row],[Date]]))</f>
        <v>29</v>
      </c>
      <c r="G376" t="str">
        <f>LEFT(Data[[#This Row],[Date]], SEARCH("-", Data[[#This Row],[Date]]) - 1)</f>
        <v>12</v>
      </c>
      <c r="H376" s="10">
        <f>DATE($C$2,Data[[#This Row],[Month]],Data[[#This Row],[Day ]])</f>
        <v>45289</v>
      </c>
      <c r="J376" s="12">
        <f>IF(ISBLANK(Data[[#This Row],[Errors rectified]]),Data[[#This Row],[Date1]],Data[[#This Row],[Errors rectified]])</f>
        <v>45289</v>
      </c>
    </row>
    <row r="377" spans="2:10" x14ac:dyDescent="0.5">
      <c r="B377" t="s">
        <v>1</v>
      </c>
      <c r="C377" t="s">
        <v>36</v>
      </c>
      <c r="D377" t="s">
        <v>329</v>
      </c>
      <c r="E377" s="16"/>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7C3-F9CA-4D4F-83C2-9F42B1D78F44}">
  <dimension ref="C1:S109"/>
  <sheetViews>
    <sheetView showGridLines="0" workbookViewId="0">
      <selection activeCell="N6" sqref="N6"/>
    </sheetView>
  </sheetViews>
  <sheetFormatPr defaultColWidth="7.21875" defaultRowHeight="18" x14ac:dyDescent="0.5"/>
  <cols>
    <col min="1" max="2" width="2.21875" style="3" customWidth="1"/>
    <col min="3" max="3" width="24.21875" style="3" customWidth="1"/>
    <col min="4" max="12" width="11.33203125" style="3" bestFit="1" customWidth="1"/>
    <col min="13" max="13" width="12.33203125" style="3" bestFit="1" customWidth="1"/>
    <col min="14" max="15" width="11.33203125" style="3" bestFit="1" customWidth="1"/>
    <col min="16" max="16" width="12.109375" style="3" bestFit="1" customWidth="1"/>
    <col min="17" max="17" width="10" style="3" customWidth="1"/>
    <col min="18" max="18" width="2.21875" style="3" customWidth="1"/>
    <col min="19" max="16384" width="7.21875" style="3"/>
  </cols>
  <sheetData>
    <row r="1" spans="3:17" s="2" customFormat="1" ht="29.4" x14ac:dyDescent="0.7">
      <c r="C1" s="143" t="s">
        <v>4</v>
      </c>
      <c r="D1" s="143"/>
      <c r="E1" s="143"/>
      <c r="F1" s="143"/>
      <c r="G1" s="143"/>
      <c r="H1" s="143"/>
      <c r="I1" s="143"/>
      <c r="J1" s="143"/>
      <c r="K1" s="143"/>
      <c r="L1" s="143"/>
      <c r="M1" s="143"/>
      <c r="N1" s="143"/>
      <c r="O1" s="143"/>
      <c r="P1" s="143"/>
      <c r="Q1" s="143"/>
    </row>
    <row r="2" spans="3:17" s="2" customFormat="1" ht="19.2" x14ac:dyDescent="0.5">
      <c r="C2" s="144" t="s">
        <v>3</v>
      </c>
      <c r="D2" s="145"/>
      <c r="E2" s="145"/>
      <c r="F2" s="145"/>
      <c r="G2" s="145"/>
      <c r="H2" s="145"/>
      <c r="I2" s="145"/>
      <c r="J2" s="145"/>
      <c r="K2" s="145"/>
      <c r="L2" s="145"/>
      <c r="M2" s="145"/>
      <c r="N2" s="145"/>
      <c r="O2" s="145"/>
      <c r="P2" s="145"/>
      <c r="Q2" s="145"/>
    </row>
    <row r="3" spans="3:17" s="2" customFormat="1" x14ac:dyDescent="0.5">
      <c r="C3" s="3" t="s">
        <v>0</v>
      </c>
      <c r="D3" s="6">
        <v>44927</v>
      </c>
    </row>
    <row r="4" spans="3:17" s="2" customFormat="1" x14ac:dyDescent="0.5">
      <c r="C4" s="3"/>
      <c r="D4" s="1" t="s">
        <v>505</v>
      </c>
      <c r="E4" s="1" t="s">
        <v>506</v>
      </c>
      <c r="F4" s="1" t="s">
        <v>507</v>
      </c>
      <c r="G4" s="1" t="s">
        <v>508</v>
      </c>
      <c r="H4" s="1" t="s">
        <v>509</v>
      </c>
      <c r="I4" s="1" t="s">
        <v>510</v>
      </c>
      <c r="J4" s="1" t="s">
        <v>511</v>
      </c>
      <c r="K4" s="1" t="s">
        <v>512</v>
      </c>
      <c r="L4" s="1" t="s">
        <v>513</v>
      </c>
      <c r="M4" s="1" t="s">
        <v>514</v>
      </c>
      <c r="N4" s="1" t="s">
        <v>515</v>
      </c>
      <c r="O4" s="1" t="s">
        <v>516</v>
      </c>
    </row>
    <row r="5" spans="3:17" ht="36" customHeight="1" x14ac:dyDescent="0.5">
      <c r="C5" s="30" t="s">
        <v>520</v>
      </c>
      <c r="D5" s="11" t="s">
        <v>493</v>
      </c>
      <c r="E5" s="11" t="s">
        <v>494</v>
      </c>
      <c r="F5" s="11" t="s">
        <v>495</v>
      </c>
      <c r="G5" s="11" t="s">
        <v>496</v>
      </c>
      <c r="H5" s="11" t="s">
        <v>497</v>
      </c>
      <c r="I5" s="11" t="s">
        <v>498</v>
      </c>
      <c r="J5" s="11" t="s">
        <v>499</v>
      </c>
      <c r="K5" s="11" t="s">
        <v>500</v>
      </c>
      <c r="L5" s="11" t="s">
        <v>501</v>
      </c>
      <c r="M5" s="11" t="s">
        <v>502</v>
      </c>
      <c r="N5" s="11" t="s">
        <v>503</v>
      </c>
      <c r="O5" s="11" t="s">
        <v>504</v>
      </c>
    </row>
    <row r="6" spans="3:17" ht="18.600000000000001" thickBot="1" x14ac:dyDescent="0.55000000000000004">
      <c r="C6" s="18" t="s">
        <v>2</v>
      </c>
      <c r="D6" s="31">
        <f>SUMIFS(Table_CheckAcct[[Balance]:[Balance]],Table_CheckAcct[[Month]:[Month]],D$4,Table_CheckAcct[[Type]:[Type]],"Opening")</f>
        <v>13975</v>
      </c>
      <c r="E6" s="31">
        <f>SUMIFS(Table_CheckAcct[[Balance]:[Balance]],Table_CheckAcct[[Month]:[Month]],E$4,Table_CheckAcct[[Type]:[Type]],"Opening")</f>
        <v>7370.85</v>
      </c>
      <c r="F6" s="31">
        <f>SUMIFS(Table_CheckAcct[[Balance]:[Balance]],Table_CheckAcct[[Month]:[Month]],F$4,Table_CheckAcct[[Type]:[Type]],"Opening")</f>
        <v>5165.3599999999997</v>
      </c>
      <c r="G6" s="31">
        <f>SUMIFS(Table_CheckAcct[[Balance]:[Balance]],Table_CheckAcct[[Month]:[Month]],G$4,Table_CheckAcct[[Type]:[Type]],"Opening")</f>
        <v>26228.12</v>
      </c>
      <c r="H6" s="31">
        <f>SUMIFS(Table_CheckAcct[[Balance]:[Balance]],Table_CheckAcct[[Month]:[Month]],H$4,Table_CheckAcct[[Type]:[Type]],"Opening")</f>
        <v>20454.400000000001</v>
      </c>
      <c r="I6" s="31">
        <f>SUMIFS(Table_CheckAcct[[Balance]:[Balance]],Table_CheckAcct[[Month]:[Month]],I$4,Table_CheckAcct[[Type]:[Type]],"Opening")</f>
        <v>10758.99</v>
      </c>
      <c r="J6" s="31">
        <f>SUMIFS(Table_CheckAcct[[Balance]:[Balance]],Table_CheckAcct[[Month]:[Month]],J$4,Table_CheckAcct[[Type]:[Type]],"Opening")</f>
        <v>14016.93</v>
      </c>
      <c r="K6" s="31">
        <f>SUMIFS(Table_CheckAcct[[Balance]:[Balance]],Table_CheckAcct[[Month]:[Month]],K$4,Table_CheckAcct[[Type]:[Type]],"Opening")</f>
        <v>43758.9</v>
      </c>
      <c r="L6" s="31">
        <f>SUMIFS(Table_CheckAcct[[Balance]:[Balance]],Table_CheckAcct[[Month]:[Month]],L$4,Table_CheckAcct[[Type]:[Type]],"Opening")</f>
        <v>18681.14</v>
      </c>
      <c r="M6" s="31">
        <f>SUMIFS(Table_CheckAcct[[Balance]:[Balance]],Table_CheckAcct[[Month]:[Month]],M$4,Table_CheckAcct[[Type]:[Type]],"Opening")</f>
        <v>26692.36</v>
      </c>
      <c r="N6" s="31">
        <f>SUMIFS(Table_CheckAcct[[Balance]:[Balance]],Table_CheckAcct[[Month]:[Month]],N$4,Table_CheckAcct[[Type]:[Type]],"Opening")</f>
        <v>26990.74</v>
      </c>
      <c r="O6" s="31">
        <f>SUMIFS(Table_CheckAcct[[Balance]:[Balance]],Table_CheckAcct[[Month]:[Month]],O$4,Table_CheckAcct[[Type]:[Type]],"Opening")</f>
        <v>13368.03</v>
      </c>
    </row>
    <row r="7" spans="3:17" x14ac:dyDescent="0.5">
      <c r="C7" t="s">
        <v>517</v>
      </c>
      <c r="D7" s="32">
        <f>-SUMIFS(Table_CheckAcct[[Debit (-)]:[Debit (-)]], Table_CheckAcct[[Month]:[Month]], D$4, Table_CheckAcct[[Type]:[Type]], "&lt;&gt;Closing")</f>
        <v>-6607.15</v>
      </c>
      <c r="E7" s="32">
        <f>-SUMIFS(Table_CheckAcct[[Debit (-)]:[Debit (-)]], Table_CheckAcct[[Month]:[Month]], E$4, Table_CheckAcct[[Type]:[Type]], "&lt;&gt;Closing")</f>
        <v>-20516.53</v>
      </c>
      <c r="F7" s="32">
        <f>-SUMIFS(Table_CheckAcct[[Debit (-)]:[Debit (-)]], Table_CheckAcct[[Month]:[Month]], F$4, Table_CheckAcct[[Type]:[Type]], "&lt;&gt;Closing")</f>
        <v>-3781.7999999999997</v>
      </c>
      <c r="G7" s="32">
        <f>-SUMIFS(Table_CheckAcct[[Debit (-)]:[Debit (-)]], Table_CheckAcct[[Month]:[Month]], G$4, Table_CheckAcct[[Type]:[Type]], "&lt;&gt;Closing")</f>
        <v>-25624.97</v>
      </c>
      <c r="H7" s="32">
        <f>-SUMIFS(Table_CheckAcct[[Debit (-)]:[Debit (-)]], Table_CheckAcct[[Month]:[Month]], H$4, Table_CheckAcct[[Type]:[Type]], "&lt;&gt;Closing")</f>
        <v>-12198.41</v>
      </c>
      <c r="I7" s="32">
        <f>-SUMIFS(Table_CheckAcct[[Debit (-)]:[Debit (-)]], Table_CheckAcct[[Month]:[Month]], I$4, Table_CheckAcct[[Type]:[Type]], "&lt;&gt;Closing")</f>
        <v>-7124.47</v>
      </c>
      <c r="J7" s="32">
        <f>-SUMIFS(Table_CheckAcct[[Debit (-)]:[Debit (-)]], Table_CheckAcct[[Month]:[Month]], J$4, Table_CheckAcct[[Type]:[Type]], "&lt;&gt;Closing")</f>
        <v>-11039.67</v>
      </c>
      <c r="K7" s="32">
        <f>-SUMIFS(Table_CheckAcct[[Debit (-)]:[Debit (-)]], Table_CheckAcct[[Month]:[Month]], K$4, Table_CheckAcct[[Type]:[Type]], "&lt;&gt;Closing")</f>
        <v>-45322.76</v>
      </c>
      <c r="L7" s="32">
        <f>-SUMIFS(Table_CheckAcct[[Debit (-)]:[Debit (-)]], Table_CheckAcct[[Month]:[Month]], L$4, Table_CheckAcct[[Type]:[Type]], "&lt;&gt;Closing")</f>
        <v>-21572.530000000002</v>
      </c>
      <c r="M7" s="32">
        <f>-SUMIFS(Table_CheckAcct[[Debit (-)]:[Debit (-)]], Table_CheckAcct[[Month]:[Month]], M$4, Table_CheckAcct[[Type]:[Type]], "&lt;&gt;Closing")</f>
        <v>-74251.62</v>
      </c>
      <c r="N7" s="32">
        <f>-SUMIFS(Table_CheckAcct[[Debit (-)]:[Debit (-)]], Table_CheckAcct[[Month]:[Month]], N$4, Table_CheckAcct[[Type]:[Type]], "&lt;&gt;Closing")</f>
        <v>-30268.409999999996</v>
      </c>
      <c r="O7" s="32">
        <f>-SUMIFS(Table_CheckAcct[[Debit (-)]:[Debit (-)]], Table_CheckAcct[[Month]:[Month]], O$4, Table_CheckAcct[[Type]:[Type]], "&lt;&gt;Closing")</f>
        <v>-34343.39</v>
      </c>
    </row>
    <row r="8" spans="3:17" ht="18.600000000000001" thickBot="1" x14ac:dyDescent="0.55000000000000004">
      <c r="C8" s="35" t="s">
        <v>518</v>
      </c>
      <c r="D8" s="34">
        <f>SUMIFS(Table_CheckAcct[[Credit (+)]:[Credit (+)]], Table_CheckAcct[[Month]:[Month]], D$4, Table_CheckAcct[[Type]:[Type]], "&lt;&gt;Closing")</f>
        <v>3</v>
      </c>
      <c r="E8" s="34">
        <f>SUMIFS(Table_CheckAcct[[Credit (+)]:[Credit (+)]], Table_CheckAcct[[Month]:[Month]], E$4, Table_CheckAcct[[Type]:[Type]], "&lt;&gt;Closing")</f>
        <v>18311.04</v>
      </c>
      <c r="F8" s="34">
        <f>SUMIFS(Table_CheckAcct[[Credit (+)]:[Credit (+)]], Table_CheckAcct[[Month]:[Month]], F$4, Table_CheckAcct[[Type]:[Type]], "&lt;&gt;Closing")</f>
        <v>24844.559999999998</v>
      </c>
      <c r="G8" s="34">
        <f>SUMIFS(Table_CheckAcct[[Credit (+)]:[Credit (+)]], Table_CheckAcct[[Month]:[Month]], G$4, Table_CheckAcct[[Type]:[Type]], "&lt;&gt;Closing")</f>
        <v>19851.25</v>
      </c>
      <c r="H8" s="34">
        <f>SUMIFS(Table_CheckAcct[[Credit (+)]:[Credit (+)]], Table_CheckAcct[[Month]:[Month]], H$4, Table_CheckAcct[[Type]:[Type]], "&lt;&gt;Closing")</f>
        <v>2503</v>
      </c>
      <c r="I8" s="34">
        <f>SUMIFS(Table_CheckAcct[[Credit (+)]:[Credit (+)]], Table_CheckAcct[[Month]:[Month]], I$4, Table_CheckAcct[[Type]:[Type]], "&lt;&gt;Closing")</f>
        <v>10382.41</v>
      </c>
      <c r="J8" s="34">
        <f>SUMIFS(Table_CheckAcct[[Credit (+)]:[Credit (+)]], Table_CheckAcct[[Month]:[Month]], J$4, Table_CheckAcct[[Type]:[Type]], "&lt;&gt;Closing")</f>
        <v>40781.64</v>
      </c>
      <c r="K8" s="34">
        <f>SUMIFS(Table_CheckAcct[[Credit (+)]:[Credit (+)]], Table_CheckAcct[[Month]:[Month]], K$4, Table_CheckAcct[[Type]:[Type]], "&lt;&gt;Closing")</f>
        <v>20245</v>
      </c>
      <c r="L8" s="34">
        <f>SUMIFS(Table_CheckAcct[[Credit (+)]:[Credit (+)]], Table_CheckAcct[[Month]:[Month]], L$4, Table_CheckAcct[[Type]:[Type]], "&lt;&gt;Closing")</f>
        <v>29583.75</v>
      </c>
      <c r="M8" s="34">
        <f>SUMIFS(Table_CheckAcct[[Credit (+)]:[Credit (+)]], Table_CheckAcct[[Month]:[Month]], M$4, Table_CheckAcct[[Type]:[Type]], "&lt;&gt;Closing")</f>
        <v>74550</v>
      </c>
      <c r="N8" s="34">
        <f>SUMIFS(Table_CheckAcct[[Credit (+)]:[Credit (+)]], Table_CheckAcct[[Month]:[Month]], N$4, Table_CheckAcct[[Type]:[Type]], "&lt;&gt;Closing")</f>
        <v>16645.7</v>
      </c>
      <c r="O8" s="34">
        <f>SUMIFS(Table_CheckAcct[[Credit (+)]:[Credit (+)]], Table_CheckAcct[[Month]:[Month]], O$4, Table_CheckAcct[[Type]:[Type]], "&lt;&gt;Closing")</f>
        <v>50176.99</v>
      </c>
    </row>
    <row r="9" spans="3:17" ht="18.600000000000001" thickTop="1" x14ac:dyDescent="0.5">
      <c r="C9" t="s">
        <v>519</v>
      </c>
      <c r="D9" s="33">
        <f>D6+D8+D7</f>
        <v>7370.85</v>
      </c>
      <c r="E9" s="33">
        <f t="shared" ref="E9:O9" si="0">E6+E8+E7</f>
        <v>5165.3600000000006</v>
      </c>
      <c r="F9" s="33">
        <f t="shared" si="0"/>
        <v>26228.12</v>
      </c>
      <c r="G9" s="33">
        <f t="shared" si="0"/>
        <v>20454.399999999994</v>
      </c>
      <c r="H9" s="33">
        <f t="shared" si="0"/>
        <v>10758.990000000002</v>
      </c>
      <c r="I9" s="33">
        <f t="shared" si="0"/>
        <v>14016.93</v>
      </c>
      <c r="J9" s="33">
        <f t="shared" si="0"/>
        <v>43758.9</v>
      </c>
      <c r="K9" s="33">
        <f t="shared" si="0"/>
        <v>18681.14</v>
      </c>
      <c r="L9" s="33">
        <f t="shared" si="0"/>
        <v>26692.359999999997</v>
      </c>
      <c r="M9" s="33">
        <f t="shared" si="0"/>
        <v>26990.740000000005</v>
      </c>
      <c r="N9" s="33">
        <f t="shared" si="0"/>
        <v>13368.030000000006</v>
      </c>
      <c r="O9" s="33">
        <f t="shared" si="0"/>
        <v>29201.629999999997</v>
      </c>
    </row>
    <row r="10" spans="3:17" x14ac:dyDescent="0.5">
      <c r="C10" s="29"/>
    </row>
    <row r="11" spans="3:17" x14ac:dyDescent="0.5">
      <c r="C11" s="5"/>
      <c r="D11" s="5"/>
      <c r="E11" s="5"/>
      <c r="F11" s="5"/>
      <c r="G11" s="5"/>
      <c r="H11" s="5"/>
      <c r="I11" s="5"/>
      <c r="J11" s="5"/>
      <c r="K11" s="5"/>
      <c r="L11" s="5"/>
      <c r="M11" s="5"/>
      <c r="N11" s="5"/>
      <c r="O11" s="5"/>
    </row>
    <row r="12" spans="3:17" x14ac:dyDescent="0.5">
      <c r="D12"/>
      <c r="E12"/>
      <c r="F12"/>
      <c r="G12"/>
      <c r="H12"/>
      <c r="I12"/>
      <c r="J12"/>
      <c r="K12"/>
      <c r="L12"/>
      <c r="M12"/>
      <c r="N12"/>
    </row>
    <row r="13" spans="3:17" x14ac:dyDescent="0.5">
      <c r="D13"/>
      <c r="E13"/>
      <c r="F13"/>
      <c r="G13"/>
      <c r="H13"/>
      <c r="I13"/>
      <c r="J13"/>
      <c r="K13"/>
      <c r="L13"/>
      <c r="M13"/>
      <c r="N13"/>
    </row>
    <row r="14" spans="3:17" x14ac:dyDescent="0.5">
      <c r="D14"/>
      <c r="E14"/>
      <c r="F14"/>
      <c r="G14"/>
      <c r="H14"/>
      <c r="I14"/>
      <c r="J14"/>
      <c r="K14"/>
      <c r="L14"/>
      <c r="M14"/>
      <c r="N14"/>
    </row>
    <row r="15" spans="3:17" x14ac:dyDescent="0.5">
      <c r="D15"/>
      <c r="E15"/>
      <c r="F15"/>
      <c r="G15"/>
      <c r="H15"/>
      <c r="I15"/>
      <c r="J15"/>
      <c r="K15"/>
      <c r="L15"/>
      <c r="M15"/>
      <c r="N15"/>
      <c r="Q15" s="4"/>
    </row>
    <row r="16" spans="3:17" s="5" customFormat="1" x14ac:dyDescent="0.5">
      <c r="C16" s="3"/>
      <c r="D16"/>
      <c r="E16"/>
      <c r="F16"/>
      <c r="G16"/>
      <c r="H16"/>
      <c r="I16"/>
      <c r="J16"/>
      <c r="K16"/>
      <c r="L16"/>
      <c r="M16"/>
      <c r="N16"/>
      <c r="O16" s="3"/>
    </row>
    <row r="17" spans="4:19" x14ac:dyDescent="0.5">
      <c r="D17"/>
      <c r="E17"/>
      <c r="F17"/>
      <c r="G17"/>
      <c r="H17"/>
      <c r="I17"/>
      <c r="J17"/>
      <c r="K17"/>
      <c r="L17"/>
      <c r="M17"/>
      <c r="N17"/>
    </row>
    <row r="18" spans="4:19" x14ac:dyDescent="0.5">
      <c r="D18"/>
      <c r="E18"/>
      <c r="F18"/>
      <c r="G18"/>
      <c r="H18"/>
      <c r="I18"/>
      <c r="J18"/>
      <c r="K18"/>
      <c r="L18"/>
      <c r="M18"/>
      <c r="N18"/>
    </row>
    <row r="19" spans="4:19" x14ac:dyDescent="0.5">
      <c r="D19"/>
      <c r="E19"/>
      <c r="F19"/>
      <c r="G19"/>
      <c r="H19"/>
      <c r="I19"/>
      <c r="J19"/>
      <c r="K19"/>
      <c r="L19"/>
      <c r="M19"/>
      <c r="N19"/>
      <c r="S19" s="5"/>
    </row>
    <row r="20" spans="4:19" x14ac:dyDescent="0.5">
      <c r="D20"/>
      <c r="E20"/>
      <c r="F20"/>
      <c r="G20"/>
      <c r="H20"/>
      <c r="I20"/>
      <c r="J20"/>
      <c r="K20"/>
      <c r="L20"/>
      <c r="M20"/>
      <c r="N20"/>
    </row>
    <row r="21" spans="4:19" x14ac:dyDescent="0.5">
      <c r="D21"/>
      <c r="E21"/>
      <c r="F21"/>
      <c r="G21"/>
      <c r="H21"/>
      <c r="I21"/>
      <c r="J21"/>
      <c r="K21"/>
      <c r="L21"/>
      <c r="M21"/>
      <c r="N21"/>
    </row>
    <row r="22" spans="4:19" x14ac:dyDescent="0.5">
      <c r="D22"/>
      <c r="E22"/>
      <c r="F22"/>
      <c r="G22"/>
      <c r="H22"/>
      <c r="I22"/>
      <c r="J22"/>
      <c r="K22"/>
      <c r="L22"/>
      <c r="M22"/>
      <c r="N22"/>
    </row>
    <row r="23" spans="4:19" x14ac:dyDescent="0.5">
      <c r="D23"/>
      <c r="E23"/>
      <c r="F23"/>
      <c r="G23"/>
      <c r="H23"/>
      <c r="I23"/>
      <c r="J23"/>
      <c r="K23"/>
      <c r="L23"/>
      <c r="M23"/>
      <c r="N23"/>
    </row>
    <row r="24" spans="4:19" x14ac:dyDescent="0.5">
      <c r="D24"/>
      <c r="E24"/>
      <c r="F24"/>
      <c r="G24"/>
      <c r="H24"/>
      <c r="I24"/>
      <c r="J24"/>
      <c r="K24"/>
      <c r="L24"/>
      <c r="M24"/>
      <c r="N24"/>
    </row>
    <row r="25" spans="4:19" x14ac:dyDescent="0.5">
      <c r="D25"/>
      <c r="E25"/>
      <c r="F25"/>
      <c r="G25"/>
      <c r="H25"/>
      <c r="I25"/>
      <c r="J25"/>
      <c r="K25"/>
      <c r="L25"/>
      <c r="M25"/>
      <c r="N25"/>
    </row>
    <row r="26" spans="4:19" x14ac:dyDescent="0.5">
      <c r="D26"/>
      <c r="E26"/>
      <c r="F26"/>
      <c r="G26"/>
      <c r="H26"/>
      <c r="I26"/>
      <c r="J26"/>
      <c r="K26"/>
      <c r="L26"/>
      <c r="M26"/>
      <c r="N26"/>
    </row>
    <row r="27" spans="4:19" x14ac:dyDescent="0.5">
      <c r="D27"/>
      <c r="E27"/>
      <c r="F27"/>
      <c r="G27"/>
      <c r="H27"/>
      <c r="I27"/>
      <c r="J27"/>
      <c r="K27"/>
      <c r="L27"/>
      <c r="M27"/>
      <c r="N27"/>
    </row>
    <row r="28" spans="4:19" x14ac:dyDescent="0.5">
      <c r="D28"/>
      <c r="E28"/>
      <c r="F28"/>
      <c r="G28"/>
      <c r="H28"/>
      <c r="I28"/>
      <c r="J28"/>
      <c r="K28"/>
      <c r="L28"/>
      <c r="M28"/>
      <c r="N28"/>
    </row>
    <row r="29" spans="4:19" x14ac:dyDescent="0.5">
      <c r="D29"/>
      <c r="E29"/>
      <c r="F29"/>
      <c r="G29"/>
      <c r="H29"/>
      <c r="I29"/>
      <c r="J29"/>
      <c r="K29"/>
      <c r="L29"/>
      <c r="M29"/>
      <c r="N29"/>
    </row>
    <row r="30" spans="4:19" x14ac:dyDescent="0.5">
      <c r="D30"/>
      <c r="E30"/>
      <c r="F30"/>
      <c r="G30"/>
      <c r="H30"/>
      <c r="I30"/>
      <c r="J30"/>
      <c r="K30"/>
      <c r="L30"/>
      <c r="M30"/>
      <c r="N30"/>
    </row>
    <row r="31" spans="4:19" x14ac:dyDescent="0.5">
      <c r="D31"/>
      <c r="E31"/>
      <c r="F31"/>
      <c r="G31"/>
      <c r="H31"/>
      <c r="I31"/>
      <c r="J31"/>
      <c r="K31"/>
      <c r="L31"/>
      <c r="M31"/>
      <c r="N31"/>
    </row>
    <row r="32" spans="4:19" x14ac:dyDescent="0.5">
      <c r="D32"/>
      <c r="E32"/>
      <c r="F32"/>
      <c r="G32"/>
      <c r="H32"/>
      <c r="I32"/>
      <c r="J32"/>
      <c r="K32"/>
      <c r="L32"/>
      <c r="M32"/>
      <c r="N32"/>
    </row>
    <row r="33" spans="4:14" x14ac:dyDescent="0.5">
      <c r="D33"/>
      <c r="E33"/>
      <c r="F33"/>
      <c r="G33"/>
      <c r="H33"/>
      <c r="I33"/>
      <c r="J33"/>
      <c r="K33"/>
      <c r="L33"/>
      <c r="M33"/>
      <c r="N33"/>
    </row>
    <row r="34" spans="4:14" x14ac:dyDescent="0.5">
      <c r="D34"/>
      <c r="E34"/>
      <c r="F34"/>
      <c r="G34"/>
      <c r="H34"/>
      <c r="I34"/>
      <c r="J34"/>
      <c r="K34"/>
      <c r="L34"/>
      <c r="M34"/>
      <c r="N34"/>
    </row>
    <row r="35" spans="4:14" x14ac:dyDescent="0.5">
      <c r="D35"/>
      <c r="E35"/>
      <c r="F35"/>
      <c r="G35"/>
      <c r="H35"/>
      <c r="I35"/>
      <c r="J35"/>
      <c r="K35"/>
      <c r="L35"/>
      <c r="M35"/>
      <c r="N35"/>
    </row>
    <row r="36" spans="4:14" x14ac:dyDescent="0.5">
      <c r="D36"/>
      <c r="E36"/>
      <c r="F36"/>
      <c r="G36"/>
      <c r="H36"/>
      <c r="I36"/>
      <c r="J36"/>
      <c r="K36"/>
      <c r="L36"/>
      <c r="M36"/>
      <c r="N36"/>
    </row>
    <row r="37" spans="4:14" x14ac:dyDescent="0.5">
      <c r="D37"/>
      <c r="E37"/>
      <c r="F37"/>
      <c r="G37"/>
      <c r="H37"/>
      <c r="I37"/>
      <c r="J37"/>
      <c r="K37"/>
      <c r="L37"/>
      <c r="M37"/>
      <c r="N37"/>
    </row>
    <row r="38" spans="4:14" x14ac:dyDescent="0.5">
      <c r="D38"/>
      <c r="E38"/>
      <c r="F38"/>
      <c r="G38"/>
      <c r="H38"/>
      <c r="I38"/>
      <c r="J38"/>
      <c r="K38"/>
      <c r="L38"/>
      <c r="M38"/>
      <c r="N38"/>
    </row>
    <row r="39" spans="4:14" x14ac:dyDescent="0.5">
      <c r="D39"/>
      <c r="E39"/>
      <c r="F39"/>
      <c r="G39"/>
      <c r="H39"/>
      <c r="I39"/>
      <c r="J39"/>
      <c r="K39"/>
      <c r="L39"/>
      <c r="M39"/>
      <c r="N39"/>
    </row>
    <row r="40" spans="4:14" x14ac:dyDescent="0.5">
      <c r="D40"/>
      <c r="E40"/>
      <c r="F40"/>
      <c r="G40"/>
      <c r="H40"/>
      <c r="I40"/>
      <c r="J40"/>
      <c r="K40"/>
      <c r="L40"/>
      <c r="M40"/>
      <c r="N40"/>
    </row>
    <row r="41" spans="4:14" x14ac:dyDescent="0.5">
      <c r="D41"/>
      <c r="E41"/>
      <c r="F41"/>
      <c r="G41"/>
      <c r="H41"/>
      <c r="I41"/>
      <c r="J41"/>
      <c r="K41"/>
      <c r="L41"/>
      <c r="M41"/>
      <c r="N41"/>
    </row>
    <row r="42" spans="4:14" x14ac:dyDescent="0.5">
      <c r="D42"/>
      <c r="E42"/>
      <c r="F42"/>
      <c r="G42"/>
      <c r="H42"/>
      <c r="I42"/>
      <c r="J42"/>
      <c r="K42"/>
      <c r="L42"/>
      <c r="M42"/>
      <c r="N42"/>
    </row>
    <row r="43" spans="4:14" x14ac:dyDescent="0.5">
      <c r="D43"/>
      <c r="E43"/>
      <c r="F43"/>
      <c r="G43"/>
      <c r="H43"/>
      <c r="I43"/>
      <c r="J43"/>
      <c r="K43"/>
      <c r="L43"/>
      <c r="M43"/>
      <c r="N43"/>
    </row>
    <row r="44" spans="4:14" x14ac:dyDescent="0.5">
      <c r="D44"/>
      <c r="E44"/>
      <c r="F44"/>
      <c r="G44"/>
      <c r="H44"/>
      <c r="I44"/>
      <c r="J44"/>
      <c r="K44"/>
      <c r="L44"/>
      <c r="M44"/>
      <c r="N44"/>
    </row>
    <row r="45" spans="4:14" x14ac:dyDescent="0.5">
      <c r="D45"/>
      <c r="E45"/>
      <c r="F45"/>
      <c r="G45"/>
      <c r="H45"/>
      <c r="I45"/>
      <c r="J45"/>
      <c r="K45"/>
      <c r="L45"/>
      <c r="M45"/>
      <c r="N45"/>
    </row>
    <row r="46" spans="4:14" x14ac:dyDescent="0.5">
      <c r="D46"/>
      <c r="E46"/>
      <c r="F46"/>
      <c r="G46"/>
      <c r="H46"/>
      <c r="I46"/>
      <c r="J46"/>
      <c r="K46"/>
      <c r="L46"/>
      <c r="M46"/>
      <c r="N46"/>
    </row>
    <row r="47" spans="4:14" x14ac:dyDescent="0.5">
      <c r="D47"/>
      <c r="E47"/>
      <c r="F47"/>
      <c r="G47"/>
      <c r="H47"/>
      <c r="I47"/>
      <c r="J47"/>
      <c r="K47"/>
      <c r="L47"/>
      <c r="M47"/>
      <c r="N47"/>
    </row>
    <row r="48" spans="4:14" x14ac:dyDescent="0.5">
      <c r="D48"/>
      <c r="E48"/>
      <c r="F48"/>
      <c r="G48"/>
      <c r="H48"/>
      <c r="I48"/>
      <c r="J48"/>
      <c r="K48"/>
      <c r="L48"/>
      <c r="M48"/>
      <c r="N48"/>
    </row>
    <row r="49" spans="4:14" x14ac:dyDescent="0.5">
      <c r="D49"/>
      <c r="E49"/>
      <c r="F49"/>
      <c r="G49"/>
      <c r="H49"/>
      <c r="I49"/>
      <c r="J49"/>
      <c r="K49"/>
      <c r="L49"/>
      <c r="M49"/>
      <c r="N49"/>
    </row>
    <row r="50" spans="4:14" x14ac:dyDescent="0.5">
      <c r="D50"/>
      <c r="E50"/>
      <c r="F50"/>
      <c r="G50"/>
      <c r="H50"/>
      <c r="I50"/>
      <c r="J50"/>
      <c r="K50"/>
      <c r="L50"/>
      <c r="M50"/>
      <c r="N50"/>
    </row>
    <row r="51" spans="4:14" x14ac:dyDescent="0.5">
      <c r="D51"/>
      <c r="E51"/>
      <c r="F51"/>
      <c r="G51"/>
      <c r="H51"/>
      <c r="I51"/>
      <c r="J51"/>
      <c r="K51"/>
      <c r="L51"/>
      <c r="M51"/>
      <c r="N51"/>
    </row>
    <row r="52" spans="4:14" x14ac:dyDescent="0.5">
      <c r="D52"/>
      <c r="E52"/>
      <c r="F52"/>
      <c r="G52"/>
      <c r="H52"/>
      <c r="I52"/>
      <c r="J52"/>
      <c r="K52"/>
      <c r="L52"/>
      <c r="M52"/>
      <c r="N52"/>
    </row>
    <row r="53" spans="4:14" x14ac:dyDescent="0.5">
      <c r="D53"/>
      <c r="E53"/>
      <c r="F53"/>
      <c r="G53"/>
      <c r="H53"/>
      <c r="I53"/>
      <c r="J53"/>
      <c r="K53"/>
      <c r="L53"/>
      <c r="M53"/>
      <c r="N53"/>
    </row>
    <row r="54" spans="4:14" x14ac:dyDescent="0.5">
      <c r="D54"/>
      <c r="E54"/>
      <c r="F54"/>
      <c r="G54"/>
      <c r="H54"/>
      <c r="I54"/>
      <c r="J54"/>
      <c r="K54"/>
      <c r="L54"/>
      <c r="M54"/>
      <c r="N54"/>
    </row>
    <row r="55" spans="4:14" x14ac:dyDescent="0.5">
      <c r="D55"/>
      <c r="E55"/>
      <c r="F55"/>
      <c r="G55"/>
      <c r="H55"/>
      <c r="I55"/>
      <c r="J55"/>
      <c r="K55"/>
      <c r="L55"/>
      <c r="M55"/>
      <c r="N55"/>
    </row>
    <row r="56" spans="4:14" x14ac:dyDescent="0.5">
      <c r="D56"/>
      <c r="E56"/>
      <c r="F56"/>
      <c r="G56"/>
      <c r="H56"/>
      <c r="I56"/>
      <c r="J56"/>
      <c r="K56"/>
      <c r="L56"/>
      <c r="M56"/>
      <c r="N56"/>
    </row>
    <row r="57" spans="4:14" x14ac:dyDescent="0.5">
      <c r="D57"/>
      <c r="E57"/>
      <c r="F57"/>
      <c r="G57"/>
      <c r="H57"/>
      <c r="I57"/>
      <c r="J57"/>
      <c r="K57"/>
      <c r="L57"/>
      <c r="M57"/>
      <c r="N57"/>
    </row>
    <row r="58" spans="4:14" x14ac:dyDescent="0.5">
      <c r="D58"/>
      <c r="E58"/>
      <c r="F58"/>
      <c r="G58"/>
      <c r="H58"/>
      <c r="I58"/>
      <c r="J58"/>
      <c r="K58"/>
      <c r="L58"/>
      <c r="M58"/>
      <c r="N58"/>
    </row>
    <row r="59" spans="4:14" x14ac:dyDescent="0.5">
      <c r="D59"/>
      <c r="E59"/>
      <c r="F59"/>
      <c r="G59"/>
      <c r="H59"/>
      <c r="I59"/>
      <c r="J59"/>
      <c r="K59"/>
      <c r="L59"/>
      <c r="M59"/>
      <c r="N59"/>
    </row>
    <row r="60" spans="4:14" x14ac:dyDescent="0.5">
      <c r="D60"/>
      <c r="E60"/>
      <c r="F60"/>
      <c r="G60"/>
      <c r="H60"/>
      <c r="I60"/>
      <c r="J60"/>
      <c r="K60"/>
      <c r="L60"/>
      <c r="M60"/>
      <c r="N60"/>
    </row>
    <row r="61" spans="4:14" x14ac:dyDescent="0.5">
      <c r="D61"/>
      <c r="E61"/>
      <c r="F61"/>
      <c r="G61"/>
      <c r="H61"/>
      <c r="I61"/>
      <c r="J61"/>
      <c r="K61"/>
      <c r="L61"/>
      <c r="M61"/>
      <c r="N61"/>
    </row>
    <row r="62" spans="4:14" x14ac:dyDescent="0.5">
      <c r="D62"/>
      <c r="E62"/>
      <c r="F62"/>
      <c r="G62"/>
      <c r="H62"/>
      <c r="I62"/>
      <c r="J62"/>
      <c r="K62"/>
      <c r="L62"/>
      <c r="M62"/>
      <c r="N62"/>
    </row>
    <row r="63" spans="4:14" x14ac:dyDescent="0.5">
      <c r="D63"/>
      <c r="E63"/>
      <c r="F63"/>
      <c r="G63"/>
      <c r="H63"/>
      <c r="I63"/>
      <c r="J63"/>
      <c r="K63"/>
      <c r="L63"/>
      <c r="M63"/>
      <c r="N63"/>
    </row>
    <row r="64" spans="4:14" x14ac:dyDescent="0.5">
      <c r="D64"/>
      <c r="E64"/>
      <c r="F64"/>
      <c r="G64"/>
      <c r="H64"/>
      <c r="I64"/>
      <c r="J64"/>
      <c r="K64"/>
      <c r="L64"/>
      <c r="M64"/>
      <c r="N64"/>
    </row>
    <row r="65" spans="4:14" x14ac:dyDescent="0.5">
      <c r="D65"/>
      <c r="E65"/>
      <c r="F65"/>
      <c r="G65"/>
      <c r="H65"/>
      <c r="I65"/>
      <c r="J65"/>
      <c r="K65"/>
      <c r="L65"/>
      <c r="M65"/>
      <c r="N65"/>
    </row>
    <row r="66" spans="4:14" x14ac:dyDescent="0.5">
      <c r="D66"/>
      <c r="E66"/>
      <c r="F66"/>
      <c r="G66"/>
      <c r="H66"/>
      <c r="I66"/>
      <c r="J66"/>
      <c r="K66"/>
      <c r="L66"/>
      <c r="M66"/>
      <c r="N66"/>
    </row>
    <row r="67" spans="4:14" x14ac:dyDescent="0.5">
      <c r="D67"/>
      <c r="E67"/>
      <c r="F67"/>
      <c r="G67"/>
      <c r="H67"/>
      <c r="I67"/>
      <c r="J67"/>
      <c r="K67"/>
      <c r="L67"/>
      <c r="M67"/>
      <c r="N67"/>
    </row>
    <row r="68" spans="4:14" x14ac:dyDescent="0.5">
      <c r="D68"/>
      <c r="E68"/>
      <c r="F68"/>
      <c r="G68"/>
      <c r="H68"/>
      <c r="I68"/>
      <c r="J68"/>
      <c r="K68"/>
      <c r="L68"/>
      <c r="M68"/>
      <c r="N68"/>
    </row>
    <row r="69" spans="4:14" x14ac:dyDescent="0.5">
      <c r="D69"/>
      <c r="E69"/>
      <c r="F69"/>
      <c r="G69"/>
      <c r="H69"/>
      <c r="I69"/>
      <c r="J69"/>
      <c r="K69"/>
      <c r="L69"/>
      <c r="M69"/>
      <c r="N69"/>
    </row>
    <row r="70" spans="4:14" x14ac:dyDescent="0.5">
      <c r="D70"/>
      <c r="E70"/>
      <c r="F70"/>
      <c r="G70"/>
      <c r="H70"/>
      <c r="I70"/>
      <c r="J70"/>
      <c r="K70"/>
      <c r="L70"/>
      <c r="M70"/>
      <c r="N70"/>
    </row>
    <row r="71" spans="4:14" x14ac:dyDescent="0.5">
      <c r="D71"/>
      <c r="E71"/>
      <c r="F71"/>
      <c r="G71"/>
      <c r="H71"/>
      <c r="I71"/>
      <c r="J71"/>
      <c r="K71"/>
      <c r="L71"/>
      <c r="M71"/>
      <c r="N71"/>
    </row>
    <row r="72" spans="4:14" x14ac:dyDescent="0.5">
      <c r="D72"/>
      <c r="E72"/>
      <c r="F72"/>
      <c r="G72"/>
      <c r="H72"/>
      <c r="I72"/>
      <c r="J72"/>
      <c r="K72"/>
      <c r="L72"/>
      <c r="M72"/>
      <c r="N72"/>
    </row>
    <row r="73" spans="4:14" x14ac:dyDescent="0.5">
      <c r="D73"/>
      <c r="E73"/>
      <c r="F73"/>
      <c r="G73"/>
      <c r="H73"/>
      <c r="I73"/>
      <c r="J73"/>
      <c r="K73"/>
      <c r="L73"/>
      <c r="M73"/>
      <c r="N73"/>
    </row>
    <row r="74" spans="4:14" x14ac:dyDescent="0.5">
      <c r="D74"/>
      <c r="E74"/>
      <c r="F74"/>
      <c r="G74"/>
      <c r="H74"/>
      <c r="I74"/>
      <c r="J74"/>
      <c r="K74"/>
      <c r="L74"/>
      <c r="M74"/>
      <c r="N74"/>
    </row>
    <row r="75" spans="4:14" x14ac:dyDescent="0.5">
      <c r="D75"/>
      <c r="E75"/>
      <c r="F75"/>
      <c r="G75"/>
      <c r="H75"/>
      <c r="I75"/>
      <c r="J75"/>
      <c r="K75"/>
      <c r="L75"/>
      <c r="M75"/>
      <c r="N75"/>
    </row>
    <row r="76" spans="4:14" x14ac:dyDescent="0.5">
      <c r="D76"/>
      <c r="E76"/>
      <c r="F76"/>
      <c r="G76"/>
      <c r="H76"/>
      <c r="I76"/>
      <c r="J76"/>
      <c r="K76"/>
      <c r="L76"/>
      <c r="M76"/>
      <c r="N76"/>
    </row>
    <row r="77" spans="4:14" x14ac:dyDescent="0.5">
      <c r="D77"/>
      <c r="E77"/>
      <c r="F77"/>
      <c r="G77"/>
      <c r="H77"/>
      <c r="I77"/>
      <c r="J77"/>
      <c r="K77"/>
      <c r="L77"/>
      <c r="M77"/>
      <c r="N77"/>
    </row>
    <row r="78" spans="4:14" x14ac:dyDescent="0.5">
      <c r="D78"/>
      <c r="E78"/>
      <c r="F78"/>
      <c r="G78"/>
      <c r="H78"/>
      <c r="I78"/>
      <c r="J78"/>
      <c r="K78"/>
      <c r="L78"/>
      <c r="M78"/>
      <c r="N78"/>
    </row>
    <row r="79" spans="4:14" x14ac:dyDescent="0.5">
      <c r="D79"/>
      <c r="E79"/>
      <c r="F79"/>
      <c r="G79"/>
      <c r="H79"/>
      <c r="I79"/>
      <c r="J79"/>
      <c r="K79"/>
      <c r="L79"/>
      <c r="M79"/>
      <c r="N79"/>
    </row>
    <row r="80" spans="4:14" x14ac:dyDescent="0.5">
      <c r="D80"/>
      <c r="E80"/>
      <c r="F80"/>
      <c r="G80"/>
      <c r="H80"/>
      <c r="I80"/>
      <c r="J80"/>
      <c r="K80"/>
      <c r="L80"/>
      <c r="M80"/>
      <c r="N80"/>
    </row>
    <row r="81" spans="4:14" x14ac:dyDescent="0.5">
      <c r="D81"/>
      <c r="E81"/>
      <c r="F81"/>
      <c r="G81"/>
      <c r="H81"/>
      <c r="I81"/>
      <c r="J81"/>
      <c r="K81"/>
      <c r="L81"/>
      <c r="M81"/>
      <c r="N81"/>
    </row>
    <row r="82" spans="4:14" x14ac:dyDescent="0.5">
      <c r="D82"/>
      <c r="E82"/>
      <c r="F82"/>
      <c r="G82"/>
      <c r="H82"/>
      <c r="I82"/>
      <c r="J82"/>
      <c r="K82"/>
      <c r="L82"/>
      <c r="M82"/>
      <c r="N82"/>
    </row>
    <row r="83" spans="4:14" x14ac:dyDescent="0.5">
      <c r="D83"/>
      <c r="E83"/>
      <c r="F83"/>
      <c r="G83"/>
      <c r="H83"/>
      <c r="I83"/>
      <c r="J83"/>
      <c r="K83"/>
      <c r="L83"/>
      <c r="M83"/>
      <c r="N83"/>
    </row>
    <row r="84" spans="4:14" x14ac:dyDescent="0.5">
      <c r="D84"/>
      <c r="E84"/>
      <c r="F84"/>
      <c r="G84"/>
      <c r="H84"/>
      <c r="I84"/>
      <c r="J84"/>
      <c r="K84"/>
      <c r="L84"/>
      <c r="M84"/>
      <c r="N84"/>
    </row>
    <row r="85" spans="4:14" x14ac:dyDescent="0.5">
      <c r="D85"/>
      <c r="E85"/>
      <c r="F85"/>
      <c r="G85"/>
      <c r="H85"/>
      <c r="I85"/>
      <c r="J85"/>
      <c r="K85"/>
      <c r="L85"/>
      <c r="M85"/>
      <c r="N85"/>
    </row>
    <row r="86" spans="4:14" x14ac:dyDescent="0.5">
      <c r="D86"/>
      <c r="E86"/>
      <c r="F86"/>
      <c r="G86"/>
      <c r="H86"/>
      <c r="I86"/>
      <c r="J86"/>
      <c r="K86"/>
      <c r="L86"/>
      <c r="M86"/>
      <c r="N86"/>
    </row>
    <row r="87" spans="4:14" x14ac:dyDescent="0.5">
      <c r="D87"/>
      <c r="E87"/>
      <c r="F87"/>
      <c r="G87"/>
      <c r="H87"/>
      <c r="I87"/>
      <c r="J87"/>
      <c r="K87"/>
      <c r="L87"/>
      <c r="M87"/>
      <c r="N87"/>
    </row>
    <row r="88" spans="4:14" x14ac:dyDescent="0.5">
      <c r="D88"/>
      <c r="E88"/>
      <c r="F88"/>
      <c r="G88"/>
      <c r="H88"/>
      <c r="I88"/>
      <c r="J88"/>
      <c r="K88"/>
      <c r="L88"/>
      <c r="M88"/>
      <c r="N88"/>
    </row>
    <row r="89" spans="4:14" x14ac:dyDescent="0.5">
      <c r="D89"/>
      <c r="E89"/>
      <c r="F89"/>
      <c r="G89"/>
      <c r="H89"/>
      <c r="I89"/>
      <c r="J89"/>
      <c r="K89"/>
      <c r="L89"/>
      <c r="M89"/>
      <c r="N89"/>
    </row>
    <row r="90" spans="4:14" x14ac:dyDescent="0.5">
      <c r="D90"/>
      <c r="E90"/>
      <c r="F90"/>
      <c r="G90"/>
      <c r="H90"/>
      <c r="I90"/>
      <c r="J90"/>
      <c r="K90"/>
      <c r="L90"/>
      <c r="M90"/>
      <c r="N90"/>
    </row>
    <row r="91" spans="4:14" x14ac:dyDescent="0.5">
      <c r="D91"/>
      <c r="E91"/>
      <c r="F91"/>
      <c r="G91"/>
      <c r="H91"/>
      <c r="I91"/>
      <c r="J91"/>
      <c r="K91"/>
      <c r="L91"/>
      <c r="M91"/>
      <c r="N91"/>
    </row>
    <row r="92" spans="4:14" x14ac:dyDescent="0.5">
      <c r="D92"/>
      <c r="E92"/>
      <c r="F92"/>
      <c r="G92"/>
      <c r="H92"/>
      <c r="I92"/>
      <c r="J92"/>
      <c r="K92"/>
      <c r="L92"/>
      <c r="M92"/>
      <c r="N92"/>
    </row>
    <row r="93" spans="4:14" x14ac:dyDescent="0.5">
      <c r="D93"/>
      <c r="E93"/>
      <c r="F93"/>
      <c r="G93"/>
      <c r="H93"/>
      <c r="I93"/>
      <c r="J93"/>
      <c r="K93"/>
      <c r="L93"/>
      <c r="M93"/>
      <c r="N93"/>
    </row>
    <row r="94" spans="4:14" x14ac:dyDescent="0.5">
      <c r="D94"/>
      <c r="E94"/>
      <c r="F94"/>
      <c r="G94"/>
      <c r="H94"/>
      <c r="I94"/>
      <c r="J94"/>
      <c r="K94"/>
      <c r="L94"/>
      <c r="M94"/>
      <c r="N94"/>
    </row>
    <row r="95" spans="4:14" x14ac:dyDescent="0.5">
      <c r="D95"/>
      <c r="E95"/>
      <c r="F95"/>
      <c r="G95"/>
      <c r="H95"/>
      <c r="I95"/>
      <c r="J95"/>
      <c r="K95"/>
      <c r="L95"/>
      <c r="M95"/>
      <c r="N95"/>
    </row>
    <row r="96" spans="4:14" x14ac:dyDescent="0.5">
      <c r="D96"/>
      <c r="E96"/>
      <c r="F96"/>
      <c r="G96"/>
      <c r="H96"/>
      <c r="I96"/>
      <c r="J96"/>
      <c r="K96"/>
      <c r="L96"/>
      <c r="M96"/>
      <c r="N96"/>
    </row>
    <row r="97" spans="4:14" x14ac:dyDescent="0.5">
      <c r="D97"/>
      <c r="E97"/>
      <c r="F97"/>
      <c r="G97"/>
      <c r="H97"/>
      <c r="I97"/>
      <c r="J97"/>
      <c r="K97"/>
      <c r="L97"/>
      <c r="M97"/>
      <c r="N97"/>
    </row>
    <row r="98" spans="4:14" x14ac:dyDescent="0.5">
      <c r="D98"/>
      <c r="E98"/>
      <c r="F98"/>
      <c r="G98"/>
      <c r="H98"/>
      <c r="I98"/>
      <c r="J98"/>
      <c r="K98"/>
      <c r="L98"/>
      <c r="M98"/>
      <c r="N98"/>
    </row>
    <row r="99" spans="4:14" x14ac:dyDescent="0.5">
      <c r="D99"/>
      <c r="E99"/>
      <c r="F99"/>
      <c r="G99"/>
      <c r="H99"/>
      <c r="I99"/>
      <c r="J99"/>
      <c r="K99"/>
      <c r="L99"/>
      <c r="M99"/>
      <c r="N99"/>
    </row>
    <row r="100" spans="4:14" x14ac:dyDescent="0.5">
      <c r="D100"/>
      <c r="E100"/>
      <c r="F100"/>
      <c r="G100"/>
      <c r="H100"/>
      <c r="I100"/>
      <c r="J100"/>
      <c r="K100"/>
      <c r="L100"/>
      <c r="M100"/>
      <c r="N100"/>
    </row>
    <row r="101" spans="4:14" x14ac:dyDescent="0.5">
      <c r="D101"/>
      <c r="E101"/>
      <c r="F101"/>
      <c r="G101"/>
      <c r="H101"/>
      <c r="I101"/>
      <c r="J101"/>
      <c r="K101"/>
      <c r="L101"/>
      <c r="M101"/>
      <c r="N101"/>
    </row>
    <row r="102" spans="4:14" x14ac:dyDescent="0.5">
      <c r="D102"/>
      <c r="E102"/>
      <c r="F102"/>
      <c r="G102"/>
      <c r="H102"/>
      <c r="I102"/>
      <c r="J102"/>
      <c r="K102"/>
      <c r="L102"/>
      <c r="M102"/>
      <c r="N102"/>
    </row>
    <row r="103" spans="4:14" x14ac:dyDescent="0.5">
      <c r="D103"/>
      <c r="E103"/>
      <c r="F103"/>
      <c r="G103"/>
      <c r="H103"/>
      <c r="I103"/>
      <c r="J103"/>
      <c r="K103"/>
      <c r="L103"/>
      <c r="M103"/>
      <c r="N103"/>
    </row>
    <row r="104" spans="4:14" x14ac:dyDescent="0.5">
      <c r="D104"/>
      <c r="E104"/>
      <c r="F104"/>
      <c r="G104"/>
      <c r="H104"/>
      <c r="I104"/>
      <c r="J104"/>
      <c r="K104"/>
      <c r="L104"/>
      <c r="M104"/>
      <c r="N104"/>
    </row>
    <row r="105" spans="4:14" x14ac:dyDescent="0.5">
      <c r="D105"/>
      <c r="E105"/>
      <c r="F105"/>
      <c r="G105"/>
      <c r="H105"/>
      <c r="I105"/>
      <c r="J105"/>
      <c r="K105"/>
      <c r="L105"/>
      <c r="M105"/>
      <c r="N105"/>
    </row>
    <row r="106" spans="4:14" x14ac:dyDescent="0.5">
      <c r="D106"/>
      <c r="E106"/>
      <c r="F106"/>
      <c r="G106"/>
      <c r="H106"/>
      <c r="I106"/>
      <c r="J106"/>
      <c r="K106"/>
      <c r="L106"/>
      <c r="M106"/>
      <c r="N106"/>
    </row>
    <row r="107" spans="4:14" x14ac:dyDescent="0.5">
      <c r="D107"/>
      <c r="E107"/>
      <c r="F107"/>
      <c r="G107"/>
      <c r="H107"/>
      <c r="I107"/>
      <c r="J107"/>
      <c r="K107"/>
      <c r="L107"/>
      <c r="M107"/>
      <c r="N107"/>
    </row>
    <row r="108" spans="4:14" x14ac:dyDescent="0.5">
      <c r="D108"/>
      <c r="E108"/>
      <c r="F108"/>
      <c r="G108"/>
      <c r="H108"/>
      <c r="I108"/>
      <c r="J108"/>
      <c r="K108"/>
      <c r="L108"/>
      <c r="M108"/>
      <c r="N108"/>
    </row>
    <row r="109" spans="4:14" x14ac:dyDescent="0.5">
      <c r="D109"/>
      <c r="E109"/>
      <c r="F109"/>
      <c r="G109"/>
      <c r="H109"/>
      <c r="I109"/>
      <c r="J109"/>
      <c r="K109"/>
      <c r="L109"/>
      <c r="M109"/>
      <c r="N109"/>
    </row>
  </sheetData>
  <mergeCells count="2">
    <mergeCell ref="C1:Q1"/>
    <mergeCell ref="C2:Q2"/>
  </mergeCells>
  <phoneticPr fontId="3" type="noConversion"/>
  <dataValidations count="3">
    <dataValidation type="date" allowBlank="1" showErrorMessage="1" error="Please enter a valid date." prompt="Enter Starting Date in this cell" sqref="D3" xr:uid="{0C657AD3-7A07-4B48-B0EF-27B376DEB1EC}">
      <formula1>1</formula1>
      <formula2>73415</formula2>
    </dataValidation>
    <dataValidation allowBlank="1" showErrorMessage="1" prompt="Enter Company Name in this cell, Starting Date in cell C3, and Cash balance alert minimum in cell C4" sqref="C1:C2 D1:Q1" xr:uid="{D23A200E-8AE2-44C7-BB9D-CD367C51A498}"/>
    <dataValidation allowBlank="1" showErrorMessage="1" prompt="Enter Starting Date in cell at right" sqref="C3" xr:uid="{E908C3B7-F7B6-4C76-B2C1-0BF7684F5F04}"/>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7593-C1C3-4AE1-ADC4-BDE2D300EDEB}">
  <sheetPr>
    <tabColor theme="4" tint="0.59999389629810485"/>
  </sheetPr>
  <dimension ref="C2:Q44"/>
  <sheetViews>
    <sheetView showGridLines="0" zoomScaleNormal="100" workbookViewId="0">
      <selection activeCell="C2" sqref="C2:G2"/>
    </sheetView>
  </sheetViews>
  <sheetFormatPr defaultColWidth="8.88671875" defaultRowHeight="18" x14ac:dyDescent="0.5"/>
  <cols>
    <col min="1" max="2" width="2.21875" customWidth="1"/>
    <col min="3" max="3" width="8.5546875" bestFit="1" customWidth="1"/>
    <col min="4" max="4" width="8.44140625" bestFit="1" customWidth="1"/>
    <col min="5" max="5" width="11.6640625" hidden="1" customWidth="1"/>
    <col min="6" max="6" width="20.109375" bestFit="1" customWidth="1"/>
    <col min="7" max="7" width="8.88671875" customWidth="1"/>
    <col min="8" max="8" width="9.44140625" bestFit="1" customWidth="1"/>
    <col min="10" max="10" width="25.5546875" bestFit="1" customWidth="1"/>
    <col min="11" max="11" width="12.5546875" bestFit="1" customWidth="1"/>
    <col min="14" max="14" width="0" hidden="1" customWidth="1"/>
    <col min="15" max="15" width="10.88671875" hidden="1" customWidth="1"/>
    <col min="16" max="17" width="8.88671875" hidden="1" customWidth="1"/>
    <col min="18" max="18" width="0" hidden="1" customWidth="1"/>
  </cols>
  <sheetData>
    <row r="2" spans="3:17" ht="21.6" customHeight="1" x14ac:dyDescent="0.5">
      <c r="C2" s="146" t="s">
        <v>16</v>
      </c>
      <c r="D2" s="147"/>
      <c r="E2" s="147"/>
      <c r="F2" s="147"/>
      <c r="G2" s="147"/>
    </row>
    <row r="4" spans="3:17" ht="18.600000000000001" thickBot="1" x14ac:dyDescent="0.55000000000000004">
      <c r="C4" s="54" t="s">
        <v>541</v>
      </c>
    </row>
    <row r="5" spans="3:17" x14ac:dyDescent="0.5">
      <c r="C5" s="46" t="s">
        <v>14</v>
      </c>
      <c r="D5" s="47" t="s">
        <v>5</v>
      </c>
      <c r="E5" s="46" t="s">
        <v>539</v>
      </c>
      <c r="F5" s="46" t="s">
        <v>6</v>
      </c>
      <c r="G5" s="46" t="s">
        <v>7</v>
      </c>
      <c r="H5" s="46" t="s">
        <v>8</v>
      </c>
      <c r="J5" s="116" t="s">
        <v>6</v>
      </c>
      <c r="K5" s="116" t="s">
        <v>1</v>
      </c>
      <c r="Q5" t="s">
        <v>540</v>
      </c>
    </row>
    <row r="6" spans="3:17" x14ac:dyDescent="0.5">
      <c r="C6" s="52">
        <v>293</v>
      </c>
      <c r="D6" s="48">
        <v>44904</v>
      </c>
      <c r="E6" s="49" t="str">
        <f>_xlfn.CONCAT(MONTH(Table16[[#This Row],[Date]]),"|",DAY(Table16[[#This Row],[Date]]),"|",YEAR(Table16[[#This Row],[Date]]))</f>
        <v>12|9|2022</v>
      </c>
      <c r="F6" s="45" t="s">
        <v>530</v>
      </c>
      <c r="G6" s="49">
        <v>1955</v>
      </c>
      <c r="H6" s="50"/>
      <c r="J6" t="s">
        <v>536</v>
      </c>
      <c r="K6" s="117">
        <v>500</v>
      </c>
      <c r="O6" s="19" t="s">
        <v>522</v>
      </c>
      <c r="P6" t="str">
        <f t="shared" ref="P6:P39" si="0">RIGHT(O6,(LEN(O6)-7))</f>
        <v xml:space="preserve">294 </v>
      </c>
    </row>
    <row r="7" spans="3:17" x14ac:dyDescent="0.5">
      <c r="C7" s="44">
        <v>294</v>
      </c>
      <c r="D7" s="48">
        <v>44956</v>
      </c>
      <c r="E7" s="49" t="str">
        <f>_xlfn.CONCAT(MONTH(Table16[[#This Row],[Date]]),"|",DAY(Table16[[#This Row],[Date]]),"|",YEAR(Table16[[#This Row],[Date]]))</f>
        <v>1|30|2023</v>
      </c>
      <c r="F7" s="45" t="s">
        <v>526</v>
      </c>
      <c r="G7" s="49">
        <v>6770.23</v>
      </c>
      <c r="H7" s="49"/>
      <c r="J7" t="s">
        <v>528</v>
      </c>
      <c r="K7" s="117">
        <v>8950</v>
      </c>
      <c r="O7" s="19" t="s">
        <v>523</v>
      </c>
      <c r="P7" t="str">
        <f t="shared" si="0"/>
        <v xml:space="preserve">295 </v>
      </c>
      <c r="Q7" s="53">
        <f t="shared" ref="Q7:Q43" si="1">P7-P6</f>
        <v>1</v>
      </c>
    </row>
    <row r="8" spans="3:17" x14ac:dyDescent="0.5">
      <c r="C8" s="44">
        <v>295</v>
      </c>
      <c r="D8" s="48">
        <v>44956</v>
      </c>
      <c r="E8" s="49" t="str">
        <f>_xlfn.CONCAT(MONTH(Table16[[#This Row],[Date]]),"|",DAY(Table16[[#This Row],[Date]]),"|",YEAR(Table16[[#This Row],[Date]]))</f>
        <v>1|30|2023</v>
      </c>
      <c r="F8" s="45" t="s">
        <v>526</v>
      </c>
      <c r="G8" s="49">
        <v>2628.73</v>
      </c>
      <c r="H8" s="49"/>
      <c r="J8" t="s">
        <v>530</v>
      </c>
      <c r="K8" s="117">
        <v>1955</v>
      </c>
      <c r="O8" s="19" t="s">
        <v>524</v>
      </c>
      <c r="P8" t="str">
        <f t="shared" si="0"/>
        <v xml:space="preserve">296 </v>
      </c>
      <c r="Q8" s="53">
        <f t="shared" si="1"/>
        <v>1</v>
      </c>
    </row>
    <row r="9" spans="3:17" x14ac:dyDescent="0.5">
      <c r="C9" s="44">
        <v>296</v>
      </c>
      <c r="D9" s="48">
        <v>44956</v>
      </c>
      <c r="E9" s="49" t="str">
        <f>_xlfn.CONCAT(MONTH(Table16[[#This Row],[Date]]),"|",DAY(Table16[[#This Row],[Date]]),"|",YEAR(Table16[[#This Row],[Date]]))</f>
        <v>1|30|2023</v>
      </c>
      <c r="F9" s="45" t="s">
        <v>526</v>
      </c>
      <c r="G9" s="49">
        <v>5957.69</v>
      </c>
      <c r="H9" s="49"/>
      <c r="J9" t="s">
        <v>526</v>
      </c>
      <c r="K9" s="117">
        <v>19576.07</v>
      </c>
      <c r="O9" s="19" t="s">
        <v>462</v>
      </c>
      <c r="P9" t="str">
        <f t="shared" si="0"/>
        <v>297</v>
      </c>
      <c r="Q9" s="53">
        <f t="shared" si="1"/>
        <v>1</v>
      </c>
    </row>
    <row r="10" spans="3:17" x14ac:dyDescent="0.5">
      <c r="C10" s="44">
        <v>297</v>
      </c>
      <c r="D10" s="48">
        <v>44984</v>
      </c>
      <c r="E10" s="49" t="str">
        <f>_xlfn.CONCAT(MONTH(Table16[[#This Row],[Date]]),"|",DAY(Table16[[#This Row],[Date]]),"|",YEAR(Table16[[#This Row],[Date]]))</f>
        <v>2|27|2023</v>
      </c>
      <c r="F10" s="45" t="s">
        <v>527</v>
      </c>
      <c r="G10" s="49">
        <v>500</v>
      </c>
      <c r="H10" s="49"/>
      <c r="J10" t="s">
        <v>534</v>
      </c>
      <c r="K10" s="117">
        <v>1500</v>
      </c>
      <c r="O10" s="19" t="s">
        <v>463</v>
      </c>
      <c r="P10" t="str">
        <f t="shared" si="0"/>
        <v>298</v>
      </c>
      <c r="Q10" s="53">
        <f t="shared" si="1"/>
        <v>1</v>
      </c>
    </row>
    <row r="11" spans="3:17" x14ac:dyDescent="0.5">
      <c r="C11" s="44">
        <v>298</v>
      </c>
      <c r="D11" s="48">
        <v>45049</v>
      </c>
      <c r="E11" s="49" t="str">
        <f>_xlfn.CONCAT(MONTH(Table16[[#This Row],[Date]]),"|",DAY(Table16[[#This Row],[Date]]),"|",YEAR(Table16[[#This Row],[Date]]))</f>
        <v>5|3|2023</v>
      </c>
      <c r="F11" s="45" t="s">
        <v>528</v>
      </c>
      <c r="G11" s="49">
        <v>150</v>
      </c>
      <c r="H11" s="49"/>
      <c r="J11" t="s">
        <v>535</v>
      </c>
      <c r="K11" s="117">
        <v>4835.67</v>
      </c>
      <c r="O11" s="19" t="s">
        <v>464</v>
      </c>
      <c r="P11" t="str">
        <f t="shared" si="0"/>
        <v>299</v>
      </c>
      <c r="Q11" s="53">
        <f t="shared" si="1"/>
        <v>1</v>
      </c>
    </row>
    <row r="12" spans="3:17" x14ac:dyDescent="0.5">
      <c r="C12" s="44">
        <v>299</v>
      </c>
      <c r="D12" s="48">
        <v>45076</v>
      </c>
      <c r="E12" s="49" t="str">
        <f>_xlfn.CONCAT(MONTH(Table16[[#This Row],[Date]]),"|",DAY(Table16[[#This Row],[Date]]),"|",YEAR(Table16[[#This Row],[Date]]))</f>
        <v>5|30|2023</v>
      </c>
      <c r="F12" s="45" t="s">
        <v>529</v>
      </c>
      <c r="G12" s="49">
        <v>225</v>
      </c>
      <c r="H12" s="49"/>
      <c r="J12" t="s">
        <v>532</v>
      </c>
      <c r="K12" s="117">
        <v>28100</v>
      </c>
      <c r="O12" s="19" t="s">
        <v>465</v>
      </c>
      <c r="P12" t="str">
        <f t="shared" si="0"/>
        <v>300</v>
      </c>
      <c r="Q12" s="53">
        <f t="shared" si="1"/>
        <v>1</v>
      </c>
    </row>
    <row r="13" spans="3:17" x14ac:dyDescent="0.5">
      <c r="C13" s="44">
        <v>300</v>
      </c>
      <c r="D13" s="48">
        <v>45076</v>
      </c>
      <c r="E13" s="49" t="str">
        <f>_xlfn.CONCAT(MONTH(Table16[[#This Row],[Date]]),"|",DAY(Table16[[#This Row],[Date]]),"|",YEAR(Table16[[#This Row],[Date]]))</f>
        <v>5|30|2023</v>
      </c>
      <c r="F13" s="45" t="s">
        <v>531</v>
      </c>
      <c r="G13" s="49">
        <v>950</v>
      </c>
      <c r="H13" s="49"/>
      <c r="J13" t="s">
        <v>529</v>
      </c>
      <c r="K13" s="117">
        <v>225</v>
      </c>
      <c r="O13" s="19" t="s">
        <v>466</v>
      </c>
      <c r="P13" t="str">
        <f t="shared" si="0"/>
        <v>301</v>
      </c>
      <c r="Q13" s="53">
        <f t="shared" si="1"/>
        <v>1</v>
      </c>
    </row>
    <row r="14" spans="3:17" x14ac:dyDescent="0.5">
      <c r="C14" s="44">
        <v>301</v>
      </c>
      <c r="D14" s="48">
        <v>45085</v>
      </c>
      <c r="E14" s="49" t="str">
        <f>_xlfn.CONCAT(MONTH(Table16[[#This Row],[Date]]),"|",DAY(Table16[[#This Row],[Date]]),"|",YEAR(Table16[[#This Row],[Date]]))</f>
        <v>6|8|2023</v>
      </c>
      <c r="F14" s="45" t="s">
        <v>528</v>
      </c>
      <c r="G14" s="49">
        <v>150</v>
      </c>
      <c r="H14" s="49"/>
      <c r="J14" t="s">
        <v>531</v>
      </c>
      <c r="K14" s="117">
        <v>1455</v>
      </c>
      <c r="O14" s="19" t="s">
        <v>468</v>
      </c>
      <c r="P14" t="str">
        <f t="shared" si="0"/>
        <v>303</v>
      </c>
      <c r="Q14" s="53">
        <f t="shared" si="1"/>
        <v>2</v>
      </c>
    </row>
    <row r="15" spans="3:17" x14ac:dyDescent="0.5">
      <c r="C15" s="52">
        <v>302</v>
      </c>
      <c r="D15" s="48">
        <v>45124</v>
      </c>
      <c r="E15" s="49" t="str">
        <f>_xlfn.CONCAT(MONTH(Table16[[#This Row],[Date]]),"|",DAY(Table16[[#This Row],[Date]]),"|",YEAR(Table16[[#This Row],[Date]]))</f>
        <v>7|17|2023</v>
      </c>
      <c r="F15" s="45" t="s">
        <v>528</v>
      </c>
      <c r="G15" s="49">
        <v>150</v>
      </c>
      <c r="H15" s="49"/>
      <c r="J15" t="s">
        <v>537</v>
      </c>
      <c r="K15" s="117">
        <v>250</v>
      </c>
      <c r="O15" s="19" t="s">
        <v>469</v>
      </c>
      <c r="P15" t="str">
        <f t="shared" si="0"/>
        <v>304</v>
      </c>
      <c r="Q15" s="53">
        <f t="shared" si="1"/>
        <v>1</v>
      </c>
    </row>
    <row r="16" spans="3:17" x14ac:dyDescent="0.5">
      <c r="C16" s="44">
        <v>303</v>
      </c>
      <c r="D16" s="48">
        <v>45177</v>
      </c>
      <c r="E16" s="49" t="str">
        <f>_xlfn.CONCAT(MONTH(Table16[[#This Row],[Date]]),"|",DAY(Table16[[#This Row],[Date]]),"|",YEAR(Table16[[#This Row],[Date]]))</f>
        <v>9|8|2023</v>
      </c>
      <c r="F16" s="45" t="s">
        <v>528</v>
      </c>
      <c r="G16" s="49">
        <v>1500</v>
      </c>
      <c r="H16" s="49"/>
      <c r="J16" t="s">
        <v>533</v>
      </c>
      <c r="K16" s="117">
        <v>704</v>
      </c>
      <c r="O16" s="19" t="s">
        <v>467</v>
      </c>
      <c r="P16" t="str">
        <f t="shared" si="0"/>
        <v>305</v>
      </c>
      <c r="Q16" s="53">
        <f t="shared" si="1"/>
        <v>1</v>
      </c>
    </row>
    <row r="17" spans="3:17" x14ac:dyDescent="0.5">
      <c r="C17" s="44">
        <v>304</v>
      </c>
      <c r="D17" s="48">
        <v>45173</v>
      </c>
      <c r="E17" s="49" t="str">
        <f>_xlfn.CONCAT(MONTH(Table16[[#This Row],[Date]]),"|",DAY(Table16[[#This Row],[Date]]),"|",YEAR(Table16[[#This Row],[Date]]))</f>
        <v>9|4|2023</v>
      </c>
      <c r="F17" s="45" t="s">
        <v>532</v>
      </c>
      <c r="G17" s="49">
        <v>2500</v>
      </c>
      <c r="H17" s="49"/>
      <c r="J17" t="s">
        <v>538</v>
      </c>
      <c r="K17" s="117">
        <v>1000</v>
      </c>
      <c r="O17" s="19" t="s">
        <v>470</v>
      </c>
      <c r="P17" t="str">
        <f t="shared" si="0"/>
        <v>306</v>
      </c>
      <c r="Q17" s="53">
        <f t="shared" si="1"/>
        <v>1</v>
      </c>
    </row>
    <row r="18" spans="3:17" x14ac:dyDescent="0.5">
      <c r="C18" s="44">
        <v>305</v>
      </c>
      <c r="D18" s="48">
        <v>45145</v>
      </c>
      <c r="E18" s="49" t="str">
        <f>_xlfn.CONCAT(MONTH(Table16[[#This Row],[Date]]),"|",DAY(Table16[[#This Row],[Date]]),"|",YEAR(Table16[[#This Row],[Date]]))</f>
        <v>8|7|2023</v>
      </c>
      <c r="F18" s="45" t="s">
        <v>533</v>
      </c>
      <c r="G18" s="49">
        <v>500</v>
      </c>
      <c r="H18" s="49"/>
      <c r="J18" t="s">
        <v>527</v>
      </c>
      <c r="K18" s="117">
        <v>500</v>
      </c>
      <c r="O18" s="19" t="s">
        <v>471</v>
      </c>
      <c r="P18" t="str">
        <f t="shared" si="0"/>
        <v>307</v>
      </c>
      <c r="Q18" s="53">
        <f t="shared" si="1"/>
        <v>1</v>
      </c>
    </row>
    <row r="19" spans="3:17" ht="18.600000000000001" thickBot="1" x14ac:dyDescent="0.55000000000000004">
      <c r="C19" s="44">
        <v>306</v>
      </c>
      <c r="D19" s="48">
        <v>45188</v>
      </c>
      <c r="E19" s="49" t="str">
        <f>_xlfn.CONCAT(MONTH(Table16[[#This Row],[Date]]),"|",DAY(Table16[[#This Row],[Date]]),"|",YEAR(Table16[[#This Row],[Date]]))</f>
        <v>9|19|2023</v>
      </c>
      <c r="F19" s="51" t="s">
        <v>534</v>
      </c>
      <c r="G19" s="49">
        <v>1500</v>
      </c>
      <c r="H19" s="49"/>
      <c r="K19" s="118">
        <v>69550.739999999991</v>
      </c>
      <c r="O19" s="19" t="s">
        <v>472</v>
      </c>
      <c r="P19" t="str">
        <f t="shared" si="0"/>
        <v>308</v>
      </c>
      <c r="Q19" s="53">
        <f t="shared" si="1"/>
        <v>1</v>
      </c>
    </row>
    <row r="20" spans="3:17" ht="18.600000000000001" thickTop="1" x14ac:dyDescent="0.5">
      <c r="C20" s="44">
        <v>307</v>
      </c>
      <c r="D20" s="48">
        <v>45189</v>
      </c>
      <c r="E20" s="49" t="str">
        <f>_xlfn.CONCAT(MONTH(Table16[[#This Row],[Date]]),"|",DAY(Table16[[#This Row],[Date]]),"|",YEAR(Table16[[#This Row],[Date]]))</f>
        <v>9|20|2023</v>
      </c>
      <c r="F20" s="45" t="s">
        <v>531</v>
      </c>
      <c r="G20" s="49">
        <v>155</v>
      </c>
      <c r="H20" s="49"/>
      <c r="O20" s="19" t="s">
        <v>473</v>
      </c>
      <c r="P20" t="str">
        <f t="shared" si="0"/>
        <v>309</v>
      </c>
      <c r="Q20" s="53">
        <f t="shared" si="1"/>
        <v>1</v>
      </c>
    </row>
    <row r="21" spans="3:17" x14ac:dyDescent="0.5">
      <c r="C21" s="44">
        <v>308</v>
      </c>
      <c r="D21" s="48">
        <v>45195</v>
      </c>
      <c r="E21" s="49" t="str">
        <f>_xlfn.CONCAT(MONTH(Table16[[#This Row],[Date]]),"|",DAY(Table16[[#This Row],[Date]]),"|",YEAR(Table16[[#This Row],[Date]]))</f>
        <v>9|26|2023</v>
      </c>
      <c r="F21" s="45" t="s">
        <v>526</v>
      </c>
      <c r="G21" s="49">
        <v>4219.42</v>
      </c>
      <c r="H21" s="49"/>
      <c r="O21" s="19" t="s">
        <v>474</v>
      </c>
      <c r="P21" t="str">
        <f t="shared" si="0"/>
        <v>310</v>
      </c>
      <c r="Q21" s="53">
        <f t="shared" si="1"/>
        <v>1</v>
      </c>
    </row>
    <row r="22" spans="3:17" x14ac:dyDescent="0.5">
      <c r="C22" s="44">
        <v>309</v>
      </c>
      <c r="D22" s="48">
        <v>45198</v>
      </c>
      <c r="E22" s="49" t="str">
        <f>_xlfn.CONCAT(MONTH(Table16[[#This Row],[Date]]),"|",DAY(Table16[[#This Row],[Date]]),"|",YEAR(Table16[[#This Row],[Date]]))</f>
        <v>9|29|2023</v>
      </c>
      <c r="F22" s="45" t="s">
        <v>532</v>
      </c>
      <c r="G22" s="49">
        <v>3000</v>
      </c>
      <c r="H22" s="49"/>
      <c r="O22" s="19" t="s">
        <v>475</v>
      </c>
      <c r="P22" t="str">
        <f t="shared" si="0"/>
        <v>311</v>
      </c>
      <c r="Q22" s="53">
        <f t="shared" si="1"/>
        <v>1</v>
      </c>
    </row>
    <row r="23" spans="3:17" x14ac:dyDescent="0.5">
      <c r="C23" s="44">
        <v>310</v>
      </c>
      <c r="D23" s="48">
        <v>45203</v>
      </c>
      <c r="E23" s="49" t="str">
        <f>_xlfn.CONCAT(MONTH(Table16[[#This Row],[Date]]),"|",DAY(Table16[[#This Row],[Date]]),"|",YEAR(Table16[[#This Row],[Date]]))</f>
        <v>10|4|2023</v>
      </c>
      <c r="F23" s="45" t="s">
        <v>532</v>
      </c>
      <c r="G23" s="49">
        <v>3000</v>
      </c>
      <c r="H23" s="49"/>
      <c r="O23" s="19" t="s">
        <v>476</v>
      </c>
      <c r="P23" t="str">
        <f t="shared" si="0"/>
        <v>312</v>
      </c>
      <c r="Q23" s="53">
        <f t="shared" si="1"/>
        <v>1</v>
      </c>
    </row>
    <row r="24" spans="3:17" ht="18" customHeight="1" x14ac:dyDescent="0.5">
      <c r="C24" s="44">
        <v>311</v>
      </c>
      <c r="D24" s="48">
        <v>45205</v>
      </c>
      <c r="E24" s="49" t="str">
        <f>_xlfn.CONCAT(MONTH(Table16[[#This Row],[Date]]),"|",DAY(Table16[[#This Row],[Date]]),"|",YEAR(Table16[[#This Row],[Date]]))</f>
        <v>10|6|2023</v>
      </c>
      <c r="F24" s="45" t="s">
        <v>528</v>
      </c>
      <c r="G24" s="49">
        <v>3650</v>
      </c>
      <c r="H24" s="49"/>
      <c r="O24" s="19" t="s">
        <v>477</v>
      </c>
      <c r="P24" t="str">
        <f t="shared" si="0"/>
        <v>313</v>
      </c>
      <c r="Q24" s="53">
        <f t="shared" si="1"/>
        <v>1</v>
      </c>
    </row>
    <row r="25" spans="3:17" x14ac:dyDescent="0.5">
      <c r="C25" s="44">
        <v>312</v>
      </c>
      <c r="D25" s="48">
        <v>45212</v>
      </c>
      <c r="E25" s="49" t="str">
        <f>_xlfn.CONCAT(MONTH(Table16[[#This Row],[Date]]),"|",DAY(Table16[[#This Row],[Date]]),"|",YEAR(Table16[[#This Row],[Date]]))</f>
        <v>10|13|2023</v>
      </c>
      <c r="F25" s="45" t="s">
        <v>532</v>
      </c>
      <c r="G25" s="49">
        <v>4000</v>
      </c>
      <c r="H25" s="49"/>
      <c r="O25" s="19" t="s">
        <v>478</v>
      </c>
      <c r="P25" t="str">
        <f t="shared" si="0"/>
        <v>314</v>
      </c>
      <c r="Q25" s="53">
        <f t="shared" si="1"/>
        <v>1</v>
      </c>
    </row>
    <row r="26" spans="3:17" x14ac:dyDescent="0.5">
      <c r="C26" s="44">
        <v>313</v>
      </c>
      <c r="D26" s="48">
        <v>45220</v>
      </c>
      <c r="E26" s="49" t="str">
        <f>_xlfn.CONCAT(MONTH(Table16[[#This Row],[Date]]),"|",DAY(Table16[[#This Row],[Date]]),"|",YEAR(Table16[[#This Row],[Date]]))</f>
        <v>10|21|2023</v>
      </c>
      <c r="F26" s="45" t="s">
        <v>532</v>
      </c>
      <c r="G26" s="49">
        <v>2000</v>
      </c>
      <c r="H26" s="49"/>
      <c r="O26" s="19" t="s">
        <v>479</v>
      </c>
      <c r="P26" t="str">
        <f t="shared" si="0"/>
        <v>315</v>
      </c>
      <c r="Q26" s="53">
        <f t="shared" si="1"/>
        <v>1</v>
      </c>
    </row>
    <row r="27" spans="3:17" x14ac:dyDescent="0.5">
      <c r="C27" s="44">
        <v>314</v>
      </c>
      <c r="D27" s="48">
        <v>45209</v>
      </c>
      <c r="E27" s="49" t="str">
        <f>_xlfn.CONCAT(MONTH(Table16[[#This Row],[Date]]),"|",DAY(Table16[[#This Row],[Date]]),"|",YEAR(Table16[[#This Row],[Date]]))</f>
        <v>10|10|2023</v>
      </c>
      <c r="F27" s="45" t="s">
        <v>535</v>
      </c>
      <c r="G27" s="49">
        <v>4700</v>
      </c>
      <c r="H27" s="49"/>
      <c r="O27" s="19" t="s">
        <v>481</v>
      </c>
      <c r="P27" t="str">
        <f t="shared" si="0"/>
        <v>316</v>
      </c>
      <c r="Q27" s="53">
        <f t="shared" si="1"/>
        <v>1</v>
      </c>
    </row>
    <row r="28" spans="3:17" x14ac:dyDescent="0.5">
      <c r="C28" s="44">
        <v>315</v>
      </c>
      <c r="D28" s="48">
        <v>45219</v>
      </c>
      <c r="E28" s="49" t="str">
        <f>_xlfn.CONCAT(MONTH(Table16[[#This Row],[Date]]),"|",DAY(Table16[[#This Row],[Date]]),"|",YEAR(Table16[[#This Row],[Date]]))</f>
        <v>10|20|2023</v>
      </c>
      <c r="F28" s="45" t="s">
        <v>528</v>
      </c>
      <c r="G28" s="49">
        <v>3000</v>
      </c>
      <c r="H28" s="49"/>
      <c r="O28" s="19" t="s">
        <v>480</v>
      </c>
      <c r="P28" t="str">
        <f t="shared" si="0"/>
        <v>317</v>
      </c>
      <c r="Q28" s="53">
        <f t="shared" si="1"/>
        <v>1</v>
      </c>
    </row>
    <row r="29" spans="3:17" x14ac:dyDescent="0.5">
      <c r="C29" s="44">
        <v>316</v>
      </c>
      <c r="D29" s="48">
        <v>45226</v>
      </c>
      <c r="E29" s="49" t="str">
        <f>_xlfn.CONCAT(MONTH(Table16[[#This Row],[Date]]),"|",DAY(Table16[[#This Row],[Date]]),"|",YEAR(Table16[[#This Row],[Date]]))</f>
        <v>10|27|2023</v>
      </c>
      <c r="F29" s="45" t="s">
        <v>532</v>
      </c>
      <c r="G29" s="49">
        <v>2500</v>
      </c>
      <c r="H29" s="49"/>
      <c r="O29" s="19" t="s">
        <v>483</v>
      </c>
      <c r="P29" t="str">
        <f t="shared" si="0"/>
        <v>318</v>
      </c>
      <c r="Q29" s="53">
        <f t="shared" si="1"/>
        <v>1</v>
      </c>
    </row>
    <row r="30" spans="3:17" x14ac:dyDescent="0.5">
      <c r="C30" s="44">
        <v>317</v>
      </c>
      <c r="D30" s="48">
        <v>45226</v>
      </c>
      <c r="E30" s="49" t="str">
        <f>_xlfn.CONCAT(MONTH(Table16[[#This Row],[Date]]),"|",DAY(Table16[[#This Row],[Date]]),"|",YEAR(Table16[[#This Row],[Date]]))</f>
        <v>10|27|2023</v>
      </c>
      <c r="F30" s="45" t="s">
        <v>528</v>
      </c>
      <c r="G30" s="49">
        <v>150</v>
      </c>
      <c r="H30" s="49"/>
      <c r="O30" s="19" t="s">
        <v>484</v>
      </c>
      <c r="P30" t="str">
        <f t="shared" si="0"/>
        <v>319</v>
      </c>
      <c r="Q30" s="53">
        <f t="shared" si="1"/>
        <v>1</v>
      </c>
    </row>
    <row r="31" spans="3:17" x14ac:dyDescent="0.5">
      <c r="C31" s="44">
        <v>318</v>
      </c>
      <c r="D31" s="48">
        <v>45243</v>
      </c>
      <c r="E31" s="49" t="str">
        <f>_xlfn.CONCAT(MONTH(Table16[[#This Row],[Date]]),"|",DAY(Table16[[#This Row],[Date]]),"|",YEAR(Table16[[#This Row],[Date]]))</f>
        <v>11|13|2023</v>
      </c>
      <c r="F31" s="45" t="s">
        <v>536</v>
      </c>
      <c r="G31" s="49">
        <v>500</v>
      </c>
      <c r="H31" s="49"/>
      <c r="O31" s="19" t="s">
        <v>482</v>
      </c>
      <c r="P31" t="str">
        <f t="shared" si="0"/>
        <v>320</v>
      </c>
      <c r="Q31" s="53">
        <f t="shared" si="1"/>
        <v>1</v>
      </c>
    </row>
    <row r="32" spans="3:17" x14ac:dyDescent="0.5">
      <c r="C32" s="44">
        <v>319</v>
      </c>
      <c r="D32" s="48">
        <v>45229</v>
      </c>
      <c r="E32" s="49" t="str">
        <f>_xlfn.CONCAT(MONTH(Table16[[#This Row],[Date]]),"|",DAY(Table16[[#This Row],[Date]]),"|",YEAR(Table16[[#This Row],[Date]]))</f>
        <v>10|30|2023</v>
      </c>
      <c r="F32" s="45" t="s">
        <v>533</v>
      </c>
      <c r="G32" s="49">
        <v>204</v>
      </c>
      <c r="H32" s="49"/>
      <c r="O32" s="19" t="s">
        <v>485</v>
      </c>
      <c r="P32" t="str">
        <f t="shared" si="0"/>
        <v>321</v>
      </c>
      <c r="Q32" s="53">
        <f t="shared" si="1"/>
        <v>1</v>
      </c>
    </row>
    <row r="33" spans="3:17" x14ac:dyDescent="0.5">
      <c r="C33" s="44">
        <v>320</v>
      </c>
      <c r="D33" s="48">
        <v>45230</v>
      </c>
      <c r="E33" s="49" t="str">
        <f>_xlfn.CONCAT(MONTH(Table16[[#This Row],[Date]]),"|",DAY(Table16[[#This Row],[Date]]),"|",YEAR(Table16[[#This Row],[Date]]))</f>
        <v>10|31|2023</v>
      </c>
      <c r="F33" s="45" t="s">
        <v>537</v>
      </c>
      <c r="G33" s="49">
        <v>250</v>
      </c>
      <c r="H33" s="49"/>
      <c r="O33" s="19" t="s">
        <v>486</v>
      </c>
      <c r="P33" t="str">
        <f t="shared" si="0"/>
        <v>322</v>
      </c>
      <c r="Q33" s="53">
        <f t="shared" si="1"/>
        <v>1</v>
      </c>
    </row>
    <row r="34" spans="3:17" x14ac:dyDescent="0.5">
      <c r="C34" s="44">
        <v>321</v>
      </c>
      <c r="D34" s="48">
        <v>45230</v>
      </c>
      <c r="E34" s="49" t="str">
        <f>_xlfn.CONCAT(MONTH(Table16[[#This Row],[Date]]),"|",DAY(Table16[[#This Row],[Date]]),"|",YEAR(Table16[[#This Row],[Date]]))</f>
        <v>10|31|2023</v>
      </c>
      <c r="F34" s="45" t="s">
        <v>538</v>
      </c>
      <c r="G34" s="49">
        <v>500</v>
      </c>
      <c r="H34" s="49"/>
      <c r="O34" s="19" t="s">
        <v>487</v>
      </c>
      <c r="P34" t="str">
        <f t="shared" si="0"/>
        <v>323</v>
      </c>
      <c r="Q34" s="53">
        <f t="shared" si="1"/>
        <v>1</v>
      </c>
    </row>
    <row r="35" spans="3:17" x14ac:dyDescent="0.5">
      <c r="C35" s="44">
        <v>322</v>
      </c>
      <c r="D35" s="48">
        <v>45233</v>
      </c>
      <c r="E35" s="49" t="str">
        <f>_xlfn.CONCAT(MONTH(Table16[[#This Row],[Date]]),"|",DAY(Table16[[#This Row],[Date]]),"|",YEAR(Table16[[#This Row],[Date]]))</f>
        <v>11|3|2023</v>
      </c>
      <c r="F35" s="45" t="s">
        <v>532</v>
      </c>
      <c r="G35" s="49">
        <v>2000</v>
      </c>
      <c r="H35" s="49"/>
      <c r="O35" s="19" t="s">
        <v>488</v>
      </c>
      <c r="P35" t="str">
        <f t="shared" si="0"/>
        <v>324</v>
      </c>
      <c r="Q35" s="53">
        <f t="shared" si="1"/>
        <v>1</v>
      </c>
    </row>
    <row r="36" spans="3:17" x14ac:dyDescent="0.5">
      <c r="C36" s="44">
        <v>323</v>
      </c>
      <c r="D36" s="48">
        <v>45247</v>
      </c>
      <c r="E36" s="49" t="str">
        <f>_xlfn.CONCAT(MONTH(Table16[[#This Row],[Date]]),"|",DAY(Table16[[#This Row],[Date]]),"|",YEAR(Table16[[#This Row],[Date]]))</f>
        <v>11|17|2023</v>
      </c>
      <c r="F36" s="45" t="s">
        <v>538</v>
      </c>
      <c r="G36" s="49">
        <v>500</v>
      </c>
      <c r="H36" s="49"/>
      <c r="O36" s="19" t="s">
        <v>489</v>
      </c>
      <c r="P36" t="str">
        <f t="shared" si="0"/>
        <v>325</v>
      </c>
      <c r="Q36" s="53">
        <f t="shared" si="1"/>
        <v>1</v>
      </c>
    </row>
    <row r="37" spans="3:17" x14ac:dyDescent="0.5">
      <c r="C37" s="44">
        <v>324</v>
      </c>
      <c r="D37" s="48">
        <v>45247</v>
      </c>
      <c r="E37" t="str">
        <f>_xlfn.CONCAT(MONTH(Table16[[#This Row],[Date]]),"|",DAY(Table16[[#This Row],[Date]]),"|",YEAR(Table16[[#This Row],[Date]]))</f>
        <v>11|17|2023</v>
      </c>
      <c r="F37" s="45" t="s">
        <v>535</v>
      </c>
      <c r="G37" s="49">
        <v>135.66999999999999</v>
      </c>
      <c r="H37" s="49"/>
      <c r="O37" s="19" t="s">
        <v>490</v>
      </c>
      <c r="P37" t="str">
        <f t="shared" si="0"/>
        <v>326</v>
      </c>
      <c r="Q37" s="53">
        <f t="shared" si="1"/>
        <v>1</v>
      </c>
    </row>
    <row r="38" spans="3:17" x14ac:dyDescent="0.5">
      <c r="C38" s="44">
        <v>325</v>
      </c>
      <c r="D38" s="48">
        <v>45247</v>
      </c>
      <c r="E38" t="str">
        <f>_xlfn.CONCAT(MONTH(Table16[[#This Row],[Date]]),"|",DAY(Table16[[#This Row],[Date]]),"|",YEAR(Table16[[#This Row],[Date]]))</f>
        <v>11|17|2023</v>
      </c>
      <c r="F38" s="45" t="s">
        <v>532</v>
      </c>
      <c r="G38" s="49">
        <v>3500</v>
      </c>
      <c r="H38" s="49"/>
      <c r="O38" s="19" t="s">
        <v>491</v>
      </c>
      <c r="P38" t="str">
        <f t="shared" si="0"/>
        <v>327</v>
      </c>
      <c r="Q38" s="53">
        <f t="shared" si="1"/>
        <v>1</v>
      </c>
    </row>
    <row r="39" spans="3:17" x14ac:dyDescent="0.5">
      <c r="C39" s="44">
        <v>326</v>
      </c>
      <c r="D39" s="48">
        <v>45261</v>
      </c>
      <c r="E39" t="str">
        <f>_xlfn.CONCAT(MONTH(Table16[[#This Row],[Date]]),"|",DAY(Table16[[#This Row],[Date]]),"|",YEAR(Table16[[#This Row],[Date]]))</f>
        <v>12|1|2023</v>
      </c>
      <c r="F39" s="45" t="s">
        <v>528</v>
      </c>
      <c r="G39" s="49">
        <v>200</v>
      </c>
      <c r="H39" s="49"/>
      <c r="O39" s="19" t="s">
        <v>492</v>
      </c>
      <c r="P39" t="str">
        <f t="shared" si="0"/>
        <v>328</v>
      </c>
      <c r="Q39" s="53">
        <f t="shared" si="1"/>
        <v>1</v>
      </c>
    </row>
    <row r="40" spans="3:17" x14ac:dyDescent="0.5">
      <c r="C40" s="44">
        <v>327</v>
      </c>
      <c r="D40" s="48">
        <v>45264</v>
      </c>
      <c r="E40" t="str">
        <f>_xlfn.CONCAT(MONTH(Table16[[#This Row],[Date]]),"|",DAY(Table16[[#This Row],[Date]]),"|",YEAR(Table16[[#This Row],[Date]]))</f>
        <v>12|4|2023</v>
      </c>
      <c r="F40" s="45" t="s">
        <v>531</v>
      </c>
      <c r="G40" s="49">
        <v>350</v>
      </c>
      <c r="H40" s="49"/>
      <c r="Q40" s="53">
        <f t="shared" si="1"/>
        <v>-328</v>
      </c>
    </row>
    <row r="41" spans="3:17" x14ac:dyDescent="0.5">
      <c r="C41" s="44">
        <v>328</v>
      </c>
      <c r="D41" s="48">
        <v>45265</v>
      </c>
      <c r="E41" t="str">
        <f>_xlfn.CONCAT(MONTH(Table16[[#This Row],[Date]]),"|",DAY(Table16[[#This Row],[Date]]),"|",YEAR(Table16[[#This Row],[Date]]))</f>
        <v>12|5|2023</v>
      </c>
      <c r="F41" s="45" t="s">
        <v>532</v>
      </c>
      <c r="G41" s="49">
        <v>1500</v>
      </c>
      <c r="H41" s="49"/>
      <c r="Q41" s="53">
        <f t="shared" si="1"/>
        <v>0</v>
      </c>
    </row>
    <row r="42" spans="3:17" x14ac:dyDescent="0.5">
      <c r="C42" s="52">
        <v>329</v>
      </c>
      <c r="D42" s="48">
        <v>45282</v>
      </c>
      <c r="E42" t="str">
        <f>_xlfn.CONCAT(MONTH(Table16[[#This Row],[Date]]),"|",DAY(Table16[[#This Row],[Date]]),"|",YEAR(Table16[[#This Row],[Date]]))</f>
        <v>12|22|2023</v>
      </c>
      <c r="F42" s="45" t="s">
        <v>532</v>
      </c>
      <c r="G42" s="49">
        <v>4100</v>
      </c>
      <c r="H42" s="50"/>
      <c r="Q42" s="53">
        <f t="shared" si="1"/>
        <v>0</v>
      </c>
    </row>
    <row r="43" spans="3:17" ht="18.600000000000001" thickBot="1" x14ac:dyDescent="0.55000000000000004">
      <c r="C43" s="8" t="s">
        <v>1</v>
      </c>
      <c r="D43" s="43"/>
      <c r="E43" s="9"/>
      <c r="F43" s="8"/>
      <c r="G43" s="9">
        <f>SUBTOTAL(109,Table16[Debit (-)])</f>
        <v>69550.739999999991</v>
      </c>
      <c r="H43" s="8">
        <f>SUBTOTAL(109,Table16[Credit (+)])</f>
        <v>0</v>
      </c>
      <c r="Q43" s="53">
        <f t="shared" si="1"/>
        <v>0</v>
      </c>
    </row>
    <row r="44" spans="3:17" ht="18.600000000000001" thickTop="1" x14ac:dyDescent="0.5"/>
  </sheetData>
  <sortState xmlns:xlrd2="http://schemas.microsoft.com/office/spreadsheetml/2017/richdata2" ref="N7:O44">
    <sortCondition ref="N6:N44"/>
  </sortState>
  <mergeCells count="1">
    <mergeCell ref="C2:G2"/>
  </mergeCells>
  <phoneticPr fontId="3" type="noConversion"/>
  <pageMargins left="0.18" right="0.14000000000000001" top="0.75" bottom="0.75" header="0.27" footer="0.3"/>
  <pageSetup scale="125" orientation="portrait" r:id="rId1"/>
  <ignoredErrors>
    <ignoredError sqref="D6:D42" calculatedColumn="1"/>
  </ignoredErrors>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E1AA-7BD1-4B24-B0E5-5DF4FD0265AC}">
  <dimension ref="B2:I30"/>
  <sheetViews>
    <sheetView zoomScale="130" zoomScaleNormal="130" workbookViewId="0">
      <selection activeCell="B2" sqref="B2:C3"/>
    </sheetView>
  </sheetViews>
  <sheetFormatPr defaultRowHeight="18" x14ac:dyDescent="0.5"/>
  <cols>
    <col min="1" max="1" width="2.33203125" style="64" customWidth="1"/>
    <col min="2" max="2" width="32.44140625" style="64" bestFit="1" customWidth="1"/>
    <col min="3" max="4" width="11.21875" style="64" bestFit="1" customWidth="1"/>
    <col min="5" max="5" width="12.33203125" style="64" bestFit="1" customWidth="1"/>
    <col min="6" max="7" width="8.88671875" style="64"/>
    <col min="8" max="8" width="25.5546875" style="64" bestFit="1" customWidth="1"/>
    <col min="9" max="9" width="12.5546875" style="64" bestFit="1" customWidth="1"/>
    <col min="10" max="16384" width="8.88671875" style="64"/>
  </cols>
  <sheetData>
    <row r="2" spans="2:9" ht="18" customHeight="1" x14ac:dyDescent="0.5">
      <c r="B2" s="148" t="s">
        <v>579</v>
      </c>
      <c r="C2" s="148"/>
      <c r="D2" s="132"/>
      <c r="E2" s="132"/>
      <c r="H2" s="148" t="s">
        <v>580</v>
      </c>
      <c r="I2" s="148"/>
    </row>
    <row r="3" spans="2:9" ht="18.600000000000001" customHeight="1" thickBot="1" x14ac:dyDescent="0.55000000000000004">
      <c r="B3" s="148"/>
      <c r="C3" s="148"/>
      <c r="D3" s="132"/>
      <c r="E3" s="132"/>
      <c r="H3" s="148"/>
      <c r="I3" s="148"/>
    </row>
    <row r="4" spans="2:9" ht="18.600000000000001" thickBot="1" x14ac:dyDescent="0.55000000000000004">
      <c r="B4" s="106" t="s">
        <v>6</v>
      </c>
      <c r="C4" s="107" t="s">
        <v>7</v>
      </c>
      <c r="D4" s="107" t="s">
        <v>8</v>
      </c>
      <c r="E4" s="107" t="s">
        <v>566</v>
      </c>
      <c r="H4" s="116" t="s">
        <v>6</v>
      </c>
      <c r="I4" s="119" t="s">
        <v>1</v>
      </c>
    </row>
    <row r="5" spans="2:9" x14ac:dyDescent="0.5">
      <c r="B5" s="120" t="s">
        <v>563</v>
      </c>
      <c r="C5" s="121">
        <v>0.51</v>
      </c>
      <c r="D5" s="121">
        <v>1410</v>
      </c>
      <c r="E5" s="122">
        <v>1409.49</v>
      </c>
      <c r="H5" t="s">
        <v>536</v>
      </c>
      <c r="I5" s="117">
        <v>500</v>
      </c>
    </row>
    <row r="6" spans="2:9" x14ac:dyDescent="0.5">
      <c r="B6" s="123" t="s">
        <v>546</v>
      </c>
      <c r="C6" s="124">
        <v>45</v>
      </c>
      <c r="D6" s="124">
        <v>0</v>
      </c>
      <c r="E6" s="125">
        <v>-45</v>
      </c>
      <c r="H6" t="s">
        <v>528</v>
      </c>
      <c r="I6" s="117">
        <v>8950</v>
      </c>
    </row>
    <row r="7" spans="2:9" x14ac:dyDescent="0.5">
      <c r="B7" s="126" t="s">
        <v>542</v>
      </c>
      <c r="C7" s="127">
        <v>80461.49000000002</v>
      </c>
      <c r="D7" s="127">
        <v>0</v>
      </c>
      <c r="E7" s="128">
        <v>-80461.49000000002</v>
      </c>
      <c r="H7" t="s">
        <v>530</v>
      </c>
      <c r="I7" s="117">
        <v>1955</v>
      </c>
    </row>
    <row r="8" spans="2:9" x14ac:dyDescent="0.5">
      <c r="B8" s="123" t="s">
        <v>553</v>
      </c>
      <c r="C8" s="124">
        <v>205.51</v>
      </c>
      <c r="D8" s="124">
        <v>0</v>
      </c>
      <c r="E8" s="125">
        <v>-205.51</v>
      </c>
      <c r="H8" t="s">
        <v>526</v>
      </c>
      <c r="I8" s="117">
        <v>19576.07</v>
      </c>
    </row>
    <row r="9" spans="2:9" x14ac:dyDescent="0.5">
      <c r="B9" s="126" t="s">
        <v>12</v>
      </c>
      <c r="C9" s="127">
        <v>64345.74</v>
      </c>
      <c r="D9" s="127">
        <v>0</v>
      </c>
      <c r="E9" s="128">
        <v>-64345.74</v>
      </c>
      <c r="H9" t="s">
        <v>534</v>
      </c>
      <c r="I9" s="117">
        <v>1500</v>
      </c>
    </row>
    <row r="10" spans="2:9" x14ac:dyDescent="0.5">
      <c r="B10" s="123" t="s">
        <v>561</v>
      </c>
      <c r="C10" s="124">
        <v>3812.29</v>
      </c>
      <c r="D10" s="124">
        <v>0</v>
      </c>
      <c r="E10" s="125">
        <v>-3812.29</v>
      </c>
      <c r="H10" t="s">
        <v>535</v>
      </c>
      <c r="I10" s="117">
        <v>4835.67</v>
      </c>
    </row>
    <row r="11" spans="2:9" x14ac:dyDescent="0.5">
      <c r="B11" s="126" t="s">
        <v>402</v>
      </c>
      <c r="C11" s="127">
        <v>1.83</v>
      </c>
      <c r="D11" s="127">
        <v>0</v>
      </c>
      <c r="E11" s="128">
        <v>-1.83</v>
      </c>
      <c r="H11" t="s">
        <v>532</v>
      </c>
      <c r="I11" s="117">
        <v>28100</v>
      </c>
    </row>
    <row r="12" spans="2:9" x14ac:dyDescent="0.5">
      <c r="B12" s="123" t="s">
        <v>555</v>
      </c>
      <c r="C12" s="124">
        <v>497</v>
      </c>
      <c r="D12" s="124">
        <v>0</v>
      </c>
      <c r="E12" s="125">
        <v>-497</v>
      </c>
      <c r="H12" t="s">
        <v>529</v>
      </c>
      <c r="I12" s="117">
        <v>225</v>
      </c>
    </row>
    <row r="13" spans="2:9" x14ac:dyDescent="0.5">
      <c r="B13" s="126" t="s">
        <v>345</v>
      </c>
      <c r="C13" s="127">
        <v>0</v>
      </c>
      <c r="D13" s="127">
        <v>195275.54</v>
      </c>
      <c r="E13" s="128">
        <v>195275.54</v>
      </c>
      <c r="H13" t="s">
        <v>531</v>
      </c>
      <c r="I13" s="117">
        <v>1455</v>
      </c>
    </row>
    <row r="14" spans="2:9" x14ac:dyDescent="0.5">
      <c r="B14" s="123" t="s">
        <v>556</v>
      </c>
      <c r="C14" s="124">
        <v>153</v>
      </c>
      <c r="D14" s="124">
        <v>0</v>
      </c>
      <c r="E14" s="125">
        <v>-153</v>
      </c>
      <c r="H14" t="s">
        <v>537</v>
      </c>
      <c r="I14" s="117">
        <v>250</v>
      </c>
    </row>
    <row r="15" spans="2:9" x14ac:dyDescent="0.5">
      <c r="B15" s="126" t="s">
        <v>550</v>
      </c>
      <c r="C15" s="127">
        <v>19549.22</v>
      </c>
      <c r="D15" s="127">
        <v>0</v>
      </c>
      <c r="E15" s="128">
        <v>-19549.22</v>
      </c>
      <c r="H15" t="s">
        <v>533</v>
      </c>
      <c r="I15" s="117">
        <v>704</v>
      </c>
    </row>
    <row r="16" spans="2:9" x14ac:dyDescent="0.5">
      <c r="B16" s="123" t="s">
        <v>548</v>
      </c>
      <c r="C16" s="124">
        <v>12221.01</v>
      </c>
      <c r="D16" s="124">
        <v>0</v>
      </c>
      <c r="E16" s="125">
        <v>-12221.01</v>
      </c>
      <c r="H16" t="s">
        <v>538</v>
      </c>
      <c r="I16" s="117">
        <v>1000</v>
      </c>
    </row>
    <row r="17" spans="2:9" x14ac:dyDescent="0.5">
      <c r="B17" s="126" t="s">
        <v>560</v>
      </c>
      <c r="C17" s="127">
        <v>71050</v>
      </c>
      <c r="D17" s="127">
        <v>69500</v>
      </c>
      <c r="E17" s="128">
        <v>-1550</v>
      </c>
      <c r="H17" t="s">
        <v>527</v>
      </c>
      <c r="I17" s="117">
        <v>500</v>
      </c>
    </row>
    <row r="18" spans="2:9" ht="18.600000000000001" thickBot="1" x14ac:dyDescent="0.55000000000000004">
      <c r="B18" s="123" t="s">
        <v>545</v>
      </c>
      <c r="C18" s="124">
        <v>4158.0200000000004</v>
      </c>
      <c r="D18" s="124">
        <v>0</v>
      </c>
      <c r="E18" s="125">
        <v>-4158.0200000000004</v>
      </c>
      <c r="H18"/>
      <c r="I18" s="118">
        <v>69550.739999999991</v>
      </c>
    </row>
    <row r="19" spans="2:9" ht="18.600000000000001" thickTop="1" x14ac:dyDescent="0.5">
      <c r="B19" s="126" t="s">
        <v>551</v>
      </c>
      <c r="C19" s="127">
        <v>922.82</v>
      </c>
      <c r="D19" s="127">
        <v>0</v>
      </c>
      <c r="E19" s="128">
        <v>-922.82</v>
      </c>
    </row>
    <row r="20" spans="2:9" x14ac:dyDescent="0.5">
      <c r="B20" s="123" t="s">
        <v>343</v>
      </c>
      <c r="C20" s="124">
        <v>0</v>
      </c>
      <c r="D20" s="124">
        <v>41671.800000000003</v>
      </c>
      <c r="E20" s="125">
        <v>41671.800000000003</v>
      </c>
    </row>
    <row r="21" spans="2:9" x14ac:dyDescent="0.5">
      <c r="B21" s="126" t="s">
        <v>558</v>
      </c>
      <c r="C21" s="127">
        <v>542.99</v>
      </c>
      <c r="D21" s="127">
        <v>0</v>
      </c>
      <c r="E21" s="128">
        <v>-542.99</v>
      </c>
    </row>
    <row r="22" spans="2:9" x14ac:dyDescent="0.5">
      <c r="B22" s="123" t="s">
        <v>554</v>
      </c>
      <c r="C22" s="124">
        <v>50</v>
      </c>
      <c r="D22" s="124">
        <v>0</v>
      </c>
      <c r="E22" s="125">
        <v>-50</v>
      </c>
    </row>
    <row r="23" spans="2:9" x14ac:dyDescent="0.5">
      <c r="B23" s="126" t="s">
        <v>544</v>
      </c>
      <c r="C23" s="127">
        <v>627.56999999999994</v>
      </c>
      <c r="D23" s="127">
        <v>0</v>
      </c>
      <c r="E23" s="128">
        <v>-627.56999999999994</v>
      </c>
    </row>
    <row r="24" spans="2:9" x14ac:dyDescent="0.5">
      <c r="B24" s="123" t="s">
        <v>562</v>
      </c>
      <c r="C24" s="124">
        <v>21</v>
      </c>
      <c r="D24" s="124">
        <v>21</v>
      </c>
      <c r="E24" s="125">
        <v>0</v>
      </c>
    </row>
    <row r="25" spans="2:9" x14ac:dyDescent="0.5">
      <c r="B25" s="126" t="s">
        <v>552</v>
      </c>
      <c r="C25" s="127">
        <v>1393</v>
      </c>
      <c r="D25" s="127">
        <v>0</v>
      </c>
      <c r="E25" s="128">
        <v>-1393</v>
      </c>
    </row>
    <row r="26" spans="2:9" x14ac:dyDescent="0.5">
      <c r="B26" s="123" t="s">
        <v>547</v>
      </c>
      <c r="C26" s="124">
        <v>10560</v>
      </c>
      <c r="D26" s="124">
        <v>0</v>
      </c>
      <c r="E26" s="125">
        <v>-10560</v>
      </c>
    </row>
    <row r="27" spans="2:9" x14ac:dyDescent="0.5">
      <c r="B27" s="126" t="s">
        <v>549</v>
      </c>
      <c r="C27" s="127">
        <v>1239</v>
      </c>
      <c r="D27" s="127">
        <v>0</v>
      </c>
      <c r="E27" s="128">
        <v>-1239</v>
      </c>
    </row>
    <row r="28" spans="2:9" x14ac:dyDescent="0.5">
      <c r="B28" s="123" t="s">
        <v>543</v>
      </c>
      <c r="C28" s="124">
        <v>1146.6000000000001</v>
      </c>
      <c r="D28" s="124">
        <v>0</v>
      </c>
      <c r="E28" s="125">
        <v>-1146.6000000000001</v>
      </c>
    </row>
    <row r="29" spans="2:9" x14ac:dyDescent="0.5">
      <c r="B29" s="126" t="s">
        <v>557</v>
      </c>
      <c r="C29" s="127">
        <v>8097.99</v>
      </c>
      <c r="D29" s="127">
        <v>0</v>
      </c>
      <c r="E29" s="128">
        <v>-8097.99</v>
      </c>
    </row>
    <row r="30" spans="2:9" ht="18.600000000000001" thickBot="1" x14ac:dyDescent="0.55000000000000004">
      <c r="B30" s="129" t="s">
        <v>559</v>
      </c>
      <c r="C30" s="130">
        <v>7450.1200000000008</v>
      </c>
      <c r="D30" s="130">
        <v>0</v>
      </c>
      <c r="E30" s="131">
        <v>-7450.1200000000008</v>
      </c>
    </row>
  </sheetData>
  <mergeCells count="2">
    <mergeCell ref="H2:I3"/>
    <mergeCell ref="B2:C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142DE-9341-4F65-8688-2004C67AE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Checking Account</vt:lpstr>
      <vt:lpstr>Individual Accounts</vt:lpstr>
      <vt:lpstr>Description Slicer</vt:lpstr>
      <vt:lpstr>data processing</vt:lpstr>
      <vt:lpstr>W - Checking account</vt:lpstr>
      <vt:lpstr>Check Register</vt:lpstr>
      <vt:lpstr>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cp:lastPrinted>2022-03-03T11:47:21Z</cp:lastPrinted>
  <dcterms:created xsi:type="dcterms:W3CDTF">2022-01-13T14:12:20Z</dcterms:created>
  <dcterms:modified xsi:type="dcterms:W3CDTF">2024-02-27T14:22:19Z</dcterms:modified>
</cp:coreProperties>
</file>